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2023\H.TUA CHUA\QHCT KHU PHIA NAM\7 10 nhiem vu qhct nam TC (1)\du toan\"/>
    </mc:Choice>
  </mc:AlternateContent>
  <xr:revisionPtr revIDLastSave="0" documentId="13_ncr:1_{52D79A64-0CDA-420F-A351-6CDBAAF3BB43}" xr6:coauthVersionLast="36" xr6:coauthVersionMax="47" xr10:uidLastSave="{00000000-0000-0000-0000-000000000000}"/>
  <bookViews>
    <workbookView xWindow="28680" yWindow="0" windowWidth="29040" windowHeight="15840" tabRatio="1000" activeTab="4" xr2:uid="{00000000-000D-0000-FFFF-FFFF00000000}"/>
  </bookViews>
  <sheets>
    <sheet name="Dinh muc" sheetId="28" r:id="rId1"/>
    <sheet name="QH Vung" sheetId="2" state="hidden" r:id="rId2"/>
    <sheet name="QHC- ĐT" sheetId="20" state="hidden" r:id="rId3"/>
    <sheet name="QHPK ĐT" sheetId="13" state="hidden" r:id="rId4"/>
    <sheet name="QHCT pa1" sheetId="6" r:id="rId5"/>
    <sheet name="De an nang loai DT" sheetId="26" state="hidden" r:id="rId6"/>
    <sheet name="QHCT pa2" sheetId="30" state="hidden" r:id="rId7"/>
    <sheet name="QHC- Khu chuc nang" sheetId="7" state="hidden" r:id="rId8"/>
    <sheet name="QHPK- Khu chuc nang" sheetId="14" state="hidden" r:id="rId9"/>
    <sheet name="QHCT-khu chuc nang" sheetId="15" state="hidden" r:id="rId10"/>
    <sheet name="QHC- xa" sheetId="22" state="hidden" r:id="rId11"/>
    <sheet name="QHCT diem dan cu NT" sheetId="23" state="hidden" r:id="rId12"/>
    <sheet name="CT PTDT toan tinh" sheetId="24" state="hidden" r:id="rId13"/>
    <sheet name="CT PT cho 01 DT " sheetId="25" state="hidden" r:id="rId14"/>
    <sheet name="QHCT 1-200" sheetId="11" state="hidden" r:id="rId15"/>
    <sheet name="Quy che QLKT đô thị" sheetId="27" state="hidden" r:id="rId16"/>
    <sheet name="Tong hop" sheetId="29" r:id="rId17"/>
  </sheets>
  <externalReferences>
    <externalReference r:id="rId18"/>
    <externalReference r:id="rId19"/>
  </externalReferences>
  <definedNames>
    <definedName name="_xlnm.Print_Area" localSheetId="1">'QH Vung'!$A$1:$G$59</definedName>
    <definedName name="_xlnm.Print_Area" localSheetId="2">'QHC- ĐT'!$A$1:$G$60</definedName>
    <definedName name="_xlnm.Print_Area" localSheetId="10">'QHC- xa'!$A$1:$G$59</definedName>
    <definedName name="_xlnm.Print_Area" localSheetId="4">'QHCT pa1'!$A$2:$G$61</definedName>
    <definedName name="_xlnm.Print_Area" localSheetId="6">'QHCT pa2'!$A:$G</definedName>
  </definedNames>
  <calcPr calcId="179021"/>
</workbook>
</file>

<file path=xl/calcChain.xml><?xml version="1.0" encoding="utf-8"?>
<calcChain xmlns="http://schemas.openxmlformats.org/spreadsheetml/2006/main">
  <c r="P146" i="30" l="1"/>
  <c r="P145" i="30"/>
  <c r="P143" i="30"/>
  <c r="P142" i="30"/>
  <c r="P141" i="30"/>
  <c r="P140" i="30"/>
  <c r="P139" i="30"/>
  <c r="P138" i="30"/>
  <c r="P137" i="30"/>
  <c r="P136" i="30"/>
  <c r="P135" i="30"/>
  <c r="P134" i="30"/>
  <c r="P133" i="30"/>
  <c r="P132" i="30"/>
  <c r="P131" i="30"/>
  <c r="P129" i="30"/>
  <c r="P124" i="30"/>
  <c r="Q116" i="30"/>
  <c r="W105" i="30"/>
  <c r="V105" i="30"/>
  <c r="S97" i="30"/>
  <c r="M48" i="30"/>
  <c r="J45" i="30"/>
  <c r="J47" i="30" s="1"/>
  <c r="I31" i="30"/>
  <c r="D25" i="30"/>
  <c r="E25" i="30" s="1"/>
  <c r="D24" i="30"/>
  <c r="E24" i="30" s="1"/>
  <c r="E22" i="30" s="1"/>
  <c r="D23" i="30"/>
  <c r="D21" i="30" s="1"/>
  <c r="D14" i="30"/>
  <c r="C14" i="30"/>
  <c r="C14" i="6"/>
  <c r="L5" i="27" a="1"/>
  <c r="L5" i="27" s="1"/>
  <c r="J9" i="27" s="1"/>
  <c r="C6" i="27" s="1"/>
  <c r="D5" i="27"/>
  <c r="E5" i="27" s="1"/>
  <c r="C10" i="27" l="1"/>
  <c r="D6" i="27"/>
  <c r="E6" i="27" s="1"/>
  <c r="C4" i="27"/>
  <c r="D22" i="30"/>
  <c r="D20" i="30" s="1"/>
  <c r="C27" i="30" s="1"/>
  <c r="C32" i="30" s="1"/>
  <c r="E32" i="30" s="1"/>
  <c r="E23" i="30"/>
  <c r="E21" i="30" s="1"/>
  <c r="E20" i="30" s="1"/>
  <c r="C26" i="30" s="1"/>
  <c r="C31" i="30" s="1"/>
  <c r="E31" i="30" s="1"/>
  <c r="D4" i="27"/>
  <c r="E4" i="27" s="1"/>
  <c r="C8" i="27"/>
  <c r="C9" i="27"/>
  <c r="D9" i="27" s="1"/>
  <c r="E9" i="27" s="1"/>
  <c r="D8" i="27"/>
  <c r="D10" i="27"/>
  <c r="E10" i="27" s="1"/>
  <c r="F31" i="30" l="1"/>
  <c r="C35" i="30"/>
  <c r="E35" i="30" s="1"/>
  <c r="G35" i="30" s="1"/>
  <c r="F25" i="30"/>
  <c r="F32" i="30"/>
  <c r="G32" i="30" s="1"/>
  <c r="C36" i="30"/>
  <c r="C33" i="30"/>
  <c r="E33" i="30" s="1"/>
  <c r="F33" i="30" s="1"/>
  <c r="G33" i="30" s="1"/>
  <c r="D7" i="27"/>
  <c r="C7" i="27"/>
  <c r="E8" i="27"/>
  <c r="E7" i="27" s="1"/>
  <c r="E11" i="27" s="1"/>
  <c r="F34" i="30" l="1"/>
  <c r="G31" i="30"/>
  <c r="C37" i="30"/>
  <c r="C38" i="30" s="1"/>
  <c r="C39" i="30" s="1"/>
  <c r="E39" i="30" s="1"/>
  <c r="E36" i="30"/>
  <c r="I33" i="30"/>
  <c r="L41" i="30"/>
  <c r="C41" i="30"/>
  <c r="I34" i="30"/>
  <c r="J27" i="30"/>
  <c r="F24" i="30"/>
  <c r="G25" i="30"/>
  <c r="F23" i="30"/>
  <c r="G24" i="30" l="1"/>
  <c r="G22" i="30" s="1"/>
  <c r="F22" i="30"/>
  <c r="F39" i="30"/>
  <c r="G39" i="30"/>
  <c r="F36" i="30"/>
  <c r="G36" i="30" s="1"/>
  <c r="H28" i="30" s="1"/>
  <c r="F21" i="30"/>
  <c r="F20" i="30" s="1"/>
  <c r="D37" i="30" s="1"/>
  <c r="E37" i="30" s="1"/>
  <c r="G37" i="30" s="1"/>
  <c r="G23" i="30"/>
  <c r="G21" i="30" s="1"/>
  <c r="G20" i="30" s="1"/>
  <c r="D38" i="30" s="1"/>
  <c r="E38" i="30" s="1"/>
  <c r="G38" i="30" s="1"/>
  <c r="L78" i="30"/>
  <c r="C42" i="30"/>
  <c r="C43" i="30" s="1"/>
  <c r="J38" i="30"/>
  <c r="L34" i="30"/>
  <c r="J35" i="30"/>
  <c r="J31" i="30"/>
  <c r="G34" i="30"/>
  <c r="H30" i="30" l="1"/>
  <c r="H33" i="30" s="1"/>
  <c r="C44" i="30"/>
  <c r="E44" i="30" s="1"/>
  <c r="E43" i="30"/>
  <c r="L77" i="30"/>
  <c r="L75" i="30" s="1"/>
  <c r="L76" i="30"/>
  <c r="L74" i="30" s="1"/>
  <c r="L73" i="30" s="1"/>
  <c r="D42" i="30" l="1"/>
  <c r="E42" i="30" s="1"/>
  <c r="D41" i="30"/>
  <c r="E41" i="30" s="1"/>
  <c r="F44" i="30"/>
  <c r="G44" i="30" s="1"/>
  <c r="F43" i="30"/>
  <c r="G43" i="30" s="1"/>
  <c r="F41" i="30" l="1"/>
  <c r="G41" i="30" s="1"/>
  <c r="F42" i="30"/>
  <c r="G42" i="30" s="1"/>
  <c r="G40" i="30" l="1"/>
  <c r="G45" i="30" s="1"/>
  <c r="G46" i="30" s="1"/>
  <c r="J15" i="30" s="1"/>
  <c r="J49" i="30" l="1"/>
  <c r="Q101" i="30"/>
  <c r="Q121" i="30"/>
  <c r="R101" i="30"/>
  <c r="Q109" i="30"/>
  <c r="R109" i="30" s="1"/>
  <c r="Q108" i="30"/>
  <c r="Q107" i="30"/>
  <c r="R107" i="30" s="1"/>
  <c r="Q115" i="30"/>
  <c r="R115" i="30" s="1"/>
  <c r="Q119" i="30"/>
  <c r="Q103" i="30" s="1"/>
  <c r="Q110" i="30"/>
  <c r="Q114" i="30"/>
  <c r="Q113" i="30"/>
  <c r="R113" i="30" s="1"/>
  <c r="Q105" i="30"/>
  <c r="Q112" i="30"/>
  <c r="R112" i="30" s="1"/>
  <c r="T122" i="30"/>
  <c r="Q111" i="30"/>
  <c r="Q106" i="30"/>
  <c r="R106" i="30" s="1"/>
  <c r="Q104" i="30"/>
  <c r="Q122" i="30"/>
  <c r="C4" i="29" l="1"/>
  <c r="R104" i="30"/>
  <c r="R111" i="30"/>
  <c r="S111" i="30" s="1"/>
  <c r="R105" i="30"/>
  <c r="S105" i="30"/>
  <c r="R114" i="30"/>
  <c r="S114" i="30" s="1"/>
  <c r="R110" i="30"/>
  <c r="Q118" i="30"/>
  <c r="R118" i="30" s="1"/>
  <c r="Q117" i="30"/>
  <c r="R117" i="30" s="1"/>
  <c r="T121" i="30"/>
  <c r="R108" i="30"/>
  <c r="S108" i="30" s="1"/>
  <c r="Q102" i="30" l="1"/>
  <c r="A47" i="30" s="1"/>
  <c r="S117" i="30"/>
  <c r="M16" i="20" l="1"/>
  <c r="L17" i="20" s="1"/>
  <c r="L18" i="20" s="1"/>
  <c r="C6" i="20" s="1"/>
  <c r="C14" i="15"/>
  <c r="D23" i="25" l="1"/>
  <c r="D22" i="25" s="1"/>
  <c r="D20" i="25" s="1"/>
  <c r="D23" i="24"/>
  <c r="D22" i="24" s="1"/>
  <c r="D26" i="22"/>
  <c r="E26" i="22" s="1"/>
  <c r="D25" i="15"/>
  <c r="D24" i="15" s="1"/>
  <c r="D22" i="15" s="1"/>
  <c r="D25" i="14"/>
  <c r="D26" i="7"/>
  <c r="D25" i="7" s="1"/>
  <c r="D25" i="6"/>
  <c r="D25" i="13"/>
  <c r="D27" i="20"/>
  <c r="D26" i="20" s="1"/>
  <c r="D27" i="2"/>
  <c r="D24" i="14" l="1"/>
  <c r="D24" i="22"/>
  <c r="D21" i="24"/>
  <c r="D21" i="25"/>
  <c r="D19" i="25" s="1"/>
  <c r="D25" i="22"/>
  <c r="D24" i="7"/>
  <c r="D23" i="15"/>
  <c r="D21" i="15" s="1"/>
  <c r="E24" i="15"/>
  <c r="E22" i="15" s="1"/>
  <c r="D23" i="14"/>
  <c r="D24" i="13"/>
  <c r="D25" i="20"/>
  <c r="E25" i="15"/>
  <c r="D18" i="25" l="1"/>
  <c r="D22" i="22"/>
  <c r="E24" i="22"/>
  <c r="E22" i="22" s="1"/>
  <c r="E25" i="22"/>
  <c r="E23" i="22" s="1"/>
  <c r="D23" i="22"/>
  <c r="E23" i="15"/>
  <c r="E21" i="15" s="1"/>
  <c r="D21" i="14"/>
  <c r="E24" i="14"/>
  <c r="E22" i="14" s="1"/>
  <c r="E25" i="14"/>
  <c r="E26" i="7"/>
  <c r="E21" i="22" l="1"/>
  <c r="D21" i="22"/>
  <c r="E20" i="15"/>
  <c r="D20" i="15"/>
  <c r="E25" i="7"/>
  <c r="E23" i="7" s="1"/>
  <c r="D22" i="7"/>
  <c r="D24" i="6"/>
  <c r="D22" i="14"/>
  <c r="D20" i="14" s="1"/>
  <c r="E23" i="14"/>
  <c r="E21" i="14" s="1"/>
  <c r="E20" i="14" s="1"/>
  <c r="E25" i="6"/>
  <c r="D23" i="6"/>
  <c r="E25" i="13"/>
  <c r="D23" i="7" l="1"/>
  <c r="D21" i="7" s="1"/>
  <c r="E24" i="7"/>
  <c r="E22" i="7" s="1"/>
  <c r="E21" i="7" s="1"/>
  <c r="E24" i="6"/>
  <c r="E22" i="6" s="1"/>
  <c r="D22" i="6"/>
  <c r="E23" i="6"/>
  <c r="E21" i="6" s="1"/>
  <c r="D21" i="6"/>
  <c r="D23" i="13"/>
  <c r="E20" i="6" l="1"/>
  <c r="D20" i="6"/>
  <c r="D21" i="13"/>
  <c r="E23" i="13"/>
  <c r="D22" i="13"/>
  <c r="E24" i="13"/>
  <c r="E27" i="20"/>
  <c r="D20" i="13" l="1"/>
  <c r="D26" i="2"/>
  <c r="D24" i="2" s="1"/>
  <c r="D25" i="2" l="1"/>
  <c r="E26" i="2"/>
  <c r="E27" i="2"/>
  <c r="E25" i="20"/>
  <c r="E23" i="20" s="1"/>
  <c r="D23" i="20"/>
  <c r="E26" i="20"/>
  <c r="E24" i="20" s="1"/>
  <c r="D24" i="20"/>
  <c r="E22" i="20" l="1"/>
  <c r="C28" i="20" s="1"/>
  <c r="C33" i="20" s="1"/>
  <c r="D22" i="20"/>
  <c r="D23" i="2"/>
  <c r="D22" i="2" s="1"/>
  <c r="E25" i="2"/>
  <c r="L75" i="20"/>
  <c r="G6" i="22"/>
  <c r="D32" i="22" s="1"/>
  <c r="D33" i="22" s="1"/>
  <c r="F6" i="2"/>
  <c r="D33" i="2" s="1"/>
  <c r="D34" i="2" s="1"/>
  <c r="I30" i="23"/>
  <c r="G5" i="7"/>
  <c r="D32" i="7" s="1"/>
  <c r="D33" i="7" s="1"/>
  <c r="I31" i="14"/>
  <c r="I32" i="7"/>
  <c r="F7" i="20"/>
  <c r="L89" i="2"/>
  <c r="L90" i="2"/>
  <c r="K30" i="2"/>
  <c r="C13" i="26"/>
  <c r="C17" i="26" s="1"/>
  <c r="E17" i="26" s="1"/>
  <c r="P107" i="26"/>
  <c r="P106" i="26"/>
  <c r="Q105" i="26"/>
  <c r="P104" i="26"/>
  <c r="P103" i="26"/>
  <c r="P102" i="26"/>
  <c r="P101" i="26"/>
  <c r="P100" i="26"/>
  <c r="P99" i="26"/>
  <c r="P98" i="26"/>
  <c r="P97" i="26"/>
  <c r="P96" i="26"/>
  <c r="P95" i="26"/>
  <c r="W94" i="26"/>
  <c r="V94" i="26"/>
  <c r="P94" i="26"/>
  <c r="P93" i="26"/>
  <c r="P92" i="26"/>
  <c r="P90" i="26"/>
  <c r="S86" i="26"/>
  <c r="P85" i="26"/>
  <c r="M75" i="26"/>
  <c r="O75" i="26" s="1"/>
  <c r="C12" i="25"/>
  <c r="D24" i="25" s="1"/>
  <c r="P109" i="25"/>
  <c r="P108" i="25"/>
  <c r="Q107" i="25"/>
  <c r="P106" i="25"/>
  <c r="P105" i="25"/>
  <c r="P104" i="25"/>
  <c r="P103" i="25"/>
  <c r="P102" i="25"/>
  <c r="P101" i="25"/>
  <c r="P100" i="25"/>
  <c r="P99" i="25"/>
  <c r="P98" i="25"/>
  <c r="P97" i="25"/>
  <c r="W96" i="25"/>
  <c r="V96" i="25"/>
  <c r="P96" i="25"/>
  <c r="P95" i="25"/>
  <c r="P94" i="25"/>
  <c r="P92" i="25"/>
  <c r="S88" i="25"/>
  <c r="P87" i="25"/>
  <c r="M77" i="25"/>
  <c r="O77" i="25" s="1"/>
  <c r="P109" i="24"/>
  <c r="P108" i="24"/>
  <c r="Q107" i="24"/>
  <c r="P106" i="24"/>
  <c r="P105" i="24"/>
  <c r="P104" i="24"/>
  <c r="P103" i="24"/>
  <c r="P102" i="24"/>
  <c r="P101" i="24"/>
  <c r="P100" i="24"/>
  <c r="P99" i="24"/>
  <c r="P98" i="24"/>
  <c r="P97" i="24"/>
  <c r="W96" i="24"/>
  <c r="V96" i="24"/>
  <c r="P96" i="24"/>
  <c r="P95" i="24"/>
  <c r="P94" i="24"/>
  <c r="P92" i="24"/>
  <c r="S88" i="24"/>
  <c r="P87" i="24"/>
  <c r="M77" i="24"/>
  <c r="O77" i="24" s="1"/>
  <c r="C12" i="24"/>
  <c r="D24" i="24" s="1"/>
  <c r="C24" i="25"/>
  <c r="F24" i="25" s="1"/>
  <c r="C27" i="25" s="1"/>
  <c r="E27" i="25" s="1"/>
  <c r="L39" i="2"/>
  <c r="K12" i="2"/>
  <c r="J33" i="20"/>
  <c r="J34" i="20" s="1"/>
  <c r="D24" i="23"/>
  <c r="P137" i="23"/>
  <c r="P136" i="23"/>
  <c r="Q135" i="23"/>
  <c r="P134" i="23"/>
  <c r="P133" i="23"/>
  <c r="P132" i="23"/>
  <c r="P131" i="23"/>
  <c r="P130" i="23"/>
  <c r="P129" i="23"/>
  <c r="P128" i="23"/>
  <c r="P127" i="23"/>
  <c r="P126" i="23"/>
  <c r="P125" i="23"/>
  <c r="W124" i="23"/>
  <c r="V124" i="23"/>
  <c r="P124" i="23"/>
  <c r="P123" i="23"/>
  <c r="P122" i="23"/>
  <c r="P120" i="23"/>
  <c r="S116" i="23"/>
  <c r="P115" i="23"/>
  <c r="M105" i="23"/>
  <c r="O105" i="23"/>
  <c r="D13" i="23"/>
  <c r="C13" i="23"/>
  <c r="P119" i="22"/>
  <c r="P118" i="22"/>
  <c r="Q117" i="22"/>
  <c r="P116" i="22"/>
  <c r="P115" i="22"/>
  <c r="P114" i="22"/>
  <c r="P113" i="22"/>
  <c r="P112" i="22"/>
  <c r="P111" i="22"/>
  <c r="P110" i="22"/>
  <c r="P109" i="22"/>
  <c r="P108" i="22"/>
  <c r="P107" i="22"/>
  <c r="W106" i="22"/>
  <c r="V106" i="22"/>
  <c r="P106" i="22"/>
  <c r="P105" i="22"/>
  <c r="P104" i="22"/>
  <c r="P102" i="22"/>
  <c r="S98" i="22"/>
  <c r="P97" i="22"/>
  <c r="D15" i="22"/>
  <c r="C15" i="22"/>
  <c r="L105" i="20"/>
  <c r="L104" i="20"/>
  <c r="M103" i="20"/>
  <c r="L102" i="20"/>
  <c r="L101" i="20"/>
  <c r="L100" i="20"/>
  <c r="L99" i="20"/>
  <c r="L98" i="20"/>
  <c r="L97" i="20"/>
  <c r="L96" i="20"/>
  <c r="L95" i="20"/>
  <c r="L94" i="20"/>
  <c r="L93" i="20"/>
  <c r="S92" i="20"/>
  <c r="R92" i="20"/>
  <c r="L92" i="20"/>
  <c r="L91" i="20"/>
  <c r="L90" i="20"/>
  <c r="L88" i="20"/>
  <c r="L83" i="20"/>
  <c r="D16" i="20"/>
  <c r="C16" i="20"/>
  <c r="L99" i="2"/>
  <c r="C16" i="2"/>
  <c r="J19" i="2"/>
  <c r="J39" i="2"/>
  <c r="M51" i="6"/>
  <c r="J45" i="6"/>
  <c r="J50" i="6" s="1"/>
  <c r="O23" i="14"/>
  <c r="J32" i="13"/>
  <c r="I31" i="6"/>
  <c r="P118" i="15"/>
  <c r="P117" i="15"/>
  <c r="Q116" i="15"/>
  <c r="P115" i="15"/>
  <c r="P114" i="15"/>
  <c r="P113" i="15"/>
  <c r="P112" i="15"/>
  <c r="P111" i="15"/>
  <c r="P110" i="15"/>
  <c r="P109" i="15"/>
  <c r="P108" i="15"/>
  <c r="P107" i="15"/>
  <c r="P106" i="15"/>
  <c r="W105" i="15"/>
  <c r="V105" i="15"/>
  <c r="P105" i="15"/>
  <c r="P104" i="15"/>
  <c r="P103" i="15"/>
  <c r="P101" i="15"/>
  <c r="S97" i="15"/>
  <c r="P96" i="15"/>
  <c r="M86" i="15"/>
  <c r="O86" i="15" s="1"/>
  <c r="D14" i="15"/>
  <c r="P119" i="14"/>
  <c r="P118" i="14"/>
  <c r="Q117" i="14"/>
  <c r="P116" i="14"/>
  <c r="P115" i="14"/>
  <c r="P114" i="14"/>
  <c r="P113" i="14"/>
  <c r="P112" i="14"/>
  <c r="P111" i="14"/>
  <c r="P110" i="14"/>
  <c r="P109" i="14"/>
  <c r="P108" i="14"/>
  <c r="P107" i="14"/>
  <c r="W106" i="14"/>
  <c r="V106" i="14"/>
  <c r="P106" i="14"/>
  <c r="P105" i="14"/>
  <c r="P104" i="14"/>
  <c r="P102" i="14"/>
  <c r="S98" i="14"/>
  <c r="P97" i="14"/>
  <c r="M87" i="14"/>
  <c r="O87" i="14" s="1"/>
  <c r="D14" i="14"/>
  <c r="C14" i="14"/>
  <c r="P126" i="13"/>
  <c r="P125" i="13"/>
  <c r="Q124" i="13"/>
  <c r="P123" i="13"/>
  <c r="P122" i="13"/>
  <c r="P121" i="13"/>
  <c r="P120" i="13"/>
  <c r="P119" i="13"/>
  <c r="P118" i="13"/>
  <c r="P117" i="13"/>
  <c r="P116" i="13"/>
  <c r="P115" i="13"/>
  <c r="P114" i="13"/>
  <c r="W113" i="13"/>
  <c r="V113" i="13"/>
  <c r="P113" i="13"/>
  <c r="P112" i="13"/>
  <c r="P111" i="13"/>
  <c r="P109" i="13"/>
  <c r="S105" i="13"/>
  <c r="P104" i="13"/>
  <c r="E21" i="13"/>
  <c r="D14" i="13"/>
  <c r="C14" i="13"/>
  <c r="Z102" i="2"/>
  <c r="M88" i="7"/>
  <c r="O88" i="7" s="1"/>
  <c r="W111" i="2"/>
  <c r="V111" i="2"/>
  <c r="P107" i="2"/>
  <c r="P102" i="2"/>
  <c r="C15" i="7"/>
  <c r="D15" i="7"/>
  <c r="P98" i="7"/>
  <c r="S99" i="7"/>
  <c r="P103" i="7"/>
  <c r="P105" i="7"/>
  <c r="P106" i="7"/>
  <c r="P107" i="7"/>
  <c r="V107" i="7"/>
  <c r="W107" i="7"/>
  <c r="P108" i="7"/>
  <c r="P109" i="7"/>
  <c r="P110" i="7"/>
  <c r="P111" i="7"/>
  <c r="P112" i="7"/>
  <c r="P113" i="7"/>
  <c r="P114" i="7"/>
  <c r="P115" i="7"/>
  <c r="P116" i="7"/>
  <c r="P117" i="7"/>
  <c r="Q118" i="7"/>
  <c r="P119" i="7"/>
  <c r="P120" i="7"/>
  <c r="D14" i="6"/>
  <c r="P127" i="6"/>
  <c r="S100" i="6"/>
  <c r="P132" i="6"/>
  <c r="P134" i="6"/>
  <c r="P135" i="6"/>
  <c r="P136" i="6"/>
  <c r="V108" i="6"/>
  <c r="W108" i="6"/>
  <c r="P137" i="6"/>
  <c r="P138" i="6"/>
  <c r="P139" i="6"/>
  <c r="P140" i="6"/>
  <c r="P141" i="6"/>
  <c r="P142" i="6"/>
  <c r="P143" i="6"/>
  <c r="P144" i="6"/>
  <c r="P145" i="6"/>
  <c r="P146" i="6"/>
  <c r="Q119" i="6"/>
  <c r="P148" i="6"/>
  <c r="P149" i="6"/>
  <c r="C16" i="11"/>
  <c r="D28" i="11" s="1"/>
  <c r="D16" i="11"/>
  <c r="L61" i="11"/>
  <c r="L59" i="11" s="1"/>
  <c r="P94" i="11"/>
  <c r="S95" i="11"/>
  <c r="P99" i="11"/>
  <c r="P101" i="11"/>
  <c r="P102" i="11"/>
  <c r="P103" i="11"/>
  <c r="V103" i="11"/>
  <c r="W103" i="11"/>
  <c r="P104" i="11"/>
  <c r="P105" i="11"/>
  <c r="P106" i="11"/>
  <c r="P107" i="11"/>
  <c r="P108" i="11"/>
  <c r="P109" i="11"/>
  <c r="P110" i="11"/>
  <c r="P111" i="11"/>
  <c r="P112" i="11"/>
  <c r="P113" i="11"/>
  <c r="Q114" i="11"/>
  <c r="P115" i="11"/>
  <c r="P116" i="11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Q122" i="2"/>
  <c r="P123" i="2"/>
  <c r="P124" i="2"/>
  <c r="Q127" i="2"/>
  <c r="Q128" i="2"/>
  <c r="T128" i="2"/>
  <c r="T127" i="2" s="1"/>
  <c r="L60" i="11"/>
  <c r="D26" i="11" s="1"/>
  <c r="D27" i="11"/>
  <c r="C26" i="15"/>
  <c r="C31" i="15" s="1"/>
  <c r="E31" i="15" s="1"/>
  <c r="C27" i="15"/>
  <c r="C32" i="15" s="1"/>
  <c r="E32" i="15" s="1"/>
  <c r="C33" i="15" s="1"/>
  <c r="E33" i="15" s="1"/>
  <c r="F33" i="15" s="1"/>
  <c r="G33" i="15" s="1"/>
  <c r="C27" i="14"/>
  <c r="C32" i="14" s="1"/>
  <c r="C28" i="7"/>
  <c r="C33" i="7" s="1"/>
  <c r="C27" i="7"/>
  <c r="C32" i="7" s="1"/>
  <c r="C27" i="13"/>
  <c r="C32" i="13" s="1"/>
  <c r="E32" i="13" s="1"/>
  <c r="C27" i="6"/>
  <c r="C32" i="6" s="1"/>
  <c r="E32" i="6" s="1"/>
  <c r="C26" i="6"/>
  <c r="C31" i="6" s="1"/>
  <c r="E31" i="6" s="1"/>
  <c r="F31" i="6" s="1"/>
  <c r="C26" i="14"/>
  <c r="C31" i="14" s="1"/>
  <c r="E31" i="14" s="1"/>
  <c r="C35" i="14" s="1"/>
  <c r="E35" i="14" s="1"/>
  <c r="G35" i="14" s="1"/>
  <c r="F32" i="6" l="1"/>
  <c r="G32" i="6" s="1"/>
  <c r="L41" i="6" s="1"/>
  <c r="E34" i="6"/>
  <c r="L88" i="2"/>
  <c r="D25" i="11"/>
  <c r="L57" i="11"/>
  <c r="D23" i="11" s="1"/>
  <c r="L58" i="11"/>
  <c r="D24" i="11" s="1"/>
  <c r="E32" i="7"/>
  <c r="F32" i="7" s="1"/>
  <c r="G32" i="7" s="1"/>
  <c r="D23" i="23"/>
  <c r="D22" i="23"/>
  <c r="F17" i="26"/>
  <c r="G17" i="26" s="1"/>
  <c r="C19" i="26"/>
  <c r="F27" i="25"/>
  <c r="G27" i="25" s="1"/>
  <c r="C31" i="25"/>
  <c r="C28" i="25"/>
  <c r="E24" i="23"/>
  <c r="F25" i="15"/>
  <c r="F25" i="13"/>
  <c r="E22" i="13"/>
  <c r="Q123" i="2"/>
  <c r="R123" i="2" s="1"/>
  <c r="C36" i="14"/>
  <c r="E36" i="14" s="1"/>
  <c r="F36" i="14" s="1"/>
  <c r="G36" i="14" s="1"/>
  <c r="E32" i="14"/>
  <c r="F25" i="14" s="1"/>
  <c r="C37" i="14"/>
  <c r="C38" i="14"/>
  <c r="C39" i="14" s="1"/>
  <c r="E39" i="14" s="1"/>
  <c r="F39" i="14" s="1"/>
  <c r="G39" i="14" s="1"/>
  <c r="Q124" i="2"/>
  <c r="R124" i="2" s="1"/>
  <c r="L74" i="20"/>
  <c r="L72" i="20" s="1"/>
  <c r="L73" i="20"/>
  <c r="L71" i="20" s="1"/>
  <c r="E23" i="2"/>
  <c r="E24" i="2"/>
  <c r="F32" i="15"/>
  <c r="G32" i="15" s="1"/>
  <c r="C41" i="15" s="1"/>
  <c r="C36" i="15"/>
  <c r="C35" i="15"/>
  <c r="E35" i="15" s="1"/>
  <c r="G35" i="15" s="1"/>
  <c r="F31" i="15"/>
  <c r="F31" i="14"/>
  <c r="C39" i="7"/>
  <c r="C40" i="7" s="1"/>
  <c r="E40" i="7" s="1"/>
  <c r="E33" i="7"/>
  <c r="C37" i="7"/>
  <c r="E37" i="7" s="1"/>
  <c r="C38" i="7"/>
  <c r="C35" i="6"/>
  <c r="E35" i="6" s="1"/>
  <c r="G35" i="6" s="1"/>
  <c r="F25" i="6"/>
  <c r="C36" i="6"/>
  <c r="C33" i="6"/>
  <c r="E33" i="6" s="1"/>
  <c r="F32" i="13"/>
  <c r="G32" i="13" s="1"/>
  <c r="C36" i="13"/>
  <c r="C29" i="2"/>
  <c r="C34" i="2" s="1"/>
  <c r="E34" i="2" s="1"/>
  <c r="F33" i="6" l="1"/>
  <c r="G33" i="6" s="1"/>
  <c r="C41" i="6" s="1"/>
  <c r="L81" i="6" s="1"/>
  <c r="J27" i="6"/>
  <c r="I34" i="6"/>
  <c r="L56" i="11"/>
  <c r="D22" i="11" s="1"/>
  <c r="C28" i="11" s="1"/>
  <c r="F28" i="11" s="1"/>
  <c r="C32" i="11" s="1"/>
  <c r="E32" i="11" s="1"/>
  <c r="C33" i="11" s="1"/>
  <c r="C41" i="13"/>
  <c r="L71" i="13" s="1"/>
  <c r="G19" i="26"/>
  <c r="C20" i="26"/>
  <c r="E20" i="26" s="1"/>
  <c r="J17" i="26"/>
  <c r="C32" i="25"/>
  <c r="C33" i="25" s="1"/>
  <c r="L64" i="25"/>
  <c r="G28" i="25"/>
  <c r="C29" i="25"/>
  <c r="E29" i="25" s="1"/>
  <c r="J27" i="25"/>
  <c r="L73" i="15"/>
  <c r="C42" i="15"/>
  <c r="C43" i="15" s="1"/>
  <c r="E43" i="15" s="1"/>
  <c r="F43" i="15" s="1"/>
  <c r="G43" i="15" s="1"/>
  <c r="F23" i="15"/>
  <c r="F24" i="15"/>
  <c r="E22" i="23"/>
  <c r="E20" i="23" s="1"/>
  <c r="D20" i="23"/>
  <c r="E23" i="23"/>
  <c r="E21" i="23" s="1"/>
  <c r="D21" i="23"/>
  <c r="F27" i="22"/>
  <c r="C32" i="22" s="1"/>
  <c r="E32" i="22" s="1"/>
  <c r="F32" i="22" s="1"/>
  <c r="G32" i="22" s="1"/>
  <c r="J32" i="22" s="1"/>
  <c r="G25" i="15"/>
  <c r="G25" i="14"/>
  <c r="C33" i="14"/>
  <c r="E33" i="14" s="1"/>
  <c r="F33" i="14" s="1"/>
  <c r="G33" i="14" s="1"/>
  <c r="E20" i="13"/>
  <c r="C26" i="13" s="1"/>
  <c r="C31" i="13" s="1"/>
  <c r="E22" i="2"/>
  <c r="C28" i="2" s="1"/>
  <c r="C33" i="2" s="1"/>
  <c r="F26" i="7"/>
  <c r="F25" i="7" s="1"/>
  <c r="F24" i="6"/>
  <c r="F23" i="6"/>
  <c r="G25" i="13"/>
  <c r="F24" i="13"/>
  <c r="F23" i="13"/>
  <c r="F32" i="14"/>
  <c r="G32" i="14" s="1"/>
  <c r="C41" i="14" s="1"/>
  <c r="L70" i="20"/>
  <c r="C7" i="20" s="1"/>
  <c r="S123" i="2"/>
  <c r="F27" i="2"/>
  <c r="F34" i="2"/>
  <c r="G34" i="2" s="1"/>
  <c r="F34" i="15"/>
  <c r="G31" i="15"/>
  <c r="C37" i="15"/>
  <c r="C38" i="15" s="1"/>
  <c r="E36" i="15"/>
  <c r="G31" i="14"/>
  <c r="F33" i="7"/>
  <c r="C34" i="7"/>
  <c r="E34" i="7" s="1"/>
  <c r="F34" i="7" s="1"/>
  <c r="G34" i="7" s="1"/>
  <c r="C36" i="7"/>
  <c r="E36" i="7" s="1"/>
  <c r="G36" i="7" s="1"/>
  <c r="F40" i="7"/>
  <c r="G40" i="7" s="1"/>
  <c r="J32" i="7"/>
  <c r="F37" i="7"/>
  <c r="G37" i="7" s="1"/>
  <c r="G31" i="6"/>
  <c r="H35" i="6" s="1"/>
  <c r="C37" i="6"/>
  <c r="C38" i="6" s="1"/>
  <c r="C39" i="6" s="1"/>
  <c r="E39" i="6" s="1"/>
  <c r="F39" i="6" s="1"/>
  <c r="E36" i="6"/>
  <c r="F36" i="6" s="1"/>
  <c r="G25" i="6"/>
  <c r="C37" i="13"/>
  <c r="C38" i="13" s="1"/>
  <c r="C39" i="13" s="1"/>
  <c r="E39" i="13" s="1"/>
  <c r="E36" i="13"/>
  <c r="C38" i="2"/>
  <c r="C39" i="2" s="1"/>
  <c r="C40" i="2" s="1"/>
  <c r="E40" i="2" s="1"/>
  <c r="F40" i="2" s="1"/>
  <c r="G40" i="2" s="1"/>
  <c r="C35" i="2"/>
  <c r="E35" i="2" s="1"/>
  <c r="F35" i="2" s="1"/>
  <c r="M61" i="11" l="1"/>
  <c r="E27" i="11" s="1"/>
  <c r="F34" i="6"/>
  <c r="I33" i="6"/>
  <c r="J35" i="6" s="1"/>
  <c r="F32" i="11"/>
  <c r="F34" i="11" s="1"/>
  <c r="D33" i="20"/>
  <c r="C42" i="13"/>
  <c r="C43" i="13" s="1"/>
  <c r="E43" i="13" s="1"/>
  <c r="F43" i="13" s="1"/>
  <c r="G43" i="13" s="1"/>
  <c r="C36" i="11"/>
  <c r="C37" i="11"/>
  <c r="C38" i="11"/>
  <c r="E38" i="11" s="1"/>
  <c r="C23" i="26"/>
  <c r="C24" i="26" s="1"/>
  <c r="L62" i="26"/>
  <c r="F20" i="26"/>
  <c r="G20" i="26" s="1"/>
  <c r="G27" i="26" s="1"/>
  <c r="L63" i="25"/>
  <c r="L61" i="25" s="1"/>
  <c r="L62" i="25"/>
  <c r="L60" i="25" s="1"/>
  <c r="E33" i="25"/>
  <c r="C34" i="25"/>
  <c r="E34" i="25" s="1"/>
  <c r="F34" i="25" s="1"/>
  <c r="F29" i="25"/>
  <c r="G29" i="25" s="1"/>
  <c r="L71" i="15"/>
  <c r="L69" i="15" s="1"/>
  <c r="L72" i="15"/>
  <c r="L70" i="15" s="1"/>
  <c r="E19" i="23"/>
  <c r="C25" i="23" s="1"/>
  <c r="C30" i="23" s="1"/>
  <c r="E30" i="23" s="1"/>
  <c r="F30" i="23" s="1"/>
  <c r="G30" i="23" s="1"/>
  <c r="J30" i="23" s="1"/>
  <c r="D19" i="23"/>
  <c r="C26" i="23" s="1"/>
  <c r="F28" i="22"/>
  <c r="C33" i="22" s="1"/>
  <c r="E33" i="22" s="1"/>
  <c r="F26" i="22" s="1"/>
  <c r="G24" i="15"/>
  <c r="G22" i="15" s="1"/>
  <c r="F22" i="15"/>
  <c r="F21" i="15"/>
  <c r="G23" i="15"/>
  <c r="G21" i="15" s="1"/>
  <c r="F24" i="14"/>
  <c r="F22" i="14" s="1"/>
  <c r="F23" i="14"/>
  <c r="G23" i="14" s="1"/>
  <c r="G21" i="14" s="1"/>
  <c r="C42" i="14"/>
  <c r="C43" i="14" s="1"/>
  <c r="E43" i="14" s="1"/>
  <c r="L74" i="14"/>
  <c r="G26" i="7"/>
  <c r="F24" i="7"/>
  <c r="G24" i="7" s="1"/>
  <c r="G22" i="7" s="1"/>
  <c r="C35" i="13"/>
  <c r="E35" i="13" s="1"/>
  <c r="G35" i="13" s="1"/>
  <c r="E31" i="13"/>
  <c r="F31" i="13" s="1"/>
  <c r="G31" i="13" s="1"/>
  <c r="G34" i="13" s="1"/>
  <c r="C39" i="15"/>
  <c r="E39" i="15" s="1"/>
  <c r="F39" i="15" s="1"/>
  <c r="G39" i="15" s="1"/>
  <c r="L79" i="6"/>
  <c r="C42" i="6"/>
  <c r="C43" i="6" s="1"/>
  <c r="L80" i="6"/>
  <c r="L78" i="6" s="1"/>
  <c r="G23" i="6"/>
  <c r="G21" i="6" s="1"/>
  <c r="F21" i="6"/>
  <c r="G24" i="6"/>
  <c r="G22" i="6" s="1"/>
  <c r="F22" i="6"/>
  <c r="L69" i="13"/>
  <c r="L67" i="13" s="1"/>
  <c r="L70" i="13"/>
  <c r="L68" i="13" s="1"/>
  <c r="C44" i="14"/>
  <c r="E44" i="14" s="1"/>
  <c r="F44" i="14" s="1"/>
  <c r="G44" i="14" s="1"/>
  <c r="F34" i="14"/>
  <c r="C37" i="2"/>
  <c r="E37" i="2" s="1"/>
  <c r="G37" i="2" s="1"/>
  <c r="E33" i="2"/>
  <c r="F33" i="2" s="1"/>
  <c r="G33" i="2" s="1"/>
  <c r="F26" i="2"/>
  <c r="F25" i="2"/>
  <c r="F23" i="2" s="1"/>
  <c r="G27" i="2"/>
  <c r="G35" i="2"/>
  <c r="C42" i="2" s="1"/>
  <c r="C44" i="15"/>
  <c r="E44" i="15" s="1"/>
  <c r="F36" i="15"/>
  <c r="G36" i="15" s="1"/>
  <c r="J31" i="15"/>
  <c r="G34" i="15"/>
  <c r="J31" i="14"/>
  <c r="G34" i="14"/>
  <c r="G33" i="7"/>
  <c r="C42" i="7" s="1"/>
  <c r="L75" i="7" s="1"/>
  <c r="F35" i="7"/>
  <c r="G36" i="6"/>
  <c r="G39" i="6"/>
  <c r="J31" i="6"/>
  <c r="G34" i="6"/>
  <c r="F36" i="13"/>
  <c r="G36" i="13" s="1"/>
  <c r="F39" i="13"/>
  <c r="G39" i="13" s="1"/>
  <c r="C29" i="20"/>
  <c r="H28" i="6" l="1"/>
  <c r="H30" i="6" s="1"/>
  <c r="H33" i="6" s="1"/>
  <c r="O61" i="11"/>
  <c r="G27" i="11" s="1"/>
  <c r="M59" i="11"/>
  <c r="N61" i="11"/>
  <c r="F27" i="11" s="1"/>
  <c r="M60" i="11"/>
  <c r="O60" i="11" s="1"/>
  <c r="J38" i="6"/>
  <c r="L34" i="6"/>
  <c r="L68" i="15"/>
  <c r="G32" i="11"/>
  <c r="G34" i="11" s="1"/>
  <c r="D34" i="20"/>
  <c r="E33" i="20"/>
  <c r="F33" i="20" s="1"/>
  <c r="G33" i="20" s="1"/>
  <c r="C44" i="13"/>
  <c r="E44" i="13" s="1"/>
  <c r="F44" i="13" s="1"/>
  <c r="G44" i="13" s="1"/>
  <c r="L75" i="2"/>
  <c r="C43" i="2"/>
  <c r="C44" i="2" s="1"/>
  <c r="E44" i="2" s="1"/>
  <c r="F44" i="2" s="1"/>
  <c r="G44" i="2" s="1"/>
  <c r="E26" i="11"/>
  <c r="N60" i="11"/>
  <c r="M58" i="11"/>
  <c r="E24" i="11" s="1"/>
  <c r="M57" i="11"/>
  <c r="O59" i="11"/>
  <c r="N59" i="11"/>
  <c r="E25" i="11"/>
  <c r="G38" i="11"/>
  <c r="F38" i="11"/>
  <c r="F34" i="13"/>
  <c r="C43" i="7"/>
  <c r="C44" i="7" s="1"/>
  <c r="E24" i="26"/>
  <c r="C25" i="26"/>
  <c r="E25" i="26" s="1"/>
  <c r="L61" i="26"/>
  <c r="L59" i="26" s="1"/>
  <c r="L60" i="26"/>
  <c r="L58" i="26"/>
  <c r="L57" i="26"/>
  <c r="L59" i="25"/>
  <c r="D32" i="25" s="1"/>
  <c r="E32" i="25" s="1"/>
  <c r="G34" i="25"/>
  <c r="F33" i="25"/>
  <c r="G33" i="25" s="1"/>
  <c r="D42" i="15"/>
  <c r="E42" i="15" s="1"/>
  <c r="F42" i="15" s="1"/>
  <c r="G42" i="15" s="1"/>
  <c r="D41" i="15"/>
  <c r="E41" i="15" s="1"/>
  <c r="F41" i="15" s="1"/>
  <c r="G41" i="15" s="1"/>
  <c r="C31" i="23"/>
  <c r="E31" i="23" s="1"/>
  <c r="F24" i="23" s="1"/>
  <c r="F24" i="22"/>
  <c r="F25" i="22"/>
  <c r="G26" i="22"/>
  <c r="C34" i="22"/>
  <c r="F33" i="22"/>
  <c r="G33" i="22" s="1"/>
  <c r="G20" i="15"/>
  <c r="D38" i="15" s="1"/>
  <c r="E38" i="15" s="1"/>
  <c r="G38" i="15" s="1"/>
  <c r="F20" i="15"/>
  <c r="D37" i="15" s="1"/>
  <c r="E37" i="15" s="1"/>
  <c r="G37" i="15" s="1"/>
  <c r="F21" i="14"/>
  <c r="F20" i="14" s="1"/>
  <c r="D37" i="14" s="1"/>
  <c r="E37" i="14" s="1"/>
  <c r="G37" i="14" s="1"/>
  <c r="G24" i="14"/>
  <c r="G22" i="14" s="1"/>
  <c r="G20" i="14" s="1"/>
  <c r="D38" i="14" s="1"/>
  <c r="E38" i="14" s="1"/>
  <c r="G38" i="14" s="1"/>
  <c r="F43" i="14"/>
  <c r="G43" i="14" s="1"/>
  <c r="L72" i="14"/>
  <c r="L70" i="14" s="1"/>
  <c r="L73" i="14"/>
  <c r="L71" i="14" s="1"/>
  <c r="F22" i="7"/>
  <c r="G36" i="2"/>
  <c r="E44" i="7"/>
  <c r="F44" i="7" s="1"/>
  <c r="G44" i="7" s="1"/>
  <c r="C45" i="7"/>
  <c r="L73" i="7"/>
  <c r="L71" i="7" s="1"/>
  <c r="L74" i="7"/>
  <c r="L72" i="7" s="1"/>
  <c r="C44" i="6"/>
  <c r="E44" i="6" s="1"/>
  <c r="F44" i="6" s="1"/>
  <c r="E43" i="6"/>
  <c r="F43" i="6" s="1"/>
  <c r="L66" i="13"/>
  <c r="D41" i="13" s="1"/>
  <c r="E41" i="13" s="1"/>
  <c r="F41" i="13" s="1"/>
  <c r="G41" i="13" s="1"/>
  <c r="G23" i="13"/>
  <c r="G21" i="13" s="1"/>
  <c r="F21" i="13"/>
  <c r="G24" i="13"/>
  <c r="G22" i="13" s="1"/>
  <c r="F22" i="13"/>
  <c r="F36" i="2"/>
  <c r="G25" i="2"/>
  <c r="G23" i="2" s="1"/>
  <c r="F24" i="2"/>
  <c r="F22" i="2" s="1"/>
  <c r="D38" i="2" s="1"/>
  <c r="E38" i="2" s="1"/>
  <c r="G38" i="2" s="1"/>
  <c r="G26" i="2"/>
  <c r="G24" i="2" s="1"/>
  <c r="F44" i="15"/>
  <c r="G44" i="15" s="1"/>
  <c r="G35" i="7"/>
  <c r="F20" i="6"/>
  <c r="D37" i="6" s="1"/>
  <c r="E37" i="6" s="1"/>
  <c r="G37" i="6" s="1"/>
  <c r="C34" i="20"/>
  <c r="G43" i="6" l="1"/>
  <c r="G44" i="6"/>
  <c r="E34" i="20"/>
  <c r="C35" i="20" s="1"/>
  <c r="E35" i="20" s="1"/>
  <c r="C37" i="20"/>
  <c r="E37" i="20" s="1"/>
  <c r="G37" i="20" s="1"/>
  <c r="F25" i="26"/>
  <c r="G25" i="26" s="1"/>
  <c r="G25" i="11"/>
  <c r="O57" i="11"/>
  <c r="F26" i="11"/>
  <c r="N58" i="11"/>
  <c r="F24" i="11" s="1"/>
  <c r="M56" i="11"/>
  <c r="E23" i="11"/>
  <c r="O58" i="11"/>
  <c r="G24" i="11" s="1"/>
  <c r="G26" i="11"/>
  <c r="F25" i="11"/>
  <c r="N57" i="11"/>
  <c r="L73" i="2"/>
  <c r="L71" i="2" s="1"/>
  <c r="L74" i="2"/>
  <c r="L72" i="2" s="1"/>
  <c r="D23" i="26"/>
  <c r="E23" i="26" s="1"/>
  <c r="F23" i="26" s="1"/>
  <c r="G23" i="26" s="1"/>
  <c r="D22" i="26"/>
  <c r="E22" i="26" s="1"/>
  <c r="F22" i="26" s="1"/>
  <c r="G22" i="26" s="1"/>
  <c r="F24" i="26"/>
  <c r="G24" i="26" s="1"/>
  <c r="D31" i="25"/>
  <c r="E31" i="25" s="1"/>
  <c r="F31" i="25" s="1"/>
  <c r="G31" i="25" s="1"/>
  <c r="F32" i="25"/>
  <c r="G32" i="25" s="1"/>
  <c r="F22" i="23"/>
  <c r="F23" i="23"/>
  <c r="F31" i="23"/>
  <c r="C33" i="23"/>
  <c r="G25" i="22"/>
  <c r="G23" i="22" s="1"/>
  <c r="F23" i="22"/>
  <c r="F22" i="22"/>
  <c r="G24" i="22"/>
  <c r="G22" i="22" s="1"/>
  <c r="E34" i="22"/>
  <c r="C38" i="22"/>
  <c r="C37" i="22"/>
  <c r="E37" i="22" s="1"/>
  <c r="F37" i="22" s="1"/>
  <c r="G37" i="22" s="1"/>
  <c r="C39" i="22"/>
  <c r="C40" i="22"/>
  <c r="E40" i="22" s="1"/>
  <c r="F40" i="22" s="1"/>
  <c r="G40" i="22" s="1"/>
  <c r="L69" i="14"/>
  <c r="D42" i="14" s="1"/>
  <c r="E42" i="14" s="1"/>
  <c r="D42" i="13"/>
  <c r="E42" i="13" s="1"/>
  <c r="F42" i="13" s="1"/>
  <c r="G42" i="13" s="1"/>
  <c r="G40" i="13" s="1"/>
  <c r="L70" i="7"/>
  <c r="G40" i="15"/>
  <c r="G45" i="15" s="1"/>
  <c r="G46" i="15" s="1"/>
  <c r="Q101" i="15" s="1"/>
  <c r="T122" i="15" s="1"/>
  <c r="G22" i="2"/>
  <c r="C45" i="2"/>
  <c r="E45" i="2" s="1"/>
  <c r="E45" i="7"/>
  <c r="G20" i="6"/>
  <c r="D38" i="6" s="1"/>
  <c r="E38" i="6" s="1"/>
  <c r="G38" i="6" s="1"/>
  <c r="F20" i="13"/>
  <c r="D37" i="13" s="1"/>
  <c r="E37" i="13" s="1"/>
  <c r="G37" i="13" s="1"/>
  <c r="F27" i="20" l="1"/>
  <c r="F25" i="20" s="1"/>
  <c r="G25" i="20" s="1"/>
  <c r="G23" i="20" s="1"/>
  <c r="C38" i="20"/>
  <c r="L70" i="2"/>
  <c r="F34" i="20"/>
  <c r="G34" i="20" s="1"/>
  <c r="E22" i="11"/>
  <c r="D33" i="11"/>
  <c r="E33" i="11" s="1"/>
  <c r="O56" i="11"/>
  <c r="G23" i="11"/>
  <c r="D43" i="2"/>
  <c r="E43" i="2" s="1"/>
  <c r="F43" i="2" s="1"/>
  <c r="G43" i="2" s="1"/>
  <c r="D42" i="2"/>
  <c r="E42" i="2" s="1"/>
  <c r="F42" i="2" s="1"/>
  <c r="G42" i="2" s="1"/>
  <c r="F23" i="11"/>
  <c r="N56" i="11"/>
  <c r="G21" i="26"/>
  <c r="G28" i="26" s="1"/>
  <c r="G30" i="25"/>
  <c r="G36" i="25" s="1"/>
  <c r="G37" i="25" s="1"/>
  <c r="Q92" i="25" s="1"/>
  <c r="Q98" i="25" s="1"/>
  <c r="G31" i="23"/>
  <c r="F32" i="23"/>
  <c r="G24" i="23"/>
  <c r="C34" i="23"/>
  <c r="G33" i="23"/>
  <c r="F34" i="22"/>
  <c r="C36" i="22"/>
  <c r="E36" i="22" s="1"/>
  <c r="G36" i="22" s="1"/>
  <c r="D41" i="14"/>
  <c r="E41" i="14" s="1"/>
  <c r="F41" i="14" s="1"/>
  <c r="G41" i="14" s="1"/>
  <c r="F42" i="14"/>
  <c r="G42" i="14" s="1"/>
  <c r="Q105" i="15"/>
  <c r="R105" i="15" s="1"/>
  <c r="Q110" i="15"/>
  <c r="Q115" i="15"/>
  <c r="R115" i="15" s="1"/>
  <c r="Q104" i="15"/>
  <c r="Q113" i="15"/>
  <c r="R113" i="15" s="1"/>
  <c r="Q107" i="15"/>
  <c r="Q119" i="15"/>
  <c r="Q103" i="15" s="1"/>
  <c r="Q114" i="15"/>
  <c r="R114" i="15" s="1"/>
  <c r="Q106" i="15"/>
  <c r="R106" i="15" s="1"/>
  <c r="Q122" i="15"/>
  <c r="Q109" i="15"/>
  <c r="R109" i="15" s="1"/>
  <c r="Q112" i="15"/>
  <c r="R112" i="15" s="1"/>
  <c r="R101" i="15"/>
  <c r="Q108" i="15"/>
  <c r="R108" i="15" s="1"/>
  <c r="Q111" i="15"/>
  <c r="R111" i="15" s="1"/>
  <c r="Q121" i="15"/>
  <c r="D42" i="7"/>
  <c r="E42" i="7" s="1"/>
  <c r="F42" i="7" s="1"/>
  <c r="G42" i="7" s="1"/>
  <c r="D43" i="7"/>
  <c r="E43" i="7" s="1"/>
  <c r="F43" i="7" s="1"/>
  <c r="G43" i="7" s="1"/>
  <c r="F45" i="2"/>
  <c r="G45" i="2" s="1"/>
  <c r="D39" i="2"/>
  <c r="E39" i="2" s="1"/>
  <c r="G39" i="2" s="1"/>
  <c r="T121" i="15"/>
  <c r="Q117" i="15"/>
  <c r="R117" i="15" s="1"/>
  <c r="Q118" i="15"/>
  <c r="R118" i="15" s="1"/>
  <c r="F45" i="7"/>
  <c r="G45" i="7" s="1"/>
  <c r="G20" i="13"/>
  <c r="D38" i="13" s="1"/>
  <c r="E38" i="13" s="1"/>
  <c r="G38" i="13" s="1"/>
  <c r="G45" i="13" s="1"/>
  <c r="G46" i="13" s="1"/>
  <c r="Q109" i="13" s="1"/>
  <c r="F35" i="20"/>
  <c r="C39" i="20"/>
  <c r="E38" i="20"/>
  <c r="Q90" i="26" l="1"/>
  <c r="Q110" i="26" s="1"/>
  <c r="F26" i="20"/>
  <c r="F24" i="20" s="1"/>
  <c r="G27" i="20"/>
  <c r="F23" i="20"/>
  <c r="Q102" i="25"/>
  <c r="R102" i="25" s="1"/>
  <c r="Q113" i="25"/>
  <c r="Q105" i="25"/>
  <c r="R105" i="25" s="1"/>
  <c r="Q103" i="25"/>
  <c r="R103" i="25" s="1"/>
  <c r="F36" i="20"/>
  <c r="F22" i="11"/>
  <c r="D36" i="11"/>
  <c r="G36" i="11" s="1"/>
  <c r="D37" i="11"/>
  <c r="G37" i="11" s="1"/>
  <c r="G22" i="11"/>
  <c r="C35" i="11"/>
  <c r="G35" i="11" s="1"/>
  <c r="G39" i="11" s="1"/>
  <c r="G40" i="11" s="1"/>
  <c r="Q99" i="11" s="1"/>
  <c r="F33" i="11"/>
  <c r="G33" i="11" s="1"/>
  <c r="Q100" i="26"/>
  <c r="R100" i="26" s="1"/>
  <c r="T111" i="26"/>
  <c r="Q98" i="26"/>
  <c r="R98" i="26" s="1"/>
  <c r="Q103" i="26"/>
  <c r="R103" i="26" s="1"/>
  <c r="Q96" i="26"/>
  <c r="Q111" i="26"/>
  <c r="Q95" i="26"/>
  <c r="R95" i="26" s="1"/>
  <c r="Q104" i="26"/>
  <c r="R104" i="26" s="1"/>
  <c r="Q99" i="26"/>
  <c r="R90" i="26"/>
  <c r="Q101" i="26"/>
  <c r="R101" i="26" s="1"/>
  <c r="Q94" i="26"/>
  <c r="R94" i="26" s="1"/>
  <c r="S94" i="26" s="1"/>
  <c r="Q102" i="26"/>
  <c r="R102" i="26" s="1"/>
  <c r="Q97" i="26"/>
  <c r="R97" i="26" s="1"/>
  <c r="Q108" i="26"/>
  <c r="Q92" i="26" s="1"/>
  <c r="Q93" i="26"/>
  <c r="Q106" i="25"/>
  <c r="R106" i="25" s="1"/>
  <c r="Q95" i="25"/>
  <c r="Q110" i="25"/>
  <c r="Q94" i="25" s="1"/>
  <c r="Q112" i="25"/>
  <c r="Q104" i="25"/>
  <c r="R104" i="25" s="1"/>
  <c r="Q100" i="25"/>
  <c r="R100" i="25" s="1"/>
  <c r="R92" i="25"/>
  <c r="T113" i="25"/>
  <c r="Q101" i="25"/>
  <c r="Q96" i="25"/>
  <c r="R96" i="25" s="1"/>
  <c r="Q97" i="25"/>
  <c r="R97" i="25" s="1"/>
  <c r="Q99" i="25"/>
  <c r="R99" i="25" s="1"/>
  <c r="C39" i="23"/>
  <c r="C40" i="23" s="1"/>
  <c r="G32" i="23"/>
  <c r="C35" i="23"/>
  <c r="C36" i="23" s="1"/>
  <c r="C37" i="23" s="1"/>
  <c r="E37" i="23" s="1"/>
  <c r="F37" i="23" s="1"/>
  <c r="G37" i="23" s="1"/>
  <c r="E34" i="23"/>
  <c r="F34" i="23" s="1"/>
  <c r="G34" i="23" s="1"/>
  <c r="G23" i="23"/>
  <c r="G21" i="23" s="1"/>
  <c r="F21" i="23"/>
  <c r="G22" i="23"/>
  <c r="G20" i="23" s="1"/>
  <c r="F20" i="23"/>
  <c r="G21" i="22"/>
  <c r="D39" i="22" s="1"/>
  <c r="E39" i="22" s="1"/>
  <c r="G39" i="22" s="1"/>
  <c r="G34" i="22"/>
  <c r="C42" i="22" s="1"/>
  <c r="F35" i="22"/>
  <c r="F21" i="22"/>
  <c r="D38" i="22" s="1"/>
  <c r="E38" i="22" s="1"/>
  <c r="G38" i="22" s="1"/>
  <c r="G40" i="14"/>
  <c r="G45" i="14" s="1"/>
  <c r="G46" i="14" s="1"/>
  <c r="Q102" i="14" s="1"/>
  <c r="Q114" i="14" s="1"/>
  <c r="R114" i="14" s="1"/>
  <c r="S114" i="15"/>
  <c r="S111" i="15"/>
  <c r="S105" i="15"/>
  <c r="S108" i="15"/>
  <c r="R110" i="15"/>
  <c r="R104" i="15"/>
  <c r="R107" i="15"/>
  <c r="G41" i="2"/>
  <c r="G46" i="2" s="1"/>
  <c r="G47" i="2" s="1"/>
  <c r="Q107" i="2" s="1"/>
  <c r="Q111" i="2" s="1"/>
  <c r="R111" i="2" s="1"/>
  <c r="G41" i="7"/>
  <c r="S117" i="15"/>
  <c r="Q112" i="13"/>
  <c r="Q127" i="13"/>
  <c r="Q111" i="13" s="1"/>
  <c r="Q119" i="13"/>
  <c r="Q121" i="13"/>
  <c r="R121" i="13" s="1"/>
  <c r="Q123" i="13"/>
  <c r="R123" i="13" s="1"/>
  <c r="Q113" i="13"/>
  <c r="Q120" i="13"/>
  <c r="R120" i="13" s="1"/>
  <c r="R109" i="13"/>
  <c r="Q129" i="13"/>
  <c r="Q114" i="13"/>
  <c r="R114" i="13" s="1"/>
  <c r="Q117" i="13"/>
  <c r="R117" i="13" s="1"/>
  <c r="Q116" i="13"/>
  <c r="Q130" i="13"/>
  <c r="T130" i="13"/>
  <c r="Q115" i="13"/>
  <c r="Q122" i="13"/>
  <c r="Q118" i="13"/>
  <c r="G35" i="20"/>
  <c r="C43" i="20" s="1"/>
  <c r="C40" i="20"/>
  <c r="F38" i="20"/>
  <c r="G38" i="20" s="1"/>
  <c r="F22" i="20" l="1"/>
  <c r="D39" i="20" s="1"/>
  <c r="E39" i="20" s="1"/>
  <c r="G39" i="20" s="1"/>
  <c r="R101" i="25"/>
  <c r="S97" i="26"/>
  <c r="R93" i="26"/>
  <c r="G26" i="20"/>
  <c r="G24" i="20" s="1"/>
  <c r="S102" i="25"/>
  <c r="M75" i="20"/>
  <c r="C44" i="20"/>
  <c r="C45" i="20" s="1"/>
  <c r="R96" i="26"/>
  <c r="S100" i="26"/>
  <c r="R99" i="11"/>
  <c r="Q104" i="11"/>
  <c r="R104" i="11" s="1"/>
  <c r="Q117" i="11"/>
  <c r="Q101" i="11" s="1"/>
  <c r="Q107" i="11"/>
  <c r="R107" i="11" s="1"/>
  <c r="Q112" i="11"/>
  <c r="Q111" i="11"/>
  <c r="R111" i="11" s="1"/>
  <c r="T120" i="11"/>
  <c r="Q100" i="11" s="1"/>
  <c r="A41" i="11" s="1"/>
  <c r="Q119" i="11"/>
  <c r="Q113" i="11"/>
  <c r="R113" i="11" s="1"/>
  <c r="Q120" i="11"/>
  <c r="Q110" i="11"/>
  <c r="R110" i="11" s="1"/>
  <c r="Q105" i="11"/>
  <c r="Q102" i="11"/>
  <c r="Q108" i="11"/>
  <c r="Q106" i="11"/>
  <c r="Q109" i="11"/>
  <c r="Q103" i="11"/>
  <c r="R98" i="25"/>
  <c r="S103" i="26"/>
  <c r="R99" i="26"/>
  <c r="T110" i="26"/>
  <c r="Q106" i="26"/>
  <c r="R106" i="26" s="1"/>
  <c r="Q107" i="26"/>
  <c r="R107" i="26" s="1"/>
  <c r="S96" i="25"/>
  <c r="R95" i="25"/>
  <c r="S99" i="25"/>
  <c r="Q109" i="25"/>
  <c r="R109" i="25" s="1"/>
  <c r="T112" i="25"/>
  <c r="Q108" i="25"/>
  <c r="S105" i="25"/>
  <c r="C41" i="23"/>
  <c r="E41" i="23" s="1"/>
  <c r="F41" i="23" s="1"/>
  <c r="G41" i="23" s="1"/>
  <c r="L92" i="23"/>
  <c r="L89" i="22"/>
  <c r="C43" i="22"/>
  <c r="C44" i="22" s="1"/>
  <c r="E44" i="22" s="1"/>
  <c r="F19" i="23"/>
  <c r="D35" i="23" s="1"/>
  <c r="G35" i="23" s="1"/>
  <c r="G19" i="23"/>
  <c r="D36" i="23" s="1"/>
  <c r="G36" i="23" s="1"/>
  <c r="C42" i="23"/>
  <c r="E42" i="23" s="1"/>
  <c r="F42" i="23" s="1"/>
  <c r="G42" i="23" s="1"/>
  <c r="G35" i="22"/>
  <c r="Q105" i="14"/>
  <c r="Q123" i="14"/>
  <c r="R102" i="14"/>
  <c r="T123" i="14"/>
  <c r="Q118" i="14" s="1"/>
  <c r="R118" i="14" s="1"/>
  <c r="Q122" i="14"/>
  <c r="Q110" i="14"/>
  <c r="R110" i="14" s="1"/>
  <c r="Q120" i="14"/>
  <c r="Q104" i="14" s="1"/>
  <c r="Q111" i="14"/>
  <c r="Q116" i="14"/>
  <c r="R116" i="14" s="1"/>
  <c r="Q106" i="14"/>
  <c r="R106" i="14" s="1"/>
  <c r="Q108" i="14"/>
  <c r="Q115" i="14"/>
  <c r="Q109" i="14"/>
  <c r="R109" i="14" s="1"/>
  <c r="Q113" i="14"/>
  <c r="R113" i="14" s="1"/>
  <c r="Q112" i="14"/>
  <c r="R112" i="14" s="1"/>
  <c r="Q107" i="14"/>
  <c r="R107" i="14" s="1"/>
  <c r="Q102" i="15"/>
  <c r="A47" i="15" s="1"/>
  <c r="R112" i="13"/>
  <c r="R115" i="13"/>
  <c r="Q112" i="2"/>
  <c r="R112" i="2" s="1"/>
  <c r="Q116" i="2"/>
  <c r="Q114" i="2"/>
  <c r="R114" i="2" s="1"/>
  <c r="R107" i="2"/>
  <c r="Q113" i="2"/>
  <c r="Q118" i="2"/>
  <c r="R118" i="2" s="1"/>
  <c r="Q110" i="2"/>
  <c r="Q119" i="2"/>
  <c r="R119" i="2" s="1"/>
  <c r="Q115" i="2"/>
  <c r="R115" i="2" s="1"/>
  <c r="Q121" i="2"/>
  <c r="R121" i="2" s="1"/>
  <c r="Q120" i="2"/>
  <c r="R120" i="2" s="1"/>
  <c r="Q117" i="2"/>
  <c r="R117" i="2" s="1"/>
  <c r="Q125" i="2"/>
  <c r="Q109" i="2" s="1"/>
  <c r="R116" i="13"/>
  <c r="S116" i="13" s="1"/>
  <c r="Q126" i="13"/>
  <c r="R126" i="13" s="1"/>
  <c r="Q125" i="13"/>
  <c r="R125" i="13" s="1"/>
  <c r="T129" i="13"/>
  <c r="R118" i="13"/>
  <c r="R119" i="13"/>
  <c r="S119" i="13" s="1"/>
  <c r="R122" i="13"/>
  <c r="S122" i="13" s="1"/>
  <c r="S113" i="13"/>
  <c r="R113" i="13"/>
  <c r="G36" i="20"/>
  <c r="G22" i="20"/>
  <c r="D40" i="20" s="1"/>
  <c r="E40" i="20" s="1"/>
  <c r="G40" i="20" s="1"/>
  <c r="C41" i="20"/>
  <c r="E41" i="20" s="1"/>
  <c r="S109" i="14" l="1"/>
  <c r="Q119" i="14"/>
  <c r="R119" i="14" s="1"/>
  <c r="R108" i="11"/>
  <c r="Q93" i="25"/>
  <c r="A38" i="25" s="1"/>
  <c r="Q91" i="26"/>
  <c r="A29" i="26" s="1"/>
  <c r="Q116" i="11"/>
  <c r="R116" i="11" s="1"/>
  <c r="T119" i="11"/>
  <c r="Q115" i="11"/>
  <c r="R115" i="11" s="1"/>
  <c r="S115" i="11"/>
  <c r="S103" i="11"/>
  <c r="R103" i="11"/>
  <c r="S109" i="11"/>
  <c r="R109" i="11"/>
  <c r="R102" i="11"/>
  <c r="E45" i="20"/>
  <c r="F45" i="20" s="1"/>
  <c r="G45" i="20" s="1"/>
  <c r="C46" i="20"/>
  <c r="E46" i="20" s="1"/>
  <c r="F46" i="20" s="1"/>
  <c r="G46" i="20" s="1"/>
  <c r="S106" i="11"/>
  <c r="R106" i="11"/>
  <c r="R105" i="11"/>
  <c r="R112" i="11"/>
  <c r="S112" i="11"/>
  <c r="M73" i="20"/>
  <c r="M71" i="20" s="1"/>
  <c r="M74" i="20"/>
  <c r="M72" i="20" s="1"/>
  <c r="R108" i="14"/>
  <c r="S106" i="26"/>
  <c r="R108" i="25"/>
  <c r="S108" i="25" s="1"/>
  <c r="L90" i="23"/>
  <c r="L91" i="23"/>
  <c r="L89" i="23" s="1"/>
  <c r="L88" i="23"/>
  <c r="L87" i="23"/>
  <c r="F44" i="22"/>
  <c r="G44" i="22" s="1"/>
  <c r="L87" i="22"/>
  <c r="L84" i="22"/>
  <c r="L88" i="22"/>
  <c r="L85" i="22"/>
  <c r="C45" i="22"/>
  <c r="E45" i="22" s="1"/>
  <c r="F45" i="22" s="1"/>
  <c r="G45" i="22" s="1"/>
  <c r="S118" i="14"/>
  <c r="R111" i="14"/>
  <c r="T122" i="14"/>
  <c r="S106" i="14"/>
  <c r="R115" i="14"/>
  <c r="S115" i="14" s="1"/>
  <c r="S112" i="14"/>
  <c r="R105" i="14"/>
  <c r="S114" i="2"/>
  <c r="S111" i="2"/>
  <c r="R110" i="2"/>
  <c r="S117" i="2"/>
  <c r="R116" i="2"/>
  <c r="R113" i="2"/>
  <c r="S120" i="2"/>
  <c r="Q110" i="13"/>
  <c r="A47" i="13" s="1"/>
  <c r="S125" i="13"/>
  <c r="F41" i="20"/>
  <c r="G41" i="20" s="1"/>
  <c r="M70" i="20" l="1"/>
  <c r="D40" i="23"/>
  <c r="E40" i="23" s="1"/>
  <c r="D39" i="23"/>
  <c r="E39" i="23" s="1"/>
  <c r="F39" i="23" s="1"/>
  <c r="G39" i="23" s="1"/>
  <c r="D43" i="22"/>
  <c r="E43" i="22" s="1"/>
  <c r="D42" i="22"/>
  <c r="E42" i="22" s="1"/>
  <c r="F42" i="22" s="1"/>
  <c r="G42" i="22" s="1"/>
  <c r="Q103" i="14"/>
  <c r="A47" i="14" s="1"/>
  <c r="Q108" i="2"/>
  <c r="A48" i="2" s="1"/>
  <c r="D43" i="20" l="1"/>
  <c r="E43" i="20" s="1"/>
  <c r="F43" i="20" s="1"/>
  <c r="G43" i="20" s="1"/>
  <c r="D44" i="20"/>
  <c r="E44" i="20" s="1"/>
  <c r="F44" i="20" s="1"/>
  <c r="G44" i="20" s="1"/>
  <c r="F40" i="23"/>
  <c r="G40" i="23" s="1"/>
  <c r="G38" i="23" s="1"/>
  <c r="G44" i="23" s="1"/>
  <c r="G45" i="23" s="1"/>
  <c r="Q120" i="23" s="1"/>
  <c r="F43" i="22"/>
  <c r="G43" i="22" s="1"/>
  <c r="G41" i="22" s="1"/>
  <c r="G47" i="22" s="1"/>
  <c r="G48" i="22" s="1"/>
  <c r="Q102" i="22" s="1"/>
  <c r="G42" i="20" l="1"/>
  <c r="G48" i="20" s="1"/>
  <c r="G49" i="20" s="1"/>
  <c r="M88" i="20" s="1"/>
  <c r="M98" i="20" s="1"/>
  <c r="N98" i="20" s="1"/>
  <c r="Q128" i="23"/>
  <c r="R128" i="23" s="1"/>
  <c r="Q138" i="23"/>
  <c r="Q122" i="23" s="1"/>
  <c r="Q140" i="23"/>
  <c r="Q129" i="23"/>
  <c r="R120" i="23"/>
  <c r="Q131" i="23"/>
  <c r="R131" i="23" s="1"/>
  <c r="Q130" i="23"/>
  <c r="R130" i="23" s="1"/>
  <c r="Q123" i="23"/>
  <c r="Q141" i="23"/>
  <c r="Q126" i="23"/>
  <c r="Q134" i="23"/>
  <c r="R134" i="23" s="1"/>
  <c r="Q127" i="23"/>
  <c r="T141" i="23"/>
  <c r="Q133" i="23"/>
  <c r="Q132" i="23"/>
  <c r="R132" i="23" s="1"/>
  <c r="Q125" i="23"/>
  <c r="R125" i="23" s="1"/>
  <c r="Q124" i="23"/>
  <c r="R124" i="23" s="1"/>
  <c r="Q123" i="22"/>
  <c r="Q107" i="22"/>
  <c r="R107" i="22" s="1"/>
  <c r="Q113" i="22"/>
  <c r="R113" i="22" s="1"/>
  <c r="Q105" i="22"/>
  <c r="Q108" i="22"/>
  <c r="R102" i="22"/>
  <c r="Q109" i="22"/>
  <c r="R109" i="22" s="1"/>
  <c r="Q112" i="22"/>
  <c r="R112" i="22" s="1"/>
  <c r="Q110" i="22"/>
  <c r="R110" i="22" s="1"/>
  <c r="Q114" i="22"/>
  <c r="R114" i="22" s="1"/>
  <c r="Q116" i="22"/>
  <c r="R116" i="22" s="1"/>
  <c r="Q106" i="22"/>
  <c r="R106" i="22" s="1"/>
  <c r="Q115" i="22"/>
  <c r="R115" i="22" s="1"/>
  <c r="T123" i="22"/>
  <c r="Q118" i="22" s="1"/>
  <c r="R118" i="22" s="1"/>
  <c r="Q122" i="22"/>
  <c r="Q111" i="22"/>
  <c r="R111" i="22" s="1"/>
  <c r="Q120" i="22"/>
  <c r="Q104" i="22" s="1"/>
  <c r="S112" i="22" l="1"/>
  <c r="M93" i="20"/>
  <c r="N93" i="20" s="1"/>
  <c r="M94" i="20"/>
  <c r="M97" i="20"/>
  <c r="M106" i="20"/>
  <c r="M90" i="20" s="1"/>
  <c r="M99" i="20"/>
  <c r="N99" i="20" s="1"/>
  <c r="M96" i="20"/>
  <c r="N96" i="20" s="1"/>
  <c r="M91" i="20"/>
  <c r="M108" i="20"/>
  <c r="M101" i="20"/>
  <c r="N101" i="20" s="1"/>
  <c r="P109" i="20"/>
  <c r="M95" i="20"/>
  <c r="M102" i="20"/>
  <c r="N102" i="20" s="1"/>
  <c r="M92" i="20"/>
  <c r="N92" i="20" s="1"/>
  <c r="M109" i="20"/>
  <c r="N88" i="20"/>
  <c r="M100" i="20"/>
  <c r="N100" i="20" s="1"/>
  <c r="S109" i="22"/>
  <c r="R129" i="23"/>
  <c r="S106" i="22"/>
  <c r="S130" i="23"/>
  <c r="T122" i="22"/>
  <c r="Q119" i="22"/>
  <c r="R119" i="22" s="1"/>
  <c r="R108" i="22"/>
  <c r="R127" i="23"/>
  <c r="S127" i="23" s="1"/>
  <c r="R123" i="23"/>
  <c r="R133" i="23"/>
  <c r="S133" i="23" s="1"/>
  <c r="R126" i="23"/>
  <c r="S124" i="23"/>
  <c r="Q136" i="23"/>
  <c r="R136" i="23" s="1"/>
  <c r="T140" i="23"/>
  <c r="Q137" i="23"/>
  <c r="R137" i="23" s="1"/>
  <c r="S115" i="22"/>
  <c r="R105" i="22"/>
  <c r="S118" i="22"/>
  <c r="L77" i="6"/>
  <c r="L76" i="6" s="1"/>
  <c r="G25" i="7"/>
  <c r="G23" i="7" s="1"/>
  <c r="G21" i="7" s="1"/>
  <c r="D39" i="7" s="1"/>
  <c r="E39" i="7" s="1"/>
  <c r="G39" i="7" s="1"/>
  <c r="F23" i="7"/>
  <c r="F21" i="7" s="1"/>
  <c r="D38" i="7" s="1"/>
  <c r="E38" i="7" s="1"/>
  <c r="G38" i="7" s="1"/>
  <c r="Q103" i="22" l="1"/>
  <c r="A49" i="22" s="1"/>
  <c r="O92" i="20"/>
  <c r="N97" i="20"/>
  <c r="O101" i="20"/>
  <c r="O98" i="20"/>
  <c r="N95" i="20"/>
  <c r="O95" i="20" s="1"/>
  <c r="N94" i="20"/>
  <c r="N91" i="20"/>
  <c r="M105" i="20"/>
  <c r="N105" i="20" s="1"/>
  <c r="M104" i="20"/>
  <c r="P108" i="20"/>
  <c r="Q121" i="23"/>
  <c r="A46" i="23" s="1"/>
  <c r="S136" i="23"/>
  <c r="E42" i="6"/>
  <c r="F42" i="6" s="1"/>
  <c r="E41" i="6"/>
  <c r="G46" i="7"/>
  <c r="G47" i="7" s="1"/>
  <c r="Q103" i="7" s="1"/>
  <c r="F41" i="6" l="1"/>
  <c r="G41" i="6" s="1"/>
  <c r="E40" i="6"/>
  <c r="E46" i="6" s="1"/>
  <c r="G42" i="6"/>
  <c r="M89" i="20"/>
  <c r="A50" i="20" s="1"/>
  <c r="N104" i="20"/>
  <c r="O104" i="20" s="1"/>
  <c r="R103" i="7"/>
  <c r="Q113" i="7"/>
  <c r="Q111" i="7"/>
  <c r="R111" i="7" s="1"/>
  <c r="Q117" i="7"/>
  <c r="R117" i="7" s="1"/>
  <c r="Q123" i="7"/>
  <c r="Q112" i="7"/>
  <c r="Q115" i="7"/>
  <c r="R115" i="7" s="1"/>
  <c r="Q121" i="7"/>
  <c r="Q105" i="7" s="1"/>
  <c r="Q107" i="7"/>
  <c r="Q108" i="7"/>
  <c r="R108" i="7" s="1"/>
  <c r="Q124" i="7"/>
  <c r="Q116" i="7"/>
  <c r="Q110" i="7"/>
  <c r="Q114" i="7"/>
  <c r="R114" i="7" s="1"/>
  <c r="Q109" i="7"/>
  <c r="T124" i="7"/>
  <c r="Q106" i="7"/>
  <c r="F45" i="6" l="1"/>
  <c r="F46" i="6"/>
  <c r="G46" i="6" s="1"/>
  <c r="C47" i="6"/>
  <c r="E47" i="6" s="1"/>
  <c r="F47" i="6" s="1"/>
  <c r="G47" i="6" s="1"/>
  <c r="G48" i="6" s="1"/>
  <c r="G40" i="6"/>
  <c r="R106" i="7"/>
  <c r="R110" i="7"/>
  <c r="S110" i="7" s="1"/>
  <c r="S107" i="7"/>
  <c r="R107" i="7"/>
  <c r="R113" i="7"/>
  <c r="S113" i="7" s="1"/>
  <c r="Q120" i="7"/>
  <c r="R120" i="7" s="1"/>
  <c r="T123" i="7"/>
  <c r="Q119" i="7"/>
  <c r="R119" i="7" s="1"/>
  <c r="R116" i="7"/>
  <c r="S116" i="7" s="1"/>
  <c r="R112" i="7"/>
  <c r="R109" i="7"/>
  <c r="G45" i="6" l="1"/>
  <c r="S119" i="7"/>
  <c r="Q104" i="7"/>
  <c r="A48" i="7" s="1"/>
  <c r="C6" i="29" l="1"/>
  <c r="F7" i="29" s="1"/>
  <c r="C5" i="29" s="1"/>
  <c r="C7" i="29" s="1"/>
  <c r="Q104" i="6"/>
  <c r="Q108" i="6"/>
  <c r="R108" i="6" s="1"/>
  <c r="Q113" i="6"/>
  <c r="Q110" i="6"/>
  <c r="Q116" i="6"/>
  <c r="R116" i="6" s="1"/>
  <c r="Q111" i="6"/>
  <c r="Q107" i="6"/>
  <c r="R104" i="6"/>
  <c r="Q117" i="6"/>
  <c r="R117" i="6" s="1"/>
  <c r="T125" i="6"/>
  <c r="L86" i="22"/>
  <c r="D19" i="24"/>
  <c r="D18" i="24" s="1"/>
  <c r="C24" i="24" s="1"/>
  <c r="F24" i="24" s="1"/>
  <c r="C27" i="24" s="1"/>
  <c r="E27" i="24" s="1"/>
  <c r="D20" i="24"/>
  <c r="Q124" i="6" l="1"/>
  <c r="Q115" i="6"/>
  <c r="R115" i="6" s="1"/>
  <c r="Q118" i="6"/>
  <c r="R118" i="6" s="1"/>
  <c r="Q125" i="6"/>
  <c r="Q112" i="6"/>
  <c r="R112" i="6" s="1"/>
  <c r="Q114" i="6"/>
  <c r="R113" i="6" s="1"/>
  <c r="Q109" i="6"/>
  <c r="R109" i="6" s="1"/>
  <c r="Q122" i="6"/>
  <c r="Q106" i="6" s="1"/>
  <c r="R107" i="6"/>
  <c r="S117" i="6"/>
  <c r="R111" i="6"/>
  <c r="S111" i="6" s="1"/>
  <c r="T124" i="6"/>
  <c r="Q121" i="6"/>
  <c r="R121" i="6" s="1"/>
  <c r="Q120" i="6"/>
  <c r="R120" i="6" s="1"/>
  <c r="R110" i="6"/>
  <c r="F27" i="24"/>
  <c r="G27" i="24" s="1"/>
  <c r="C28" i="24"/>
  <c r="S108" i="6" l="1"/>
  <c r="R114" i="6"/>
  <c r="S114" i="6" s="1"/>
  <c r="S120" i="6"/>
  <c r="J27" i="24"/>
  <c r="C31" i="24"/>
  <c r="C32" i="24" s="1"/>
  <c r="C33" i="24" s="1"/>
  <c r="G28" i="24"/>
  <c r="C29" i="24"/>
  <c r="E29" i="24" s="1"/>
  <c r="Q105" i="6" l="1"/>
  <c r="A50" i="6" s="1"/>
  <c r="C34" i="24"/>
  <c r="E33" i="24"/>
  <c r="E34" i="24"/>
  <c r="L64" i="24"/>
  <c r="F29" i="24"/>
  <c r="G29" i="24" s="1"/>
  <c r="L62" i="24" l="1"/>
  <c r="L60" i="24" s="1"/>
  <c r="L63" i="24"/>
  <c r="L61" i="24" s="1"/>
  <c r="F33" i="24"/>
  <c r="G33" i="24" s="1"/>
  <c r="F34" i="24"/>
  <c r="G34" i="24" s="1"/>
  <c r="L59" i="24" l="1"/>
  <c r="D32" i="24" l="1"/>
  <c r="E32" i="24" s="1"/>
  <c r="F32" i="24" s="1"/>
  <c r="G32" i="24" s="1"/>
  <c r="D31" i="24"/>
  <c r="E31" i="24" s="1"/>
  <c r="F31" i="24" s="1"/>
  <c r="G31" i="24" s="1"/>
  <c r="G30" i="24" s="1"/>
  <c r="G36" i="24" s="1"/>
  <c r="G37" i="24" s="1"/>
  <c r="Q92" i="24" s="1"/>
  <c r="Q102" i="24" s="1"/>
  <c r="Q100" i="24" l="1"/>
  <c r="R100" i="24" s="1"/>
  <c r="Q97" i="24"/>
  <c r="R97" i="24" s="1"/>
  <c r="T113" i="24"/>
  <c r="T112" i="24" s="1"/>
  <c r="Q101" i="24"/>
  <c r="R92" i="24"/>
  <c r="Q104" i="24"/>
  <c r="R104" i="24" s="1"/>
  <c r="Q105" i="24"/>
  <c r="R105" i="24" s="1"/>
  <c r="Q106" i="24"/>
  <c r="R106" i="24" s="1"/>
  <c r="Q96" i="24"/>
  <c r="S96" i="24" s="1"/>
  <c r="Q112" i="24"/>
  <c r="Q103" i="24"/>
  <c r="R103" i="24" s="1"/>
  <c r="Q95" i="24"/>
  <c r="Q113" i="24"/>
  <c r="Q98" i="24"/>
  <c r="Q99" i="24"/>
  <c r="R99" i="24" s="1"/>
  <c r="S99" i="24" s="1"/>
  <c r="Q110" i="24"/>
  <c r="Q94" i="24" s="1"/>
  <c r="R102" i="24"/>
  <c r="R98" i="24"/>
  <c r="Q109" i="24" l="1"/>
  <c r="R109" i="24" s="1"/>
  <c r="R95" i="24"/>
  <c r="Q108" i="24"/>
  <c r="R108" i="24" s="1"/>
  <c r="R96" i="24"/>
  <c r="R101" i="24"/>
  <c r="S102" i="24"/>
  <c r="Q93" i="24"/>
  <c r="A38" i="24" s="1"/>
  <c r="S105" i="24"/>
  <c r="S108" i="24" l="1"/>
  <c r="J52" i="6" l="1"/>
  <c r="J15" i="6"/>
</calcChain>
</file>

<file path=xl/sharedStrings.xml><?xml version="1.0" encoding="utf-8"?>
<sst xmlns="http://schemas.openxmlformats.org/spreadsheetml/2006/main" count="2031" uniqueCount="398">
  <si>
    <t>Bảng số 1: Định mức chi phí lập đồ án, NV quy hoạch xây dựng vùng huyện, liên huyện:</t>
  </si>
  <si>
    <t>Vùng trong 1 huyện</t>
  </si>
  <si>
    <t>Quy m« (km2)</t>
  </si>
  <si>
    <t>§Þnh møc chi phÝ  lập ĐA QHV huyện (triÖu ®ång</t>
  </si>
  <si>
    <t>§Þnh møc chi phÝ  lập NV QHV huyện (triÖu ®ång)</t>
  </si>
  <si>
    <t>Vùng liên huyện</t>
  </si>
  <si>
    <t>Sè l­îng huyÖn thuéc vïng quy ho¹ch</t>
  </si>
  <si>
    <t>HÖ sè ®iÒu chØnh (K) ®èi víi vïng liªn huyÖn</t>
  </si>
  <si>
    <t>Bảng số 2: Định mức chi phí lập đồ án, NV quy hoạch chung đô thị</t>
  </si>
  <si>
    <t>Quy m«  (ha)</t>
  </si>
  <si>
    <t>§Þnh møc cho ĐA QH (triÖu ®ång)</t>
  </si>
  <si>
    <t>§Þnh møc cho NVQH (triÖu ®ång)</t>
  </si>
  <si>
    <t>Mật độ DS (người/km2)</t>
  </si>
  <si>
    <t>Hệ số theo mật độ dân số</t>
  </si>
  <si>
    <t>Bảng số 3: Định mức chi phí lập đồ án, NV quy hoạch phân khu đô thị 1/2000:</t>
  </si>
  <si>
    <t>Quy m« (ha)</t>
  </si>
  <si>
    <t>§Þnh møc cho NV QH (triÖu ®ång)</t>
  </si>
  <si>
    <t>B¶ng sè 4: §Þnh møc chi phÝ lËp ®å ¸n quy ho¹ch chi tiÕt ĐT 1/500:</t>
  </si>
  <si>
    <t>B¶ng sè 6: §Þnh møc chi phÝ quy ho¹ch chung x©y dùng khu chøc n¨ng:</t>
  </si>
  <si>
    <t>Bảng số 7: Định mức chi phí QHPK 1/2000 khu chức năng</t>
  </si>
  <si>
    <t xml:space="preserve">Bảng số 8: Định mức chi phí QHCT 1/500 khu có chức năng </t>
  </si>
  <si>
    <t>Bảng số 9: Định mức chi phí QHC XD xã</t>
  </si>
  <si>
    <t>Quy m« d©n sè (ngh×n ng­êi)</t>
  </si>
  <si>
    <t>B¶ng sè 10: §Þnh møc chi phÝ lËp QHCT XD ®iÓm d©n c­ trªn ®Þa bµn x·:</t>
  </si>
  <si>
    <t>B¶ng sè 11: §Þnh møc chi phÝ cho mét sè c«ng viÖc x¸c ®Þnh theo tû lÖ phÇn tr¨m cña chi phÝ lËp ®å ¸n quy ho¹ch :</t>
  </si>
  <si>
    <t xml:space="preserve">                                                                                                                                                                    </t>
  </si>
  <si>
    <t>TT</t>
  </si>
  <si>
    <t xml:space="preserve"> Chi phÝ lËp ®å ¸n quy /  ho¹ch (triÖu ®ång)/Néi dung c«ng viÖc</t>
  </si>
  <si>
    <t>ThÈm ®Þnh ®å ¸n quy ho¹ch (tû lÖ%)</t>
  </si>
  <si>
    <t>Qu¶n lý nghiÖp vô lËp ®å ¸n quy ho¹ch (tû lÖ%)</t>
  </si>
  <si>
    <t xml:space="preserve">B¶ng sè 12: §Þnh møc chi phÝ lµm m« h×nh quy ho¹ch </t>
  </si>
  <si>
    <t>Tû lÖ m« h×nh</t>
  </si>
  <si>
    <t>1/5.000</t>
  </si>
  <si>
    <t>1/2.000</t>
  </si>
  <si>
    <t>1/1.000</t>
  </si>
  <si>
    <t>1/500</t>
  </si>
  <si>
    <t>§Þnh møc chi phÝ (triÖu ®ång/m2)</t>
  </si>
  <si>
    <t>Bảng: Định mức chi phí lập HSMT; đánh giá HSDT</t>
  </si>
  <si>
    <t>Chi phí tư vấn (chưa có thuế GTGT) trong dự toán gói thầu tư vấn (tỷ đồng)</t>
  </si>
  <si>
    <t>Tỷ lệ %</t>
  </si>
  <si>
    <t>Bảng: Định mức chi phí thẩm tra, phê duyệt quyết toán; chi phí kiểm toán độc lập</t>
  </si>
  <si>
    <t>Tổng mức đầu tư (Tỷ đồng)</t>
  </si>
  <si>
    <t>Thẩm tra, phê duyệt (%)</t>
  </si>
  <si>
    <t>Kiểm toán (%)</t>
  </si>
  <si>
    <t>Bảng: Định mức chi phí lập chương trình phát triển đô thị toàn tỉnh</t>
  </si>
  <si>
    <t>Số lượng đơn vị hành chính cấp huyện</t>
  </si>
  <si>
    <t xml:space="preserve">Định mức chi phí
(triệu đồng/đơn vị hành chính cấp huyện )
</t>
  </si>
  <si>
    <t>Bảng: Định mức chi phí lập chương trình phát triển đô thị cho từng đô thị</t>
  </si>
  <si>
    <t>Quy mô dân số đô thị 
(nghìn người)</t>
  </si>
  <si>
    <t>Định mức chi phí
(triệu đồng/nghìn người)</t>
  </si>
  <si>
    <t>DỰ TOÁN THIẾT KẾ QUY HOẠCH</t>
  </si>
  <si>
    <t>Tên công trình:   QUY HOẠCH XÂY DỰNG VÙNG HUYỆN…..</t>
  </si>
  <si>
    <t>Quy mô :</t>
  </si>
  <si>
    <t>km2</t>
  </si>
  <si>
    <t>Tỷ lệ 1/</t>
  </si>
  <si>
    <t>Mật độ dân số:</t>
  </si>
  <si>
    <t>người/km2</t>
  </si>
  <si>
    <t>HS mật độ DS:</t>
  </si>
  <si>
    <t xml:space="preserve">I. NỘI DUNG: </t>
  </si>
  <si>
    <t xml:space="preserve">   - Lập nhiệm vụ quy hoạch</t>
  </si>
  <si>
    <t xml:space="preserve">   - Lập đồ án quy hoạch  đủ điều kiện trình cấp có thẩm quyền xét duyệt</t>
  </si>
  <si>
    <t>II. CĂN CỨ ĐỂ LẬP DỰ TOÁN :</t>
  </si>
  <si>
    <t>- Nghị định số 44/2015/NĐ-CP, ngày 06/05/2015 của Chính phủ Quy định chi tiết một số nội dung về quy hoạch xây dựng</t>
  </si>
  <si>
    <t>- Thông tư số  20/2019/TT-BXD ngày 31 tháng 12  năm 2019  của Bộ Xây dựng hướng dẫn xác định, quản lý chi phí quy hoạch xây dựng và quy hoạch đô thị</t>
  </si>
  <si>
    <t xml:space="preserve">- Nghị định 63/2014/NĐ-CP ngày 26/6/2014 quy định chi tiết thi hành một số điều của Luật Đấu thầu về lựa chọn nhà thầu;Thông tư 16/2019/TT-BXD ngày 26/12/2019 hướng dẫn xác định chi phí quản lý dự án và tư vấn đầu tư xây dựng </t>
  </si>
  <si>
    <t>III. DỰ TOÁN CHI TIẾT</t>
  </si>
  <si>
    <t xml:space="preserve">Quy mô </t>
  </si>
  <si>
    <t>- Áp dụng bảng số 1:  Định mức chi phí lập đồ án, nhiệm vụ QHXD vùng huyện, vùng liên huyện và bảng số 11: Định mức chi phí cho một số công việc xác định theo tỷ lệ phần trăm của chi phí lập đồ án quy hoạch  thuộc Phụ lục số 1 ban hành kèm theo Thông tư số  20/2019/TT-BXD</t>
  </si>
  <si>
    <t>Công thức nội suy:</t>
  </si>
  <si>
    <t>Gx= {</t>
  </si>
  <si>
    <t>Gb - Ga</t>
  </si>
  <si>
    <t>x (Qx - Qa)} + Ga</t>
  </si>
  <si>
    <t>Qb-Qa</t>
  </si>
  <si>
    <t>Hạng mục</t>
  </si>
  <si>
    <t>Ký hiệu</t>
  </si>
  <si>
    <r>
      <t xml:space="preserve">Định mức lập đồ án QH       </t>
    </r>
    <r>
      <rPr>
        <sz val="11"/>
        <rFont val="Times New Roman"/>
        <family val="1"/>
      </rPr>
      <t xml:space="preserve">      </t>
    </r>
  </si>
  <si>
    <r>
      <t xml:space="preserve">Định mức lập NVQH       </t>
    </r>
    <r>
      <rPr>
        <sz val="11"/>
        <rFont val="Times New Roman"/>
        <family val="1"/>
      </rPr>
      <t xml:space="preserve">      </t>
    </r>
  </si>
  <si>
    <t xml:space="preserve">Định mức Thẩm định đồ án QH (%)    </t>
  </si>
  <si>
    <t xml:space="preserve">Định mức Quản lý lập đồ án QH (%)        </t>
  </si>
  <si>
    <t>(tr.đồng)</t>
  </si>
  <si>
    <t>(tr.đồng )</t>
  </si>
  <si>
    <t>Giá trị cần tính</t>
  </si>
  <si>
    <t>Gx</t>
  </si>
  <si>
    <t xml:space="preserve">Giá trị của quy mô cận trên </t>
  </si>
  <si>
    <t>Gb</t>
  </si>
  <si>
    <t>Giá trị của quy mô cận dưới</t>
  </si>
  <si>
    <t>Ga</t>
  </si>
  <si>
    <t xml:space="preserve">Quy mô cận trên </t>
  </si>
  <si>
    <t xml:space="preserve">Qb </t>
  </si>
  <si>
    <t xml:space="preserve">Quy mô cận dưới </t>
  </si>
  <si>
    <t>Qa</t>
  </si>
  <si>
    <t>Quy mô cần tính</t>
  </si>
  <si>
    <t>Qx</t>
  </si>
  <si>
    <t>Giá gốc lập NVQH</t>
  </si>
  <si>
    <t>đồng</t>
  </si>
  <si>
    <t>Giá gốc lập đồ án</t>
  </si>
  <si>
    <t>Hạng mục công việc</t>
  </si>
  <si>
    <t>Giá gốc tương đương ứng với quy mô</t>
  </si>
  <si>
    <t>Tỷ lệ áp dụng</t>
  </si>
  <si>
    <t>Giá trị dự toán</t>
  </si>
  <si>
    <t>Thuế VAT 10%</t>
  </si>
  <si>
    <t>Thành tiền (đ)</t>
  </si>
  <si>
    <t>5=(3*4)</t>
  </si>
  <si>
    <t>6 =5*10%</t>
  </si>
  <si>
    <t>7=5+6</t>
  </si>
  <si>
    <t>Chi phí trực tiếp</t>
  </si>
  <si>
    <t>a</t>
  </si>
  <si>
    <t>Chi phí lập nhiệm vụ quy hoạch (Hệ số điều chỉnh theo mật độ dân số là ... và số  lượng huyện là ...)</t>
  </si>
  <si>
    <t>b</t>
  </si>
  <si>
    <t>Chi phí lập đồ án quy hoạch (Hệ số điều chỉnh theo mật độ dân số là 0,6 và số  lượng huyện là ...)</t>
  </si>
  <si>
    <t>c</t>
  </si>
  <si>
    <t>Chi phí lập hồ sơ quy hoạch theo GIS ( nếu có)</t>
  </si>
  <si>
    <t>Cộng ( 1 )</t>
  </si>
  <si>
    <t>Chi phí thẩm định NVQH</t>
  </si>
  <si>
    <t>Chi phí thẩm định đồ án QH</t>
  </si>
  <si>
    <r>
      <t xml:space="preserve">Chi phí quản lý nghiệp vụ lập đồ án QH </t>
    </r>
    <r>
      <rPr>
        <sz val="11"/>
        <rFont val="Times New Roman"/>
        <family val="1"/>
        <charset val="163"/>
      </rPr>
      <t>( Nếu đồ án liên vùng  nhân với hệ số K=2)</t>
    </r>
  </si>
  <si>
    <r>
      <rPr>
        <b/>
        <sz val="11"/>
        <rFont val="Times New Roman"/>
        <family val="1"/>
      </rPr>
      <t>Chi phí công bố quy hoạch</t>
    </r>
    <r>
      <rPr>
        <sz val="11"/>
        <rFont val="Times New Roman"/>
        <family val="1"/>
      </rPr>
      <t xml:space="preserve"> (Không bao gồm panô quảng cáo)</t>
    </r>
  </si>
  <si>
    <r>
      <t xml:space="preserve">Chi phí lựa chọn nhà thầu lập QH </t>
    </r>
    <r>
      <rPr>
        <sz val="11"/>
        <rFont val="Times New Roman"/>
        <family val="1"/>
        <charset val="163"/>
      </rPr>
      <t xml:space="preserve"> </t>
    </r>
  </si>
  <si>
    <t>6.1</t>
  </si>
  <si>
    <t>Chi phí lập HSMT (Theo thông tư 16/2019/TT-BXD)</t>
  </si>
  <si>
    <t>6.2</t>
  </si>
  <si>
    <t>Chi phí đánh giá HSDT (Theo thông tư 16/2019/TT-BXD)</t>
  </si>
  <si>
    <t>6.3</t>
  </si>
  <si>
    <t>Chi phí thẩm định HSMT (Theo nghị định 63/2014/NĐ-CP)</t>
  </si>
  <si>
    <t>6.4</t>
  </si>
  <si>
    <t>Chi phí  thẩm định kết quả lựa chọn nhà thầu (Theo nghị định 63/2014/NĐ-CP)</t>
  </si>
  <si>
    <t>Cộng (2-6)</t>
  </si>
  <si>
    <t>Tổng giá trị dự toán làm tròn</t>
  </si>
  <si>
    <t>Hà Nội, ngày        tháng        năm 2020</t>
  </si>
  <si>
    <t>ĐƠN VỊ LẬP DỰ TOÁN</t>
  </si>
  <si>
    <t>VIỆN TRƯỞNG</t>
  </si>
  <si>
    <t>Lưu Đức Cường</t>
  </si>
  <si>
    <t>STT</t>
  </si>
  <si>
    <t>Lập HSMT; đánh giá HSDT</t>
  </si>
  <si>
    <t>Giá trị của quy mô cận trên (Tr.đồng)</t>
  </si>
  <si>
    <t>Giá trị của quy mô cận dưới (Tr.đồng)</t>
  </si>
  <si>
    <t>Bảng xác định hệ số phụ</t>
  </si>
  <si>
    <t>K=</t>
  </si>
  <si>
    <t>Mật độ dân số trong vùng (người/km2)</t>
  </si>
  <si>
    <t>Số lượng huyện trong vùng</t>
  </si>
  <si>
    <t>Bảng tính mật độ</t>
  </si>
  <si>
    <t>Mật độ</t>
  </si>
  <si>
    <t>Hệ số</t>
  </si>
  <si>
    <t>Bang dieu chinh theo so huyen</t>
  </si>
  <si>
    <t>Số  huyện thuộc vùng</t>
  </si>
  <si>
    <t>Hệ số điều chỉnh (K) đối với vùng liên huyện</t>
  </si>
  <si>
    <t xml:space="preserve"> </t>
  </si>
  <si>
    <t>INDEX</t>
  </si>
  <si>
    <t>mốt</t>
  </si>
  <si>
    <t>Việt nam</t>
  </si>
  <si>
    <t xml:space="preserve"> đồng chẵn</t>
  </si>
  <si>
    <t xml:space="preserve"> xu</t>
  </si>
  <si>
    <t>một</t>
  </si>
  <si>
    <t>USA</t>
  </si>
  <si>
    <t xml:space="preserve"> $</t>
  </si>
  <si>
    <t xml:space="preserve"> Cents </t>
  </si>
  <si>
    <t xml:space="preserve">hai </t>
  </si>
  <si>
    <t>Châu Âu</t>
  </si>
  <si>
    <t xml:space="preserve"> EUR</t>
  </si>
  <si>
    <t xml:space="preserve"> Cent</t>
  </si>
  <si>
    <t xml:space="preserve">ba </t>
  </si>
  <si>
    <t>Trung quốc</t>
  </si>
  <si>
    <t xml:space="preserve"> Nhân dân tệ</t>
  </si>
  <si>
    <t xml:space="preserve"> Fen</t>
  </si>
  <si>
    <t>bốn</t>
  </si>
  <si>
    <t>Thái Lan</t>
  </si>
  <si>
    <t xml:space="preserve"> Baht</t>
  </si>
  <si>
    <t xml:space="preserve"> Stang</t>
  </si>
  <si>
    <t>năm</t>
  </si>
  <si>
    <t>Nhật Bản</t>
  </si>
  <si>
    <t xml:space="preserve"> Yen</t>
  </si>
  <si>
    <t xml:space="preserve"> Sen</t>
  </si>
  <si>
    <t xml:space="preserve">sáu </t>
  </si>
  <si>
    <t>Ấn Độ</t>
  </si>
  <si>
    <t xml:space="preserve"> Rupie</t>
  </si>
  <si>
    <t xml:space="preserve"> Paise</t>
  </si>
  <si>
    <t>bẩy</t>
  </si>
  <si>
    <t>Úc</t>
  </si>
  <si>
    <t xml:space="preserve"> A$</t>
  </si>
  <si>
    <t>tám</t>
  </si>
  <si>
    <t>Mexico</t>
  </si>
  <si>
    <t xml:space="preserve"> Peso</t>
  </si>
  <si>
    <t xml:space="preserve"> Centavos</t>
  </si>
  <si>
    <t>chín</t>
  </si>
  <si>
    <t>Nam Triều Tiên</t>
  </si>
  <si>
    <t xml:space="preserve"> Won</t>
  </si>
  <si>
    <t xml:space="preserve"> Chon</t>
  </si>
  <si>
    <t>Đài Loan</t>
  </si>
  <si>
    <t xml:space="preserve"> NT$</t>
  </si>
  <si>
    <t>Canada</t>
  </si>
  <si>
    <t>Kan$</t>
  </si>
  <si>
    <t>Tên công trình:   ĐIỀU CHỈNH QUY HOẠCH CHUNG THÀNH PHỐ QUY NHƠN VÀ VÙNG PHỤ CẬN</t>
  </si>
  <si>
    <t>ha</t>
  </si>
  <si>
    <t>Tỷ lệ 1/10.000</t>
  </si>
  <si>
    <t>Mật độ dân số</t>
  </si>
  <si>
    <t>ng/km2</t>
  </si>
  <si>
    <t>Cấp đô thị:</t>
  </si>
  <si>
    <t>Loại I</t>
  </si>
  <si>
    <t>HS Mật độ dân số</t>
  </si>
  <si>
    <t>HS cấp đô thi:</t>
  </si>
  <si>
    <t>Đặc biệt</t>
  </si>
  <si>
    <t>- Lập nhiệm vụ quy hoạch</t>
  </si>
  <si>
    <t xml:space="preserve">- Lập đồ án quy hoạch đủ điều kiện trình cấp có thẩm quyền xét duyệt </t>
  </si>
  <si>
    <t>Loại II</t>
  </si>
  <si>
    <t>Loại III</t>
  </si>
  <si>
    <t>- Nghị định số 37/2010/NĐ-CP, ngày 07/4/2010 của Chính phủ về lập, thẩm định, phê duyệt và quản lý quy hoạch đô thị</t>
  </si>
  <si>
    <t>Loại IV</t>
  </si>
  <si>
    <t>Loại V</t>
  </si>
  <si>
    <t xml:space="preserve">- Nghị định 63/2014/NĐ-CP ngày 26/6/2014 quy định chi tiết thi hành một số điều của Luật Đấu thầu về lựa chọn nhà thầu; Thông tư 16/2019/TT-BXD ngày 26/12/2019 hướng dẫn xác định chi phí quản lý dự án và tư vấn đầu tư xây dựng </t>
  </si>
  <si>
    <t>- Áp dụng bảng số 2: Định mức chi phí lập đồ án, nhiệm vụ QHC đô thị và bảng số 11: Định mức chi phí cho một số công việc xác định theo tỷ lệ phần trăm của chi phí lập đồ án quy hoạch thuộc Phụ lục số 1 ban hành kèm theo Thông tư số  20/2019/TT-BXD</t>
  </si>
  <si>
    <t>Giá gốc lập NVQH:</t>
  </si>
  <si>
    <t>Giá gốc lập đồ án QH:</t>
  </si>
  <si>
    <t>Chi phí lập nhiệm vụ  quy hoạch ( áp dụng HS cấp loại đô thị =…. x HS mật độ dân số =…. x HS điều chỉnh QH = )</t>
  </si>
  <si>
    <t>Chi phí lập đồ án  quy hoạch ( áp dụng HS cấp loại đô thị =…. x HS mật độ dân số =…. x HS điều chỉnh QH = 0,8)</t>
  </si>
  <si>
    <t>Chi phí xin ý kiến cộng đồng</t>
  </si>
  <si>
    <r>
      <t>Chi phí quản lý nghiệp vụ lập đồ án QH (</t>
    </r>
    <r>
      <rPr>
        <sz val="11"/>
        <rFont val="Times New Roman"/>
        <family val="1"/>
        <charset val="163"/>
      </rPr>
      <t>Nếu đồ án QH đô thị đặc biệt  nhân với hệ số K=2)</t>
    </r>
  </si>
  <si>
    <t>7.1</t>
  </si>
  <si>
    <t>7.2</t>
  </si>
  <si>
    <t>7.3</t>
  </si>
  <si>
    <t>7.4</t>
  </si>
  <si>
    <t>Cộng (2-7)</t>
  </si>
  <si>
    <t>HS mật độ DS</t>
  </si>
  <si>
    <t>Giá trị cần tính (tr. đồng)</t>
  </si>
  <si>
    <t>Giá trị của quy mô cận trên (tr. đồng)</t>
  </si>
  <si>
    <t>Giá trị của quy mô cận dưới (tr. đồng)</t>
  </si>
  <si>
    <t>Quy mô cận trên (ha)</t>
  </si>
  <si>
    <t>Quy mô cận dưới (ha)</t>
  </si>
  <si>
    <t>Quy mô cần tính (ha)</t>
  </si>
  <si>
    <t>Tên công trình:   QUY HOẠCH PHÂN KHU KHU ĐÔ THỊ…</t>
  </si>
  <si>
    <t>,</t>
  </si>
  <si>
    <t>- Lập đồ án quy hoạch  đủ điều kiện trình cấp có thẩm quyền xét duyệt</t>
  </si>
  <si>
    <t>- Áp dụng bảng số 3: Định mức chi phí lập đồ án, nhiệm vụ quy hoạch phân khu đô thị (Tỷ lệ 1/2000) và bảng số 10: Định mức chi phí cho một số công việc liên quan đến quá trình lập đồ án thuộc Phụ lục số 1 ban hành kèm theo Thông tư số  20/2019/TT-BXD</t>
  </si>
  <si>
    <t xml:space="preserve">Chi phí lập nhiệm vụ quy hoạch </t>
  </si>
  <si>
    <t>Chi phí lập đồ án quy hoạch</t>
  </si>
  <si>
    <t>Chi phí quản lý lập đồ án QH</t>
  </si>
  <si>
    <r>
      <t xml:space="preserve">Chi phí công bố quy hoạch </t>
    </r>
    <r>
      <rPr>
        <sz val="11"/>
        <rFont val="Times New Roman"/>
        <family val="1"/>
      </rPr>
      <t>(Không bao gồm panô quảng cáo)</t>
    </r>
  </si>
  <si>
    <t>Giá trị cần tính (tr.đồng/ha)</t>
  </si>
  <si>
    <t>Giá trị của quy mô cận trên(tr.đồng/ha)</t>
  </si>
  <si>
    <t>Giá trị của quy mô cận dưới  (tr.đồng/ha)</t>
  </si>
  <si>
    <t>- Áp dụng bảng số 4: Định mức chi phí lập đồ án quy hoạch chi tiết đô thị (Tỷ lệ 1/500) và bảng số 11: Định mức chi phí cho một số công việc xác định theo tỷ lệ phần trăm của chi phí lập đồ án QH thuộc Phụ lục số 1 ban hành kèm theo Thông tư số  20/2019/TT-BXD</t>
  </si>
  <si>
    <t>Giá trị của quy mô cận trên</t>
  </si>
  <si>
    <t>Qb</t>
  </si>
  <si>
    <t>Chi phí lập nhiệm vụ quy hoạch</t>
  </si>
  <si>
    <t>Chi phí lập đồ án  quy hoạch</t>
  </si>
  <si>
    <t xml:space="preserve">Chi phí lựa chọn nhà thầu lập QH </t>
  </si>
  <si>
    <t>Tổng cộng giá trị dự toán</t>
  </si>
  <si>
    <t>Nội suy các hệ số tính toán (không in )</t>
  </si>
  <si>
    <t>Tên công trình:   QUY HOẠCH CHUNG XÂY DỰNG KHU CHỨC NĂNG</t>
  </si>
  <si>
    <t>Loại hình khu chức năng:</t>
  </si>
  <si>
    <t>Khu CN; chế xuất; DL; NCĐT; TDTT</t>
  </si>
  <si>
    <t>Hệ số:</t>
  </si>
  <si>
    <t>Khu kinh tế, khu công nghệ cao</t>
  </si>
  <si>
    <t>Cụm công nghiệp, tiểu thủ công nghiệp</t>
  </si>
  <si>
    <t>- Áp dụng Bảng số 6: Định mức chi phí quy hoạch chung xây dựng khu chức năng đặc thù và bảng số 11: Định mức chi phí cho một số công việc xác định theo tỷ lệ phần trăm của chi phí lập đồ án QH thuộc Phụ lục số 1 ban hành kèm theo Thông tư số  20/2019/TT-BXD</t>
  </si>
  <si>
    <t>Chi phí lập nhiệm vụ quy hoạch ( Hệ số K =…... cho khu...)</t>
  </si>
  <si>
    <t>Chi phí lập đồ án  quy hoạch ( Hệ số K =…... cho khu...)</t>
  </si>
  <si>
    <t>Chi phí lấy ý kiến cộng đồng</t>
  </si>
  <si>
    <t>Tên công trình:   QUY HOẠCH PHÂN KHU XÂY DỰNG KHU ..</t>
  </si>
  <si>
    <t>- Lập đồ án quy hoạch đủ điều kiện trình cấp có thẩm quyền xét duyệt</t>
  </si>
  <si>
    <t>- Áp dụng bảng số 7: Định mức chi phí quy hoạch phân khu xây dựng khu chức năng đặc thù và bảng số 11: Định mức chi phí cho một số công việc xác định theo tỷ lệ phần trăm của chi phí lập đồ án QH thuộc Phụ lục số 1 ban hành kèm theo Thông tư số  20/2019/TT-BXD</t>
  </si>
  <si>
    <t xml:space="preserve">Chi phí lập đồ án  quy hoạch </t>
  </si>
  <si>
    <t>Giá trị của quy mô cận trên (tr.đồng/ha)</t>
  </si>
  <si>
    <t>Giá trị của quy mô cận dưới (tr.đồng/ha)</t>
  </si>
  <si>
    <t>Tên công trình:   QUY HOẠCH CHI TIẾT XÂY DỰNG KHU....</t>
  </si>
  <si>
    <t>- Áp dụng bảng số 8: Định mức chi phí quy hoạch chi tiết xây dựng khu chức năng đặc thù và bảng số 8: Định mức chi phí cho một số công việc xác định theo tỷ lệ phần trăm của chi phí lập đồ án QH thuộc Phụ lục số 1 ban hành kèm theo Thông tư số  20/2019/TT-BXD</t>
  </si>
  <si>
    <t>Vượt Khung thi tinh</t>
  </si>
  <si>
    <t xml:space="preserve">Tên công trình:   QUY HOẠCH CHUNG XÂY DỰNG XÃ….. </t>
  </si>
  <si>
    <t>người</t>
  </si>
  <si>
    <t>Loại hình xã:</t>
  </si>
  <si>
    <t>Xã có làng nghề sản xuất</t>
  </si>
  <si>
    <t>Xã có làng cổ</t>
  </si>
  <si>
    <t>Xã tiêu chuẩn</t>
  </si>
  <si>
    <t>- Áp dụng bảng số 9: Định mức chi phí lập quy hoạch chung xây dựng xã và bảng số 11: Định mức chi phí cho một số công việc xác định theo tỷ lệ phần trăm của chi phí lập đồ án QH thuộc Phụ lục số 1 ban hành kèm theo Thông tư số  20/2019/TT-BXD</t>
  </si>
  <si>
    <t>Chi phí lập nhiệm vụ quy hoạch ( Hệ số điều chỉnh =... cho Xã có..)</t>
  </si>
  <si>
    <t>Chi phí lập đồ án  quy hoạch  ( Hệ số điều chỉnh =... cho Xã có..)</t>
  </si>
  <si>
    <t>Quy mô cận trên (nghìn người)</t>
  </si>
  <si>
    <t>Quy mô cận dưới (nghìn người)</t>
  </si>
  <si>
    <t>Quy mô cần tính (nghìn người)</t>
  </si>
  <si>
    <t>Tên công trình:   QUY HOẠCH CHI TIẾT XÂY DỰNG ĐIỂM DÂN CƯ NÔNG THÔN XÃ ....</t>
  </si>
  <si>
    <t>- Áp dụng Bảng số 10: Định mức chi phí lập đồ án quy hoạch chi tiết xây dựng điểm dân cư nông thôn và bảng số 11: Định mức chi phí cho một số công việc xác định theo tỷ lệ phần trăm của chi phí lập đồ án QH thuộc Phụ lục số 1 ban hành kèm theo Thông tư số  20/2019/TT-BXD</t>
  </si>
  <si>
    <t xml:space="preserve">                ĐƠN VỊ LẬP DỰ TOÁN</t>
  </si>
  <si>
    <t>DỰ TOÁN LẬP CHƯƠNG TRÌNH PHÁT TRIỂN ĐÔ THỊ TOÀN TỈNH</t>
  </si>
  <si>
    <t>Tên tỉnh:   BÌNH DƯƠNG</t>
  </si>
  <si>
    <t>Số lượng đ.vị hành chính cấp huyện :</t>
  </si>
  <si>
    <t>đơn vị</t>
  </si>
  <si>
    <t>- Lập chương trình PTĐT  trình cấp có thẩm quyền xét duyệt</t>
  </si>
  <si>
    <t>-Nghị định số 11/2013/NĐ-CP ngày 14 tháng 01 năm 2013 của Chính phủ về quản lý đầu tư phát triển đô thị</t>
  </si>
  <si>
    <t>- Thông tư số 12/2017/TT-BXD ngày 30 tháng 11 năm 2017  của Bộ Xây dựng hướng dẫn xác định và quản lý chi phí liên quan đến đầu tư phát triển đô thị.</t>
  </si>
  <si>
    <t>- Áp dụng Bảng số 2: Định mức chi phí lập chương trình phát triển đô thị toàn tỉnh thuộc Phụ lục số 1 ban hành kèm theo Thông tư số 12/2017/TT-BXD ngày 30 tháng 11 năm 2017 của Bộ Xây dựng</t>
  </si>
  <si>
    <r>
      <t xml:space="preserve">Giá QH       </t>
    </r>
    <r>
      <rPr>
        <sz val="11"/>
        <rFont val="Times New Roman"/>
        <family val="1"/>
      </rPr>
      <t xml:space="preserve">      </t>
    </r>
  </si>
  <si>
    <t>(tr.đồng /đvị)</t>
  </si>
  <si>
    <t>Giá gốc áp dụng:</t>
  </si>
  <si>
    <t>Chi phí lập CT PTĐT</t>
  </si>
  <si>
    <t xml:space="preserve">Chi phí của Hội đồng thẩm định </t>
  </si>
  <si>
    <r>
      <rPr>
        <b/>
        <sz val="11"/>
        <rFont val="Times New Roman"/>
        <family val="1"/>
      </rPr>
      <t>Chi phí công bố chương trình PTĐT</t>
    </r>
    <r>
      <rPr>
        <sz val="11"/>
        <rFont val="Times New Roman"/>
        <family val="1"/>
      </rPr>
      <t xml:space="preserve"> </t>
    </r>
  </si>
  <si>
    <t>Chi phí lựa chọn nhà thầu lập CTPTĐT</t>
  </si>
  <si>
    <t>4.1</t>
  </si>
  <si>
    <t>4.2</t>
  </si>
  <si>
    <t>4.3</t>
  </si>
  <si>
    <t>4.4</t>
  </si>
  <si>
    <t>Cộng (1-4)</t>
  </si>
  <si>
    <t>Giá trị dự toán ( làm tròn)</t>
  </si>
  <si>
    <t>Giá trị của quy mô cận trên(tr.đồng/đvị)</t>
  </si>
  <si>
    <t>Giá trị của quy mô cận dưới  (tr.đồng/đvị)</t>
  </si>
  <si>
    <t>Quy mô cận trên (đvị)</t>
  </si>
  <si>
    <t>Quy mô cận dưới (đvị)</t>
  </si>
  <si>
    <t>Quy mô cần tính (đvi)</t>
  </si>
  <si>
    <t xml:space="preserve">DỰ TOÁN LẬP CHƯƠNG TRÌNH PHÁT TRIỂN ĐÔ THỊ </t>
  </si>
  <si>
    <t xml:space="preserve">Tên đô thị:   </t>
  </si>
  <si>
    <t>Quy mô dân số</t>
  </si>
  <si>
    <t>- Lập chương trình trình cấp có thẩm quyền xét duyệt</t>
  </si>
  <si>
    <t>nghìn ng</t>
  </si>
  <si>
    <t>- Áp dụng Bảng số 3: Định mức chi phí lập chương trình phát triển từng đô thị thuộc Phụ lục số 1 ban hành kèm theo Thông tư số 12/2017/TT-BXD ngày 30 tháng 11 năm 2017 của Bộ Xây dựng</t>
  </si>
  <si>
    <t>(tr.đồng /nghìn ng)</t>
  </si>
  <si>
    <t>Chi phí công bố chương trình PTĐT</t>
  </si>
  <si>
    <t>Giá trị cần tính (tr.đồng/nghìn ng)</t>
  </si>
  <si>
    <t>Giá trị của quy mô cận trên(tr.đồng/nghìn ng)</t>
  </si>
  <si>
    <t>Giá trị của quy mô cận dưới  (tr.đồng/nghìn ng)</t>
  </si>
  <si>
    <t>Quy mô cận trên (nghìn ng)</t>
  </si>
  <si>
    <t>Quy mô cận dưới (nghìn ng)</t>
  </si>
  <si>
    <t>Quy mô cần tính (nghìn ng)</t>
  </si>
  <si>
    <t>Cấp loại đô thị:</t>
  </si>
  <si>
    <t>V</t>
  </si>
  <si>
    <t>( cấp loại đề xuất nâng cấp)</t>
  </si>
  <si>
    <t>- LậpĐề án nâng loại đô thị trình cấp có thẩm quyền xét duyệt</t>
  </si>
  <si>
    <t>I</t>
  </si>
  <si>
    <t>II</t>
  </si>
  <si>
    <t>III</t>
  </si>
  <si>
    <t>IV</t>
  </si>
  <si>
    <t>- Áp dụng Bảng số 1: Định mức chi phí lập đề án phân loại đô thị thuộc Phụ lục số 1 ban hành kèm theo Thông tư số 12/2017/TT-BXD ngày 30 tháng 11 năm 2017 của Bộ Xây dựng</t>
  </si>
  <si>
    <t>Chi phí lập Đề án nâng loại đô thị</t>
  </si>
  <si>
    <t>( Hệ số K=1,2 áp dụng cho đô thị trực thuộc TW;  Hệ số K=1,3 áp dụng cho đô thị ở kv miền núi, vùng cao, hải đảo)</t>
  </si>
  <si>
    <t>Chi phí công bố QĐ nâng loại</t>
  </si>
  <si>
    <t>Chi phí lựa chọn nhà thầu lập Đề án</t>
  </si>
  <si>
    <t xml:space="preserve">                   VIỆN KIẾN TRÚC, QUY HOẠCH ĐÔ THỊ VÀ NÔNG THÔN, BỘ XÂY DỰNG</t>
  </si>
  <si>
    <t xml:space="preserve">                    VIETNAM INSTITUTE FOR ACHITECTURE, URBAN AND RURAL PLANNING -</t>
  </si>
  <si>
    <t xml:space="preserve">                    MINISTRY OF CONTRUCTION.</t>
  </si>
  <si>
    <t xml:space="preserve">                   Địa chỉ: 10 Hoa Lư, Hai Bà trưng, Hà Nội - Điện thoại: 04. 22206756 - Fax: 043. 9764339 </t>
  </si>
  <si>
    <t>Tên công trình:   QUY HOẠCH PHÂN KHU</t>
  </si>
  <si>
    <t>- Lập đồ án quy hoạch phân khu đủ điều kiện trình cấp có thẩm quyền xét duyệt đồ án</t>
  </si>
  <si>
    <t>- Thông tư số 01 /2013/TT-BXD ngày 08 tháng 2 năm 2013  của Bộ Xây dựng hướng dẫn xác định, quản lý chi phí quy hoạch xây dựng và quy hoạch đô thị</t>
  </si>
  <si>
    <t>- Áp dụng bảng số 9 thuộc Phụ lục ban hành kèm theo Thông tư số 17 /2010/TT-BXD :  Định mức chi phí lập đồ án quy hoạch phân khu đô thị</t>
  </si>
  <si>
    <r>
      <t xml:space="preserve">Định mức cho các công việc liên quan </t>
    </r>
    <r>
      <rPr>
        <sz val="11"/>
        <rFont val="Times New Roman"/>
        <family val="1"/>
      </rPr>
      <t>(%)</t>
    </r>
  </si>
  <si>
    <t>(tr.đồng /ha)</t>
  </si>
  <si>
    <t xml:space="preserve">Nhiệm vụ        </t>
  </si>
  <si>
    <t xml:space="preserve">Thẩm định     </t>
  </si>
  <si>
    <t xml:space="preserve">Quản lý         </t>
  </si>
  <si>
    <t>Giá trị của quy mô cận dưới (Tr.đồng/km2)</t>
  </si>
  <si>
    <t>Giá trị của quy mô cận trên (Tr.đồng/km2)</t>
  </si>
  <si>
    <t xml:space="preserve">Chi phí thiết kế qui hoạch </t>
  </si>
  <si>
    <t>Chi phí thẩm định đồ án QHXD</t>
  </si>
  <si>
    <t>Chi phí quản lý lập QHXD</t>
  </si>
  <si>
    <t>Cộng (2-5)</t>
  </si>
  <si>
    <t>Hà Nội, ngày        tháng        năm 2013</t>
  </si>
  <si>
    <t>Viện trưởng</t>
  </si>
  <si>
    <t>Ngô Trung Hải</t>
  </si>
  <si>
    <t>QH (tr đ/ha)</t>
  </si>
  <si>
    <t>Nhiệm vụ (%)</t>
  </si>
  <si>
    <t>Thẩm định (%)</t>
  </si>
  <si>
    <t>Quản lý (%)</t>
  </si>
  <si>
    <t>Giá trị của quy mô cận dưới(tr.đồng/ha)</t>
  </si>
  <si>
    <t>Giá trị của quy mô cận trên  (tr.đồng/ha)</t>
  </si>
  <si>
    <t>6 =5*8%</t>
  </si>
  <si>
    <t>Thuế VAT 8%</t>
  </si>
  <si>
    <t>Điện Biên, ngày        tháng        năm 2023</t>
  </si>
  <si>
    <t>Tên đô thị: Lập đề án phân loại đô thị thị trấn Tủa Chùa đạt đô thị loại V</t>
  </si>
  <si>
    <t>Chi phí trước thuế</t>
  </si>
  <si>
    <t>VAT (8%)</t>
  </si>
  <si>
    <t>Chi phí sau thuế</t>
  </si>
  <si>
    <t>Chi phí lập quy chế quản lý kiến trúc</t>
  </si>
  <si>
    <t xml:space="preserve">Chi phí lập đề cương nhiệm vụ, dự toán </t>
  </si>
  <si>
    <t>Các chi phí khác có liên quan</t>
  </si>
  <si>
    <t>Chi phí thẩm định 5%</t>
  </si>
  <si>
    <t>Chi phí công bố 2%</t>
  </si>
  <si>
    <t>Chi phí quản lý nghiệp vụ 6%</t>
  </si>
  <si>
    <t>Tổng cộng chi phí</t>
  </si>
  <si>
    <t>Cận trên</t>
  </si>
  <si>
    <t>Cận dưới</t>
  </si>
  <si>
    <t>Giá trị ns</t>
  </si>
  <si>
    <t xml:space="preserve"> - Căn cứ thông tư số 08/2021/TT-BXD ngày 2/8/2021 của Bộ Xây dựng hướng dẫn phương pháp xác định chi phí lập và tổ chức thực hiện quy chế quản lý kiến trúc.
 - Định mức chi phí theo phụ lục 1, bảng 1 Định mức chi phí lập quy chế quản lý kiến trúc đô thị
 - Diện tích lập quy chế 1.449 ha
 - Định mức lập chi phí theo thông tư số 08/2021/TT-BXD ngày 2/8/2021 đối với khu vực có diện tích 1.449ha: 0,518 triệu/ha
 - Chi phí theo định mức đối với khu vực 1,449ha: 1.449 x 0,518 triệu = 750.313.000 đồng
 - Nhân hệ số điều chỉnh K = 0,95 do ít hơn 3 khu vực có yêu cầu quản lý đặc thù và K = 0,95 do số lượng công trình kiến trúc có giá trị nhỏ hơn 10 công trình: 507.780.000 x 0,95 x 0,95 = 458.271.450 đồng.</t>
  </si>
  <si>
    <t>Chi phí lập quy hoạch chi tiết</t>
  </si>
  <si>
    <t>Khảo sát địa hình tỷ lệ 1/500</t>
  </si>
  <si>
    <t>Lập QHCT tỷ lệ 1/500</t>
  </si>
  <si>
    <t>Tổng hợp kinh phí</t>
  </si>
  <si>
    <t>PHỤ LỤC 1: DỰ TOÁN THIẾT KẾ QUY HOẠCH</t>
  </si>
  <si>
    <t>PHỤ LỤC 2: DỰ TOÁN LẬP ĐỀ ÁN PHÂN LOẠI ĐÔ THỊ</t>
  </si>
  <si>
    <t>PHỤ LỤC 3: CHI PHÍ LẬP QUY CHẾ QUẢN LÝ KIẾN TRÚC ĐÔ THỊ</t>
  </si>
  <si>
    <t>chi phí</t>
  </si>
  <si>
    <t>Cắm mốc quy hoạch</t>
  </si>
  <si>
    <t>BẢNG TỔNG HỢP KINH PHÍ PHƯƠNG ÁN 1 (186Ha)</t>
  </si>
  <si>
    <t xml:space="preserve"> Chi phÝ thÈm tra, phª duyÖt quyÕt to¸n  = 0,57% x G  (theo TT10/2020/TT-BTC)</t>
  </si>
  <si>
    <t>Chi phí lập HSMT (theo Nghị định 60/2014/NĐ-CP)</t>
  </si>
  <si>
    <t>Chi phí đánh giá HSDT  (theo Nghị định 60/2014/NĐ-CP)</t>
  </si>
  <si>
    <t>Cộng (1-7)</t>
  </si>
  <si>
    <t>Tổng cộng giá trị dự toán làm tròn</t>
  </si>
  <si>
    <t>1.1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</si>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</sst>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* #,##0.00_);_(* \(#,##0.00\);_(* &quot;-&quot;??_);_(@_)"/>
    <numFmt numFmtId="165" formatCode="#,##0.00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0.000"/>
    <numFmt numFmtId="170" formatCode="#,##0.0"/>
    <numFmt numFmtId="171" formatCode="General;[Red]\-General;[Red]General"/>
    <numFmt numFmtId="172" formatCode="0.0000"/>
    <numFmt numFmtId="173" formatCode="0.000%"/>
    <numFmt numFmtId="174" formatCode="#,##0.0000"/>
    <numFmt numFmtId="175" formatCode="#,##0.0\ &quot;km2&quot;"/>
    <numFmt numFmtId="176" formatCode="#,##0.00\ &quot;ha&quot;"/>
    <numFmt numFmtId="177" formatCode="#,##0.0\ &quot;tr.đ&quot;"/>
    <numFmt numFmtId="178" formatCode="#,##0\ &quot;tr.đ&quot;"/>
    <numFmt numFmtId="179" formatCode="#,##0.0\ &quot;ha&quot;"/>
    <numFmt numFmtId="180" formatCode="#,##0\ &quot;ha&quot;"/>
    <numFmt numFmtId="181" formatCode="#,##0\ &quot;đvị&quot;"/>
    <numFmt numFmtId="182" formatCode="#,##0\ &quot;nghìn ng&quot;"/>
    <numFmt numFmtId="183" formatCode="#,##0.0\ &quot;nghìn ng&quot;"/>
    <numFmt numFmtId="184" formatCode="_(* #.##0.00_);_(* \(#.##0.00\);_(* &quot;-&quot;??_);_(@_)"/>
  </numFmts>
  <fonts count="86">
    <font>
      <sz val="10"/>
      <name val="Arial"/>
    </font>
    <font>
      <sz val="10"/>
      <name val="Arial"/>
      <family val="2"/>
    </font>
    <font>
      <sz val="12"/>
      <name val=".VnTime"/>
      <family val="2"/>
    </font>
    <font>
      <b/>
      <sz val="12"/>
      <name val=".VnTime"/>
      <family val="2"/>
    </font>
    <font>
      <b/>
      <i/>
      <sz val="12"/>
      <name val=".VnTime"/>
      <family val="2"/>
    </font>
    <font>
      <sz val="13"/>
      <name val=".VnTime"/>
      <family val="2"/>
    </font>
    <font>
      <sz val="12"/>
      <name val="Times New Roman"/>
      <family val="1"/>
    </font>
    <font>
      <i/>
      <sz val="12"/>
      <name val=".VnTime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sz val="14"/>
      <name val="Times New Roman"/>
      <family val="1"/>
    </font>
    <font>
      <b/>
      <i/>
      <sz val="14"/>
      <name val="Arial"/>
      <family val="2"/>
    </font>
    <font>
      <i/>
      <sz val="14"/>
      <color indexed="14"/>
      <name val="Arial"/>
      <family val="2"/>
    </font>
    <font>
      <b/>
      <i/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0"/>
      <name val=".Vn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10"/>
      <name val="Tahoma"/>
      <family val="2"/>
    </font>
    <font>
      <sz val="12"/>
      <color indexed="10"/>
      <name val="Times New Roman"/>
      <family val="1"/>
    </font>
    <font>
      <b/>
      <sz val="10"/>
      <name val=".VnArial"/>
      <family val="2"/>
    </font>
    <font>
      <b/>
      <sz val="10"/>
      <name val="Arial"/>
      <family val="2"/>
    </font>
    <font>
      <b/>
      <i/>
      <sz val="10"/>
      <name val=".VnArial"/>
      <family val="2"/>
    </font>
    <font>
      <b/>
      <sz val="13"/>
      <name val="Times New Roman"/>
      <family val="1"/>
    </font>
    <font>
      <b/>
      <sz val="12"/>
      <name val="Arial"/>
      <family val="2"/>
    </font>
    <font>
      <b/>
      <sz val="12"/>
      <name val=".VnAvantH"/>
      <family val="2"/>
    </font>
    <font>
      <sz val="10"/>
      <name val=".VnArialH"/>
      <family val="2"/>
    </font>
    <font>
      <i/>
      <sz val="11"/>
      <name val="Times New Roman"/>
      <family val="1"/>
    </font>
    <font>
      <i/>
      <sz val="11"/>
      <name val=".VnTime"/>
      <family val="2"/>
    </font>
    <font>
      <b/>
      <sz val="10"/>
      <name val=".VnAvantH"/>
      <family val="2"/>
    </font>
    <font>
      <sz val="10"/>
      <name val=".VnTime"/>
      <family val="2"/>
    </font>
    <font>
      <sz val="10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  <font>
      <i/>
      <sz val="13"/>
      <name val="Times New Roman"/>
      <family val="1"/>
    </font>
    <font>
      <b/>
      <sz val="11"/>
      <name val="Arial"/>
      <family val="2"/>
    </font>
    <font>
      <b/>
      <sz val="13"/>
      <name val=".VnTime"/>
      <family val="2"/>
    </font>
    <font>
      <sz val="12"/>
      <name val="Arial"/>
      <family val="2"/>
    </font>
    <font>
      <sz val="13"/>
      <name val="Times New Roman"/>
      <family val="1"/>
    </font>
    <font>
      <b/>
      <sz val="10"/>
      <name val="Times New Roman"/>
      <family val="1"/>
    </font>
    <font>
      <b/>
      <u/>
      <sz val="10"/>
      <name val="Arial"/>
      <family val="2"/>
    </font>
    <font>
      <b/>
      <u/>
      <sz val="10"/>
      <name val=".Vn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name val="Times New Roman"/>
      <family val="1"/>
      <charset val="163"/>
    </font>
    <font>
      <sz val="13"/>
      <name val="Times New Roman"/>
      <family val="1"/>
      <charset val="163"/>
    </font>
    <font>
      <b/>
      <sz val="10"/>
      <name val="Arial"/>
      <family val="2"/>
      <charset val="163"/>
    </font>
    <font>
      <b/>
      <sz val="10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b/>
      <i/>
      <sz val="10"/>
      <name val="Calibri"/>
      <family val="2"/>
      <charset val="163"/>
      <scheme val="minor"/>
    </font>
    <font>
      <i/>
      <sz val="12"/>
      <name val="Times New Roman"/>
      <family val="1"/>
      <charset val="163"/>
    </font>
    <font>
      <sz val="11"/>
      <name val=".VnTime"/>
      <family val="2"/>
    </font>
    <font>
      <sz val="11"/>
      <name val="Arial"/>
      <family val="2"/>
      <charset val="163"/>
    </font>
    <font>
      <sz val="12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1"/>
      <color rgb="FF000099"/>
      <name val="Times New Roman"/>
      <family val="1"/>
    </font>
    <font>
      <sz val="10"/>
      <color rgb="FF000099"/>
      <name val="Arial"/>
      <family val="2"/>
      <charset val="163"/>
    </font>
    <font>
      <b/>
      <sz val="12"/>
      <color rgb="FF000099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name val="Arial"/>
      <family val="2"/>
      <charset val="163"/>
    </font>
    <font>
      <b/>
      <i/>
      <sz val="11"/>
      <name val="Times New Roman"/>
      <family val="1"/>
      <charset val="163"/>
    </font>
    <font>
      <b/>
      <sz val="10"/>
      <color rgb="FF000000"/>
      <name val="Arial"/>
      <family val="2"/>
      <charset val="163"/>
    </font>
    <font>
      <i/>
      <sz val="10"/>
      <color rgb="FF000000"/>
      <name val="Arial"/>
      <family val="2"/>
      <charset val="163"/>
    </font>
    <font>
      <i/>
      <sz val="10"/>
      <color rgb="FF000000"/>
      <name val="Symbol"/>
      <family val="1"/>
      <charset val="2"/>
    </font>
    <font>
      <b/>
      <i/>
      <sz val="10"/>
      <color rgb="FF000000"/>
      <name val="Arial"/>
      <family val="2"/>
      <charset val="163"/>
    </font>
    <font>
      <b/>
      <sz val="11"/>
      <name val="Cambria"/>
      <family val="1"/>
      <charset val="163"/>
      <scheme val="major"/>
    </font>
    <font>
      <sz val="11"/>
      <name val="Cambria"/>
      <family val="1"/>
      <charset val="163"/>
      <scheme val="major"/>
    </font>
    <font>
      <sz val="10"/>
      <color rgb="FFFF0000"/>
      <name val="Arial"/>
      <family val="2"/>
    </font>
    <font>
      <sz val="13"/>
      <color rgb="FFFF0000"/>
      <name val=".VnTime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name val="Times New Roman"/>
      <family val="1"/>
    </font>
    <font>
      <b/>
      <sz val="12"/>
      <name val=".VnTime"/>
      <family val="2"/>
      <charset val="163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9" fillId="0" borderId="0"/>
    <xf numFmtId="0" fontId="70" fillId="0" borderId="0"/>
    <xf numFmtId="9" fontId="70" fillId="0" borderId="0" applyFont="0" applyFill="0" applyBorder="0" applyAlignment="0" applyProtection="0"/>
  </cellStyleXfs>
  <cellXfs count="778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0" fillId="0" borderId="0" xfId="0" applyFont="1" applyProtection="1">
      <protection hidden="1"/>
    </xf>
    <xf numFmtId="4" fontId="1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2" fontId="15" fillId="2" borderId="0" xfId="0" applyNumberFormat="1" applyFont="1" applyFill="1" applyAlignment="1" applyProtection="1">
      <alignment horizontal="left"/>
      <protection hidden="1"/>
    </xf>
    <xf numFmtId="0" fontId="14" fillId="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11" fillId="0" borderId="3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1" fillId="4" borderId="0" xfId="0" applyFont="1" applyFill="1" applyProtection="1">
      <protection hidden="1"/>
    </xf>
    <xf numFmtId="0" fontId="11" fillId="0" borderId="3" xfId="0" applyFont="1" applyBorder="1" applyAlignment="1" applyProtection="1">
      <alignment horizontal="center"/>
      <protection hidden="1"/>
    </xf>
    <xf numFmtId="171" fontId="18" fillId="5" borderId="3" xfId="0" applyNumberFormat="1" applyFont="1" applyFill="1" applyBorder="1" applyAlignment="1" applyProtection="1">
      <alignment horizontal="center"/>
      <protection hidden="1"/>
    </xf>
    <xf numFmtId="0" fontId="11" fillId="5" borderId="3" xfId="0" applyFont="1" applyFill="1" applyBorder="1" applyProtection="1">
      <protection hidden="1"/>
    </xf>
    <xf numFmtId="0" fontId="11" fillId="5" borderId="4" xfId="0" applyFont="1" applyFill="1" applyBorder="1" applyProtection="1">
      <protection hidden="1"/>
    </xf>
    <xf numFmtId="171" fontId="18" fillId="0" borderId="3" xfId="0" applyNumberFormat="1" applyFont="1" applyBorder="1" applyAlignment="1" applyProtection="1">
      <alignment horizontal="center"/>
      <protection hidden="1"/>
    </xf>
    <xf numFmtId="171" fontId="18" fillId="6" borderId="3" xfId="0" applyNumberFormat="1" applyFont="1" applyFill="1" applyBorder="1" applyAlignment="1" applyProtection="1">
      <alignment horizontal="center"/>
      <protection hidden="1"/>
    </xf>
    <xf numFmtId="0" fontId="11" fillId="6" borderId="5" xfId="0" applyFont="1" applyFill="1" applyBorder="1" applyProtection="1">
      <protection hidden="1"/>
    </xf>
    <xf numFmtId="0" fontId="11" fillId="6" borderId="4" xfId="0" applyFont="1" applyFill="1" applyBorder="1" applyProtection="1">
      <protection hidden="1"/>
    </xf>
    <xf numFmtId="0" fontId="11" fillId="0" borderId="6" xfId="0" applyFont="1" applyBorder="1" applyProtection="1">
      <protection hidden="1"/>
    </xf>
    <xf numFmtId="0" fontId="11" fillId="0" borderId="0" xfId="0" quotePrefix="1" applyFont="1" applyProtection="1">
      <protection hidden="1"/>
    </xf>
    <xf numFmtId="0" fontId="11" fillId="0" borderId="7" xfId="0" applyFont="1" applyBorder="1" applyProtection="1">
      <protection hidden="1"/>
    </xf>
    <xf numFmtId="0" fontId="11" fillId="0" borderId="7" xfId="0" applyFont="1" applyBorder="1" applyAlignment="1" applyProtection="1">
      <alignment horizontal="right"/>
      <protection hidden="1"/>
    </xf>
    <xf numFmtId="0" fontId="11" fillId="0" borderId="8" xfId="0" applyFont="1" applyBorder="1" applyProtection="1">
      <protection hidden="1"/>
    </xf>
    <xf numFmtId="3" fontId="11" fillId="0" borderId="8" xfId="0" applyNumberFormat="1" applyFont="1" applyBorder="1" applyProtection="1"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3" fontId="10" fillId="6" borderId="9" xfId="0" applyNumberFormat="1" applyFont="1" applyFill="1" applyBorder="1" applyAlignment="1" applyProtection="1">
      <alignment horizontal="left"/>
      <protection hidden="1"/>
    </xf>
    <xf numFmtId="2" fontId="10" fillId="7" borderId="0" xfId="0" applyNumberFormat="1" applyFont="1" applyFill="1" applyAlignment="1" applyProtection="1">
      <alignment horizontal="left"/>
      <protection hidden="1"/>
    </xf>
    <xf numFmtId="0" fontId="11" fillId="3" borderId="0" xfId="0" applyFont="1" applyFill="1" applyProtection="1">
      <protection hidden="1"/>
    </xf>
    <xf numFmtId="0" fontId="17" fillId="0" borderId="0" xfId="0" applyFont="1" applyProtection="1">
      <protection hidden="1"/>
    </xf>
    <xf numFmtId="0" fontId="11" fillId="0" borderId="10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12" xfId="0" applyFont="1" applyBorder="1" applyProtection="1">
      <protection hidden="1"/>
    </xf>
    <xf numFmtId="0" fontId="11" fillId="0" borderId="13" xfId="0" applyFont="1" applyBorder="1" applyProtection="1">
      <protection hidden="1"/>
    </xf>
    <xf numFmtId="0" fontId="11" fillId="5" borderId="6" xfId="0" applyFont="1" applyFill="1" applyBorder="1" applyProtection="1">
      <protection hidden="1"/>
    </xf>
    <xf numFmtId="0" fontId="11" fillId="5" borderId="10" xfId="0" applyFont="1" applyFill="1" applyBorder="1" applyProtection="1">
      <protection hidden="1"/>
    </xf>
    <xf numFmtId="0" fontId="11" fillId="5" borderId="11" xfId="0" applyFont="1" applyFill="1" applyBorder="1" applyProtection="1">
      <protection hidden="1"/>
    </xf>
    <xf numFmtId="0" fontId="11" fillId="6" borderId="6" xfId="0" applyFont="1" applyFill="1" applyBorder="1" applyProtection="1">
      <protection hidden="1"/>
    </xf>
    <xf numFmtId="0" fontId="11" fillId="6" borderId="10" xfId="0" applyFont="1" applyFill="1" applyBorder="1" applyProtection="1">
      <protection hidden="1"/>
    </xf>
    <xf numFmtId="0" fontId="11" fillId="6" borderId="11" xfId="0" applyFont="1" applyFill="1" applyBorder="1" applyProtection="1">
      <protection hidden="1"/>
    </xf>
    <xf numFmtId="0" fontId="11" fillId="6" borderId="12" xfId="0" applyFont="1" applyFill="1" applyBorder="1" applyProtection="1">
      <protection hidden="1"/>
    </xf>
    <xf numFmtId="0" fontId="11" fillId="6" borderId="13" xfId="0" applyFont="1" applyFill="1" applyBorder="1" applyProtection="1">
      <protection hidden="1"/>
    </xf>
    <xf numFmtId="168" fontId="2" fillId="0" borderId="0" xfId="0" applyNumberFormat="1" applyFont="1" applyProtection="1"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3" fontId="21" fillId="0" borderId="0" xfId="0" applyNumberFormat="1" applyFont="1" applyProtection="1"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168" fontId="25" fillId="0" borderId="1" xfId="0" applyNumberFormat="1" applyFont="1" applyBorder="1" applyAlignment="1" applyProtection="1">
      <alignment vertical="center" wrapText="1"/>
      <protection locked="0"/>
    </xf>
    <xf numFmtId="3" fontId="25" fillId="0" borderId="1" xfId="0" applyNumberFormat="1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168" fontId="25" fillId="0" borderId="2" xfId="0" applyNumberFormat="1" applyFont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vertical="center" wrapText="1"/>
      <protection locked="0"/>
    </xf>
    <xf numFmtId="168" fontId="24" fillId="0" borderId="3" xfId="0" applyNumberFormat="1" applyFont="1" applyBorder="1" applyAlignment="1" applyProtection="1">
      <alignment vertical="center" wrapText="1"/>
      <protection locked="0"/>
    </xf>
    <xf numFmtId="3" fontId="24" fillId="0" borderId="3" xfId="0" applyNumberFormat="1" applyFont="1" applyBorder="1" applyAlignment="1" applyProtection="1">
      <alignment vertical="center" wrapText="1"/>
      <protection locked="0"/>
    </xf>
    <xf numFmtId="2" fontId="25" fillId="0" borderId="14" xfId="0" applyNumberFormat="1" applyFont="1" applyBorder="1" applyAlignment="1" applyProtection="1">
      <alignment vertical="center" wrapText="1"/>
      <protection locked="0"/>
    </xf>
    <xf numFmtId="3" fontId="25" fillId="0" borderId="14" xfId="0" applyNumberFormat="1" applyFont="1" applyBorder="1" applyAlignment="1" applyProtection="1">
      <alignment vertical="center" wrapText="1"/>
      <protection locked="0"/>
    </xf>
    <xf numFmtId="2" fontId="25" fillId="0" borderId="15" xfId="0" applyNumberFormat="1" applyFont="1" applyBorder="1" applyAlignment="1" applyProtection="1">
      <alignment vertical="center" wrapText="1"/>
      <protection locked="0"/>
    </xf>
    <xf numFmtId="3" fontId="25" fillId="0" borderId="15" xfId="0" applyNumberFormat="1" applyFont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10" fontId="25" fillId="0" borderId="3" xfId="0" applyNumberFormat="1" applyFont="1" applyBorder="1" applyAlignment="1" applyProtection="1">
      <alignment vertical="center" wrapText="1"/>
      <protection locked="0"/>
    </xf>
    <xf numFmtId="168" fontId="25" fillId="0" borderId="3" xfId="0" applyNumberFormat="1" applyFont="1" applyBorder="1" applyAlignment="1" applyProtection="1">
      <alignment vertical="center" wrapText="1"/>
      <protection locked="0"/>
    </xf>
    <xf numFmtId="3" fontId="25" fillId="0" borderId="3" xfId="0" applyNumberFormat="1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hidden="1"/>
    </xf>
    <xf numFmtId="0" fontId="8" fillId="0" borderId="1" xfId="0" applyFont="1" applyBorder="1" applyProtection="1">
      <protection hidden="1"/>
    </xf>
    <xf numFmtId="2" fontId="8" fillId="0" borderId="1" xfId="0" applyNumberFormat="1" applyFont="1" applyBorder="1" applyProtection="1">
      <protection hidden="1"/>
    </xf>
    <xf numFmtId="167" fontId="8" fillId="0" borderId="1" xfId="0" applyNumberFormat="1" applyFont="1" applyBorder="1" applyProtection="1">
      <protection hidden="1"/>
    </xf>
    <xf numFmtId="166" fontId="8" fillId="0" borderId="1" xfId="0" applyNumberFormat="1" applyFont="1" applyBorder="1" applyProtection="1">
      <protection hidden="1"/>
    </xf>
    <xf numFmtId="1" fontId="8" fillId="0" borderId="2" xfId="0" applyNumberFormat="1" applyFont="1" applyBorder="1" applyProtection="1">
      <protection hidden="1"/>
    </xf>
    <xf numFmtId="167" fontId="8" fillId="0" borderId="2" xfId="0" applyNumberFormat="1" applyFont="1" applyBorder="1" applyProtection="1">
      <protection hidden="1"/>
    </xf>
    <xf numFmtId="10" fontId="25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Protection="1">
      <protection locked="0"/>
    </xf>
    <xf numFmtId="0" fontId="8" fillId="0" borderId="14" xfId="0" applyFont="1" applyBorder="1" applyAlignment="1" applyProtection="1">
      <alignment horizontal="left" wrapText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169" fontId="9" fillId="0" borderId="14" xfId="0" applyNumberFormat="1" applyFont="1" applyBorder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168" fontId="25" fillId="0" borderId="0" xfId="0" applyNumberFormat="1" applyFont="1" applyAlignment="1" applyProtection="1">
      <alignment vertical="center" wrapText="1"/>
      <protection locked="0"/>
    </xf>
    <xf numFmtId="168" fontId="24" fillId="0" borderId="0" xfId="0" applyNumberFormat="1" applyFont="1" applyAlignment="1" applyProtection="1">
      <alignment vertical="center" wrapText="1"/>
      <protection locked="0"/>
    </xf>
    <xf numFmtId="168" fontId="2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8" fontId="21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8" fontId="8" fillId="0" borderId="2" xfId="0" applyNumberFormat="1" applyFont="1" applyBorder="1" applyProtection="1">
      <protection hidden="1"/>
    </xf>
    <xf numFmtId="169" fontId="8" fillId="0" borderId="1" xfId="0" applyNumberFormat="1" applyFont="1" applyBorder="1" applyProtection="1">
      <protection hidden="1"/>
    </xf>
    <xf numFmtId="0" fontId="25" fillId="0" borderId="3" xfId="0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3" fontId="21" fillId="0" borderId="0" xfId="0" applyNumberFormat="1" applyFont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3" fontId="21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vertical="center" wrapText="1"/>
      <protection locked="0"/>
    </xf>
    <xf numFmtId="0" fontId="2" fillId="9" borderId="3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4" borderId="0" xfId="0" applyFont="1" applyFill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168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4" borderId="0" xfId="0" applyFont="1" applyFill="1" applyAlignment="1" applyProtection="1">
      <alignment vertical="center"/>
      <protection hidden="1"/>
    </xf>
    <xf numFmtId="171" fontId="18" fillId="5" borderId="3" xfId="0" applyNumberFormat="1" applyFont="1" applyFill="1" applyBorder="1" applyAlignment="1" applyProtection="1">
      <alignment horizontal="center" vertical="center"/>
      <protection hidden="1"/>
    </xf>
    <xf numFmtId="171" fontId="18" fillId="0" borderId="3" xfId="0" applyNumberFormat="1" applyFont="1" applyBorder="1" applyAlignment="1" applyProtection="1">
      <alignment horizontal="center" vertical="center"/>
      <protection hidden="1"/>
    </xf>
    <xf numFmtId="171" fontId="18" fillId="6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horizontal="right"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3" fontId="11" fillId="0" borderId="8" xfId="0" applyNumberFormat="1" applyFont="1" applyBorder="1" applyAlignment="1" applyProtection="1">
      <alignment vertical="center"/>
      <protection hidden="1"/>
    </xf>
    <xf numFmtId="3" fontId="25" fillId="0" borderId="1" xfId="0" applyNumberFormat="1" applyFont="1" applyBorder="1" applyAlignment="1" applyProtection="1">
      <alignment horizontal="right" vertical="center" wrapText="1"/>
      <protection locked="0"/>
    </xf>
    <xf numFmtId="3" fontId="25" fillId="0" borderId="2" xfId="0" applyNumberFormat="1" applyFont="1" applyBorder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vertical="center"/>
      <protection hidden="1"/>
    </xf>
    <xf numFmtId="4" fontId="8" fillId="0" borderId="2" xfId="0" applyNumberFormat="1" applyFont="1" applyBorder="1" applyAlignment="1" applyProtection="1">
      <alignment vertical="center"/>
      <protection hidden="1"/>
    </xf>
    <xf numFmtId="9" fontId="25" fillId="0" borderId="3" xfId="0" applyNumberFormat="1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168" fontId="25" fillId="0" borderId="20" xfId="0" applyNumberFormat="1" applyFont="1" applyBorder="1" applyAlignment="1" applyProtection="1">
      <alignment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168" fontId="25" fillId="0" borderId="22" xfId="0" applyNumberFormat="1" applyFont="1" applyBorder="1" applyAlignment="1" applyProtection="1">
      <alignment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8" fontId="24" fillId="0" borderId="24" xfId="0" applyNumberFormat="1" applyFont="1" applyBorder="1" applyAlignment="1" applyProtection="1">
      <alignment vertical="center" wrapText="1"/>
      <protection locked="0"/>
    </xf>
    <xf numFmtId="168" fontId="25" fillId="0" borderId="24" xfId="0" applyNumberFormat="1" applyFont="1" applyBorder="1" applyAlignment="1" applyProtection="1">
      <alignment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 applyProtection="1">
      <alignment vertical="center" wrapText="1"/>
      <protection locked="0"/>
    </xf>
    <xf numFmtId="0" fontId="25" fillId="0" borderId="27" xfId="0" applyFont="1" applyBorder="1" applyAlignment="1" applyProtection="1">
      <alignment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9" fillId="10" borderId="31" xfId="0" applyFont="1" applyFill="1" applyBorder="1" applyAlignment="1">
      <alignment vertical="center"/>
    </xf>
    <xf numFmtId="0" fontId="37" fillId="10" borderId="31" xfId="0" applyFont="1" applyFill="1" applyBorder="1" applyAlignment="1">
      <alignment vertical="center"/>
    </xf>
    <xf numFmtId="0" fontId="38" fillId="10" borderId="3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4" fillId="11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168" fontId="24" fillId="0" borderId="0" xfId="0" applyNumberFormat="1" applyFont="1" applyAlignment="1">
      <alignment vertical="center"/>
    </xf>
    <xf numFmtId="3" fontId="24" fillId="11" borderId="0" xfId="0" applyNumberFormat="1" applyFont="1" applyFill="1" applyAlignment="1">
      <alignment horizontal="left" vertical="center"/>
    </xf>
    <xf numFmtId="0" fontId="25" fillId="0" borderId="33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3" fontId="25" fillId="0" borderId="34" xfId="0" applyNumberFormat="1" applyFont="1" applyBorder="1" applyAlignment="1" applyProtection="1">
      <alignment vertical="center" wrapText="1"/>
      <protection locked="0"/>
    </xf>
    <xf numFmtId="0" fontId="24" fillId="0" borderId="35" xfId="0" applyFont="1" applyBorder="1" applyAlignment="1" applyProtection="1">
      <alignment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3" fontId="24" fillId="0" borderId="7" xfId="0" applyNumberFormat="1" applyFont="1" applyBorder="1" applyAlignment="1" applyProtection="1">
      <alignment vertical="center"/>
      <protection locked="0"/>
    </xf>
    <xf numFmtId="168" fontId="24" fillId="0" borderId="36" xfId="0" applyNumberFormat="1" applyFont="1" applyBorder="1" applyAlignment="1" applyProtection="1">
      <alignment vertical="center"/>
      <protection locked="0"/>
    </xf>
    <xf numFmtId="0" fontId="24" fillId="0" borderId="37" xfId="0" applyFont="1" applyBorder="1" applyAlignment="1" applyProtection="1">
      <alignment vertical="center"/>
      <protection locked="0"/>
    </xf>
    <xf numFmtId="0" fontId="24" fillId="0" borderId="38" xfId="0" applyFont="1" applyBorder="1" applyAlignment="1" applyProtection="1">
      <alignment vertical="center"/>
      <protection locked="0"/>
    </xf>
    <xf numFmtId="172" fontId="24" fillId="0" borderId="38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3" fontId="25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right" vertical="center" wrapText="1"/>
    </xf>
    <xf numFmtId="0" fontId="41" fillId="0" borderId="0" xfId="0" applyFont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2" fontId="25" fillId="0" borderId="3" xfId="0" applyNumberFormat="1" applyFont="1" applyBorder="1" applyAlignment="1" applyProtection="1">
      <alignment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Protection="1"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7" xfId="0" applyFont="1" applyBorder="1" applyProtection="1">
      <protection locked="0"/>
    </xf>
    <xf numFmtId="168" fontId="24" fillId="0" borderId="36" xfId="0" applyNumberFormat="1" applyFont="1" applyBorder="1" applyProtection="1">
      <protection locked="0"/>
    </xf>
    <xf numFmtId="168" fontId="24" fillId="0" borderId="41" xfId="0" applyNumberFormat="1" applyFont="1" applyBorder="1" applyAlignment="1" applyProtection="1">
      <alignment vertical="center"/>
      <protection locked="0"/>
    </xf>
    <xf numFmtId="0" fontId="24" fillId="0" borderId="8" xfId="0" applyFont="1" applyBorder="1" applyAlignment="1" applyProtection="1">
      <alignment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25" fillId="0" borderId="42" xfId="0" applyFont="1" applyBorder="1" applyAlignment="1" applyProtection="1">
      <alignment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168" fontId="25" fillId="0" borderId="43" xfId="0" applyNumberFormat="1" applyFont="1" applyBorder="1" applyAlignment="1" applyProtection="1">
      <alignment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vertical="center"/>
      <protection locked="0"/>
    </xf>
    <xf numFmtId="0" fontId="24" fillId="0" borderId="45" xfId="0" applyFont="1" applyBorder="1" applyAlignment="1" applyProtection="1">
      <alignment vertical="center"/>
      <protection locked="0"/>
    </xf>
    <xf numFmtId="0" fontId="21" fillId="0" borderId="45" xfId="0" applyFont="1" applyBorder="1" applyAlignment="1" applyProtection="1">
      <alignment vertical="center"/>
      <protection locked="0"/>
    </xf>
    <xf numFmtId="168" fontId="21" fillId="0" borderId="46" xfId="0" applyNumberFormat="1" applyFont="1" applyBorder="1" applyAlignment="1" applyProtection="1">
      <alignment vertical="center"/>
      <protection locked="0"/>
    </xf>
    <xf numFmtId="0" fontId="24" fillId="0" borderId="47" xfId="0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vertical="center" wrapText="1"/>
      <protection locked="0"/>
    </xf>
    <xf numFmtId="0" fontId="25" fillId="0" borderId="48" xfId="0" applyFont="1" applyBorder="1" applyAlignment="1" applyProtection="1">
      <alignment vertical="center" wrapText="1"/>
      <protection locked="0"/>
    </xf>
    <xf numFmtId="0" fontId="25" fillId="0" borderId="49" xfId="0" applyFont="1" applyBorder="1" applyAlignment="1" applyProtection="1">
      <alignment vertical="center" wrapText="1"/>
      <protection locked="0"/>
    </xf>
    <xf numFmtId="0" fontId="21" fillId="0" borderId="28" xfId="0" applyFont="1" applyBorder="1" applyProtection="1"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21" fillId="0" borderId="29" xfId="0" applyFont="1" applyBorder="1" applyProtection="1">
      <protection locked="0"/>
    </xf>
    <xf numFmtId="168" fontId="21" fillId="0" borderId="30" xfId="0" applyNumberFormat="1" applyFont="1" applyBorder="1" applyProtection="1"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172" fontId="21" fillId="0" borderId="38" xfId="0" applyNumberFormat="1" applyFont="1" applyBorder="1" applyAlignment="1" applyProtection="1">
      <alignment vertical="center"/>
      <protection locked="0"/>
    </xf>
    <xf numFmtId="0" fontId="25" fillId="0" borderId="0" xfId="0" quotePrefix="1" applyFont="1" applyAlignment="1" applyProtection="1">
      <alignment horizontal="left" vertical="center"/>
      <protection locked="0"/>
    </xf>
    <xf numFmtId="172" fontId="24" fillId="0" borderId="45" xfId="0" applyNumberFormat="1" applyFont="1" applyBorder="1" applyAlignment="1" applyProtection="1">
      <alignment vertical="center"/>
      <protection locked="0"/>
    </xf>
    <xf numFmtId="168" fontId="24" fillId="0" borderId="46" xfId="0" applyNumberFormat="1" applyFont="1" applyBorder="1" applyAlignment="1" applyProtection="1">
      <alignment vertical="center"/>
      <protection locked="0"/>
    </xf>
    <xf numFmtId="0" fontId="24" fillId="0" borderId="29" xfId="0" applyFont="1" applyBorder="1" applyAlignment="1" applyProtection="1">
      <alignment horizontal="center"/>
      <protection locked="0"/>
    </xf>
    <xf numFmtId="0" fontId="24" fillId="0" borderId="29" xfId="0" applyFont="1" applyBorder="1" applyProtection="1">
      <protection locked="0"/>
    </xf>
    <xf numFmtId="168" fontId="24" fillId="0" borderId="30" xfId="0" applyNumberFormat="1" applyFont="1" applyBorder="1" applyProtection="1">
      <protection locked="0"/>
    </xf>
    <xf numFmtId="0" fontId="24" fillId="0" borderId="28" xfId="0" applyFont="1" applyBorder="1" applyProtection="1">
      <protection locked="0"/>
    </xf>
    <xf numFmtId="0" fontId="24" fillId="0" borderId="44" xfId="0" applyFont="1" applyBorder="1" applyAlignment="1" applyProtection="1">
      <alignment vertical="center"/>
      <protection locked="0"/>
    </xf>
    <xf numFmtId="0" fontId="50" fillId="0" borderId="0" xfId="0" applyFont="1" applyAlignment="1">
      <alignment horizontal="left" vertical="center"/>
    </xf>
    <xf numFmtId="2" fontId="25" fillId="0" borderId="7" xfId="0" applyNumberFormat="1" applyFont="1" applyBorder="1" applyAlignment="1" applyProtection="1">
      <alignment vertical="center" wrapText="1"/>
      <protection locked="0"/>
    </xf>
    <xf numFmtId="3" fontId="25" fillId="0" borderId="7" xfId="0" applyNumberFormat="1" applyFont="1" applyBorder="1" applyAlignment="1" applyProtection="1">
      <alignment vertical="center" wrapText="1"/>
      <protection locked="0"/>
    </xf>
    <xf numFmtId="166" fontId="8" fillId="0" borderId="2" xfId="0" applyNumberFormat="1" applyFont="1" applyBorder="1" applyProtection="1">
      <protection hidden="1"/>
    </xf>
    <xf numFmtId="170" fontId="21" fillId="2" borderId="0" xfId="0" applyNumberFormat="1" applyFont="1" applyFill="1" applyAlignment="1" applyProtection="1">
      <alignment horizontal="right" vertical="center"/>
      <protection locked="0"/>
    </xf>
    <xf numFmtId="170" fontId="35" fillId="0" borderId="0" xfId="0" applyNumberFormat="1" applyFont="1" applyAlignment="1">
      <alignment horizontal="right" vertical="center" wrapText="1"/>
    </xf>
    <xf numFmtId="170" fontId="35" fillId="0" borderId="0" xfId="0" applyNumberFormat="1" applyFont="1" applyAlignment="1">
      <alignment horizontal="center" vertical="center" wrapText="1"/>
    </xf>
    <xf numFmtId="165" fontId="9" fillId="0" borderId="14" xfId="0" applyNumberFormat="1" applyFont="1" applyBorder="1" applyAlignment="1" applyProtection="1">
      <alignment vertical="center"/>
      <protection locked="0"/>
    </xf>
    <xf numFmtId="165" fontId="8" fillId="0" borderId="1" xfId="0" applyNumberFormat="1" applyFont="1" applyBorder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hidden="1"/>
    </xf>
    <xf numFmtId="169" fontId="8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7" fillId="13" borderId="0" xfId="0" applyFont="1" applyFill="1" applyAlignment="1" applyProtection="1">
      <alignment vertical="center" wrapText="1"/>
      <protection locked="0"/>
    </xf>
    <xf numFmtId="0" fontId="2" fillId="13" borderId="0" xfId="0" applyFont="1" applyFill="1" applyAlignment="1" applyProtection="1">
      <alignment vertical="center"/>
      <protection locked="0"/>
    </xf>
    <xf numFmtId="0" fontId="6" fillId="13" borderId="0" xfId="0" applyFont="1" applyFill="1" applyAlignment="1" applyProtection="1">
      <alignment vertical="center"/>
      <protection locked="0"/>
    </xf>
    <xf numFmtId="0" fontId="13" fillId="13" borderId="0" xfId="0" applyFont="1" applyFill="1" applyAlignment="1" applyProtection="1">
      <alignment vertical="center"/>
      <protection locked="0"/>
    </xf>
    <xf numFmtId="0" fontId="25" fillId="13" borderId="0" xfId="0" applyFont="1" applyFill="1" applyAlignment="1">
      <alignment vertical="center" wrapText="1"/>
    </xf>
    <xf numFmtId="0" fontId="6" fillId="13" borderId="0" xfId="0" applyFont="1" applyFill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172" fontId="24" fillId="0" borderId="0" xfId="0" applyNumberFormat="1" applyFont="1" applyAlignment="1" applyProtection="1">
      <alignment vertical="center"/>
      <protection locked="0"/>
    </xf>
    <xf numFmtId="37" fontId="24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vertical="center"/>
      <protection locked="0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165" fontId="25" fillId="0" borderId="26" xfId="0" applyNumberFormat="1" applyFont="1" applyBorder="1" applyAlignment="1" applyProtection="1">
      <alignment vertical="center"/>
      <protection locked="0"/>
    </xf>
    <xf numFmtId="173" fontId="25" fillId="0" borderId="2" xfId="0" applyNumberFormat="1" applyFont="1" applyBorder="1" applyAlignment="1" applyProtection="1">
      <alignment vertical="center" wrapText="1"/>
      <protection locked="0"/>
    </xf>
    <xf numFmtId="173" fontId="25" fillId="0" borderId="3" xfId="0" applyNumberFormat="1" applyFont="1" applyBorder="1" applyAlignment="1" applyProtection="1">
      <alignment vertical="center" wrapText="1"/>
      <protection locked="0"/>
    </xf>
    <xf numFmtId="173" fontId="25" fillId="0" borderId="34" xfId="0" applyNumberFormat="1" applyFont="1" applyBorder="1" applyAlignment="1" applyProtection="1">
      <alignment vertical="center" wrapText="1"/>
      <protection locked="0"/>
    </xf>
    <xf numFmtId="175" fontId="25" fillId="0" borderId="45" xfId="0" applyNumberFormat="1" applyFont="1" applyBorder="1" applyAlignment="1" applyProtection="1">
      <alignment vertical="center"/>
      <protection locked="0"/>
    </xf>
    <xf numFmtId="175" fontId="25" fillId="0" borderId="26" xfId="0" applyNumberFormat="1" applyFont="1" applyBorder="1" applyAlignment="1" applyProtection="1">
      <alignment vertical="center"/>
      <protection locked="0"/>
    </xf>
    <xf numFmtId="0" fontId="24" fillId="8" borderId="53" xfId="0" applyFont="1" applyFill="1" applyBorder="1" applyAlignment="1" applyProtection="1">
      <alignment horizontal="center" vertical="center" wrapText="1"/>
      <protection locked="0"/>
    </xf>
    <xf numFmtId="0" fontId="24" fillId="8" borderId="54" xfId="0" applyFont="1" applyFill="1" applyBorder="1" applyAlignment="1" applyProtection="1">
      <alignment horizontal="center" vertical="center" wrapText="1"/>
      <protection locked="0"/>
    </xf>
    <xf numFmtId="0" fontId="24" fillId="8" borderId="30" xfId="0" applyFont="1" applyFill="1" applyBorder="1" applyAlignment="1" applyProtection="1">
      <alignment horizontal="center" vertical="center" wrapText="1"/>
      <protection locked="0"/>
    </xf>
    <xf numFmtId="0" fontId="25" fillId="8" borderId="45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right" vertical="center" wrapText="1"/>
      <protection locked="0"/>
    </xf>
    <xf numFmtId="168" fontId="25" fillId="0" borderId="3" xfId="0" applyNumberFormat="1" applyFont="1" applyBorder="1" applyAlignment="1" applyProtection="1">
      <alignment horizontal="right" vertical="center" wrapText="1"/>
      <protection locked="0"/>
    </xf>
    <xf numFmtId="0" fontId="25" fillId="0" borderId="48" xfId="0" applyFont="1" applyBorder="1" applyAlignment="1" applyProtection="1">
      <alignment horizontal="left" vertical="center" wrapText="1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4" fontId="21" fillId="2" borderId="0" xfId="0" applyNumberFormat="1" applyFont="1" applyFill="1" applyAlignment="1" applyProtection="1">
      <alignment horizontal="right" vertical="center"/>
      <protection locked="0"/>
    </xf>
    <xf numFmtId="4" fontId="35" fillId="0" borderId="0" xfId="0" applyNumberFormat="1" applyFont="1" applyAlignment="1">
      <alignment horizontal="right" vertical="center" wrapText="1"/>
    </xf>
    <xf numFmtId="3" fontId="11" fillId="6" borderId="9" xfId="0" applyNumberFormat="1" applyFont="1" applyFill="1" applyBorder="1" applyAlignment="1" applyProtection="1">
      <alignment horizontal="left"/>
      <protection hidden="1"/>
    </xf>
    <xf numFmtId="3" fontId="8" fillId="0" borderId="1" xfId="0" applyNumberFormat="1" applyFont="1" applyBorder="1" applyProtection="1">
      <protection hidden="1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165" fontId="24" fillId="0" borderId="17" xfId="0" applyNumberFormat="1" applyFont="1" applyBorder="1" applyAlignment="1" applyProtection="1">
      <alignment vertical="center"/>
      <protection locked="0"/>
    </xf>
    <xf numFmtId="165" fontId="24" fillId="0" borderId="18" xfId="0" applyNumberFormat="1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165" fontId="25" fillId="0" borderId="3" xfId="0" applyNumberFormat="1" applyFont="1" applyBorder="1" applyAlignment="1" applyProtection="1">
      <alignment vertical="center"/>
      <protection locked="0"/>
    </xf>
    <xf numFmtId="165" fontId="25" fillId="0" borderId="24" xfId="0" applyNumberFormat="1" applyFont="1" applyBorder="1" applyAlignment="1" applyProtection="1">
      <alignment vertical="center"/>
      <protection locked="0"/>
    </xf>
    <xf numFmtId="0" fontId="25" fillId="0" borderId="28" xfId="0" applyFont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/>
    </xf>
    <xf numFmtId="174" fontId="24" fillId="0" borderId="17" xfId="0" applyNumberFormat="1" applyFont="1" applyBorder="1" applyAlignment="1" applyProtection="1">
      <alignment vertical="center"/>
      <protection locked="0"/>
    </xf>
    <xf numFmtId="173" fontId="25" fillId="0" borderId="14" xfId="0" applyNumberFormat="1" applyFont="1" applyBorder="1" applyAlignment="1" applyProtection="1">
      <alignment vertical="center" wrapText="1"/>
      <protection locked="0"/>
    </xf>
    <xf numFmtId="173" fontId="25" fillId="0" borderId="15" xfId="0" applyNumberFormat="1" applyFont="1" applyBorder="1" applyAlignment="1" applyProtection="1">
      <alignment vertical="center" wrapText="1"/>
      <protection locked="0"/>
    </xf>
    <xf numFmtId="174" fontId="25" fillId="0" borderId="3" xfId="0" applyNumberFormat="1" applyFont="1" applyBorder="1" applyAlignment="1" applyProtection="1">
      <alignment vertical="center"/>
      <protection locked="0"/>
    </xf>
    <xf numFmtId="180" fontId="25" fillId="0" borderId="3" xfId="0" applyNumberFormat="1" applyFont="1" applyBorder="1" applyAlignment="1" applyProtection="1">
      <alignment vertical="center"/>
      <protection locked="0"/>
    </xf>
    <xf numFmtId="178" fontId="25" fillId="0" borderId="3" xfId="0" applyNumberFormat="1" applyFont="1" applyBorder="1" applyAlignment="1" applyProtection="1">
      <alignment vertical="center"/>
      <protection locked="0"/>
    </xf>
    <xf numFmtId="178" fontId="25" fillId="0" borderId="24" xfId="0" applyNumberFormat="1" applyFont="1" applyBorder="1" applyAlignment="1" applyProtection="1">
      <alignment vertical="center"/>
      <protection locked="0"/>
    </xf>
    <xf numFmtId="180" fontId="25" fillId="0" borderId="29" xfId="0" applyNumberFormat="1" applyFont="1" applyBorder="1" applyAlignment="1" applyProtection="1">
      <alignment vertical="center"/>
      <protection locked="0"/>
    </xf>
    <xf numFmtId="178" fontId="25" fillId="0" borderId="29" xfId="0" applyNumberFormat="1" applyFont="1" applyBorder="1" applyAlignment="1" applyProtection="1">
      <alignment vertical="center"/>
      <protection locked="0"/>
    </xf>
    <xf numFmtId="178" fontId="25" fillId="0" borderId="30" xfId="0" applyNumberFormat="1" applyFont="1" applyBorder="1" applyAlignment="1" applyProtection="1">
      <alignment vertical="center"/>
      <protection locked="0"/>
    </xf>
    <xf numFmtId="168" fontId="25" fillId="0" borderId="7" xfId="0" applyNumberFormat="1" applyFont="1" applyBorder="1" applyAlignment="1" applyProtection="1">
      <alignment horizontal="right" vertical="center" wrapText="1"/>
      <protection locked="0"/>
    </xf>
    <xf numFmtId="173" fontId="25" fillId="0" borderId="7" xfId="0" applyNumberFormat="1" applyFont="1" applyBorder="1" applyAlignment="1" applyProtection="1">
      <alignment vertical="center" wrapText="1"/>
      <protection locked="0"/>
    </xf>
    <xf numFmtId="0" fontId="24" fillId="11" borderId="0" xfId="0" applyFont="1" applyFill="1" applyAlignment="1">
      <alignment horizontal="center" vertical="center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78" fontId="25" fillId="0" borderId="1" xfId="0" applyNumberFormat="1" applyFont="1" applyBorder="1" applyAlignment="1" applyProtection="1">
      <alignment vertical="center"/>
      <protection locked="0"/>
    </xf>
    <xf numFmtId="178" fontId="25" fillId="0" borderId="20" xfId="0" applyNumberFormat="1" applyFont="1" applyBorder="1" applyAlignment="1" applyProtection="1">
      <alignment vertical="center"/>
      <protection locked="0"/>
    </xf>
    <xf numFmtId="178" fontId="25" fillId="0" borderId="52" xfId="0" applyNumberFormat="1" applyFont="1" applyBorder="1" applyAlignment="1" applyProtection="1">
      <alignment vertical="center"/>
      <protection locked="0"/>
    </xf>
    <xf numFmtId="178" fontId="25" fillId="0" borderId="55" xfId="0" applyNumberFormat="1" applyFont="1" applyBorder="1" applyAlignment="1" applyProtection="1">
      <alignment vertical="center"/>
      <protection locked="0"/>
    </xf>
    <xf numFmtId="0" fontId="25" fillId="0" borderId="0" xfId="0" applyFont="1" applyAlignment="1">
      <alignment vertical="center" wrapText="1"/>
    </xf>
    <xf numFmtId="0" fontId="25" fillId="0" borderId="0" xfId="0" quotePrefix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35" fillId="0" borderId="0" xfId="0" applyFont="1" applyAlignment="1">
      <alignment vertical="center" wrapText="1"/>
    </xf>
    <xf numFmtId="4" fontId="35" fillId="0" borderId="0" xfId="0" applyNumberFormat="1" applyFont="1" applyAlignment="1">
      <alignment vertical="center" wrapText="1"/>
    </xf>
    <xf numFmtId="0" fontId="24" fillId="11" borderId="0" xfId="0" applyFont="1" applyFill="1" applyAlignment="1">
      <alignment vertical="center"/>
    </xf>
    <xf numFmtId="0" fontId="25" fillId="0" borderId="32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3" fontId="51" fillId="0" borderId="0" xfId="0" applyNumberFormat="1" applyFont="1" applyAlignment="1" applyProtection="1">
      <alignment horizontal="left" vertical="center"/>
      <protection locked="0"/>
    </xf>
    <xf numFmtId="3" fontId="51" fillId="2" borderId="0" xfId="0" applyNumberFormat="1" applyFont="1" applyFill="1" applyAlignment="1" applyProtection="1">
      <alignment horizontal="right" vertical="center"/>
      <protection locked="0"/>
    </xf>
    <xf numFmtId="0" fontId="45" fillId="0" borderId="0" xfId="0" applyFont="1" applyProtection="1">
      <protection locked="0"/>
    </xf>
    <xf numFmtId="168" fontId="24" fillId="0" borderId="7" xfId="0" applyNumberFormat="1" applyFont="1" applyBorder="1" applyAlignment="1" applyProtection="1">
      <alignment vertical="center" wrapText="1"/>
      <protection locked="0"/>
    </xf>
    <xf numFmtId="3" fontId="24" fillId="0" borderId="7" xfId="0" applyNumberFormat="1" applyFont="1" applyBorder="1" applyAlignment="1" applyProtection="1">
      <alignment vertical="center" wrapText="1"/>
      <protection locked="0"/>
    </xf>
    <xf numFmtId="9" fontId="25" fillId="0" borderId="14" xfId="0" applyNumberFormat="1" applyFont="1" applyBorder="1" applyAlignment="1" applyProtection="1">
      <alignment vertical="center" wrapText="1"/>
      <protection locked="0"/>
    </xf>
    <xf numFmtId="9" fontId="25" fillId="0" borderId="7" xfId="0" applyNumberFormat="1" applyFont="1" applyBorder="1" applyAlignment="1" applyProtection="1">
      <alignment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/>
      <protection hidden="1"/>
    </xf>
    <xf numFmtId="165" fontId="24" fillId="0" borderId="14" xfId="0" applyNumberFormat="1" applyFont="1" applyBorder="1" applyAlignment="1" applyProtection="1">
      <alignment vertical="center"/>
      <protection locked="0"/>
    </xf>
    <xf numFmtId="168" fontId="5" fillId="0" borderId="0" xfId="0" applyNumberFormat="1" applyFont="1" applyProtection="1">
      <protection locked="0"/>
    </xf>
    <xf numFmtId="0" fontId="46" fillId="0" borderId="0" xfId="0" applyFont="1" applyProtection="1">
      <protection locked="0"/>
    </xf>
    <xf numFmtId="0" fontId="52" fillId="0" borderId="0" xfId="0" applyFont="1" applyProtection="1"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4" fontId="39" fillId="0" borderId="0" xfId="0" applyNumberFormat="1" applyFont="1" applyAlignment="1" applyProtection="1">
      <alignment vertical="center"/>
      <protection hidden="1"/>
    </xf>
    <xf numFmtId="0" fontId="46" fillId="14" borderId="0" xfId="0" applyFont="1" applyFill="1" applyProtection="1">
      <protection locked="0"/>
    </xf>
    <xf numFmtId="0" fontId="46" fillId="13" borderId="0" xfId="0" applyFont="1" applyFill="1" applyProtection="1">
      <protection locked="0"/>
    </xf>
    <xf numFmtId="0" fontId="6" fillId="15" borderId="0" xfId="0" applyFont="1" applyFill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165" fontId="24" fillId="0" borderId="56" xfId="0" applyNumberFormat="1" applyFont="1" applyBorder="1" applyAlignment="1" applyProtection="1">
      <alignment vertical="center"/>
      <protection locked="0"/>
    </xf>
    <xf numFmtId="165" fontId="25" fillId="0" borderId="27" xfId="0" applyNumberFormat="1" applyFont="1" applyBorder="1" applyAlignment="1" applyProtection="1">
      <alignment vertical="center"/>
      <protection locked="0"/>
    </xf>
    <xf numFmtId="4" fontId="25" fillId="0" borderId="1" xfId="0" applyNumberFormat="1" applyFont="1" applyBorder="1" applyAlignment="1" applyProtection="1">
      <alignment vertical="center"/>
      <protection locked="0"/>
    </xf>
    <xf numFmtId="165" fontId="25" fillId="0" borderId="1" xfId="0" applyNumberFormat="1" applyFont="1" applyBorder="1" applyAlignment="1" applyProtection="1">
      <alignment vertical="center"/>
      <protection locked="0"/>
    </xf>
    <xf numFmtId="165" fontId="25" fillId="0" borderId="20" xfId="0" applyNumberFormat="1" applyFont="1" applyBorder="1" applyAlignment="1" applyProtection="1">
      <alignment vertical="center"/>
      <protection locked="0"/>
    </xf>
    <xf numFmtId="0" fontId="25" fillId="0" borderId="47" xfId="0" applyFont="1" applyBorder="1" applyAlignment="1" applyProtection="1">
      <alignment vertical="center"/>
      <protection locked="0"/>
    </xf>
    <xf numFmtId="165" fontId="24" fillId="0" borderId="48" xfId="0" applyNumberFormat="1" applyFont="1" applyBorder="1" applyAlignment="1" applyProtection="1">
      <alignment vertical="center"/>
      <protection locked="0"/>
    </xf>
    <xf numFmtId="165" fontId="24" fillId="0" borderId="49" xfId="0" applyNumberFormat="1" applyFont="1" applyBorder="1" applyAlignment="1" applyProtection="1">
      <alignment vertical="center"/>
      <protection locked="0"/>
    </xf>
    <xf numFmtId="177" fontId="25" fillId="0" borderId="1" xfId="0" applyNumberFormat="1" applyFont="1" applyBorder="1" applyAlignment="1" applyProtection="1">
      <alignment vertical="center"/>
      <protection locked="0"/>
    </xf>
    <xf numFmtId="177" fontId="25" fillId="0" borderId="20" xfId="0" applyNumberFormat="1" applyFont="1" applyBorder="1" applyAlignment="1" applyProtection="1">
      <alignment vertical="center"/>
      <protection locked="0"/>
    </xf>
    <xf numFmtId="177" fontId="25" fillId="0" borderId="52" xfId="0" applyNumberFormat="1" applyFont="1" applyBorder="1" applyAlignment="1" applyProtection="1">
      <alignment vertical="center"/>
      <protection locked="0"/>
    </xf>
    <xf numFmtId="177" fontId="25" fillId="0" borderId="55" xfId="0" applyNumberFormat="1" applyFont="1" applyBorder="1" applyAlignment="1" applyProtection="1">
      <alignment vertical="center"/>
      <protection locked="0"/>
    </xf>
    <xf numFmtId="165" fontId="9" fillId="0" borderId="48" xfId="0" applyNumberFormat="1" applyFont="1" applyBorder="1" applyAlignment="1" applyProtection="1">
      <alignment vertical="center"/>
      <protection locked="0"/>
    </xf>
    <xf numFmtId="180" fontId="25" fillId="0" borderId="1" xfId="0" applyNumberFormat="1" applyFont="1" applyBorder="1" applyAlignment="1" applyProtection="1">
      <alignment vertical="center"/>
      <protection locked="0"/>
    </xf>
    <xf numFmtId="180" fontId="25" fillId="0" borderId="52" xfId="0" applyNumberFormat="1" applyFont="1" applyBorder="1" applyAlignment="1" applyProtection="1">
      <alignment vertical="center"/>
      <protection locked="0"/>
    </xf>
    <xf numFmtId="2" fontId="8" fillId="0" borderId="2" xfId="0" applyNumberFormat="1" applyFont="1" applyBorder="1" applyProtection="1">
      <protection hidden="1"/>
    </xf>
    <xf numFmtId="0" fontId="31" fillId="13" borderId="0" xfId="0" applyFont="1" applyFill="1" applyProtection="1">
      <protection locked="0"/>
    </xf>
    <xf numFmtId="4" fontId="9" fillId="0" borderId="48" xfId="0" applyNumberFormat="1" applyFont="1" applyBorder="1" applyAlignment="1" applyProtection="1">
      <alignment vertical="center"/>
      <protection locked="0"/>
    </xf>
    <xf numFmtId="3" fontId="25" fillId="0" borderId="1" xfId="0" applyNumberFormat="1" applyFont="1" applyBorder="1" applyAlignment="1" applyProtection="1">
      <alignment vertical="center"/>
      <protection locked="0"/>
    </xf>
    <xf numFmtId="176" fontId="25" fillId="0" borderId="1" xfId="0" applyNumberFormat="1" applyFont="1" applyBorder="1" applyAlignment="1" applyProtection="1">
      <alignment vertical="center"/>
      <protection locked="0"/>
    </xf>
    <xf numFmtId="176" fontId="25" fillId="0" borderId="52" xfId="0" applyNumberFormat="1" applyFont="1" applyBorder="1" applyAlignment="1" applyProtection="1">
      <alignment vertical="center"/>
      <protection locked="0"/>
    </xf>
    <xf numFmtId="164" fontId="8" fillId="0" borderId="2" xfId="0" applyNumberFormat="1" applyFont="1" applyBorder="1" applyProtection="1">
      <protection hidden="1"/>
    </xf>
    <xf numFmtId="3" fontId="38" fillId="0" borderId="0" xfId="0" applyNumberFormat="1" applyFont="1" applyAlignment="1">
      <alignment vertical="center"/>
    </xf>
    <xf numFmtId="168" fontId="6" fillId="0" borderId="0" xfId="0" applyNumberFormat="1" applyFont="1" applyAlignment="1" applyProtection="1">
      <alignment vertical="center" wrapText="1"/>
      <protection locked="0"/>
    </xf>
    <xf numFmtId="0" fontId="54" fillId="0" borderId="23" xfId="0" applyFont="1" applyBorder="1" applyAlignment="1" applyProtection="1">
      <alignment horizontal="center" vertical="center" wrapText="1"/>
      <protection locked="0"/>
    </xf>
    <xf numFmtId="0" fontId="54" fillId="0" borderId="3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10" fontId="25" fillId="0" borderId="7" xfId="0" applyNumberFormat="1" applyFont="1" applyBorder="1" applyAlignment="1" applyProtection="1">
      <alignment vertical="center" wrapText="1"/>
      <protection locked="0"/>
    </xf>
    <xf numFmtId="168" fontId="25" fillId="0" borderId="7" xfId="0" applyNumberFormat="1" applyFont="1" applyBorder="1" applyAlignment="1" applyProtection="1">
      <alignment vertical="center" wrapText="1"/>
      <protection locked="0"/>
    </xf>
    <xf numFmtId="168" fontId="25" fillId="0" borderId="36" xfId="0" applyNumberFormat="1" applyFont="1" applyBorder="1" applyAlignment="1" applyProtection="1">
      <alignment vertical="center" wrapText="1"/>
      <protection locked="0"/>
    </xf>
    <xf numFmtId="0" fontId="1" fillId="0" borderId="0" xfId="1"/>
    <xf numFmtId="0" fontId="60" fillId="0" borderId="0" xfId="0" applyFont="1" applyAlignment="1" applyProtection="1">
      <alignment horizontal="left" vertical="center"/>
      <protection locked="0"/>
    </xf>
    <xf numFmtId="0" fontId="61" fillId="0" borderId="0" xfId="0" applyFont="1" applyProtection="1">
      <protection locked="0"/>
    </xf>
    <xf numFmtId="0" fontId="62" fillId="0" borderId="0" xfId="0" applyFont="1"/>
    <xf numFmtId="3" fontId="25" fillId="0" borderId="48" xfId="0" applyNumberFormat="1" applyFont="1" applyBorder="1" applyAlignment="1" applyProtection="1">
      <alignment horizontal="right" vertical="center" wrapText="1"/>
      <protection locked="0"/>
    </xf>
    <xf numFmtId="168" fontId="25" fillId="0" borderId="48" xfId="0" applyNumberFormat="1" applyFont="1" applyBorder="1" applyAlignment="1" applyProtection="1">
      <alignment vertical="center" wrapText="1"/>
      <protection locked="0"/>
    </xf>
    <xf numFmtId="168" fontId="25" fillId="0" borderId="49" xfId="0" applyNumberFormat="1" applyFont="1" applyBorder="1" applyAlignment="1" applyProtection="1">
      <alignment vertical="center" wrapText="1"/>
      <protection locked="0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4" fontId="25" fillId="0" borderId="1" xfId="0" applyNumberFormat="1" applyFont="1" applyBorder="1" applyAlignment="1" applyProtection="1">
      <alignment vertical="center" wrapText="1"/>
      <protection locked="0"/>
    </xf>
    <xf numFmtId="0" fontId="63" fillId="0" borderId="0" xfId="0" applyFont="1" applyAlignment="1" applyProtection="1">
      <alignment horizontal="left" vertical="center"/>
      <protection locked="0"/>
    </xf>
    <xf numFmtId="3" fontId="8" fillId="0" borderId="2" xfId="0" applyNumberFormat="1" applyFont="1" applyBorder="1" applyAlignment="1" applyProtection="1">
      <alignment vertical="center"/>
      <protection hidden="1"/>
    </xf>
    <xf numFmtId="1" fontId="2" fillId="9" borderId="3" xfId="0" applyNumberFormat="1" applyFont="1" applyFill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vertical="center"/>
      <protection hidden="1"/>
    </xf>
    <xf numFmtId="174" fontId="8" fillId="0" borderId="1" xfId="0" applyNumberFormat="1" applyFont="1" applyBorder="1" applyAlignment="1" applyProtection="1">
      <alignment vertical="center"/>
      <protection hidden="1"/>
    </xf>
    <xf numFmtId="174" fontId="9" fillId="0" borderId="14" xfId="0" applyNumberFormat="1" applyFont="1" applyBorder="1" applyAlignment="1" applyProtection="1">
      <alignment vertical="center"/>
      <protection locked="0"/>
    </xf>
    <xf numFmtId="3" fontId="25" fillId="0" borderId="52" xfId="0" applyNumberFormat="1" applyFont="1" applyBorder="1" applyAlignment="1" applyProtection="1">
      <alignment vertical="center"/>
      <protection locked="0"/>
    </xf>
    <xf numFmtId="3" fontId="51" fillId="13" borderId="0" xfId="0" applyNumberFormat="1" applyFont="1" applyFill="1" applyAlignment="1" applyProtection="1">
      <alignment horizontal="right" vertical="center"/>
      <protection locked="0"/>
    </xf>
    <xf numFmtId="2" fontId="0" fillId="0" borderId="0" xfId="0" applyNumberFormat="1"/>
    <xf numFmtId="2" fontId="2" fillId="0" borderId="0" xfId="0" applyNumberFormat="1" applyFont="1" applyProtection="1">
      <protection locked="0"/>
    </xf>
    <xf numFmtId="0" fontId="6" fillId="13" borderId="0" xfId="0" applyFont="1" applyFill="1" applyProtection="1">
      <protection locked="0"/>
    </xf>
    <xf numFmtId="165" fontId="6" fillId="13" borderId="0" xfId="0" applyNumberFormat="1" applyFont="1" applyFill="1" applyProtection="1">
      <protection locked="0"/>
    </xf>
    <xf numFmtId="4" fontId="25" fillId="0" borderId="3" xfId="0" applyNumberFormat="1" applyFont="1" applyBorder="1" applyAlignment="1" applyProtection="1">
      <alignment vertical="center" wrapText="1"/>
      <protection locked="0"/>
    </xf>
    <xf numFmtId="4" fontId="9" fillId="0" borderId="14" xfId="0" applyNumberFormat="1" applyFont="1" applyBorder="1" applyAlignment="1" applyProtection="1">
      <alignment vertical="center"/>
      <protection locked="0"/>
    </xf>
    <xf numFmtId="4" fontId="8" fillId="0" borderId="1" xfId="0" applyNumberFormat="1" applyFont="1" applyBorder="1" applyProtection="1">
      <protection hidden="1"/>
    </xf>
    <xf numFmtId="0" fontId="24" fillId="0" borderId="17" xfId="0" applyFont="1" applyBorder="1" applyAlignment="1" applyProtection="1">
      <alignment vertical="center" wrapText="1"/>
      <protection locked="0"/>
    </xf>
    <xf numFmtId="0" fontId="25" fillId="0" borderId="17" xfId="0" applyFont="1" applyBorder="1" applyAlignment="1" applyProtection="1">
      <alignment vertical="center" wrapText="1"/>
      <protection locked="0"/>
    </xf>
    <xf numFmtId="0" fontId="25" fillId="0" borderId="18" xfId="0" applyFont="1" applyBorder="1" applyAlignment="1" applyProtection="1">
      <alignment vertical="center" wrapText="1"/>
      <protection locked="0"/>
    </xf>
    <xf numFmtId="3" fontId="25" fillId="0" borderId="3" xfId="0" applyNumberFormat="1" applyFont="1" applyBorder="1" applyAlignment="1" applyProtection="1">
      <alignment horizontal="right" vertical="center" wrapText="1"/>
      <protection locked="0"/>
    </xf>
    <xf numFmtId="0" fontId="65" fillId="0" borderId="19" xfId="0" applyFont="1" applyBorder="1" applyAlignment="1" applyProtection="1">
      <alignment horizontal="center"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3" fontId="65" fillId="0" borderId="8" xfId="0" applyNumberFormat="1" applyFont="1" applyBorder="1" applyAlignment="1" applyProtection="1">
      <alignment vertical="center" wrapText="1"/>
      <protection locked="0"/>
    </xf>
    <xf numFmtId="9" fontId="65" fillId="0" borderId="8" xfId="0" applyNumberFormat="1" applyFont="1" applyBorder="1" applyAlignment="1" applyProtection="1">
      <alignment vertical="center" wrapText="1"/>
      <protection locked="0"/>
    </xf>
    <xf numFmtId="3" fontId="65" fillId="0" borderId="2" xfId="0" applyNumberFormat="1" applyFont="1" applyBorder="1" applyAlignment="1" applyProtection="1">
      <alignment horizontal="right" vertical="center" wrapText="1"/>
      <protection locked="0"/>
    </xf>
    <xf numFmtId="3" fontId="65" fillId="0" borderId="2" xfId="0" applyNumberFormat="1" applyFont="1" applyBorder="1" applyAlignment="1" applyProtection="1">
      <alignment vertical="center" wrapText="1"/>
      <protection locked="0"/>
    </xf>
    <xf numFmtId="168" fontId="65" fillId="0" borderId="22" xfId="0" applyNumberFormat="1" applyFont="1" applyBorder="1" applyAlignment="1" applyProtection="1">
      <alignment vertical="center" wrapText="1"/>
      <protection locked="0"/>
    </xf>
    <xf numFmtId="168" fontId="65" fillId="0" borderId="3" xfId="0" applyNumberFormat="1" applyFont="1" applyBorder="1" applyAlignment="1" applyProtection="1">
      <alignment vertical="center" wrapText="1"/>
      <protection locked="0"/>
    </xf>
    <xf numFmtId="10" fontId="65" fillId="0" borderId="3" xfId="0" applyNumberFormat="1" applyFont="1" applyBorder="1" applyAlignment="1" applyProtection="1">
      <alignment vertical="center" wrapText="1"/>
      <protection locked="0"/>
    </xf>
    <xf numFmtId="168" fontId="65" fillId="0" borderId="24" xfId="0" applyNumberFormat="1" applyFont="1" applyBorder="1" applyAlignment="1" applyProtection="1">
      <alignment vertical="center" wrapText="1"/>
      <protection locked="0"/>
    </xf>
    <xf numFmtId="0" fontId="65" fillId="0" borderId="23" xfId="0" applyFont="1" applyBorder="1" applyAlignment="1" applyProtection="1">
      <alignment horizontal="center" vertical="center" wrapText="1"/>
      <protection locked="0"/>
    </xf>
    <xf numFmtId="0" fontId="65" fillId="0" borderId="3" xfId="0" applyFont="1" applyBorder="1" applyAlignment="1" applyProtection="1">
      <alignment vertical="center" wrapText="1"/>
      <protection locked="0"/>
    </xf>
    <xf numFmtId="3" fontId="65" fillId="0" borderId="3" xfId="0" applyNumberFormat="1" applyFont="1" applyBorder="1" applyAlignment="1" applyProtection="1">
      <alignment vertical="center" wrapText="1"/>
      <protection locked="0"/>
    </xf>
    <xf numFmtId="2" fontId="9" fillId="0" borderId="14" xfId="0" applyNumberFormat="1" applyFont="1" applyBorder="1" applyProtection="1">
      <protection locked="0"/>
    </xf>
    <xf numFmtId="9" fontId="65" fillId="0" borderId="3" xfId="0" applyNumberFormat="1" applyFont="1" applyBorder="1" applyAlignment="1" applyProtection="1">
      <alignment vertical="center" wrapText="1"/>
      <protection locked="0"/>
    </xf>
    <xf numFmtId="1" fontId="8" fillId="0" borderId="1" xfId="0" applyNumberFormat="1" applyFont="1" applyBorder="1" applyAlignment="1" applyProtection="1">
      <alignment vertical="center"/>
      <protection hidden="1"/>
    </xf>
    <xf numFmtId="3" fontId="24" fillId="0" borderId="30" xfId="0" applyNumberFormat="1" applyFont="1" applyBorder="1" applyProtection="1">
      <protection locked="0"/>
    </xf>
    <xf numFmtId="3" fontId="24" fillId="0" borderId="46" xfId="0" applyNumberFormat="1" applyFont="1" applyBorder="1" applyAlignment="1" applyProtection="1">
      <alignment vertical="center"/>
      <protection locked="0"/>
    </xf>
    <xf numFmtId="3" fontId="24" fillId="0" borderId="24" xfId="0" applyNumberFormat="1" applyFont="1" applyBorder="1" applyAlignment="1" applyProtection="1">
      <alignment vertical="center" wrapText="1"/>
      <protection locked="0"/>
    </xf>
    <xf numFmtId="0" fontId="66" fillId="0" borderId="0" xfId="0" applyFont="1" applyAlignment="1">
      <alignment vertical="center"/>
    </xf>
    <xf numFmtId="3" fontId="67" fillId="2" borderId="0" xfId="0" applyNumberFormat="1" applyFont="1" applyFill="1" applyAlignment="1" applyProtection="1">
      <alignment horizontal="right" vertical="center"/>
      <protection locked="0"/>
    </xf>
    <xf numFmtId="0" fontId="67" fillId="0" borderId="0" xfId="0" applyFont="1" applyAlignment="1" applyProtection="1">
      <alignment horizontal="left" vertical="center"/>
      <protection locked="0"/>
    </xf>
    <xf numFmtId="0" fontId="67" fillId="0" borderId="0" xfId="0" applyFont="1" applyAlignment="1" applyProtection="1">
      <alignment horizontal="right" vertical="center"/>
      <protection locked="0"/>
    </xf>
    <xf numFmtId="170" fontId="67" fillId="0" borderId="0" xfId="0" applyNumberFormat="1" applyFont="1" applyAlignment="1" applyProtection="1">
      <alignment horizontal="center" vertical="center"/>
      <protection locked="0"/>
    </xf>
    <xf numFmtId="170" fontId="25" fillId="0" borderId="3" xfId="0" applyNumberFormat="1" applyFont="1" applyBorder="1" applyAlignment="1" applyProtection="1">
      <alignment vertical="center" wrapText="1"/>
      <protection locked="0"/>
    </xf>
    <xf numFmtId="3" fontId="21" fillId="0" borderId="0" xfId="0" applyNumberFormat="1" applyFont="1" applyAlignment="1" applyProtection="1">
      <alignment horizontal="right" vertical="center"/>
      <protection locked="0"/>
    </xf>
    <xf numFmtId="0" fontId="68" fillId="13" borderId="0" xfId="0" applyFont="1" applyFill="1" applyAlignment="1" applyProtection="1">
      <alignment horizontal="center"/>
      <protection locked="0"/>
    </xf>
    <xf numFmtId="4" fontId="25" fillId="0" borderId="2" xfId="0" applyNumberFormat="1" applyFont="1" applyBorder="1" applyAlignment="1" applyProtection="1">
      <alignment vertical="center" wrapText="1"/>
      <protection locked="0"/>
    </xf>
    <xf numFmtId="4" fontId="25" fillId="0" borderId="48" xfId="0" applyNumberFormat="1" applyFont="1" applyBorder="1" applyAlignment="1" applyProtection="1">
      <alignment vertical="center" wrapText="1"/>
      <protection locked="0"/>
    </xf>
    <xf numFmtId="3" fontId="63" fillId="0" borderId="0" xfId="0" applyNumberFormat="1" applyFont="1" applyAlignment="1" applyProtection="1">
      <alignment horizontal="left" vertical="center"/>
      <protection locked="0"/>
    </xf>
    <xf numFmtId="3" fontId="63" fillId="13" borderId="0" xfId="0" applyNumberFormat="1" applyFont="1" applyFill="1" applyAlignment="1" applyProtection="1">
      <alignment horizontal="left" vertical="center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" xfId="0" applyFont="1" applyBorder="1" applyAlignment="1" applyProtection="1">
      <alignment vertical="center" wrapText="1"/>
      <protection locked="0"/>
    </xf>
    <xf numFmtId="9" fontId="65" fillId="0" borderId="2" xfId="0" applyNumberFormat="1" applyFont="1" applyBorder="1" applyAlignment="1" applyProtection="1">
      <alignment vertical="center" wrapText="1"/>
      <protection locked="0"/>
    </xf>
    <xf numFmtId="3" fontId="69" fillId="0" borderId="0" xfId="0" applyNumberFormat="1" applyFont="1" applyAlignment="1">
      <alignment horizontal="right" vertical="center"/>
    </xf>
    <xf numFmtId="4" fontId="25" fillId="0" borderId="26" xfId="0" applyNumberFormat="1" applyFont="1" applyBorder="1" applyAlignment="1" applyProtection="1">
      <alignment vertical="center"/>
      <protection locked="0"/>
    </xf>
    <xf numFmtId="3" fontId="24" fillId="0" borderId="0" xfId="0" applyNumberFormat="1" applyFont="1" applyAlignment="1">
      <alignment horizontal="right" vertical="center"/>
    </xf>
    <xf numFmtId="0" fontId="44" fillId="0" borderId="0" xfId="0" applyFont="1" applyProtection="1">
      <protection locked="0"/>
    </xf>
    <xf numFmtId="0" fontId="56" fillId="0" borderId="0" xfId="0" applyFont="1"/>
    <xf numFmtId="0" fontId="56" fillId="0" borderId="0" xfId="0" applyFont="1" applyAlignment="1">
      <alignment vertical="center"/>
    </xf>
    <xf numFmtId="0" fontId="69" fillId="11" borderId="0" xfId="0" applyFont="1" applyFill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24" fillId="0" borderId="48" xfId="0" applyNumberFormat="1" applyFont="1" applyBorder="1" applyAlignment="1" applyProtection="1">
      <alignment vertical="center"/>
      <protection locked="0"/>
    </xf>
    <xf numFmtId="0" fontId="29" fillId="13" borderId="0" xfId="3" applyFont="1" applyFill="1" applyAlignment="1">
      <alignment horizontal="left"/>
    </xf>
    <xf numFmtId="0" fontId="48" fillId="13" borderId="0" xfId="3" applyFont="1" applyFill="1" applyAlignment="1">
      <alignment horizontal="left"/>
    </xf>
    <xf numFmtId="0" fontId="1" fillId="0" borderId="0" xfId="3" applyFont="1" applyAlignment="1">
      <alignment horizontal="center"/>
    </xf>
    <xf numFmtId="0" fontId="1" fillId="0" borderId="0" xfId="3" applyFont="1"/>
    <xf numFmtId="0" fontId="20" fillId="0" borderId="0" xfId="3" applyFont="1" applyAlignment="1">
      <alignment horizontal="justify"/>
    </xf>
    <xf numFmtId="0" fontId="20" fillId="0" borderId="11" xfId="3" applyFont="1" applyBorder="1" applyAlignment="1">
      <alignment horizontal="justify" vertical="top"/>
    </xf>
    <xf numFmtId="0" fontId="28" fillId="0" borderId="3" xfId="3" applyFont="1" applyBorder="1" applyAlignment="1">
      <alignment horizontal="justify" vertical="top"/>
    </xf>
    <xf numFmtId="0" fontId="29" fillId="0" borderId="3" xfId="3" applyFont="1" applyBorder="1" applyAlignment="1">
      <alignment horizontal="center" vertical="top"/>
    </xf>
    <xf numFmtId="0" fontId="30" fillId="0" borderId="3" xfId="3" applyFont="1" applyBorder="1" applyAlignment="1">
      <alignment horizontal="justify" vertical="top" wrapText="1"/>
    </xf>
    <xf numFmtId="167" fontId="1" fillId="0" borderId="3" xfId="3" applyNumberFormat="1" applyFont="1" applyBorder="1" applyAlignment="1">
      <alignment horizontal="justify" vertical="top" wrapText="1"/>
    </xf>
    <xf numFmtId="164" fontId="1" fillId="0" borderId="3" xfId="3" applyNumberFormat="1" applyFont="1" applyBorder="1" applyAlignment="1">
      <alignment horizontal="justify" vertical="top" wrapText="1"/>
    </xf>
    <xf numFmtId="0" fontId="20" fillId="0" borderId="0" xfId="3" applyFont="1"/>
    <xf numFmtId="0" fontId="28" fillId="0" borderId="3" xfId="3" applyFont="1" applyBorder="1" applyAlignment="1">
      <alignment horizontal="justify" vertical="top" wrapText="1"/>
    </xf>
    <xf numFmtId="0" fontId="29" fillId="0" borderId="3" xfId="3" applyFont="1" applyBorder="1" applyAlignment="1">
      <alignment horizontal="center" vertical="top" wrapText="1"/>
    </xf>
    <xf numFmtId="0" fontId="1" fillId="0" borderId="3" xfId="3" applyFont="1" applyBorder="1" applyAlignment="1">
      <alignment horizontal="center" vertical="top" wrapText="1"/>
    </xf>
    <xf numFmtId="0" fontId="48" fillId="0" borderId="0" xfId="3" applyFont="1" applyAlignment="1">
      <alignment horizontal="left"/>
    </xf>
    <xf numFmtId="0" fontId="29" fillId="0" borderId="0" xfId="3" applyFont="1"/>
    <xf numFmtId="0" fontId="20" fillId="0" borderId="0" xfId="3" applyFont="1" applyAlignment="1">
      <alignment horizontal="left"/>
    </xf>
    <xf numFmtId="0" fontId="28" fillId="0" borderId="3" xfId="3" applyFont="1" applyBorder="1" applyAlignment="1">
      <alignment horizontal="left" vertical="top" wrapText="1"/>
    </xf>
    <xf numFmtId="168" fontId="29" fillId="0" borderId="3" xfId="3" applyNumberFormat="1" applyFont="1" applyBorder="1" applyAlignment="1">
      <alignment vertical="top" wrapText="1"/>
    </xf>
    <xf numFmtId="168" fontId="29" fillId="0" borderId="3" xfId="3" applyNumberFormat="1" applyFont="1" applyBorder="1" applyAlignment="1">
      <alignment horizontal="left" vertical="top" wrapText="1"/>
    </xf>
    <xf numFmtId="0" fontId="30" fillId="0" borderId="3" xfId="3" applyFont="1" applyBorder="1" applyAlignment="1">
      <alignment horizontal="left" vertical="top" wrapText="1"/>
    </xf>
    <xf numFmtId="168" fontId="1" fillId="0" borderId="3" xfId="3" applyNumberFormat="1" applyFont="1" applyBorder="1" applyAlignment="1">
      <alignment vertical="top" wrapText="1"/>
    </xf>
    <xf numFmtId="168" fontId="1" fillId="0" borderId="3" xfId="3" applyNumberFormat="1" applyFont="1" applyBorder="1" applyAlignment="1">
      <alignment horizontal="left" vertical="top" wrapText="1"/>
    </xf>
    <xf numFmtId="167" fontId="1" fillId="0" borderId="3" xfId="3" applyNumberFormat="1" applyFont="1" applyBorder="1" applyAlignment="1">
      <alignment vertical="top" wrapText="1"/>
    </xf>
    <xf numFmtId="168" fontId="1" fillId="13" borderId="3" xfId="3" applyNumberFormat="1" applyFont="1" applyFill="1" applyBorder="1" applyAlignment="1">
      <alignment vertical="top" wrapText="1"/>
    </xf>
    <xf numFmtId="164" fontId="1" fillId="0" borderId="3" xfId="3" applyNumberFormat="1" applyFont="1" applyBorder="1" applyAlignment="1">
      <alignment horizontal="left" vertical="top" wrapText="1"/>
    </xf>
    <xf numFmtId="0" fontId="30" fillId="0" borderId="0" xfId="3" applyFont="1" applyAlignment="1">
      <alignment horizontal="left" vertical="top" wrapText="1"/>
    </xf>
    <xf numFmtId="9" fontId="1" fillId="0" borderId="0" xfId="4" applyFont="1" applyBorder="1" applyAlignment="1" applyProtection="1">
      <alignment horizontal="left" vertical="top" wrapText="1"/>
    </xf>
    <xf numFmtId="0" fontId="1" fillId="0" borderId="0" xfId="3" applyFont="1" applyAlignment="1">
      <alignment horizontal="justify"/>
    </xf>
    <xf numFmtId="3" fontId="29" fillId="0" borderId="3" xfId="3" applyNumberFormat="1" applyFont="1" applyBorder="1" applyAlignment="1">
      <alignment horizontal="center" vertical="top" wrapText="1"/>
    </xf>
    <xf numFmtId="0" fontId="1" fillId="13" borderId="3" xfId="3" applyFont="1" applyFill="1" applyBorder="1" applyAlignment="1">
      <alignment horizontal="center" vertical="top" wrapText="1"/>
    </xf>
    <xf numFmtId="0" fontId="49" fillId="0" borderId="0" xfId="3" applyFont="1" applyAlignment="1">
      <alignment horizontal="left"/>
    </xf>
    <xf numFmtId="0" fontId="28" fillId="0" borderId="0" xfId="3" applyFont="1" applyAlignment="1">
      <alignment horizontal="left"/>
    </xf>
    <xf numFmtId="0" fontId="49" fillId="13" borderId="0" xfId="3" applyFont="1" applyFill="1" applyAlignment="1">
      <alignment horizontal="left"/>
    </xf>
    <xf numFmtId="0" fontId="30" fillId="0" borderId="0" xfId="3" applyFont="1" applyAlignment="1">
      <alignment horizontal="justify" vertical="top" wrapText="1"/>
    </xf>
    <xf numFmtId="0" fontId="1" fillId="0" borderId="0" xfId="3" applyFont="1" applyAlignment="1">
      <alignment horizontal="center" vertical="top" wrapText="1"/>
    </xf>
    <xf numFmtId="9" fontId="1" fillId="0" borderId="0" xfId="4" applyFont="1"/>
    <xf numFmtId="0" fontId="1" fillId="13" borderId="0" xfId="3" applyFont="1" applyFill="1"/>
    <xf numFmtId="9" fontId="1" fillId="13" borderId="0" xfId="4" applyFont="1" applyFill="1"/>
    <xf numFmtId="0" fontId="28" fillId="13" borderId="3" xfId="3" applyFont="1" applyFill="1" applyBorder="1" applyAlignment="1">
      <alignment horizontal="justify" vertical="top" wrapText="1"/>
    </xf>
    <xf numFmtId="0" fontId="29" fillId="13" borderId="3" xfId="3" applyFont="1" applyFill="1" applyBorder="1" applyAlignment="1">
      <alignment horizontal="center" vertical="top" wrapText="1"/>
    </xf>
    <xf numFmtId="3" fontId="29" fillId="13" borderId="3" xfId="3" applyNumberFormat="1" applyFont="1" applyFill="1" applyBorder="1" applyAlignment="1">
      <alignment horizontal="center" vertical="top" wrapText="1"/>
    </xf>
    <xf numFmtId="0" fontId="30" fillId="13" borderId="0" xfId="3" applyFont="1" applyFill="1" applyAlignment="1">
      <alignment horizontal="center" vertical="top" wrapText="1"/>
    </xf>
    <xf numFmtId="0" fontId="1" fillId="13" borderId="0" xfId="3" applyFont="1" applyFill="1" applyAlignment="1">
      <alignment horizontal="center" vertical="top" wrapText="1"/>
    </xf>
    <xf numFmtId="0" fontId="30" fillId="0" borderId="0" xfId="3" applyFont="1" applyAlignment="1">
      <alignment horizontal="center" vertical="top" wrapText="1"/>
    </xf>
    <xf numFmtId="0" fontId="29" fillId="0" borderId="0" xfId="3" applyFont="1" applyAlignment="1">
      <alignment horizontal="left"/>
    </xf>
    <xf numFmtId="0" fontId="28" fillId="0" borderId="3" xfId="3" applyFont="1" applyBorder="1" applyAlignment="1">
      <alignment horizontal="center" wrapText="1"/>
    </xf>
    <xf numFmtId="0" fontId="29" fillId="0" borderId="3" xfId="3" applyFont="1" applyBorder="1" applyAlignment="1">
      <alignment horizontal="center" wrapText="1"/>
    </xf>
    <xf numFmtId="0" fontId="1" fillId="0" borderId="3" xfId="3" applyFont="1" applyBorder="1" applyAlignment="1">
      <alignment horizontal="center" wrapText="1"/>
    </xf>
    <xf numFmtId="0" fontId="28" fillId="0" borderId="0" xfId="3" applyFont="1" applyAlignment="1">
      <alignment horizontal="right"/>
    </xf>
    <xf numFmtId="0" fontId="28" fillId="0" borderId="3" xfId="3" applyFont="1" applyBorder="1" applyAlignment="1">
      <alignment horizontal="justify" wrapText="1"/>
    </xf>
    <xf numFmtId="0" fontId="30" fillId="0" borderId="0" xfId="3" applyFont="1" applyAlignment="1">
      <alignment horizontal="center" wrapText="1"/>
    </xf>
    <xf numFmtId="0" fontId="1" fillId="0" borderId="0" xfId="3" applyFont="1" applyAlignment="1">
      <alignment horizontal="center" wrapText="1"/>
    </xf>
    <xf numFmtId="0" fontId="28" fillId="0" borderId="0" xfId="3" applyFont="1"/>
    <xf numFmtId="0" fontId="20" fillId="0" borderId="7" xfId="3" applyFont="1" applyBorder="1" applyAlignment="1">
      <alignment horizontal="justify" vertical="center" wrapText="1"/>
    </xf>
    <xf numFmtId="0" fontId="20" fillId="0" borderId="7" xfId="3" applyFont="1" applyBorder="1" applyAlignment="1">
      <alignment horizontal="left" vertical="center" wrapText="1"/>
    </xf>
    <xf numFmtId="0" fontId="29" fillId="0" borderId="7" xfId="3" applyFont="1" applyBorder="1" applyAlignment="1">
      <alignment horizontal="center" vertical="center" wrapText="1"/>
    </xf>
    <xf numFmtId="3" fontId="29" fillId="0" borderId="7" xfId="3" applyNumberFormat="1" applyFont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20" fillId="0" borderId="3" xfId="3" applyFont="1" applyBorder="1" applyAlignment="1">
      <alignment horizontal="justify" vertical="center" wrapText="1"/>
    </xf>
    <xf numFmtId="0" fontId="30" fillId="0" borderId="3" xfId="3" applyFont="1" applyBorder="1" applyAlignment="1">
      <alignment horizontal="justify" vertical="center" wrapText="1"/>
    </xf>
    <xf numFmtId="0" fontId="1" fillId="0" borderId="3" xfId="3" applyFont="1" applyBorder="1" applyAlignment="1">
      <alignment horizontal="center" vertical="center" wrapText="1"/>
    </xf>
    <xf numFmtId="0" fontId="28" fillId="0" borderId="0" xfId="3" applyFont="1" applyAlignment="1">
      <alignment horizontal="justify"/>
    </xf>
    <xf numFmtId="0" fontId="57" fillId="0" borderId="0" xfId="3" applyFont="1" applyAlignment="1">
      <alignment horizontal="left"/>
    </xf>
    <xf numFmtId="0" fontId="57" fillId="0" borderId="3" xfId="3" applyFont="1" applyBorder="1" applyAlignment="1">
      <alignment horizontal="justify" vertical="center" wrapText="1"/>
    </xf>
    <xf numFmtId="0" fontId="56" fillId="0" borderId="3" xfId="3" applyFont="1" applyBorder="1" applyAlignment="1">
      <alignment horizontal="center" vertical="center" wrapText="1"/>
    </xf>
    <xf numFmtId="0" fontId="58" fillId="0" borderId="0" xfId="3" applyFont="1" applyAlignment="1">
      <alignment vertical="center"/>
    </xf>
    <xf numFmtId="0" fontId="59" fillId="0" borderId="3" xfId="3" applyFont="1" applyBorder="1" applyAlignment="1">
      <alignment horizontal="justify" vertical="center" wrapText="1"/>
    </xf>
    <xf numFmtId="0" fontId="58" fillId="0" borderId="3" xfId="3" applyFont="1" applyBorder="1" applyAlignment="1">
      <alignment horizontal="center" vertical="center" wrapText="1"/>
    </xf>
    <xf numFmtId="177" fontId="25" fillId="0" borderId="45" xfId="0" applyNumberFormat="1" applyFont="1" applyBorder="1" applyAlignment="1" applyProtection="1">
      <alignment vertical="center"/>
      <protection locked="0"/>
    </xf>
    <xf numFmtId="177" fontId="25" fillId="0" borderId="46" xfId="0" applyNumberFormat="1" applyFont="1" applyBorder="1" applyAlignment="1" applyProtection="1">
      <alignment vertical="center"/>
      <protection locked="0"/>
    </xf>
    <xf numFmtId="177" fontId="25" fillId="0" borderId="26" xfId="0" applyNumberFormat="1" applyFont="1" applyBorder="1" applyAlignment="1" applyProtection="1">
      <alignment vertical="center"/>
      <protection locked="0"/>
    </xf>
    <xf numFmtId="177" fontId="25" fillId="0" borderId="27" xfId="0" applyNumberFormat="1" applyFont="1" applyBorder="1" applyAlignment="1" applyProtection="1">
      <alignment vertical="center"/>
      <protection locked="0"/>
    </xf>
    <xf numFmtId="0" fontId="72" fillId="16" borderId="9" xfId="0" applyFont="1" applyFill="1" applyBorder="1" applyAlignment="1">
      <alignment horizontal="center" vertical="center" wrapText="1"/>
    </xf>
    <xf numFmtId="0" fontId="72" fillId="16" borderId="66" xfId="0" applyFont="1" applyFill="1" applyBorder="1" applyAlignment="1">
      <alignment horizontal="center" vertical="center" wrapText="1"/>
    </xf>
    <xf numFmtId="0" fontId="72" fillId="16" borderId="67" xfId="0" applyFont="1" applyFill="1" applyBorder="1" applyAlignment="1">
      <alignment horizontal="center" vertical="center" wrapText="1"/>
    </xf>
    <xf numFmtId="0" fontId="73" fillId="16" borderId="17" xfId="0" applyFont="1" applyFill="1" applyBorder="1" applyAlignment="1">
      <alignment horizontal="center" vertical="center" wrapText="1"/>
    </xf>
    <xf numFmtId="3" fontId="73" fillId="16" borderId="17" xfId="0" applyNumberFormat="1" applyFont="1" applyFill="1" applyBorder="1" applyAlignment="1">
      <alignment horizontal="center" vertical="center" wrapText="1"/>
    </xf>
    <xf numFmtId="0" fontId="73" fillId="16" borderId="3" xfId="0" applyFont="1" applyFill="1" applyBorder="1" applyAlignment="1">
      <alignment horizontal="center" vertical="center" wrapText="1"/>
    </xf>
    <xf numFmtId="0" fontId="73" fillId="16" borderId="24" xfId="0" applyFont="1" applyFill="1" applyBorder="1" applyAlignment="1">
      <alignment horizontal="center" vertical="center" wrapText="1"/>
    </xf>
    <xf numFmtId="0" fontId="73" fillId="16" borderId="29" xfId="0" applyFont="1" applyFill="1" applyBorder="1" applyAlignment="1">
      <alignment horizontal="center" vertical="center" wrapText="1"/>
    </xf>
    <xf numFmtId="0" fontId="73" fillId="16" borderId="30" xfId="0" applyFont="1" applyFill="1" applyBorder="1" applyAlignment="1">
      <alignment horizontal="center" vertical="center" wrapText="1"/>
    </xf>
    <xf numFmtId="0" fontId="75" fillId="16" borderId="16" xfId="0" applyFont="1" applyFill="1" applyBorder="1" applyAlignment="1">
      <alignment vertical="center" wrapText="1"/>
    </xf>
    <xf numFmtId="0" fontId="75" fillId="16" borderId="23" xfId="0" applyFont="1" applyFill="1" applyBorder="1" applyAlignment="1">
      <alignment vertical="center" wrapText="1"/>
    </xf>
    <xf numFmtId="0" fontId="75" fillId="16" borderId="28" xfId="0" applyFont="1" applyFill="1" applyBorder="1" applyAlignment="1">
      <alignment vertical="center" wrapText="1"/>
    </xf>
    <xf numFmtId="3" fontId="74" fillId="16" borderId="18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  <protection locked="0"/>
    </xf>
    <xf numFmtId="165" fontId="9" fillId="0" borderId="4" xfId="0" applyNumberFormat="1" applyFont="1" applyBorder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170" fontId="8" fillId="0" borderId="4" xfId="0" applyNumberFormat="1" applyFont="1" applyBorder="1" applyAlignment="1" applyProtection="1">
      <alignment vertical="center"/>
      <protection hidden="1"/>
    </xf>
    <xf numFmtId="3" fontId="8" fillId="0" borderId="4" xfId="0" applyNumberFormat="1" applyFont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/>
      <protection hidden="1"/>
    </xf>
    <xf numFmtId="179" fontId="8" fillId="0" borderId="52" xfId="0" applyNumberFormat="1" applyFont="1" applyBorder="1" applyProtection="1">
      <protection hidden="1"/>
    </xf>
    <xf numFmtId="179" fontId="8" fillId="0" borderId="1" xfId="0" applyNumberFormat="1" applyFont="1" applyBorder="1" applyProtection="1">
      <protection hidden="1"/>
    </xf>
    <xf numFmtId="178" fontId="8" fillId="0" borderId="1" xfId="0" applyNumberFormat="1" applyFont="1" applyBorder="1" applyAlignment="1" applyProtection="1">
      <alignment vertical="center"/>
      <protection hidden="1"/>
    </xf>
    <xf numFmtId="165" fontId="9" fillId="0" borderId="49" xfId="0" applyNumberFormat="1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  <protection hidden="1"/>
    </xf>
    <xf numFmtId="2" fontId="8" fillId="0" borderId="52" xfId="0" applyNumberFormat="1" applyFont="1" applyBorder="1" applyProtection="1">
      <protection hidden="1"/>
    </xf>
    <xf numFmtId="2" fontId="8" fillId="0" borderId="55" xfId="0" applyNumberFormat="1" applyFont="1" applyBorder="1" applyProtection="1">
      <protection hidden="1"/>
    </xf>
    <xf numFmtId="180" fontId="8" fillId="0" borderId="1" xfId="0" applyNumberFormat="1" applyFont="1" applyBorder="1" applyProtection="1">
      <protection hidden="1"/>
    </xf>
    <xf numFmtId="165" fontId="8" fillId="0" borderId="20" xfId="0" applyNumberFormat="1" applyFont="1" applyBorder="1" applyAlignment="1" applyProtection="1">
      <alignment vertical="center"/>
      <protection hidden="1"/>
    </xf>
    <xf numFmtId="165" fontId="9" fillId="0" borderId="14" xfId="0" applyNumberFormat="1" applyFont="1" applyBorder="1" applyAlignment="1" applyProtection="1">
      <alignment horizontal="right" vertical="center"/>
      <protection locked="0"/>
    </xf>
    <xf numFmtId="165" fontId="8" fillId="0" borderId="1" xfId="0" applyNumberFormat="1" applyFont="1" applyBorder="1" applyAlignment="1" applyProtection="1">
      <alignment horizontal="right" vertical="center"/>
      <protection hidden="1"/>
    </xf>
    <xf numFmtId="4" fontId="8" fillId="0" borderId="1" xfId="0" applyNumberFormat="1" applyFont="1" applyBorder="1" applyAlignment="1" applyProtection="1">
      <alignment horizontal="right" vertical="center"/>
      <protection hidden="1"/>
    </xf>
    <xf numFmtId="4" fontId="8" fillId="0" borderId="2" xfId="0" applyNumberFormat="1" applyFont="1" applyBorder="1" applyAlignment="1" applyProtection="1">
      <alignment horizontal="right" vertical="center"/>
      <protection hidden="1"/>
    </xf>
    <xf numFmtId="179" fontId="8" fillId="0" borderId="1" xfId="0" applyNumberFormat="1" applyFont="1" applyBorder="1" applyAlignment="1" applyProtection="1">
      <alignment vertical="center"/>
      <protection hidden="1"/>
    </xf>
    <xf numFmtId="177" fontId="8" fillId="0" borderId="1" xfId="0" applyNumberFormat="1" applyFont="1" applyBorder="1" applyAlignment="1" applyProtection="1">
      <alignment vertical="center"/>
      <protection hidden="1"/>
    </xf>
    <xf numFmtId="177" fontId="8" fillId="0" borderId="20" xfId="0" applyNumberFormat="1" applyFont="1" applyBorder="1" applyAlignment="1" applyProtection="1">
      <alignment vertical="center"/>
      <protection hidden="1"/>
    </xf>
    <xf numFmtId="177" fontId="8" fillId="0" borderId="52" xfId="0" applyNumberFormat="1" applyFont="1" applyBorder="1" applyProtection="1">
      <protection hidden="1"/>
    </xf>
    <xf numFmtId="177" fontId="8" fillId="0" borderId="55" xfId="0" applyNumberFormat="1" applyFont="1" applyBorder="1" applyProtection="1">
      <protection hidden="1"/>
    </xf>
    <xf numFmtId="165" fontId="9" fillId="0" borderId="56" xfId="0" applyNumberFormat="1" applyFont="1" applyBorder="1" applyAlignment="1" applyProtection="1">
      <alignment vertical="center"/>
      <protection locked="0"/>
    </xf>
    <xf numFmtId="166" fontId="64" fillId="13" borderId="0" xfId="0" applyNumberFormat="1" applyFont="1" applyFill="1" applyProtection="1">
      <protection locked="0"/>
    </xf>
    <xf numFmtId="2" fontId="9" fillId="0" borderId="48" xfId="0" applyNumberFormat="1" applyFont="1" applyBorder="1" applyProtection="1">
      <protection locked="0"/>
    </xf>
    <xf numFmtId="4" fontId="76" fillId="0" borderId="14" xfId="0" applyNumberFormat="1" applyFont="1" applyBorder="1" applyAlignment="1" applyProtection="1">
      <alignment vertical="center"/>
      <protection locked="0"/>
    </xf>
    <xf numFmtId="180" fontId="8" fillId="0" borderId="52" xfId="0" applyNumberFormat="1" applyFont="1" applyBorder="1" applyProtection="1">
      <protection hidden="1"/>
    </xf>
    <xf numFmtId="177" fontId="8" fillId="0" borderId="52" xfId="0" applyNumberFormat="1" applyFont="1" applyBorder="1" applyAlignment="1" applyProtection="1">
      <alignment vertical="center"/>
      <protection hidden="1"/>
    </xf>
    <xf numFmtId="10" fontId="25" fillId="0" borderId="3" xfId="0" applyNumberFormat="1" applyFont="1" applyBorder="1" applyAlignment="1" applyProtection="1">
      <alignment horizontal="right" vertical="center" wrapText="1"/>
      <protection locked="0"/>
    </xf>
    <xf numFmtId="182" fontId="8" fillId="0" borderId="1" xfId="0" applyNumberFormat="1" applyFont="1" applyBorder="1" applyProtection="1">
      <protection hidden="1"/>
    </xf>
    <xf numFmtId="182" fontId="8" fillId="0" borderId="52" xfId="0" applyNumberFormat="1" applyFont="1" applyBorder="1" applyProtection="1">
      <protection hidden="1"/>
    </xf>
    <xf numFmtId="182" fontId="8" fillId="0" borderId="52" xfId="0" applyNumberFormat="1" applyFont="1" applyBorder="1" applyAlignment="1" applyProtection="1">
      <alignment horizontal="right"/>
      <protection hidden="1"/>
    </xf>
    <xf numFmtId="165" fontId="8" fillId="0" borderId="1" xfId="0" applyNumberFormat="1" applyFont="1" applyBorder="1" applyProtection="1">
      <protection hidden="1"/>
    </xf>
    <xf numFmtId="4" fontId="24" fillId="0" borderId="49" xfId="0" applyNumberFormat="1" applyFont="1" applyBorder="1" applyAlignment="1" applyProtection="1">
      <alignment vertical="center"/>
      <protection locked="0"/>
    </xf>
    <xf numFmtId="4" fontId="76" fillId="0" borderId="48" xfId="0" applyNumberFormat="1" applyFont="1" applyBorder="1" applyAlignment="1" applyProtection="1">
      <alignment vertical="center"/>
      <protection locked="0"/>
    </xf>
    <xf numFmtId="166" fontId="77" fillId="0" borderId="1" xfId="0" applyNumberFormat="1" applyFont="1" applyBorder="1" applyProtection="1">
      <protection hidden="1"/>
    </xf>
    <xf numFmtId="181" fontId="77" fillId="0" borderId="1" xfId="0" applyNumberFormat="1" applyFont="1" applyBorder="1" applyProtection="1">
      <protection hidden="1"/>
    </xf>
    <xf numFmtId="181" fontId="77" fillId="0" borderId="52" xfId="0" applyNumberFormat="1" applyFont="1" applyBorder="1" applyProtection="1">
      <protection hidden="1"/>
    </xf>
    <xf numFmtId="183" fontId="8" fillId="0" borderId="1" xfId="0" applyNumberFormat="1" applyFont="1" applyBorder="1" applyProtection="1">
      <protection hidden="1"/>
    </xf>
    <xf numFmtId="183" fontId="8" fillId="0" borderId="52" xfId="0" applyNumberFormat="1" applyFont="1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50" fillId="15" borderId="23" xfId="0" applyFont="1" applyFill="1" applyBorder="1" applyAlignment="1" applyProtection="1">
      <alignment horizontal="center" vertical="center" wrapText="1"/>
      <protection locked="0"/>
    </xf>
    <xf numFmtId="0" fontId="50" fillId="15" borderId="3" xfId="0" applyFont="1" applyFill="1" applyBorder="1" applyAlignment="1" applyProtection="1">
      <alignment vertical="center" wrapText="1"/>
      <protection locked="0"/>
    </xf>
    <xf numFmtId="3" fontId="50" fillId="15" borderId="3" xfId="0" applyNumberFormat="1" applyFont="1" applyFill="1" applyBorder="1" applyAlignment="1" applyProtection="1">
      <alignment horizontal="right" vertical="center" wrapText="1"/>
      <protection locked="0"/>
    </xf>
    <xf numFmtId="4" fontId="50" fillId="15" borderId="3" xfId="0" applyNumberFormat="1" applyFont="1" applyFill="1" applyBorder="1" applyAlignment="1" applyProtection="1">
      <alignment vertical="center" wrapText="1"/>
      <protection locked="0"/>
    </xf>
    <xf numFmtId="168" fontId="50" fillId="15" borderId="3" xfId="0" applyNumberFormat="1" applyFont="1" applyFill="1" applyBorder="1" applyAlignment="1" applyProtection="1">
      <alignment vertical="center" wrapText="1"/>
      <protection locked="0"/>
    </xf>
    <xf numFmtId="168" fontId="50" fillId="15" borderId="24" xfId="0" applyNumberFormat="1" applyFont="1" applyFill="1" applyBorder="1" applyAlignment="1" applyProtection="1">
      <alignment vertical="center" wrapText="1"/>
      <protection locked="0"/>
    </xf>
    <xf numFmtId="0" fontId="78" fillId="15" borderId="0" xfId="0" applyFont="1" applyFill="1"/>
    <xf numFmtId="3" fontId="78" fillId="15" borderId="0" xfId="1" applyNumberFormat="1" applyFont="1" applyFill="1"/>
    <xf numFmtId="0" fontId="79" fillId="15" borderId="0" xfId="0" applyFont="1" applyFill="1" applyProtection="1">
      <protection locked="0"/>
    </xf>
    <xf numFmtId="164" fontId="5" fillId="0" borderId="0" xfId="0" applyNumberFormat="1" applyFont="1" applyProtection="1">
      <protection locked="0"/>
    </xf>
    <xf numFmtId="168" fontId="21" fillId="0" borderId="0" xfId="0" applyNumberFormat="1" applyFont="1" applyAlignment="1" applyProtection="1">
      <alignment horizontal="center"/>
      <protection locked="0"/>
    </xf>
    <xf numFmtId="164" fontId="0" fillId="0" borderId="0" xfId="0" applyNumberFormat="1"/>
    <xf numFmtId="168" fontId="56" fillId="0" borderId="0" xfId="0" applyNumberFormat="1" applyFont="1"/>
    <xf numFmtId="184" fontId="5" fillId="0" borderId="0" xfId="0" applyNumberFormat="1" applyFont="1" applyProtection="1">
      <protection locked="0"/>
    </xf>
    <xf numFmtId="3" fontId="1" fillId="0" borderId="0" xfId="1" applyNumberFormat="1"/>
    <xf numFmtId="0" fontId="1" fillId="0" borderId="0" xfId="0" applyFont="1" applyAlignment="1">
      <alignment vertical="center"/>
    </xf>
    <xf numFmtId="3" fontId="44" fillId="0" borderId="0" xfId="0" applyNumberFormat="1" applyFont="1" applyProtection="1">
      <protection locked="0"/>
    </xf>
    <xf numFmtId="3" fontId="29" fillId="0" borderId="0" xfId="0" applyNumberFormat="1" applyFont="1"/>
    <xf numFmtId="0" fontId="80" fillId="0" borderId="3" xfId="0" applyFont="1" applyBorder="1" applyAlignment="1">
      <alignment horizontal="center"/>
    </xf>
    <xf numFmtId="0" fontId="81" fillId="0" borderId="0" xfId="0" applyFont="1"/>
    <xf numFmtId="0" fontId="80" fillId="0" borderId="3" xfId="0" applyFont="1" applyBorder="1" applyAlignment="1">
      <alignment horizontal="left"/>
    </xf>
    <xf numFmtId="3" fontId="80" fillId="0" borderId="3" xfId="0" applyNumberFormat="1" applyFont="1" applyBorder="1" applyAlignment="1">
      <alignment horizontal="center"/>
    </xf>
    <xf numFmtId="0" fontId="82" fillId="0" borderId="3" xfId="0" applyFont="1" applyBorder="1" applyAlignment="1">
      <alignment horizontal="center"/>
    </xf>
    <xf numFmtId="0" fontId="82" fillId="0" borderId="3" xfId="0" applyFont="1" applyBorder="1" applyAlignment="1">
      <alignment horizontal="left"/>
    </xf>
    <xf numFmtId="3" fontId="82" fillId="0" borderId="3" xfId="0" applyNumberFormat="1" applyFont="1" applyBorder="1" applyAlignment="1">
      <alignment horizontal="center"/>
    </xf>
    <xf numFmtId="49" fontId="82" fillId="0" borderId="3" xfId="0" applyNumberFormat="1" applyFont="1" applyBorder="1" applyAlignment="1">
      <alignment wrapText="1"/>
    </xf>
    <xf numFmtId="49" fontId="80" fillId="0" borderId="3" xfId="0" applyNumberFormat="1" applyFont="1" applyBorder="1" applyAlignment="1">
      <alignment wrapText="1"/>
    </xf>
    <xf numFmtId="0" fontId="82" fillId="0" borderId="3" xfId="0" applyFont="1" applyBorder="1" applyAlignment="1">
      <alignment horizontal="center" vertical="center"/>
    </xf>
    <xf numFmtId="3" fontId="81" fillId="0" borderId="0" xfId="0" applyNumberFormat="1" applyFont="1"/>
    <xf numFmtId="49" fontId="82" fillId="0" borderId="3" xfId="0" applyNumberFormat="1" applyFont="1" applyBorder="1"/>
    <xf numFmtId="49" fontId="80" fillId="0" borderId="3" xfId="0" applyNumberFormat="1" applyFont="1" applyBorder="1" applyAlignment="1">
      <alignment horizontal="center" wrapText="1"/>
    </xf>
    <xf numFmtId="0" fontId="81" fillId="0" borderId="3" xfId="0" applyFont="1" applyBorder="1"/>
    <xf numFmtId="0" fontId="81" fillId="0" borderId="3" xfId="0" applyFont="1" applyBorder="1" applyAlignment="1">
      <alignment horizontal="center"/>
    </xf>
    <xf numFmtId="0" fontId="81" fillId="0" borderId="0" xfId="0" applyFont="1" applyAlignment="1">
      <alignment horizontal="center"/>
    </xf>
    <xf numFmtId="49" fontId="81" fillId="0" borderId="0" xfId="0" applyNumberFormat="1" applyFont="1"/>
    <xf numFmtId="0" fontId="81" fillId="0" borderId="0" xfId="0" applyFont="1" applyAlignment="1">
      <alignment horizontal="left"/>
    </xf>
    <xf numFmtId="0" fontId="83" fillId="0" borderId="0" xfId="0" applyFont="1"/>
    <xf numFmtId="169" fontId="81" fillId="0" borderId="0" xfId="0" applyNumberFormat="1" applyFont="1"/>
    <xf numFmtId="0" fontId="23" fillId="0" borderId="3" xfId="0" applyFont="1" applyBorder="1" applyAlignment="1">
      <alignment horizontal="center"/>
    </xf>
    <xf numFmtId="0" fontId="13" fillId="0" borderId="0" xfId="0" applyFont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3" fontId="13" fillId="0" borderId="3" xfId="0" applyNumberFormat="1" applyFont="1" applyBorder="1" applyAlignment="1">
      <alignment horizontal="center"/>
    </xf>
    <xf numFmtId="0" fontId="84" fillId="0" borderId="3" xfId="0" applyFont="1" applyBorder="1"/>
    <xf numFmtId="3" fontId="84" fillId="0" borderId="3" xfId="0" applyNumberFormat="1" applyFont="1" applyBorder="1" applyAlignment="1">
      <alignment horizontal="center"/>
    </xf>
    <xf numFmtId="0" fontId="23" fillId="0" borderId="3" xfId="0" applyFont="1" applyBorder="1"/>
    <xf numFmtId="3" fontId="23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168" fontId="0" fillId="0" borderId="0" xfId="0" applyNumberFormat="1"/>
    <xf numFmtId="0" fontId="85" fillId="0" borderId="3" xfId="0" applyFont="1" applyBorder="1" applyAlignment="1">
      <alignment vertical="center" wrapText="1"/>
    </xf>
    <xf numFmtId="0" fontId="54" fillId="0" borderId="3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3" xfId="0" applyFont="1" applyBorder="1" applyProtection="1">
      <protection locked="0"/>
    </xf>
    <xf numFmtId="168" fontId="24" fillId="0" borderId="3" xfId="0" applyNumberFormat="1" applyFont="1" applyBorder="1" applyProtection="1">
      <protection locked="0"/>
    </xf>
    <xf numFmtId="3" fontId="69" fillId="0" borderId="3" xfId="0" applyNumberFormat="1" applyFont="1" applyBorder="1" applyAlignment="1" applyProtection="1">
      <alignment vertical="center" wrapText="1"/>
      <protection locked="0"/>
    </xf>
    <xf numFmtId="10" fontId="69" fillId="0" borderId="3" xfId="0" applyNumberFormat="1" applyFont="1" applyBorder="1" applyAlignment="1" applyProtection="1">
      <alignment vertical="center" wrapText="1"/>
      <protection locked="0"/>
    </xf>
    <xf numFmtId="0" fontId="24" fillId="0" borderId="3" xfId="0" applyFont="1" applyBorder="1" applyAlignment="1" applyProtection="1">
      <alignment vertical="center"/>
      <protection locked="0"/>
    </xf>
    <xf numFmtId="172" fontId="24" fillId="0" borderId="3" xfId="0" applyNumberFormat="1" applyFont="1" applyBorder="1" applyAlignment="1" applyProtection="1">
      <alignment vertical="center"/>
      <protection locked="0"/>
    </xf>
    <xf numFmtId="168" fontId="24" fillId="0" borderId="3" xfId="0" applyNumberFormat="1" applyFont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53" fillId="13" borderId="61" xfId="0" applyFont="1" applyFill="1" applyBorder="1" applyAlignment="1" applyProtection="1">
      <alignment horizontal="center" vertical="center" wrapText="1"/>
      <protection locked="0"/>
    </xf>
    <xf numFmtId="0" fontId="29" fillId="10" borderId="31" xfId="0" applyFont="1" applyFill="1" applyBorder="1" applyAlignment="1">
      <alignment horizontal="left" vertical="center"/>
    </xf>
    <xf numFmtId="0" fontId="25" fillId="0" borderId="0" xfId="0" quotePrefix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5" fillId="0" borderId="33" xfId="2" quotePrefix="1" applyFont="1" applyBorder="1" applyAlignment="1" applyProtection="1">
      <alignment horizontal="left" vertical="center" wrapText="1"/>
      <protection locked="0"/>
    </xf>
    <xf numFmtId="0" fontId="55" fillId="0" borderId="0" xfId="0" applyFont="1" applyAlignment="1">
      <alignment horizontal="center" vertical="center"/>
    </xf>
    <xf numFmtId="0" fontId="25" fillId="0" borderId="0" xfId="2" quotePrefix="1" applyFont="1" applyAlignment="1" applyProtection="1">
      <alignment horizontal="left" vertical="center" wrapText="1"/>
      <protection locked="0"/>
    </xf>
    <xf numFmtId="0" fontId="24" fillId="8" borderId="53" xfId="0" applyFont="1" applyFill="1" applyBorder="1" applyAlignment="1" applyProtection="1">
      <alignment horizontal="center" vertical="center" wrapText="1"/>
      <protection locked="0"/>
    </xf>
    <xf numFmtId="0" fontId="24" fillId="8" borderId="45" xfId="0" applyFont="1" applyFill="1" applyBorder="1" applyAlignment="1" applyProtection="1">
      <alignment horizontal="center" vertical="center" wrapText="1"/>
      <protection locked="0"/>
    </xf>
    <xf numFmtId="0" fontId="24" fillId="8" borderId="60" xfId="0" applyFont="1" applyFill="1" applyBorder="1" applyAlignment="1" applyProtection="1">
      <alignment horizontal="center" vertical="center" wrapText="1"/>
      <protection locked="0"/>
    </xf>
    <xf numFmtId="0" fontId="24" fillId="8" borderId="44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/>
    </xf>
    <xf numFmtId="0" fontId="24" fillId="8" borderId="64" xfId="0" applyFont="1" applyFill="1" applyBorder="1" applyAlignment="1" applyProtection="1">
      <alignment horizontal="center" vertical="center" wrapText="1"/>
      <protection locked="0"/>
    </xf>
    <xf numFmtId="0" fontId="24" fillId="8" borderId="65" xfId="0" applyFont="1" applyFill="1" applyBorder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right" vertical="center"/>
      <protection locked="0"/>
    </xf>
    <xf numFmtId="0" fontId="23" fillId="12" borderId="61" xfId="0" applyFont="1" applyFill="1" applyBorder="1" applyAlignment="1" applyProtection="1">
      <alignment horizontal="center" vertical="center"/>
      <protection locked="0"/>
    </xf>
    <xf numFmtId="0" fontId="23" fillId="12" borderId="6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5" fillId="0" borderId="32" xfId="2" quotePrefix="1" applyFont="1" applyBorder="1" applyAlignment="1" applyProtection="1">
      <alignment vertical="center" wrapText="1"/>
      <protection locked="0"/>
    </xf>
    <xf numFmtId="0" fontId="25" fillId="0" borderId="0" xfId="2" quotePrefix="1" applyFont="1" applyAlignment="1" applyProtection="1">
      <alignment vertical="center" wrapText="1"/>
      <protection locked="0"/>
    </xf>
    <xf numFmtId="0" fontId="56" fillId="0" borderId="0" xfId="0" applyFont="1" applyAlignment="1">
      <alignment horizontal="center"/>
    </xf>
    <xf numFmtId="0" fontId="53" fillId="13" borderId="61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29" fillId="10" borderId="31" xfId="0" applyFont="1" applyFill="1" applyBorder="1" applyAlignment="1">
      <alignment vertical="center"/>
    </xf>
    <xf numFmtId="0" fontId="25" fillId="0" borderId="63" xfId="0" applyFont="1" applyBorder="1" applyAlignment="1">
      <alignment horizontal="right" vertical="center" wrapText="1"/>
    </xf>
    <xf numFmtId="0" fontId="43" fillId="0" borderId="0" xfId="0" applyFont="1" applyAlignment="1">
      <alignment vertical="center"/>
    </xf>
    <xf numFmtId="0" fontId="52" fillId="13" borderId="61" xfId="0" applyFont="1" applyFill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>
      <alignment horizontal="right" vertical="center" wrapText="1"/>
    </xf>
    <xf numFmtId="0" fontId="24" fillId="8" borderId="57" xfId="0" applyFont="1" applyFill="1" applyBorder="1" applyAlignment="1" applyProtection="1">
      <alignment horizontal="center" vertical="center" wrapText="1"/>
      <protection locked="0"/>
    </xf>
    <xf numFmtId="0" fontId="24" fillId="8" borderId="58" xfId="0" applyFont="1" applyFill="1" applyBorder="1" applyAlignment="1" applyProtection="1">
      <alignment horizontal="center" vertical="center" wrapText="1"/>
      <protection locked="0"/>
    </xf>
    <xf numFmtId="0" fontId="24" fillId="8" borderId="59" xfId="0" applyFont="1" applyFill="1" applyBorder="1" applyAlignment="1" applyProtection="1">
      <alignment horizontal="center" vertical="center" wrapText="1"/>
      <protection locked="0"/>
    </xf>
    <xf numFmtId="0" fontId="25" fillId="0" borderId="32" xfId="2" quotePrefix="1" applyFont="1" applyBorder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center" vertical="center"/>
    </xf>
    <xf numFmtId="0" fontId="80" fillId="0" borderId="3" xfId="0" applyFont="1" applyBorder="1" applyAlignment="1">
      <alignment horizontal="center"/>
    </xf>
    <xf numFmtId="0" fontId="82" fillId="0" borderId="3" xfId="0" applyFont="1" applyBorder="1" applyAlignment="1">
      <alignment horizontal="left" wrapText="1"/>
    </xf>
    <xf numFmtId="0" fontId="2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53" fillId="13" borderId="3" xfId="0" applyFont="1" applyFill="1" applyBorder="1" applyAlignment="1" applyProtection="1">
      <alignment horizontal="center" vertical="center" wrapText="1"/>
      <protection locked="0"/>
    </xf>
    <xf numFmtId="0" fontId="53" fillId="13" borderId="3" xfId="0" applyFont="1" applyFill="1" applyBorder="1" applyAlignment="1" applyProtection="1">
      <alignment horizontal="center" vertical="center"/>
      <protection locked="0"/>
    </xf>
    <xf numFmtId="0" fontId="29" fillId="10" borderId="3" xfId="0" applyFont="1" applyFill="1" applyBorder="1" applyAlignment="1">
      <alignment vertical="center"/>
    </xf>
    <xf numFmtId="0" fontId="38" fillId="10" borderId="3" xfId="0" applyFont="1" applyFill="1" applyBorder="1" applyAlignment="1">
      <alignment vertical="center" wrapText="1"/>
    </xf>
    <xf numFmtId="0" fontId="25" fillId="0" borderId="3" xfId="0" quotePrefix="1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29" fillId="10" borderId="3" xfId="0" applyFont="1" applyFill="1" applyBorder="1" applyAlignment="1">
      <alignment vertical="center"/>
    </xf>
    <xf numFmtId="0" fontId="25" fillId="0" borderId="3" xfId="2" quotePrefix="1" applyFont="1" applyBorder="1" applyAlignment="1" applyProtection="1">
      <alignment horizontal="left" vertical="center" wrapText="1"/>
      <protection locked="0"/>
    </xf>
    <xf numFmtId="0" fontId="25" fillId="0" borderId="3" xfId="2" quotePrefix="1" applyFont="1" applyBorder="1" applyAlignment="1" applyProtection="1">
      <alignment vertical="center" wrapText="1"/>
      <protection locked="0"/>
    </xf>
    <xf numFmtId="0" fontId="35" fillId="0" borderId="3" xfId="0" applyFont="1" applyBorder="1" applyAlignment="1">
      <alignment vertical="center" wrapText="1"/>
    </xf>
    <xf numFmtId="4" fontId="35" fillId="0" borderId="3" xfId="0" applyNumberFormat="1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0" fontId="25" fillId="0" borderId="3" xfId="0" quotePrefix="1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4" fillId="11" borderId="3" xfId="0" applyFont="1" applyFill="1" applyBorder="1" applyAlignment="1">
      <alignment vertical="center"/>
    </xf>
    <xf numFmtId="0" fontId="25" fillId="0" borderId="3" xfId="0" applyFont="1" applyBorder="1" applyAlignment="1">
      <alignment horizontal="right" vertical="center" wrapText="1"/>
    </xf>
    <xf numFmtId="0" fontId="24" fillId="8" borderId="3" xfId="0" applyFont="1" applyFill="1" applyBorder="1" applyAlignment="1" applyProtection="1">
      <alignment horizontal="center" vertical="center" wrapText="1"/>
      <protection locked="0"/>
    </xf>
    <xf numFmtId="0" fontId="24" fillId="8" borderId="3" xfId="0" applyFont="1" applyFill="1" applyBorder="1" applyAlignment="1" applyProtection="1">
      <alignment horizontal="center" vertical="center" wrapText="1"/>
      <protection locked="0"/>
    </xf>
    <xf numFmtId="0" fontId="25" fillId="8" borderId="3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4" fontId="9" fillId="0" borderId="3" xfId="0" applyNumberFormat="1" applyFont="1" applyBorder="1" applyAlignment="1" applyProtection="1">
      <alignment vertical="center"/>
      <protection locked="0"/>
    </xf>
    <xf numFmtId="165" fontId="24" fillId="0" borderId="3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Protection="1">
      <protection hidden="1"/>
    </xf>
    <xf numFmtId="174" fontId="8" fillId="0" borderId="3" xfId="0" applyNumberFormat="1" applyFont="1" applyBorder="1" applyAlignment="1" applyProtection="1">
      <alignment vertical="center"/>
      <protection hidden="1"/>
    </xf>
    <xf numFmtId="179" fontId="8" fillId="0" borderId="3" xfId="0" applyNumberFormat="1" applyFont="1" applyBorder="1" applyProtection="1">
      <protection hidden="1"/>
    </xf>
    <xf numFmtId="178" fontId="8" fillId="0" borderId="3" xfId="0" applyNumberFormat="1" applyFont="1" applyBorder="1" applyAlignment="1" applyProtection="1">
      <alignment vertical="center"/>
      <protection hidden="1"/>
    </xf>
    <xf numFmtId="0" fontId="24" fillId="11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left" vertical="center"/>
    </xf>
    <xf numFmtId="3" fontId="24" fillId="0" borderId="3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/>
    </xf>
    <xf numFmtId="168" fontId="24" fillId="0" borderId="3" xfId="0" applyNumberFormat="1" applyFont="1" applyBorder="1" applyAlignment="1">
      <alignment vertical="center"/>
    </xf>
    <xf numFmtId="3" fontId="24" fillId="11" borderId="3" xfId="0" applyNumberFormat="1" applyFont="1" applyFill="1" applyBorder="1" applyAlignment="1">
      <alignment horizontal="left" vertical="center"/>
    </xf>
    <xf numFmtId="0" fontId="24" fillId="0" borderId="3" xfId="0" applyFont="1" applyBorder="1" applyAlignment="1" applyProtection="1">
      <alignment vertical="center" wrapText="1"/>
      <protection locked="0"/>
    </xf>
    <xf numFmtId="0" fontId="50" fillId="15" borderId="3" xfId="0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left" vertical="center"/>
      <protection hidden="1"/>
    </xf>
    <xf numFmtId="0" fontId="55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vertical="center"/>
      <protection locked="0"/>
    </xf>
    <xf numFmtId="0" fontId="0" fillId="0" borderId="68" xfId="0" applyBorder="1" applyAlignment="1">
      <alignment vertical="center"/>
    </xf>
    <xf numFmtId="0" fontId="53" fillId="13" borderId="7" xfId="0" applyFont="1" applyFill="1" applyBorder="1" applyAlignment="1" applyProtection="1">
      <alignment horizontal="center" vertical="center"/>
      <protection locked="0"/>
    </xf>
    <xf numFmtId="0" fontId="37" fillId="10" borderId="8" xfId="0" applyFont="1" applyFill="1" applyBorder="1" applyAlignment="1">
      <alignment vertical="center"/>
    </xf>
    <xf numFmtId="0" fontId="38" fillId="10" borderId="8" xfId="0" applyFont="1" applyFill="1" applyBorder="1" applyAlignment="1">
      <alignment vertical="center" wrapText="1"/>
    </xf>
    <xf numFmtId="0" fontId="21" fillId="0" borderId="0" xfId="0" applyFont="1" applyBorder="1" applyAlignment="1" applyProtection="1">
      <alignment vertical="center"/>
      <protection locked="0"/>
    </xf>
    <xf numFmtId="4" fontId="21" fillId="2" borderId="0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right" vertical="center"/>
      <protection locked="0"/>
    </xf>
    <xf numFmtId="3" fontId="21" fillId="0" borderId="0" xfId="0" applyNumberFormat="1" applyFont="1" applyBorder="1" applyAlignment="1" applyProtection="1">
      <alignment horizontal="left" vertical="center"/>
      <protection locked="0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3</xdr:row>
      <xdr:rowOff>152400</xdr:rowOff>
    </xdr:to>
    <xdr:pic>
      <xdr:nvPicPr>
        <xdr:cNvPr id="5518" name="Picture 1" descr="logo1">
          <a:extLst>
            <a:ext uri="{FF2B5EF4-FFF2-40B4-BE49-F238E27FC236}">
              <a16:creationId xmlns:a16="http://schemas.microsoft.com/office/drawing/2014/main" id="{00000000-0008-0000-0D00-00008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quy%202/Tua%20Chua/lam%20viec%20tua%20chua%2010%208/du%20toan/DT%20KS%20tua%20chua%2016-11-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quy%203/Tua%20Chua/qhct%20Tua%20Chua/nhiem%20vu%20qhct/7%2010%20nhiem%20vu%20qhct%20nam%20TC/du%20toan/185.9%20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ông trình"/>
      <sheetName val="Giá tháng"/>
      <sheetName val="Đầu vào"/>
      <sheetName val="Nhân công"/>
      <sheetName val="Máy"/>
      <sheetName val="HaoPhiVatTu"/>
      <sheetName val="Tổng hợp VT"/>
      <sheetName val="THVT gộp"/>
      <sheetName val="Cước VC"/>
      <sheetName val="Cước bộ"/>
      <sheetName val="Đơn giá chi tiết"/>
      <sheetName val="Giá tổng hợp"/>
      <sheetName val="THKP hạng mục"/>
      <sheetName val="TH chi phí XD"/>
      <sheetName val="TH chi phí TB"/>
      <sheetName val="HM chung"/>
      <sheetName val="Dự phòng"/>
      <sheetName val="TH kinh phí"/>
      <sheetName val="Chi tiết KL"/>
      <sheetName val="Luật XD"/>
      <sheetName val="Công trình TL"/>
      <sheetName val="Chiết tính"/>
      <sheetName val="Hệ số"/>
      <sheetName val="Đơn giá TH"/>
      <sheetName val="Dự thầu"/>
      <sheetName val="HM chung thầu"/>
      <sheetName val="Dự phòng thầu"/>
      <sheetName val="Dự toán gói thầu"/>
      <sheetName val="Phân tích VT"/>
      <sheetName val="Bìa"/>
      <sheetName val="NhiênLiệu"/>
      <sheetName val="Thẩm định"/>
      <sheetName val="TH chi phí tư vấn"/>
      <sheetName val="Thép"/>
      <sheetName val="HSXL"/>
      <sheetName val="Định mức tư vấn"/>
      <sheetName val="Quyết toán"/>
      <sheetName val="Giá tháng QT"/>
      <sheetName val="Đầu vào QT"/>
      <sheetName val="Nhân công QT"/>
      <sheetName val="Máy QT"/>
      <sheetName val="HaoPhiVatTu QT"/>
      <sheetName val="Tổng hợp VT QT"/>
      <sheetName val="Cước VC QT"/>
      <sheetName val="Cước bộ QT"/>
      <sheetName val="NhiênLiệu QT"/>
      <sheetName val="Chiết tính QT"/>
      <sheetName val="Dự thầu QT"/>
      <sheetName val="Hệ số QT"/>
      <sheetName val="HSXLQT"/>
      <sheetName val="KL hoàn thành"/>
      <sheetName val="KL phát sinh"/>
      <sheetName val="Hệ số Pn"/>
      <sheetName val="Tổng hợp QT"/>
      <sheetName val="Cấu hì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6">
          <cell r="H26">
            <v>1024333127.2188799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ên lượng"/>
      <sheetName val="Giá VL"/>
      <sheetName val="THVL"/>
      <sheetName val="Cước ô tô"/>
      <sheetName val="Cước sông"/>
      <sheetName val="Cước TC"/>
      <sheetName val="Giá NC"/>
      <sheetName val="THNC"/>
      <sheetName val="Tính giá NC"/>
      <sheetName val="Giá Máy"/>
      <sheetName val="THM"/>
      <sheetName val="Bù giá CM"/>
      <sheetName val="Tính giá CM"/>
      <sheetName val="THNL"/>
      <sheetName val="THTL"/>
      <sheetName val="THKPHM"/>
      <sheetName val="THKP_TT11_2021"/>
      <sheetName val="Chiết tính"/>
      <sheetName val="ĐGTH"/>
      <sheetName val="GGTXD"/>
      <sheetName val="PTVT"/>
      <sheetName val="THDGDT"/>
      <sheetName val="THCPXD"/>
      <sheetName val="THCPTB"/>
      <sheetName val="HM chung"/>
      <sheetName val="Bìa ngoài"/>
      <sheetName val="Bìa trong"/>
      <sheetName val="Thuyết minh"/>
      <sheetName val="Thông tin"/>
      <sheetName val="Nội suy"/>
      <sheetName val="Lương nhân công"/>
      <sheetName val="Tổng hợp VT"/>
      <sheetName val="Chiết tính rút gọn"/>
      <sheetName val="ĐGTH rút gọn"/>
      <sheetName val="Giá vữa"/>
      <sheetName val="Tra định mức"/>
      <sheetName val="QT_PL08b"/>
      <sheetName val="QT_PL03a"/>
      <sheetName val="QT_PL03b"/>
      <sheetName val="QT_PL04"/>
      <sheetName val="QT_PL05"/>
      <sheetName val="QT_PL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3">
          <cell r="F33">
            <v>1178841104.6481602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wrap="square" lIns="0" tIns="0" rIns="0" bIns="0" rtlCol="0" anchor="t">
        <a:noAutofit/>
      </a:bodyPr>
      <a:lstStyle>
        <a:defPPr>
          <a:defRPr sz="4000" b="1">
            <a:solidFill>
              <a:srgbClr val="C00000"/>
            </a:solidFill>
            <a:latin typeface="Arial Narrow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5"/>
  <sheetViews>
    <sheetView topLeftCell="A4" workbookViewId="0">
      <selection activeCell="F102" sqref="F102"/>
    </sheetView>
  </sheetViews>
  <sheetFormatPr defaultColWidth="9.140625" defaultRowHeight="12.75"/>
  <cols>
    <col min="1" max="1" width="7.28515625" style="498" customWidth="1"/>
    <col min="2" max="2" width="25.140625" style="498" customWidth="1"/>
    <col min="3" max="5" width="9.28515625" style="498" bestFit="1" customWidth="1"/>
    <col min="6" max="11" width="10.28515625" style="498" bestFit="1" customWidth="1"/>
    <col min="12" max="12" width="10.42578125" style="498" bestFit="1" customWidth="1"/>
    <col min="13" max="15" width="10.28515625" style="498" bestFit="1" customWidth="1"/>
    <col min="16" max="16" width="11.28515625" style="498" bestFit="1" customWidth="1"/>
    <col min="17" max="16384" width="9.140625" style="498"/>
  </cols>
  <sheetData>
    <row r="2" spans="1:18">
      <c r="A2" s="495"/>
      <c r="B2" s="496" t="s">
        <v>0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18">
      <c r="A3" s="499"/>
      <c r="B3" s="498" t="s">
        <v>1</v>
      </c>
    </row>
    <row r="4" spans="1:18">
      <c r="A4" s="500"/>
      <c r="B4" s="501" t="s">
        <v>2</v>
      </c>
      <c r="C4" s="502">
        <v>20</v>
      </c>
      <c r="D4" s="502">
        <v>50</v>
      </c>
      <c r="E4" s="502">
        <v>100</v>
      </c>
      <c r="F4" s="502">
        <v>250</v>
      </c>
      <c r="G4" s="502">
        <v>500</v>
      </c>
      <c r="H4" s="502">
        <v>750</v>
      </c>
      <c r="I4" s="502">
        <v>1000</v>
      </c>
      <c r="J4" s="502">
        <v>2000</v>
      </c>
      <c r="K4" s="502">
        <v>5000</v>
      </c>
      <c r="L4" s="502">
        <v>10000</v>
      </c>
      <c r="M4" s="502">
        <v>20000</v>
      </c>
      <c r="N4" s="502">
        <v>30000</v>
      </c>
      <c r="O4" s="502">
        <v>40000</v>
      </c>
      <c r="P4" s="502">
        <v>50000</v>
      </c>
    </row>
    <row r="5" spans="1:18" ht="25.5">
      <c r="A5" s="500"/>
      <c r="B5" s="503" t="s">
        <v>3</v>
      </c>
      <c r="C5" s="504">
        <v>505.8</v>
      </c>
      <c r="D5" s="504">
        <v>732</v>
      </c>
      <c r="E5" s="504">
        <v>943</v>
      </c>
      <c r="F5" s="504">
        <v>1550</v>
      </c>
      <c r="G5" s="504">
        <v>1865</v>
      </c>
      <c r="H5" s="504">
        <v>2242.5</v>
      </c>
      <c r="I5" s="504">
        <v>2490</v>
      </c>
      <c r="J5" s="504">
        <v>2680</v>
      </c>
      <c r="K5" s="504">
        <v>3550</v>
      </c>
      <c r="L5" s="504">
        <v>5300</v>
      </c>
      <c r="M5" s="504">
        <v>3400</v>
      </c>
      <c r="N5" s="504">
        <v>8700</v>
      </c>
      <c r="O5" s="504">
        <v>9600</v>
      </c>
      <c r="P5" s="504">
        <v>10500</v>
      </c>
    </row>
    <row r="6" spans="1:18" ht="25.5">
      <c r="A6" s="500"/>
      <c r="B6" s="503" t="s">
        <v>4</v>
      </c>
      <c r="C6" s="505">
        <v>53.35</v>
      </c>
      <c r="D6" s="505">
        <v>63.71</v>
      </c>
      <c r="E6" s="505">
        <v>76.11</v>
      </c>
      <c r="F6" s="505">
        <v>106.25</v>
      </c>
      <c r="G6" s="505">
        <v>116.68</v>
      </c>
      <c r="H6" s="505">
        <v>131.11000000000001</v>
      </c>
      <c r="I6" s="505">
        <v>141.66999999999999</v>
      </c>
      <c r="J6" s="505">
        <v>149.26</v>
      </c>
      <c r="K6" s="505">
        <v>178.15</v>
      </c>
      <c r="L6" s="505">
        <v>211.74</v>
      </c>
      <c r="M6" s="505">
        <v>231.04</v>
      </c>
      <c r="N6" s="505">
        <v>276.08</v>
      </c>
      <c r="O6" s="505">
        <v>293.12</v>
      </c>
      <c r="P6" s="505">
        <v>315</v>
      </c>
    </row>
    <row r="7" spans="1:18">
      <c r="A7" s="506"/>
      <c r="B7" s="498" t="s">
        <v>5</v>
      </c>
    </row>
    <row r="8" spans="1:18" ht="25.5">
      <c r="B8" s="507" t="s">
        <v>6</v>
      </c>
      <c r="C8" s="508">
        <v>2</v>
      </c>
      <c r="D8" s="508">
        <v>3</v>
      </c>
      <c r="E8" s="508">
        <v>4</v>
      </c>
      <c r="F8" s="508">
        <v>5</v>
      </c>
      <c r="G8" s="508">
        <v>6</v>
      </c>
      <c r="H8" s="508">
        <v>7</v>
      </c>
      <c r="I8" s="508">
        <v>8</v>
      </c>
      <c r="J8" s="508">
        <v>9</v>
      </c>
      <c r="K8" s="508">
        <v>10</v>
      </c>
      <c r="L8" s="508">
        <v>11</v>
      </c>
      <c r="M8" s="508">
        <v>12</v>
      </c>
      <c r="N8" s="508"/>
      <c r="O8" s="508"/>
    </row>
    <row r="9" spans="1:18" ht="25.5">
      <c r="B9" s="507" t="s">
        <v>7</v>
      </c>
      <c r="C9" s="509">
        <v>1.04</v>
      </c>
      <c r="D9" s="509">
        <v>1.08</v>
      </c>
      <c r="E9" s="509">
        <v>1.1200000000000001</v>
      </c>
      <c r="F9" s="509">
        <v>1.1499999999999999</v>
      </c>
      <c r="G9" s="509">
        <v>1.19</v>
      </c>
      <c r="H9" s="509">
        <v>1.23</v>
      </c>
      <c r="I9" s="509">
        <v>1.27</v>
      </c>
      <c r="J9" s="509">
        <v>1.31</v>
      </c>
      <c r="K9" s="509">
        <v>1.35</v>
      </c>
      <c r="L9" s="509">
        <v>1.4</v>
      </c>
      <c r="M9" s="509">
        <v>1.45</v>
      </c>
      <c r="N9" s="509"/>
      <c r="O9" s="509"/>
    </row>
    <row r="11" spans="1:18">
      <c r="B11" s="510" t="s">
        <v>8</v>
      </c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</row>
    <row r="12" spans="1:18">
      <c r="B12" s="499"/>
    </row>
    <row r="13" spans="1:18">
      <c r="A13" s="512"/>
      <c r="B13" s="513" t="s">
        <v>9</v>
      </c>
      <c r="C13" s="514">
        <v>500</v>
      </c>
      <c r="D13" s="514">
        <v>1000</v>
      </c>
      <c r="E13" s="514">
        <v>5000</v>
      </c>
      <c r="F13" s="514">
        <v>10000</v>
      </c>
      <c r="G13" s="514">
        <v>15000</v>
      </c>
      <c r="H13" s="514">
        <v>20000</v>
      </c>
      <c r="I13" s="514">
        <v>25000</v>
      </c>
      <c r="J13" s="514">
        <v>30000</v>
      </c>
      <c r="K13" s="514">
        <v>50000</v>
      </c>
      <c r="L13" s="514">
        <v>150000</v>
      </c>
      <c r="M13" s="514">
        <v>360000</v>
      </c>
      <c r="N13" s="515"/>
      <c r="O13" s="515"/>
      <c r="P13" s="515"/>
      <c r="Q13" s="515"/>
      <c r="R13" s="515"/>
    </row>
    <row r="14" spans="1:18" ht="25.5">
      <c r="A14" s="512"/>
      <c r="B14" s="516" t="s">
        <v>10</v>
      </c>
      <c r="C14" s="517">
        <v>1170</v>
      </c>
      <c r="D14" s="517">
        <v>1570</v>
      </c>
      <c r="E14" s="517">
        <v>2750</v>
      </c>
      <c r="F14" s="517">
        <v>3200</v>
      </c>
      <c r="G14" s="517">
        <v>3750</v>
      </c>
      <c r="H14" s="517">
        <v>4200</v>
      </c>
      <c r="I14" s="517">
        <v>4500</v>
      </c>
      <c r="J14" s="517">
        <v>4800</v>
      </c>
      <c r="K14" s="517">
        <v>7000</v>
      </c>
      <c r="L14" s="517">
        <v>15000</v>
      </c>
      <c r="M14" s="517">
        <v>28800</v>
      </c>
      <c r="N14" s="518"/>
      <c r="O14" s="518"/>
      <c r="P14" s="518"/>
      <c r="Q14" s="518"/>
      <c r="R14" s="518"/>
    </row>
    <row r="15" spans="1:18" ht="25.5">
      <c r="A15" s="512"/>
      <c r="B15" s="516" t="s">
        <v>11</v>
      </c>
      <c r="C15" s="519">
        <v>15</v>
      </c>
      <c r="D15" s="519">
        <v>20.7</v>
      </c>
      <c r="E15" s="517">
        <v>43</v>
      </c>
      <c r="F15" s="517">
        <v>52</v>
      </c>
      <c r="G15" s="517">
        <v>63</v>
      </c>
      <c r="H15" s="517">
        <v>72</v>
      </c>
      <c r="I15" s="517">
        <v>80</v>
      </c>
      <c r="J15" s="517">
        <v>84</v>
      </c>
      <c r="K15" s="517">
        <v>135</v>
      </c>
      <c r="L15" s="520">
        <v>360</v>
      </c>
      <c r="M15" s="517">
        <v>720</v>
      </c>
      <c r="N15" s="521"/>
      <c r="O15" s="521"/>
      <c r="P15" s="521"/>
      <c r="Q15" s="521"/>
      <c r="R15" s="521"/>
    </row>
    <row r="16" spans="1:18">
      <c r="A16" s="512"/>
      <c r="B16" s="522"/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</row>
    <row r="18" spans="1:18">
      <c r="A18" s="512"/>
      <c r="B18" s="513" t="s">
        <v>12</v>
      </c>
      <c r="C18" s="515">
        <v>200</v>
      </c>
      <c r="D18" s="515">
        <v>400</v>
      </c>
      <c r="E18" s="515">
        <v>1000</v>
      </c>
      <c r="F18" s="515">
        <v>1500</v>
      </c>
      <c r="G18" s="515">
        <v>2000</v>
      </c>
      <c r="H18" s="515">
        <v>3000</v>
      </c>
      <c r="I18" s="515">
        <v>4000</v>
      </c>
      <c r="J18" s="515">
        <v>6000</v>
      </c>
      <c r="K18" s="515">
        <v>8000</v>
      </c>
      <c r="L18" s="515"/>
      <c r="M18" s="515"/>
      <c r="N18" s="515"/>
      <c r="O18" s="515"/>
      <c r="P18" s="515"/>
      <c r="Q18" s="515"/>
      <c r="R18" s="515"/>
    </row>
    <row r="19" spans="1:18">
      <c r="A19" s="512"/>
      <c r="B19" s="516" t="s">
        <v>13</v>
      </c>
      <c r="C19" s="521">
        <v>0.25</v>
      </c>
      <c r="D19" s="521">
        <v>1</v>
      </c>
      <c r="E19" s="521">
        <v>1.1499999999999999</v>
      </c>
      <c r="F19" s="521">
        <v>1.3</v>
      </c>
      <c r="G19" s="521">
        <v>1.45</v>
      </c>
      <c r="H19" s="521">
        <v>1.6</v>
      </c>
      <c r="I19" s="521">
        <v>1.72</v>
      </c>
      <c r="J19" s="521">
        <v>1.85</v>
      </c>
      <c r="K19" s="521">
        <v>2</v>
      </c>
      <c r="L19" s="521"/>
      <c r="M19" s="521"/>
      <c r="N19" s="518"/>
      <c r="O19" s="518"/>
      <c r="P19" s="518"/>
      <c r="Q19" s="518"/>
      <c r="R19" s="518"/>
    </row>
    <row r="23" spans="1:18">
      <c r="B23" s="510" t="s">
        <v>14</v>
      </c>
    </row>
    <row r="24" spans="1:18">
      <c r="B24" s="524"/>
    </row>
    <row r="25" spans="1:18">
      <c r="B25" s="507" t="s">
        <v>15</v>
      </c>
      <c r="C25" s="508"/>
      <c r="D25" s="508">
        <v>75</v>
      </c>
      <c r="E25" s="508">
        <v>100</v>
      </c>
      <c r="F25" s="508">
        <v>200</v>
      </c>
      <c r="G25" s="508">
        <v>300</v>
      </c>
      <c r="H25" s="508">
        <v>500</v>
      </c>
      <c r="I25" s="508">
        <v>750</v>
      </c>
      <c r="J25" s="525">
        <v>1000</v>
      </c>
      <c r="K25" s="525">
        <v>2000</v>
      </c>
      <c r="L25" s="525">
        <v>3000</v>
      </c>
      <c r="M25" s="525">
        <v>5000</v>
      </c>
    </row>
    <row r="26" spans="1:18" ht="25.5">
      <c r="B26" s="516" t="s">
        <v>10</v>
      </c>
      <c r="C26" s="509"/>
      <c r="D26" s="509">
        <v>731.25</v>
      </c>
      <c r="E26" s="509">
        <v>853</v>
      </c>
      <c r="F26" s="526">
        <v>1294</v>
      </c>
      <c r="G26" s="509">
        <v>1356</v>
      </c>
      <c r="H26" s="509">
        <v>1525</v>
      </c>
      <c r="I26" s="509">
        <v>1830</v>
      </c>
      <c r="J26" s="509">
        <v>2080</v>
      </c>
      <c r="K26" s="509">
        <v>3520</v>
      </c>
      <c r="L26" s="509">
        <v>4440</v>
      </c>
      <c r="M26" s="509">
        <v>5700</v>
      </c>
    </row>
    <row r="27" spans="1:18" ht="25.5">
      <c r="B27" s="516" t="s">
        <v>16</v>
      </c>
      <c r="C27" s="509"/>
      <c r="D27" s="509">
        <v>63.66</v>
      </c>
      <c r="E27" s="509">
        <v>71.150000000000006</v>
      </c>
      <c r="F27" s="526">
        <v>95</v>
      </c>
      <c r="G27" s="509">
        <v>97.95</v>
      </c>
      <c r="H27" s="509">
        <v>105.26</v>
      </c>
      <c r="I27" s="509">
        <v>115.71</v>
      </c>
      <c r="J27" s="509">
        <v>123.75</v>
      </c>
      <c r="K27" s="509">
        <v>177.31</v>
      </c>
      <c r="L27" s="509">
        <v>197.79</v>
      </c>
      <c r="M27" s="509">
        <v>219.74</v>
      </c>
    </row>
    <row r="30" spans="1:18">
      <c r="B30" s="527" t="s">
        <v>17</v>
      </c>
    </row>
    <row r="31" spans="1:18">
      <c r="B31" s="528"/>
    </row>
    <row r="32" spans="1:18">
      <c r="B32" s="507" t="s">
        <v>15</v>
      </c>
      <c r="C32" s="508">
        <v>5</v>
      </c>
      <c r="D32" s="508">
        <v>10</v>
      </c>
      <c r="E32" s="508">
        <v>20</v>
      </c>
      <c r="F32" s="508">
        <v>30</v>
      </c>
      <c r="G32" s="508">
        <v>50</v>
      </c>
      <c r="H32" s="508">
        <v>75</v>
      </c>
      <c r="I32" s="508">
        <v>100</v>
      </c>
      <c r="J32" s="508">
        <v>200</v>
      </c>
      <c r="K32" s="508">
        <v>300</v>
      </c>
      <c r="L32" s="508">
        <v>500</v>
      </c>
      <c r="M32" s="508">
        <v>750</v>
      </c>
      <c r="N32" s="525">
        <v>1000</v>
      </c>
      <c r="O32" s="525"/>
    </row>
    <row r="33" spans="2:15" ht="25.5">
      <c r="B33" s="516" t="s">
        <v>10</v>
      </c>
      <c r="C33" s="509">
        <v>284.45</v>
      </c>
      <c r="D33" s="509">
        <v>412.8</v>
      </c>
      <c r="E33" s="509">
        <v>675.4</v>
      </c>
      <c r="F33" s="509">
        <v>788.1</v>
      </c>
      <c r="G33" s="509">
        <v>938</v>
      </c>
      <c r="H33" s="509">
        <v>1125.75</v>
      </c>
      <c r="I33" s="509">
        <v>1314</v>
      </c>
      <c r="J33" s="509">
        <v>1840</v>
      </c>
      <c r="K33" s="509">
        <v>2082</v>
      </c>
      <c r="L33" s="509">
        <v>2350</v>
      </c>
      <c r="M33" s="509">
        <v>2812.5</v>
      </c>
      <c r="N33" s="509">
        <v>3190</v>
      </c>
      <c r="O33" s="509"/>
    </row>
    <row r="34" spans="2:15" ht="25.5">
      <c r="B34" s="516" t="s">
        <v>16</v>
      </c>
      <c r="C34" s="509">
        <v>37.01</v>
      </c>
      <c r="D34" s="509">
        <v>47.96</v>
      </c>
      <c r="E34" s="509">
        <v>60.93</v>
      </c>
      <c r="F34" s="509">
        <v>67.27</v>
      </c>
      <c r="G34" s="509">
        <v>75.849999999999994</v>
      </c>
      <c r="H34" s="509">
        <v>86.24</v>
      </c>
      <c r="I34" s="509">
        <v>95.97</v>
      </c>
      <c r="J34" s="509">
        <v>115.99</v>
      </c>
      <c r="K34" s="509">
        <v>123.84</v>
      </c>
      <c r="L34" s="509">
        <v>135.79</v>
      </c>
      <c r="M34" s="509">
        <v>154.28</v>
      </c>
      <c r="N34" s="509">
        <v>167.36</v>
      </c>
      <c r="O34" s="509"/>
    </row>
    <row r="37" spans="2:15">
      <c r="B37" s="529" t="s">
        <v>18</v>
      </c>
    </row>
    <row r="38" spans="2:15">
      <c r="B38" s="499"/>
    </row>
    <row r="39" spans="2:15">
      <c r="B39" s="507" t="s">
        <v>15</v>
      </c>
      <c r="C39" s="508"/>
      <c r="D39" s="508">
        <v>500</v>
      </c>
      <c r="E39" s="525">
        <v>1000</v>
      </c>
      <c r="F39" s="525">
        <v>5000</v>
      </c>
      <c r="G39" s="525">
        <v>10000</v>
      </c>
      <c r="H39" s="525">
        <v>15000</v>
      </c>
      <c r="I39" s="525">
        <v>20000</v>
      </c>
      <c r="J39" s="525">
        <v>25000</v>
      </c>
      <c r="K39" s="525">
        <v>30000</v>
      </c>
      <c r="L39" s="525">
        <v>40000</v>
      </c>
      <c r="M39" s="525">
        <v>60000</v>
      </c>
    </row>
    <row r="40" spans="2:15" ht="25.5">
      <c r="B40" s="516" t="s">
        <v>10</v>
      </c>
      <c r="C40" s="509"/>
      <c r="D40" s="509">
        <v>1410</v>
      </c>
      <c r="E40" s="509">
        <v>1884</v>
      </c>
      <c r="F40" s="509">
        <v>3300</v>
      </c>
      <c r="G40" s="509">
        <v>3840</v>
      </c>
      <c r="H40" s="509">
        <v>4500</v>
      </c>
      <c r="I40" s="509">
        <v>5040</v>
      </c>
      <c r="J40" s="509">
        <v>5400</v>
      </c>
      <c r="K40" s="509">
        <v>5760</v>
      </c>
      <c r="L40" s="509">
        <v>6720</v>
      </c>
      <c r="M40" s="509">
        <v>7200</v>
      </c>
    </row>
    <row r="41" spans="2:15" ht="25.5">
      <c r="B41" s="516" t="s">
        <v>16</v>
      </c>
      <c r="C41" s="509"/>
      <c r="D41" s="509">
        <v>100.41</v>
      </c>
      <c r="E41" s="509">
        <v>117.19</v>
      </c>
      <c r="F41" s="509">
        <v>170.83</v>
      </c>
      <c r="G41" s="509">
        <v>185.65</v>
      </c>
      <c r="H41" s="509">
        <v>198.75</v>
      </c>
      <c r="I41" s="509">
        <v>205.93</v>
      </c>
      <c r="J41" s="509">
        <v>213.84</v>
      </c>
      <c r="K41" s="509">
        <v>220.84</v>
      </c>
      <c r="L41" s="509">
        <v>235.07</v>
      </c>
      <c r="M41" s="509">
        <v>242.88</v>
      </c>
    </row>
    <row r="42" spans="2:15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</row>
    <row r="44" spans="2:15">
      <c r="D44" s="532"/>
      <c r="M44" s="532"/>
    </row>
    <row r="45" spans="2:15" s="533" customFormat="1">
      <c r="B45" s="496" t="s">
        <v>19</v>
      </c>
      <c r="M45" s="534"/>
    </row>
    <row r="46" spans="2:15" s="533" customFormat="1">
      <c r="B46" s="495"/>
    </row>
    <row r="47" spans="2:15" s="533" customFormat="1">
      <c r="B47" s="535" t="s">
        <v>15</v>
      </c>
      <c r="C47" s="536">
        <v>75</v>
      </c>
      <c r="D47" s="536">
        <v>100</v>
      </c>
      <c r="E47" s="536">
        <v>200</v>
      </c>
      <c r="F47" s="536">
        <v>300</v>
      </c>
      <c r="G47" s="536">
        <v>500</v>
      </c>
      <c r="H47" s="536"/>
      <c r="I47" s="536"/>
      <c r="J47" s="536"/>
      <c r="K47" s="536"/>
      <c r="L47" s="536"/>
      <c r="M47" s="536"/>
      <c r="N47" s="537"/>
      <c r="O47" s="537"/>
    </row>
    <row r="48" spans="2:15" s="533" customFormat="1" ht="25.5">
      <c r="B48" s="516" t="s">
        <v>10</v>
      </c>
      <c r="C48" s="509">
        <v>731.25</v>
      </c>
      <c r="D48" s="509">
        <v>853</v>
      </c>
      <c r="E48" s="509">
        <v>1294</v>
      </c>
      <c r="F48" s="509">
        <v>1356</v>
      </c>
      <c r="G48" s="509">
        <v>1525</v>
      </c>
      <c r="H48" s="526"/>
      <c r="I48" s="526"/>
      <c r="J48" s="526"/>
      <c r="K48" s="526"/>
      <c r="L48" s="526"/>
      <c r="M48" s="526"/>
      <c r="N48" s="526"/>
      <c r="O48" s="526"/>
    </row>
    <row r="49" spans="2:15" s="533" customFormat="1" ht="25.5">
      <c r="B49" s="516" t="s">
        <v>16</v>
      </c>
      <c r="C49" s="509">
        <v>63.66</v>
      </c>
      <c r="D49" s="509">
        <v>71.150000000000006</v>
      </c>
      <c r="E49" s="509">
        <v>95</v>
      </c>
      <c r="F49" s="509">
        <v>97.95</v>
      </c>
      <c r="G49" s="509">
        <v>105.26</v>
      </c>
      <c r="H49" s="526"/>
      <c r="I49" s="526"/>
      <c r="J49" s="526"/>
      <c r="K49" s="526"/>
      <c r="L49" s="526"/>
      <c r="M49" s="526"/>
      <c r="N49" s="526"/>
      <c r="O49" s="526"/>
    </row>
    <row r="50" spans="2:15" s="533" customFormat="1">
      <c r="B50" s="538"/>
      <c r="C50" s="531"/>
      <c r="D50" s="531"/>
      <c r="E50" s="531"/>
      <c r="F50" s="531"/>
      <c r="G50" s="531"/>
      <c r="H50" s="539"/>
      <c r="I50" s="539"/>
      <c r="J50" s="539"/>
      <c r="K50" s="539"/>
      <c r="L50" s="539"/>
      <c r="M50" s="539"/>
      <c r="N50" s="539"/>
      <c r="O50" s="539"/>
    </row>
    <row r="51" spans="2:15" s="533" customFormat="1"/>
    <row r="52" spans="2:15" s="533" customFormat="1">
      <c r="B52" s="495" t="s">
        <v>20</v>
      </c>
    </row>
    <row r="53" spans="2:15">
      <c r="B53" s="507" t="s">
        <v>15</v>
      </c>
      <c r="C53" s="508">
        <v>5</v>
      </c>
      <c r="D53" s="508">
        <v>10</v>
      </c>
      <c r="E53" s="508">
        <v>20</v>
      </c>
      <c r="F53" s="508">
        <v>30</v>
      </c>
      <c r="G53" s="508">
        <v>50</v>
      </c>
      <c r="H53" s="508">
        <v>75</v>
      </c>
      <c r="I53" s="508">
        <v>100</v>
      </c>
      <c r="J53" s="508">
        <v>200</v>
      </c>
      <c r="K53" s="508"/>
      <c r="L53" s="508"/>
      <c r="M53" s="508"/>
      <c r="N53" s="525"/>
      <c r="O53" s="525"/>
    </row>
    <row r="54" spans="2:15" ht="25.5">
      <c r="B54" s="516" t="s">
        <v>10</v>
      </c>
      <c r="C54" s="509">
        <v>281.45</v>
      </c>
      <c r="D54" s="509">
        <v>412.8</v>
      </c>
      <c r="E54" s="509">
        <v>675.4</v>
      </c>
      <c r="F54" s="509">
        <v>788.1</v>
      </c>
      <c r="G54" s="509">
        <v>938</v>
      </c>
      <c r="H54" s="509">
        <v>1125.75</v>
      </c>
      <c r="I54" s="509">
        <v>1314</v>
      </c>
      <c r="J54" s="509">
        <v>1840</v>
      </c>
      <c r="K54" s="509"/>
      <c r="L54" s="509"/>
      <c r="M54" s="509"/>
      <c r="N54" s="509"/>
      <c r="O54" s="509"/>
    </row>
    <row r="55" spans="2:15" ht="25.5">
      <c r="B55" s="516" t="s">
        <v>16</v>
      </c>
      <c r="C55" s="509">
        <v>37.01</v>
      </c>
      <c r="D55" s="509">
        <v>47.96</v>
      </c>
      <c r="E55" s="509">
        <v>60.93</v>
      </c>
      <c r="F55" s="509">
        <v>67.27</v>
      </c>
      <c r="G55" s="509">
        <v>75.849999999999994</v>
      </c>
      <c r="H55" s="509">
        <v>86.24</v>
      </c>
      <c r="I55" s="509">
        <v>95.97</v>
      </c>
      <c r="J55" s="509">
        <v>115.99</v>
      </c>
      <c r="K55" s="509"/>
      <c r="L55" s="509"/>
      <c r="M55" s="509"/>
      <c r="N55" s="509"/>
      <c r="O55" s="509"/>
    </row>
    <row r="56" spans="2:15">
      <c r="B56" s="540"/>
      <c r="C56" s="539"/>
      <c r="D56" s="539"/>
      <c r="E56" s="539"/>
      <c r="F56" s="539"/>
      <c r="G56" s="539"/>
      <c r="H56" s="539"/>
      <c r="I56" s="539"/>
      <c r="J56" s="539"/>
      <c r="K56" s="531"/>
      <c r="L56" s="531"/>
      <c r="M56" s="531"/>
      <c r="N56" s="531"/>
      <c r="O56" s="531"/>
    </row>
    <row r="58" spans="2:15">
      <c r="B58" s="541" t="s">
        <v>21</v>
      </c>
    </row>
    <row r="60" spans="2:15" ht="25.5">
      <c r="B60" s="542" t="s">
        <v>22</v>
      </c>
      <c r="C60" s="543">
        <v>5</v>
      </c>
      <c r="D60" s="543">
        <v>10</v>
      </c>
      <c r="E60" s="543">
        <v>15</v>
      </c>
      <c r="F60" s="543">
        <v>20</v>
      </c>
      <c r="G60" s="543">
        <v>30</v>
      </c>
    </row>
    <row r="61" spans="2:15" ht="25.5">
      <c r="B61" s="516" t="s">
        <v>10</v>
      </c>
      <c r="C61" s="544">
        <v>155.52000000000001</v>
      </c>
      <c r="D61" s="544">
        <v>226.8</v>
      </c>
      <c r="E61" s="544">
        <v>259.2</v>
      </c>
      <c r="F61" s="544">
        <v>287.70999999999998</v>
      </c>
      <c r="G61" s="544">
        <v>324</v>
      </c>
    </row>
    <row r="62" spans="2:15" ht="25.5">
      <c r="B62" s="516" t="s">
        <v>16</v>
      </c>
      <c r="C62" s="544">
        <v>21.93</v>
      </c>
      <c r="D62" s="544">
        <v>31.27</v>
      </c>
      <c r="E62" s="544">
        <v>34.76</v>
      </c>
      <c r="F62" s="544">
        <v>37.619999999999997</v>
      </c>
      <c r="G62" s="544">
        <v>41</v>
      </c>
    </row>
    <row r="65" spans="1:14">
      <c r="B65" s="528" t="s">
        <v>23</v>
      </c>
      <c r="I65" s="511"/>
      <c r="J65" s="511"/>
      <c r="K65" s="511"/>
      <c r="L65" s="511"/>
      <c r="M65" s="511"/>
      <c r="N65" s="511"/>
    </row>
    <row r="66" spans="1:14">
      <c r="B66" s="545"/>
    </row>
    <row r="67" spans="1:14">
      <c r="B67" s="546" t="s">
        <v>15</v>
      </c>
      <c r="C67" s="543">
        <v>10</v>
      </c>
      <c r="D67" s="543">
        <v>20</v>
      </c>
      <c r="E67" s="543">
        <v>30</v>
      </c>
      <c r="F67" s="543">
        <v>50</v>
      </c>
      <c r="G67" s="543">
        <v>100</v>
      </c>
      <c r="H67" s="543"/>
    </row>
    <row r="68" spans="1:14" ht="25.5">
      <c r="B68" s="516" t="s">
        <v>10</v>
      </c>
      <c r="C68" s="544">
        <v>148.80000000000001</v>
      </c>
      <c r="D68" s="544">
        <v>221.28</v>
      </c>
      <c r="E68" s="544">
        <v>274.68</v>
      </c>
      <c r="F68" s="544">
        <v>375</v>
      </c>
      <c r="G68" s="544">
        <v>508.8</v>
      </c>
      <c r="H68" s="544"/>
    </row>
    <row r="69" spans="1:14" ht="25.5">
      <c r="B69" s="516" t="s">
        <v>16</v>
      </c>
      <c r="C69" s="544">
        <v>20.98</v>
      </c>
      <c r="D69" s="544">
        <v>30.65</v>
      </c>
      <c r="E69" s="544">
        <v>36.340000000000003</v>
      </c>
      <c r="F69" s="544">
        <v>45.22</v>
      </c>
      <c r="G69" s="544">
        <v>53.53</v>
      </c>
      <c r="H69" s="544"/>
    </row>
    <row r="70" spans="1:14">
      <c r="B70" s="547"/>
      <c r="C70" s="548"/>
      <c r="D70" s="548"/>
      <c r="E70" s="548"/>
      <c r="F70" s="548"/>
      <c r="G70" s="548"/>
      <c r="H70" s="548"/>
    </row>
    <row r="71" spans="1:14">
      <c r="B71" s="549"/>
    </row>
    <row r="73" spans="1:14">
      <c r="A73" s="528" t="s">
        <v>24</v>
      </c>
      <c r="K73" s="511"/>
    </row>
    <row r="74" spans="1:14">
      <c r="A74" s="499" t="s">
        <v>25</v>
      </c>
    </row>
    <row r="75" spans="1:14" s="554" customFormat="1" ht="38.25">
      <c r="A75" s="550" t="s">
        <v>26</v>
      </c>
      <c r="B75" s="551" t="s">
        <v>27</v>
      </c>
      <c r="C75" s="552">
        <v>200</v>
      </c>
      <c r="D75" s="552">
        <v>500</v>
      </c>
      <c r="E75" s="552">
        <v>700</v>
      </c>
      <c r="F75" s="553">
        <v>1000</v>
      </c>
      <c r="G75" s="553">
        <v>2000</v>
      </c>
      <c r="H75" s="553">
        <v>5000</v>
      </c>
      <c r="I75" s="553">
        <v>7000</v>
      </c>
      <c r="J75" s="553">
        <v>10000</v>
      </c>
    </row>
    <row r="76" spans="1:14" s="554" customFormat="1" ht="25.5">
      <c r="A76" s="555">
        <v>1</v>
      </c>
      <c r="B76" s="556" t="s">
        <v>28</v>
      </c>
      <c r="C76" s="557">
        <v>12.3</v>
      </c>
      <c r="D76" s="557">
        <v>9.6999999999999993</v>
      </c>
      <c r="E76" s="557">
        <v>8.4</v>
      </c>
      <c r="F76" s="557">
        <v>7.5</v>
      </c>
      <c r="G76" s="557">
        <v>5.5</v>
      </c>
      <c r="H76" s="557">
        <v>3.9</v>
      </c>
      <c r="I76" s="557">
        <v>3.2</v>
      </c>
      <c r="J76" s="557">
        <v>2.8</v>
      </c>
    </row>
    <row r="77" spans="1:14" s="554" customFormat="1" ht="25.5">
      <c r="A77" s="555">
        <v>2</v>
      </c>
      <c r="B77" s="556" t="s">
        <v>29</v>
      </c>
      <c r="C77" s="557">
        <v>10.6</v>
      </c>
      <c r="D77" s="557">
        <v>8.8000000000000007</v>
      </c>
      <c r="E77" s="557">
        <v>7.9</v>
      </c>
      <c r="F77" s="557">
        <v>7.1</v>
      </c>
      <c r="G77" s="557">
        <v>5.0999999999999996</v>
      </c>
      <c r="H77" s="557">
        <v>3.7</v>
      </c>
      <c r="I77" s="557">
        <v>3</v>
      </c>
      <c r="J77" s="557">
        <v>2.6</v>
      </c>
    </row>
    <row r="78" spans="1:14">
      <c r="B78" s="558"/>
    </row>
    <row r="79" spans="1:14">
      <c r="B79" s="558"/>
    </row>
    <row r="80" spans="1:14">
      <c r="B80" s="528" t="s">
        <v>30</v>
      </c>
    </row>
    <row r="81" spans="2:9">
      <c r="B81" s="558"/>
    </row>
    <row r="82" spans="2:9">
      <c r="B82" s="507" t="s">
        <v>31</v>
      </c>
      <c r="C82" s="543"/>
      <c r="D82" s="543" t="s">
        <v>32</v>
      </c>
      <c r="E82" s="543" t="s">
        <v>33</v>
      </c>
      <c r="F82" s="543" t="s">
        <v>34</v>
      </c>
      <c r="G82" s="543" t="s">
        <v>35</v>
      </c>
      <c r="H82" s="543"/>
    </row>
    <row r="83" spans="2:9" ht="25.5">
      <c r="B83" s="503" t="s">
        <v>36</v>
      </c>
      <c r="C83" s="544"/>
      <c r="D83" s="544">
        <v>24</v>
      </c>
      <c r="E83" s="544">
        <v>46</v>
      </c>
      <c r="F83" s="544">
        <v>55</v>
      </c>
      <c r="G83" s="544">
        <v>66</v>
      </c>
      <c r="H83" s="544"/>
    </row>
    <row r="87" spans="2:9" ht="13.5" thickBot="1">
      <c r="B87" s="559" t="s">
        <v>37</v>
      </c>
    </row>
    <row r="88" spans="2:9" ht="39" thickBot="1">
      <c r="B88" s="569" t="s">
        <v>38</v>
      </c>
      <c r="C88" s="570">
        <v>1</v>
      </c>
      <c r="D88" s="570">
        <v>3</v>
      </c>
      <c r="E88" s="570">
        <v>5</v>
      </c>
      <c r="F88" s="570">
        <v>10</v>
      </c>
      <c r="G88" s="570">
        <v>20</v>
      </c>
      <c r="H88" s="570">
        <v>50</v>
      </c>
      <c r="I88" s="570">
        <v>100</v>
      </c>
    </row>
    <row r="89" spans="2:9" ht="24" customHeight="1" thickBot="1">
      <c r="B89" s="571" t="s">
        <v>39</v>
      </c>
      <c r="C89" s="557">
        <v>0.81599999999999995</v>
      </c>
      <c r="D89" s="557">
        <v>0.58299999999999996</v>
      </c>
      <c r="E89" s="557">
        <v>0.505</v>
      </c>
      <c r="F89" s="557">
        <v>0.38900000000000001</v>
      </c>
      <c r="G89" s="557">
        <v>0.311</v>
      </c>
      <c r="H89" s="557">
        <v>0.17599999999999999</v>
      </c>
      <c r="I89" s="557">
        <v>0.114</v>
      </c>
    </row>
    <row r="91" spans="2:9" ht="13.5" thickBot="1">
      <c r="B91" s="559" t="s">
        <v>40</v>
      </c>
    </row>
    <row r="92" spans="2:9" ht="25.5">
      <c r="B92" s="578" t="s">
        <v>41</v>
      </c>
      <c r="C92" s="572">
        <v>5</v>
      </c>
      <c r="D92" s="572">
        <v>10</v>
      </c>
      <c r="E92" s="572">
        <v>50</v>
      </c>
      <c r="F92" s="572">
        <v>100</v>
      </c>
      <c r="G92" s="572">
        <v>500</v>
      </c>
      <c r="H92" s="573">
        <v>1000</v>
      </c>
      <c r="I92" s="581">
        <v>10000</v>
      </c>
    </row>
    <row r="93" spans="2:9">
      <c r="B93" s="579" t="s">
        <v>42</v>
      </c>
      <c r="C93" s="574">
        <v>0.95</v>
      </c>
      <c r="D93" s="574">
        <v>0.65</v>
      </c>
      <c r="E93" s="574">
        <v>0.47499999999999998</v>
      </c>
      <c r="F93" s="574">
        <v>0.375</v>
      </c>
      <c r="G93" s="574">
        <v>0.22500000000000001</v>
      </c>
      <c r="H93" s="574">
        <v>0.15</v>
      </c>
      <c r="I93" s="575">
        <v>0.08</v>
      </c>
    </row>
    <row r="94" spans="2:9" ht="13.5" thickBot="1">
      <c r="B94" s="580" t="s">
        <v>43</v>
      </c>
      <c r="C94" s="576">
        <v>1.6</v>
      </c>
      <c r="D94" s="576">
        <v>1.075</v>
      </c>
      <c r="E94" s="576">
        <v>0.75</v>
      </c>
      <c r="F94" s="576">
        <v>0.57499999999999996</v>
      </c>
      <c r="G94" s="576">
        <v>0.32500000000000001</v>
      </c>
      <c r="H94" s="576">
        <v>0.215</v>
      </c>
      <c r="I94" s="577">
        <v>0.115</v>
      </c>
    </row>
    <row r="97" spans="2:10">
      <c r="B97" s="559" t="s">
        <v>44</v>
      </c>
    </row>
    <row r="98" spans="2:10">
      <c r="B98" s="558"/>
    </row>
    <row r="99" spans="2:10" s="562" customFormat="1" ht="25.5">
      <c r="B99" s="560" t="s">
        <v>45</v>
      </c>
      <c r="C99" s="561">
        <v>6</v>
      </c>
      <c r="D99" s="561">
        <v>10</v>
      </c>
      <c r="E99" s="561">
        <v>15</v>
      </c>
      <c r="F99" s="561">
        <v>20</v>
      </c>
      <c r="G99" s="561">
        <v>25</v>
      </c>
      <c r="H99" s="561">
        <v>30</v>
      </c>
    </row>
    <row r="100" spans="2:10" s="562" customFormat="1" ht="51">
      <c r="B100" s="563" t="s">
        <v>46</v>
      </c>
      <c r="C100" s="564">
        <v>160</v>
      </c>
      <c r="D100" s="564">
        <v>135</v>
      </c>
      <c r="E100" s="564">
        <v>115</v>
      </c>
      <c r="F100" s="564">
        <v>104</v>
      </c>
      <c r="G100" s="564">
        <v>96</v>
      </c>
      <c r="H100" s="564">
        <v>90</v>
      </c>
    </row>
    <row r="102" spans="2:10">
      <c r="B102" s="559" t="s">
        <v>47</v>
      </c>
    </row>
    <row r="103" spans="2:10">
      <c r="B103" s="558"/>
    </row>
    <row r="104" spans="2:10" s="562" customFormat="1" ht="25.5">
      <c r="B104" s="560" t="s">
        <v>48</v>
      </c>
      <c r="C104" s="561">
        <v>4</v>
      </c>
      <c r="D104" s="561">
        <v>10</v>
      </c>
      <c r="E104" s="561">
        <v>50</v>
      </c>
      <c r="F104" s="561">
        <v>100</v>
      </c>
      <c r="G104" s="561">
        <v>200</v>
      </c>
      <c r="H104" s="561">
        <v>500</v>
      </c>
      <c r="I104" s="561">
        <v>1000</v>
      </c>
      <c r="J104" s="561">
        <v>3000</v>
      </c>
    </row>
    <row r="105" spans="2:10" s="562" customFormat="1" ht="25.5">
      <c r="B105" s="563" t="s">
        <v>49</v>
      </c>
      <c r="C105" s="564">
        <v>62.5</v>
      </c>
      <c r="D105" s="564">
        <v>35</v>
      </c>
      <c r="E105" s="564">
        <v>14</v>
      </c>
      <c r="F105" s="564">
        <v>9.5</v>
      </c>
      <c r="G105" s="564">
        <v>5.8</v>
      </c>
      <c r="H105" s="564">
        <v>3.1</v>
      </c>
      <c r="I105" s="564">
        <v>2</v>
      </c>
      <c r="J105" s="564">
        <v>1.2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BQ130"/>
  <sheetViews>
    <sheetView showZeros="0" topLeftCell="A20" zoomScaleNormal="100" zoomScalePageLayoutView="78" workbookViewId="0">
      <selection activeCell="F25" sqref="F25"/>
    </sheetView>
  </sheetViews>
  <sheetFormatPr defaultColWidth="9.140625" defaultRowHeight="12.75"/>
  <cols>
    <col min="1" max="1" width="4.140625" style="111" customWidth="1"/>
    <col min="2" max="2" width="31.42578125" style="111" customWidth="1"/>
    <col min="3" max="3" width="15.28515625" style="111" customWidth="1"/>
    <col min="4" max="4" width="14" style="111" customWidth="1"/>
    <col min="5" max="5" width="15.42578125" style="111" customWidth="1"/>
    <col min="6" max="6" width="16" style="111" customWidth="1"/>
    <col min="7" max="7" width="17.140625" style="111" customWidth="1"/>
    <col min="8" max="8" width="9.140625" style="111"/>
    <col min="9" max="9" width="15.42578125" style="111" bestFit="1" customWidth="1"/>
    <col min="10" max="10" width="26.42578125" style="111" customWidth="1"/>
    <col min="11" max="11" width="13.28515625" style="111" customWidth="1"/>
    <col min="12" max="12" width="13" style="111" customWidth="1"/>
    <col min="13" max="14" width="12.28515625" style="111" customWidth="1"/>
    <col min="15" max="15" width="12.140625" style="111" customWidth="1"/>
    <col min="16" max="16" width="21.85546875" style="111" customWidth="1"/>
    <col min="17" max="17" width="17.85546875" style="111" customWidth="1"/>
    <col min="18" max="18" width="11.85546875" style="111" customWidth="1"/>
    <col min="19" max="19" width="12.85546875" style="111" customWidth="1"/>
    <col min="20" max="21" width="9.140625" style="111"/>
    <col min="22" max="22" width="15" style="111" customWidth="1"/>
    <col min="23" max="23" width="14.85546875" style="111" customWidth="1"/>
    <col min="24" max="16384" width="9.140625" style="11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15.75" thickTop="1">
      <c r="A2" s="704" t="s">
        <v>50</v>
      </c>
      <c r="B2" s="704"/>
      <c r="C2" s="704"/>
      <c r="D2" s="704"/>
      <c r="E2" s="704"/>
      <c r="F2" s="704"/>
      <c r="G2" s="704"/>
      <c r="H2" s="110"/>
    </row>
    <row r="3" spans="1:69" ht="12" customHeight="1" thickBot="1">
      <c r="A3" s="705"/>
      <c r="B3" s="705"/>
      <c r="C3" s="705"/>
      <c r="D3" s="705"/>
      <c r="E3" s="705"/>
      <c r="F3" s="705"/>
      <c r="G3" s="705"/>
      <c r="H3" s="89"/>
      <c r="I3" s="112"/>
      <c r="J3" s="112"/>
      <c r="K3" s="112"/>
      <c r="L3" s="221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</row>
    <row r="4" spans="1:69" ht="42" customHeight="1" thickTop="1">
      <c r="A4" s="687" t="s">
        <v>51</v>
      </c>
      <c r="B4" s="687"/>
      <c r="C4" s="687"/>
      <c r="D4" s="687"/>
      <c r="E4" s="687"/>
      <c r="F4" s="687"/>
      <c r="G4" s="687"/>
      <c r="H4" s="89"/>
      <c r="I4" s="112"/>
      <c r="J4" s="112"/>
      <c r="K4" s="112"/>
      <c r="L4" s="221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</row>
    <row r="5" spans="1:69" ht="16.5" customHeight="1">
      <c r="A5" s="706" t="s">
        <v>52</v>
      </c>
      <c r="B5" s="706"/>
      <c r="C5" s="275">
        <v>50000</v>
      </c>
      <c r="D5" s="61" t="s">
        <v>53</v>
      </c>
      <c r="E5" s="114" t="s">
        <v>54</v>
      </c>
      <c r="F5" s="115">
        <v>25000</v>
      </c>
      <c r="I5" s="280"/>
      <c r="J5" s="280"/>
      <c r="K5" s="280"/>
      <c r="L5" s="280"/>
      <c r="M5" s="280"/>
      <c r="N5" s="280"/>
      <c r="O5" s="280"/>
    </row>
    <row r="6" spans="1:69" ht="16.5" customHeight="1">
      <c r="A6" s="703" t="s">
        <v>55</v>
      </c>
      <c r="B6" s="703"/>
      <c r="C6" s="471">
        <v>1000</v>
      </c>
      <c r="D6" s="472" t="s">
        <v>56</v>
      </c>
      <c r="E6" s="473" t="s">
        <v>57</v>
      </c>
      <c r="F6" s="474">
        <f>IF(C6&gt;1500,1.2,IF(C6&gt;1000,1.1,IF(C6&gt;=500,1,IF(C6&gt;200,0.8,0.6))))</f>
        <v>1</v>
      </c>
      <c r="G6" s="470"/>
      <c r="I6" s="280"/>
      <c r="J6" s="280"/>
      <c r="K6" s="280"/>
      <c r="L6" s="280"/>
      <c r="M6" s="280"/>
      <c r="N6" s="280"/>
      <c r="O6" s="280"/>
    </row>
    <row r="7" spans="1:69" ht="18.95" customHeight="1">
      <c r="A7" s="193" t="s">
        <v>58</v>
      </c>
      <c r="B7" s="194"/>
      <c r="C7" s="194"/>
      <c r="D7" s="195"/>
      <c r="E7" s="195"/>
      <c r="F7" s="195"/>
      <c r="G7" s="195"/>
      <c r="I7" s="281"/>
      <c r="J7" s="282"/>
      <c r="K7" s="283"/>
      <c r="L7" s="284"/>
      <c r="M7" s="284"/>
      <c r="N7" s="284"/>
      <c r="O7" s="284"/>
    </row>
    <row r="8" spans="1:69" ht="15" customHeight="1">
      <c r="A8" s="198" t="s">
        <v>59</v>
      </c>
      <c r="B8" s="198"/>
      <c r="C8" s="199"/>
      <c r="D8" s="199"/>
      <c r="E8" s="199"/>
      <c r="F8" s="199"/>
      <c r="G8" s="199"/>
      <c r="I8" s="281"/>
      <c r="J8" s="282"/>
      <c r="K8" s="283"/>
      <c r="L8" s="285"/>
      <c r="M8" s="285"/>
      <c r="N8" s="285"/>
      <c r="O8" s="285"/>
    </row>
    <row r="9" spans="1:69" ht="15" customHeight="1">
      <c r="A9" s="198" t="s">
        <v>60</v>
      </c>
      <c r="B9" s="198"/>
      <c r="C9" s="199"/>
      <c r="D9" s="199"/>
      <c r="E9" s="199"/>
      <c r="F9" s="199"/>
      <c r="G9" s="199"/>
      <c r="I9" s="281"/>
      <c r="J9" s="282"/>
      <c r="K9" s="283"/>
      <c r="L9" s="285"/>
      <c r="M9" s="285"/>
      <c r="N9" s="285"/>
      <c r="O9" s="285"/>
    </row>
    <row r="10" spans="1:69" ht="18.95" customHeight="1">
      <c r="A10" s="688" t="s">
        <v>61</v>
      </c>
      <c r="B10" s="688"/>
      <c r="C10" s="688"/>
      <c r="D10" s="688"/>
      <c r="E10" s="688"/>
      <c r="F10" s="688"/>
      <c r="G10" s="688"/>
      <c r="I10" s="281"/>
      <c r="J10" s="282"/>
      <c r="K10" s="283"/>
      <c r="L10" s="285"/>
      <c r="M10" s="285"/>
      <c r="N10" s="285"/>
      <c r="O10" s="285"/>
    </row>
    <row r="11" spans="1:69" ht="18.75" customHeight="1">
      <c r="A11" s="693" t="s">
        <v>62</v>
      </c>
      <c r="B11" s="693"/>
      <c r="C11" s="693"/>
      <c r="D11" s="693"/>
      <c r="E11" s="693"/>
      <c r="F11" s="693"/>
      <c r="G11" s="693"/>
      <c r="I11" s="281"/>
      <c r="J11" s="282"/>
      <c r="K11" s="283"/>
      <c r="L11" s="285"/>
      <c r="M11" s="285"/>
      <c r="N11" s="285"/>
      <c r="O11" s="285"/>
    </row>
    <row r="12" spans="1:69" ht="31.5" customHeight="1">
      <c r="A12" s="695" t="s">
        <v>63</v>
      </c>
      <c r="B12" s="695"/>
      <c r="C12" s="695"/>
      <c r="D12" s="695"/>
      <c r="E12" s="695"/>
      <c r="F12" s="695"/>
      <c r="G12" s="695"/>
      <c r="H12" s="167"/>
      <c r="I12" s="281"/>
      <c r="J12" s="413">
        <v>1156000000</v>
      </c>
      <c r="K12" s="413">
        <f>J12/C5</f>
        <v>23120</v>
      </c>
      <c r="L12" s="285"/>
      <c r="M12" s="285"/>
      <c r="N12" s="285"/>
      <c r="O12" s="285"/>
    </row>
    <row r="13" spans="1:69" ht="27.75" customHeight="1">
      <c r="A13" s="708" t="s">
        <v>64</v>
      </c>
      <c r="B13" s="708"/>
      <c r="C13" s="708"/>
      <c r="D13" s="708"/>
      <c r="E13" s="708"/>
      <c r="F13" s="708"/>
      <c r="G13" s="708"/>
      <c r="H13" s="167"/>
      <c r="I13" s="281"/>
      <c r="J13" s="413"/>
      <c r="K13" s="413"/>
      <c r="L13" s="285"/>
      <c r="M13" s="285"/>
      <c r="N13" s="285"/>
      <c r="O13" s="285"/>
    </row>
    <row r="14" spans="1:69" ht="15.75">
      <c r="A14" s="707"/>
      <c r="B14" s="707"/>
      <c r="C14" s="707"/>
      <c r="D14" s="707"/>
      <c r="E14" s="707"/>
      <c r="F14" s="707"/>
      <c r="G14" s="707"/>
      <c r="H14" s="167"/>
      <c r="I14" s="281"/>
      <c r="J14" s="413"/>
      <c r="K14" s="413"/>
      <c r="L14" s="285"/>
      <c r="M14" s="285"/>
      <c r="N14" s="285"/>
      <c r="O14" s="285"/>
    </row>
    <row r="15" spans="1:69" ht="18.95" customHeight="1">
      <c r="A15" s="688" t="s">
        <v>65</v>
      </c>
      <c r="B15" s="688"/>
      <c r="C15" s="688"/>
      <c r="D15" s="688"/>
      <c r="E15" s="688"/>
      <c r="F15" s="688"/>
      <c r="G15" s="688"/>
      <c r="H15" s="166"/>
      <c r="I15" s="110"/>
      <c r="J15" s="127"/>
      <c r="K15" s="110"/>
      <c r="L15" s="110"/>
      <c r="M15" s="110"/>
      <c r="N15" s="110"/>
      <c r="O15" s="110"/>
    </row>
    <row r="16" spans="1:69" s="196" customFormat="1" ht="17.25" customHeight="1">
      <c r="A16" s="200"/>
      <c r="B16" s="201" t="s">
        <v>66</v>
      </c>
      <c r="C16" s="277">
        <f>C5</f>
        <v>50000</v>
      </c>
      <c r="D16" s="202" t="s">
        <v>53</v>
      </c>
      <c r="E16" s="201"/>
      <c r="F16" s="202"/>
      <c r="G16" s="203"/>
    </row>
    <row r="17" spans="1:69" s="197" customFormat="1" ht="46.5" customHeight="1">
      <c r="A17" s="689" t="s">
        <v>67</v>
      </c>
      <c r="B17" s="690"/>
      <c r="C17" s="690"/>
      <c r="D17" s="690"/>
      <c r="E17" s="690"/>
      <c r="F17" s="690"/>
      <c r="G17" s="690"/>
    </row>
    <row r="18" spans="1:69" s="196" customFormat="1" ht="15">
      <c r="A18" s="204"/>
      <c r="B18" s="205" t="s">
        <v>68</v>
      </c>
      <c r="C18" s="691" t="s">
        <v>69</v>
      </c>
      <c r="D18" s="206" t="s">
        <v>70</v>
      </c>
      <c r="E18" s="692" t="s">
        <v>71</v>
      </c>
      <c r="F18" s="692"/>
      <c r="G18" s="203"/>
    </row>
    <row r="19" spans="1:69" s="196" customFormat="1" ht="15.75" thickBot="1">
      <c r="A19" s="204"/>
      <c r="B19" s="200"/>
      <c r="C19" s="691"/>
      <c r="D19" s="210" t="s">
        <v>72</v>
      </c>
      <c r="E19" s="692"/>
      <c r="F19" s="692"/>
      <c r="G19" s="203"/>
      <c r="J19" s="196">
        <f>1150230/C5</f>
        <v>23.0046</v>
      </c>
    </row>
    <row r="20" spans="1:69" s="298" customFormat="1" ht="28.5">
      <c r="A20" s="698" t="s">
        <v>26</v>
      </c>
      <c r="B20" s="696" t="s">
        <v>73</v>
      </c>
      <c r="C20" s="696" t="s">
        <v>74</v>
      </c>
      <c r="D20" s="314" t="s">
        <v>75</v>
      </c>
      <c r="E20" s="314" t="s">
        <v>76</v>
      </c>
      <c r="F20" s="696" t="s">
        <v>77</v>
      </c>
      <c r="G20" s="701" t="s">
        <v>78</v>
      </c>
    </row>
    <row r="21" spans="1:69" s="298" customFormat="1" ht="15.75" thickBot="1">
      <c r="A21" s="699"/>
      <c r="B21" s="697"/>
      <c r="C21" s="697"/>
      <c r="D21" s="317" t="s">
        <v>79</v>
      </c>
      <c r="E21" s="317" t="s">
        <v>80</v>
      </c>
      <c r="F21" s="697"/>
      <c r="G21" s="702"/>
    </row>
    <row r="22" spans="1:69" s="196" customFormat="1" ht="15">
      <c r="A22" s="299">
        <v>1</v>
      </c>
      <c r="B22" s="300" t="s">
        <v>81</v>
      </c>
      <c r="C22" s="301" t="s">
        <v>82</v>
      </c>
      <c r="D22" s="609">
        <f>IF(D27&lt;20,508.8,IF(D27&gt;50000,"Vượt quy mô",(D23-D24)/(D25-D26)*(D27-D26)+D24))</f>
        <v>10500</v>
      </c>
      <c r="E22" s="609">
        <f>IF(E27&lt;200,14.1,IF(E27&gt;50000,"Vượt quy mô",((E23-E24)/(E25-E26)*(E27-E26)+E24)))</f>
        <v>315</v>
      </c>
      <c r="F22" s="380">
        <f>IF(F27&lt;200,12.3,IF(F27&gt;10000,2.8,ROUND(((F23-F24)/(F25-F26)*(F27-F26)+F24),3)))</f>
        <v>2.8</v>
      </c>
      <c r="G22" s="391">
        <f>IF(G27&lt;200,10.6,IF(G27&gt;10000,2.6,ROUND(((G23-G24)/(G25-G26)*(G27-G26)+G24),3)))</f>
        <v>2.6</v>
      </c>
    </row>
    <row r="23" spans="1:69" s="196" customFormat="1" ht="15" customHeight="1">
      <c r="A23" s="302">
        <v>2</v>
      </c>
      <c r="B23" s="303" t="s">
        <v>83</v>
      </c>
      <c r="C23" s="304" t="s">
        <v>84</v>
      </c>
      <c r="D23" s="486">
        <f>IF(D27&lt;20,505.8,LOOKUP(D25,'Dinh muc'!$C$4:$P$5))+0.00000000000001</f>
        <v>10500</v>
      </c>
      <c r="E23" s="486">
        <f>LOOKUP(E25,'Dinh muc'!$C$4:$P$6)+0.0000000000000001</f>
        <v>315</v>
      </c>
      <c r="F23" s="308">
        <f>LOOKUP(F25, 'Dinh muc'!$C$75:$J$76)+0.00000000001</f>
        <v>2.8000000000099998</v>
      </c>
      <c r="G23" s="392">
        <f>LOOKUP(G25, 'Dinh muc'!$C$75:$J$77)+0.000000000001</f>
        <v>2.6000000000010002</v>
      </c>
    </row>
    <row r="24" spans="1:69" s="196" customFormat="1" ht="15" customHeight="1">
      <c r="A24" s="302">
        <v>3</v>
      </c>
      <c r="B24" s="303" t="s">
        <v>85</v>
      </c>
      <c r="C24" s="304" t="s">
        <v>86</v>
      </c>
      <c r="D24" s="486">
        <f>LOOKUP(D26,'Dinh muc'!$C$4:$P$5)+0.0000000000001</f>
        <v>10500</v>
      </c>
      <c r="E24" s="486">
        <f>LOOKUP(E26,'Dinh muc'!$C$4:$P$6)+0.0000000000000001</f>
        <v>315</v>
      </c>
      <c r="F24" s="308">
        <f>LOOKUP(F26, 'Dinh muc'!$C$75:$J$76)+0.00000000001</f>
        <v>2.8000000000099998</v>
      </c>
      <c r="G24" s="392">
        <f>LOOKUP(G26, 'Dinh muc'!$C$75:$J$77)+0.000000000000001</f>
        <v>2.600000000000001</v>
      </c>
    </row>
    <row r="25" spans="1:69" s="196" customFormat="1" ht="15" customHeight="1">
      <c r="A25" s="302">
        <v>4</v>
      </c>
      <c r="B25" s="303" t="s">
        <v>87</v>
      </c>
      <c r="C25" s="304" t="s">
        <v>88</v>
      </c>
      <c r="D25" s="313">
        <f>IF((D27&lt;20),20,(SMALL('Dinh muc'!$C$4:$P$4,COUNTIF('Dinh muc'!$C$4:$P$4,"&lt;="&amp;$D$27))))+0.00000000001</f>
        <v>50000.000000000007</v>
      </c>
      <c r="E25" s="313">
        <f>D25</f>
        <v>50000.000000000007</v>
      </c>
      <c r="F25" s="567">
        <f>IF(F27&lt;200,200,(SMALL('Dinh muc'!$C$75:$J$75,COUNTIF('Dinh muc'!$C$75:$J$75,"&lt;="&amp;$F$27))))+0.000000001</f>
        <v>10000.000000001</v>
      </c>
      <c r="G25" s="568">
        <f>F25</f>
        <v>10000.000000001</v>
      </c>
    </row>
    <row r="26" spans="1:69" ht="15" customHeight="1">
      <c r="A26" s="302">
        <v>5</v>
      </c>
      <c r="B26" s="303" t="s">
        <v>89</v>
      </c>
      <c r="C26" s="304" t="s">
        <v>90</v>
      </c>
      <c r="D26" s="313">
        <f>IF(D27&gt;50000,50000,(LARGE('Dinh muc'!$C$4:$P$4,COUNTIF('Dinh muc'!$C$4:$P$4,"&gt;="&amp;$D$27))))+0.0000000000000001</f>
        <v>50000</v>
      </c>
      <c r="E26" s="313">
        <f>D26</f>
        <v>50000</v>
      </c>
      <c r="F26" s="567">
        <f>IF(F27&gt;=10000,10000,LARGE('Dinh muc'!$C$75:$J$75,COUNTIF('Dinh muc'!$C$75:$J$75,"&gt;="&amp; $F$27)))+0.000000000001</f>
        <v>10000.000000000002</v>
      </c>
      <c r="G26" s="568">
        <f>F26</f>
        <v>10000.000000000002</v>
      </c>
      <c r="H26" s="128"/>
      <c r="I26" s="110"/>
      <c r="J26" s="110"/>
      <c r="K26" s="110"/>
      <c r="L26" s="110"/>
      <c r="M26" s="110"/>
      <c r="N26" s="110"/>
      <c r="O26" s="110"/>
      <c r="P26" s="110"/>
    </row>
    <row r="27" spans="1:69" ht="15" customHeight="1" thickBot="1">
      <c r="A27" s="305">
        <v>6</v>
      </c>
      <c r="B27" s="306" t="s">
        <v>91</v>
      </c>
      <c r="C27" s="307" t="s">
        <v>92</v>
      </c>
      <c r="D27" s="312">
        <f>$C$5</f>
        <v>50000</v>
      </c>
      <c r="E27" s="312">
        <f>D27</f>
        <v>50000</v>
      </c>
      <c r="F27" s="565">
        <f>E34/1000000+0.00000001</f>
        <v>10500.000000010001</v>
      </c>
      <c r="G27" s="566">
        <f>F27</f>
        <v>10500.000000010001</v>
      </c>
      <c r="H27" s="129"/>
      <c r="I27" s="110"/>
      <c r="J27" s="110"/>
      <c r="K27" s="110"/>
      <c r="L27" s="110"/>
      <c r="M27" s="110"/>
      <c r="N27" s="110"/>
      <c r="O27" s="110"/>
      <c r="P27" s="110"/>
    </row>
    <row r="28" spans="1:69" ht="15" customHeight="1">
      <c r="A28" s="204"/>
      <c r="B28" s="207" t="s">
        <v>93</v>
      </c>
      <c r="C28" s="485">
        <f>E22*1000000</f>
        <v>315000000</v>
      </c>
      <c r="D28" s="211" t="s">
        <v>94</v>
      </c>
      <c r="E28" s="208"/>
      <c r="F28" s="209"/>
      <c r="G28" s="211"/>
      <c r="H28" s="60"/>
      <c r="I28" s="110"/>
      <c r="J28" s="123"/>
      <c r="K28" s="130"/>
      <c r="L28" s="110"/>
      <c r="M28" s="110"/>
      <c r="N28" s="110"/>
      <c r="O28" s="110"/>
      <c r="P28" s="110"/>
    </row>
    <row r="29" spans="1:69" ht="15" customHeight="1" thickBot="1">
      <c r="A29" s="204"/>
      <c r="B29" s="207" t="s">
        <v>95</v>
      </c>
      <c r="C29" s="485">
        <f>D22*1000000</f>
        <v>10500000000</v>
      </c>
      <c r="D29" s="211" t="s">
        <v>94</v>
      </c>
      <c r="E29" s="208"/>
      <c r="F29" s="209"/>
      <c r="G29" s="211"/>
      <c r="H29" s="60"/>
      <c r="I29" s="110"/>
      <c r="J29" s="123"/>
      <c r="K29" s="130"/>
      <c r="L29" s="110"/>
      <c r="M29" s="110"/>
      <c r="N29" s="110"/>
      <c r="O29" s="110"/>
      <c r="P29" s="110"/>
    </row>
    <row r="30" spans="1:69" ht="42.75">
      <c r="A30" s="170" t="s">
        <v>26</v>
      </c>
      <c r="B30" s="171" t="s">
        <v>96</v>
      </c>
      <c r="C30" s="171" t="s">
        <v>97</v>
      </c>
      <c r="D30" s="171" t="s">
        <v>98</v>
      </c>
      <c r="E30" s="171" t="s">
        <v>99</v>
      </c>
      <c r="F30" s="171" t="s">
        <v>100</v>
      </c>
      <c r="G30" s="172" t="s">
        <v>101</v>
      </c>
      <c r="H30" s="98"/>
      <c r="J30" s="289">
        <v>97111693</v>
      </c>
      <c r="K30" s="290">
        <f>J30/C5</f>
        <v>1942.23386</v>
      </c>
      <c r="L30" s="221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</row>
    <row r="31" spans="1:69" ht="15" customHeight="1" thickBot="1">
      <c r="A31" s="184">
        <v>1</v>
      </c>
      <c r="B31" s="185">
        <v>2</v>
      </c>
      <c r="C31" s="185">
        <v>3</v>
      </c>
      <c r="D31" s="185">
        <v>4</v>
      </c>
      <c r="E31" s="185" t="s">
        <v>102</v>
      </c>
      <c r="F31" s="185" t="s">
        <v>103</v>
      </c>
      <c r="G31" s="186" t="s">
        <v>104</v>
      </c>
      <c r="H31" s="98"/>
      <c r="I31" s="110"/>
      <c r="J31" s="289"/>
      <c r="K31" s="290"/>
      <c r="L31" s="286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</row>
    <row r="32" spans="1:69" ht="15" customHeight="1">
      <c r="A32" s="180">
        <v>1</v>
      </c>
      <c r="B32" s="181" t="s">
        <v>105</v>
      </c>
      <c r="C32" s="182"/>
      <c r="D32" s="182"/>
      <c r="E32" s="182"/>
      <c r="F32" s="182"/>
      <c r="G32" s="183"/>
      <c r="H32" s="99"/>
      <c r="I32" s="110"/>
      <c r="J32" s="289"/>
      <c r="K32" s="290"/>
      <c r="L32" s="286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</row>
    <row r="33" spans="1:69" ht="45">
      <c r="A33" s="173" t="s">
        <v>106</v>
      </c>
      <c r="B33" s="64" t="s">
        <v>107</v>
      </c>
      <c r="C33" s="66">
        <f>C28</f>
        <v>315000000</v>
      </c>
      <c r="D33" s="431">
        <f>F6</f>
        <v>1</v>
      </c>
      <c r="E33" s="161">
        <f>C33*D33</f>
        <v>315000000</v>
      </c>
      <c r="F33" s="66">
        <f>E33*10%</f>
        <v>31500000</v>
      </c>
      <c r="G33" s="174">
        <f>F33+E33</f>
        <v>346500000</v>
      </c>
      <c r="H33" s="100"/>
      <c r="I33" s="122"/>
      <c r="J33" s="291"/>
      <c r="K33" s="293"/>
      <c r="L33" s="134"/>
      <c r="M33" s="134"/>
      <c r="N33" s="134"/>
      <c r="O33" s="134"/>
      <c r="P33" s="134"/>
      <c r="Q33" s="134"/>
      <c r="R33" s="134"/>
      <c r="S33" s="134"/>
      <c r="T33" s="133"/>
      <c r="U33" s="133"/>
      <c r="V33" s="133"/>
      <c r="W33" s="133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</row>
    <row r="34" spans="1:69" ht="45">
      <c r="A34" s="173" t="s">
        <v>108</v>
      </c>
      <c r="B34" s="64" t="s">
        <v>109</v>
      </c>
      <c r="C34" s="66">
        <f>C29</f>
        <v>10500000000</v>
      </c>
      <c r="D34" s="431">
        <f>D33</f>
        <v>1</v>
      </c>
      <c r="E34" s="161">
        <f>D34*C34</f>
        <v>10500000000</v>
      </c>
      <c r="F34" s="66">
        <f>E34*10%</f>
        <v>1050000000</v>
      </c>
      <c r="G34" s="174">
        <f>SUM(E34:F34)</f>
        <v>11550000000</v>
      </c>
      <c r="H34" s="100"/>
      <c r="I34" s="122"/>
      <c r="J34" s="291"/>
      <c r="K34" s="291"/>
      <c r="L34" s="134"/>
      <c r="M34" s="134"/>
      <c r="N34" s="134"/>
      <c r="O34" s="134"/>
      <c r="P34" s="134"/>
      <c r="Q34" s="134"/>
      <c r="R34" s="134"/>
      <c r="S34" s="134"/>
      <c r="T34" s="133"/>
      <c r="U34" s="133"/>
      <c r="V34" s="133"/>
      <c r="W34" s="133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</row>
    <row r="35" spans="1:69" ht="30">
      <c r="A35" s="482" t="s">
        <v>110</v>
      </c>
      <c r="B35" s="483" t="s">
        <v>111</v>
      </c>
      <c r="C35" s="456">
        <f>E34</f>
        <v>10500000000</v>
      </c>
      <c r="D35" s="484">
        <v>0.1</v>
      </c>
      <c r="E35" s="455">
        <f>C35*D35</f>
        <v>1050000000</v>
      </c>
      <c r="F35" s="456">
        <f>E35*10%</f>
        <v>105000000</v>
      </c>
      <c r="G35" s="457">
        <f>SUM(E35:F35)</f>
        <v>1155000000</v>
      </c>
      <c r="H35" s="100"/>
      <c r="I35" s="414"/>
      <c r="J35" s="292"/>
      <c r="K35" s="291"/>
      <c r="L35" s="134"/>
      <c r="M35" s="134"/>
      <c r="N35" s="134"/>
      <c r="O35" s="134"/>
      <c r="P35" s="134"/>
      <c r="Q35" s="134"/>
      <c r="R35" s="134"/>
      <c r="S35" s="134"/>
      <c r="T35" s="133"/>
      <c r="U35" s="133"/>
      <c r="V35" s="133"/>
      <c r="W35" s="133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</row>
    <row r="36" spans="1:69" ht="15" customHeight="1">
      <c r="A36" s="177"/>
      <c r="B36" s="63" t="s">
        <v>112</v>
      </c>
      <c r="C36" s="79"/>
      <c r="D36" s="310"/>
      <c r="E36" s="71"/>
      <c r="F36" s="71">
        <f>SUM(F33:F35)</f>
        <v>1186500000</v>
      </c>
      <c r="G36" s="71">
        <f>SUM(G33:G35)</f>
        <v>13051500000</v>
      </c>
      <c r="H36" s="101"/>
      <c r="I36" s="122"/>
      <c r="J36" s="291"/>
      <c r="K36" s="294"/>
      <c r="L36" s="134"/>
      <c r="M36" s="134"/>
      <c r="N36" s="134"/>
      <c r="O36" s="134"/>
      <c r="P36" s="134"/>
      <c r="Q36" s="134"/>
      <c r="R36" s="134"/>
      <c r="S36" s="134"/>
      <c r="T36" s="133"/>
      <c r="U36" s="133"/>
      <c r="V36" s="133"/>
      <c r="W36" s="133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</row>
    <row r="37" spans="1:69" ht="15" customHeight="1">
      <c r="A37" s="187">
        <v>2</v>
      </c>
      <c r="B37" s="224" t="s">
        <v>113</v>
      </c>
      <c r="C37" s="79">
        <f>C33</f>
        <v>315000000</v>
      </c>
      <c r="D37" s="165">
        <v>0.2</v>
      </c>
      <c r="E37" s="79">
        <f>D37*C37</f>
        <v>63000000</v>
      </c>
      <c r="F37" s="79"/>
      <c r="G37" s="179">
        <f>SUM(E37:F37)</f>
        <v>63000000</v>
      </c>
      <c r="H37" s="101"/>
      <c r="I37" s="122"/>
      <c r="J37" s="291"/>
      <c r="K37" s="294"/>
      <c r="L37" s="134"/>
      <c r="M37" s="134"/>
      <c r="N37" s="134"/>
      <c r="O37" s="134"/>
      <c r="P37" s="134"/>
      <c r="Q37" s="134"/>
      <c r="R37" s="134"/>
      <c r="S37" s="134"/>
      <c r="T37" s="133"/>
      <c r="U37" s="133"/>
      <c r="V37" s="133"/>
      <c r="W37" s="133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</row>
    <row r="38" spans="1:69" ht="15" customHeight="1">
      <c r="A38" s="187">
        <v>3</v>
      </c>
      <c r="B38" s="224" t="s">
        <v>114</v>
      </c>
      <c r="C38" s="79">
        <f>E34</f>
        <v>10500000000</v>
      </c>
      <c r="D38" s="310">
        <f>F22/100</f>
        <v>2.7999999999999997E-2</v>
      </c>
      <c r="E38" s="79">
        <f t="shared" ref="E38:E39" si="0">D38*C38</f>
        <v>293999999.99999994</v>
      </c>
      <c r="F38" s="79"/>
      <c r="G38" s="179">
        <f t="shared" ref="G38:G40" si="1">SUM(E38:F38)</f>
        <v>293999999.99999994</v>
      </c>
      <c r="H38" s="100"/>
      <c r="I38" s="122"/>
      <c r="J38" s="122"/>
      <c r="K38" s="134"/>
      <c r="L38" s="134"/>
      <c r="M38" s="134"/>
      <c r="N38" s="134"/>
      <c r="O38" s="134"/>
      <c r="P38" s="134"/>
      <c r="Q38" s="134"/>
      <c r="R38" s="134"/>
      <c r="S38" s="134"/>
      <c r="T38" s="133"/>
      <c r="U38" s="133"/>
      <c r="V38" s="133"/>
      <c r="W38" s="133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</row>
    <row r="39" spans="1:69" ht="44.25">
      <c r="A39" s="222">
        <v>4</v>
      </c>
      <c r="B39" s="223" t="s">
        <v>115</v>
      </c>
      <c r="C39" s="213">
        <f>C38</f>
        <v>10500000000</v>
      </c>
      <c r="D39" s="311">
        <f>G22/100</f>
        <v>2.6000000000000002E-2</v>
      </c>
      <c r="E39" s="79">
        <f t="shared" si="0"/>
        <v>273000000</v>
      </c>
      <c r="F39" s="79"/>
      <c r="G39" s="179">
        <f t="shared" si="1"/>
        <v>273000000</v>
      </c>
      <c r="H39" s="100"/>
      <c r="I39" s="122"/>
      <c r="J39" s="128">
        <f>518990/2690.87</f>
        <v>192.87070724338227</v>
      </c>
      <c r="K39" s="287"/>
      <c r="L39" s="287">
        <f>165776/108</f>
        <v>1534.962962962963</v>
      </c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</row>
    <row r="40" spans="1:69" ht="35.25" customHeight="1">
      <c r="A40" s="187">
        <v>5</v>
      </c>
      <c r="B40" s="76" t="s">
        <v>116</v>
      </c>
      <c r="C40" s="79">
        <f>C39</f>
        <v>10500000000</v>
      </c>
      <c r="D40" s="165">
        <v>0.03</v>
      </c>
      <c r="E40" s="79">
        <f>D40*C40</f>
        <v>315000000</v>
      </c>
      <c r="F40" s="79">
        <f>E40*10%</f>
        <v>31500000</v>
      </c>
      <c r="G40" s="179">
        <f t="shared" si="1"/>
        <v>346500000</v>
      </c>
      <c r="H40" s="100"/>
      <c r="I40" s="122"/>
      <c r="J40" s="12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</row>
    <row r="41" spans="1:69" ht="28.5">
      <c r="A41" s="187">
        <v>6</v>
      </c>
      <c r="B41" s="224" t="s">
        <v>117</v>
      </c>
      <c r="C41" s="79"/>
      <c r="D41" s="310"/>
      <c r="E41" s="79"/>
      <c r="F41" s="79"/>
      <c r="G41" s="179">
        <f>SUM(G42:G45)</f>
        <v>65391503.164923757</v>
      </c>
      <c r="H41" s="100"/>
      <c r="I41" s="122"/>
      <c r="J41" s="128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</row>
    <row r="42" spans="1:69" ht="30">
      <c r="A42" s="415" t="s">
        <v>118</v>
      </c>
      <c r="B42" s="416" t="s">
        <v>119</v>
      </c>
      <c r="C42" s="79">
        <f>SUM(G34:G35)</f>
        <v>12705000000</v>
      </c>
      <c r="D42" s="310">
        <f>L70/100*45%</f>
        <v>1.6555544649004108E-3</v>
      </c>
      <c r="E42" s="79">
        <f>D42*C42</f>
        <v>21033819.476559717</v>
      </c>
      <c r="F42" s="79">
        <f>E42*10%</f>
        <v>2103381.9476559716</v>
      </c>
      <c r="G42" s="179">
        <f>SUM(E42:F42)</f>
        <v>23137201.424215689</v>
      </c>
      <c r="H42" s="100"/>
      <c r="I42" s="122"/>
      <c r="J42" s="128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</row>
    <row r="43" spans="1:69" ht="30">
      <c r="A43" s="415" t="s">
        <v>120</v>
      </c>
      <c r="B43" s="416" t="s">
        <v>121</v>
      </c>
      <c r="C43" s="79">
        <f>C42</f>
        <v>12705000000</v>
      </c>
      <c r="D43" s="310">
        <f>L70/100*55%</f>
        <v>2.0234554571005019E-3</v>
      </c>
      <c r="E43" s="79">
        <f t="shared" ref="E43:E44" si="2">D43*C43</f>
        <v>25708001.582461879</v>
      </c>
      <c r="F43" s="79">
        <f t="shared" ref="F43:F44" si="3">E43*10%</f>
        <v>2570800.158246188</v>
      </c>
      <c r="G43" s="179">
        <f t="shared" ref="G43:G44" si="4">SUM(E43:F43)</f>
        <v>28278801.740708068</v>
      </c>
      <c r="H43" s="100"/>
      <c r="I43" s="122"/>
      <c r="J43" s="12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</row>
    <row r="44" spans="1:69" ht="30">
      <c r="A44" s="415" t="s">
        <v>122</v>
      </c>
      <c r="B44" s="416" t="s">
        <v>123</v>
      </c>
      <c r="C44" s="79">
        <f>C43</f>
        <v>12705000000</v>
      </c>
      <c r="D44" s="77">
        <v>5.0000000000000001E-4</v>
      </c>
      <c r="E44" s="79">
        <f t="shared" si="2"/>
        <v>6352500</v>
      </c>
      <c r="F44" s="79">
        <f t="shared" si="3"/>
        <v>635250</v>
      </c>
      <c r="G44" s="179">
        <f t="shared" si="4"/>
        <v>6987750</v>
      </c>
      <c r="H44" s="100"/>
      <c r="I44" s="122"/>
      <c r="J44" s="12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</row>
    <row r="45" spans="1:69" ht="45">
      <c r="A45" s="415" t="s">
        <v>124</v>
      </c>
      <c r="B45" s="416" t="s">
        <v>125</v>
      </c>
      <c r="C45" s="79">
        <f>C42</f>
        <v>12705000000</v>
      </c>
      <c r="D45" s="77">
        <v>5.0000000000000001E-4</v>
      </c>
      <c r="E45" s="79">
        <f>D45*C45</f>
        <v>6352500</v>
      </c>
      <c r="F45" s="79">
        <f>E45*10%</f>
        <v>635250</v>
      </c>
      <c r="G45" s="179">
        <f>SUM(E45:F45)</f>
        <v>6987750</v>
      </c>
      <c r="H45" s="100"/>
      <c r="I45" s="122"/>
      <c r="J45" s="12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</row>
    <row r="46" spans="1:69" ht="17.25" customHeight="1" thickBot="1">
      <c r="A46" s="214"/>
      <c r="B46" s="215" t="s">
        <v>126</v>
      </c>
      <c r="C46" s="216"/>
      <c r="D46" s="216"/>
      <c r="E46" s="216"/>
      <c r="F46" s="216"/>
      <c r="G46" s="217">
        <f>SUM(G37:G41)</f>
        <v>1041891503.1649238</v>
      </c>
      <c r="H46" s="104"/>
      <c r="I46" s="122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</row>
    <row r="47" spans="1:69" ht="16.5" customHeight="1" thickBot="1">
      <c r="A47" s="218"/>
      <c r="B47" s="219" t="s">
        <v>127</v>
      </c>
      <c r="C47" s="219"/>
      <c r="D47" s="219"/>
      <c r="E47" s="219"/>
      <c r="F47" s="220"/>
      <c r="G47" s="236">
        <f>ROUND(G36+G46,-3)</f>
        <v>14093392000</v>
      </c>
      <c r="H47" s="104"/>
      <c r="I47" s="122"/>
      <c r="J47" s="122"/>
      <c r="K47" s="122"/>
      <c r="L47" s="122"/>
      <c r="M47" s="122"/>
      <c r="N47" s="122"/>
      <c r="O47" s="122"/>
      <c r="P47" s="122"/>
      <c r="Q47" s="123"/>
      <c r="R47" s="123"/>
      <c r="S47" s="123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</row>
    <row r="48" spans="1:69" ht="15" customHeight="1">
      <c r="A48" s="228" t="str">
        <f ca="1">CONCATENATE("Bằng chữ :  ",UPPER(LEFT(Q108))&amp;RIGHT(Q108,LEN(Q108)-1))</f>
        <v>Bằng chữ :  Mười bốn tỷ, chín mươi ba triệu, ba trăm  chín mươi  hai nghìn  đồng chẵn</v>
      </c>
      <c r="B48" s="295"/>
      <c r="C48" s="295"/>
      <c r="D48" s="295"/>
      <c r="E48" s="295"/>
      <c r="F48" s="296"/>
      <c r="G48" s="297"/>
      <c r="H48" s="104"/>
      <c r="I48" s="122"/>
      <c r="J48" s="122"/>
      <c r="K48" s="122"/>
      <c r="L48" s="122"/>
      <c r="M48" s="122"/>
      <c r="N48" s="122"/>
      <c r="O48" s="122"/>
      <c r="P48" s="122"/>
      <c r="Q48" s="123"/>
      <c r="R48" s="123"/>
      <c r="S48" s="123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</row>
    <row r="49" spans="1:19" ht="16.5">
      <c r="E49" s="694" t="s">
        <v>128</v>
      </c>
      <c r="F49" s="694"/>
      <c r="G49" s="694"/>
      <c r="H49" s="60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</row>
    <row r="50" spans="1:19" ht="15.75">
      <c r="A50" s="168"/>
      <c r="E50" s="700" t="s">
        <v>129</v>
      </c>
      <c r="F50" s="700"/>
      <c r="G50" s="700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</row>
    <row r="51" spans="1:19" ht="16.5">
      <c r="B51" s="339"/>
      <c r="E51" s="686" t="s">
        <v>130</v>
      </c>
      <c r="F51" s="686"/>
      <c r="G51" s="686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spans="1:19" ht="15.75">
      <c r="B52"/>
      <c r="E52" s="133"/>
      <c r="F52" s="133"/>
      <c r="G52" s="133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</row>
    <row r="53" spans="1:19" ht="15.75">
      <c r="B53"/>
      <c r="E53" s="133"/>
      <c r="F53" s="133"/>
      <c r="G53" s="133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spans="1:19" ht="15.75">
      <c r="B54"/>
      <c r="E54" s="133"/>
      <c r="F54" s="133"/>
      <c r="G54" s="133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</row>
    <row r="55" spans="1:19" ht="15.75">
      <c r="B55"/>
      <c r="E55" s="133"/>
      <c r="F55" s="133"/>
      <c r="G55" s="133"/>
      <c r="I55" s="122"/>
      <c r="J55" s="142"/>
      <c r="K55" s="122"/>
      <c r="L55" s="122"/>
      <c r="M55" s="122"/>
      <c r="N55" s="122"/>
      <c r="O55" s="122"/>
      <c r="P55" s="122"/>
      <c r="Q55" s="122"/>
      <c r="R55" s="122"/>
      <c r="S55" s="122"/>
    </row>
    <row r="56" spans="1:19" ht="15.75">
      <c r="B56"/>
      <c r="E56" s="133"/>
      <c r="F56" s="133"/>
      <c r="G56" s="133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</row>
    <row r="57" spans="1:19" ht="15.75">
      <c r="B57"/>
      <c r="E57" s="133"/>
      <c r="F57" s="133"/>
      <c r="G57" s="133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</row>
    <row r="58" spans="1:19" ht="16.5">
      <c r="B58" s="339"/>
      <c r="E58" s="133"/>
      <c r="F58" s="133"/>
      <c r="G58" s="133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</row>
    <row r="59" spans="1:19" ht="16.5">
      <c r="B59" s="339"/>
      <c r="E59" s="686" t="s">
        <v>131</v>
      </c>
      <c r="F59" s="686"/>
      <c r="G59" s="686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</row>
    <row r="60" spans="1:19" ht="16.5">
      <c r="E60" s="322"/>
      <c r="F60" s="322"/>
      <c r="G60" s="3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</row>
    <row r="61" spans="1:19" ht="16.5">
      <c r="E61" s="322"/>
      <c r="F61" s="322"/>
      <c r="G61" s="3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</row>
    <row r="62" spans="1:19" ht="16.5">
      <c r="E62" s="322"/>
      <c r="F62" s="322"/>
      <c r="G62" s="3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</row>
    <row r="63" spans="1:19" ht="16.5">
      <c r="E63" s="322"/>
      <c r="F63" s="322"/>
      <c r="G63" s="3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</row>
    <row r="64" spans="1:19" ht="16.5">
      <c r="E64" s="322"/>
      <c r="F64" s="322"/>
      <c r="G64" s="3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</row>
    <row r="65" spans="5:23" ht="16.5">
      <c r="E65" s="322"/>
      <c r="F65" s="322"/>
      <c r="G65" s="3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</row>
    <row r="66" spans="5:23" ht="16.5">
      <c r="E66" s="322"/>
      <c r="F66" s="322"/>
      <c r="G66" s="3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</row>
    <row r="67" spans="5:23" ht="16.5">
      <c r="E67" s="322"/>
      <c r="F67" s="322"/>
      <c r="G67" s="3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</row>
    <row r="68" spans="5:23" ht="15.75"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</row>
    <row r="69" spans="5:23" ht="38.25">
      <c r="I69" s="91" t="s">
        <v>132</v>
      </c>
      <c r="J69" s="92" t="s">
        <v>73</v>
      </c>
      <c r="K69" s="91" t="s">
        <v>74</v>
      </c>
      <c r="L69" s="240" t="s">
        <v>133</v>
      </c>
      <c r="M69" s="582"/>
      <c r="N69" s="280"/>
      <c r="O69" s="280"/>
    </row>
    <row r="70" spans="5:23">
      <c r="I70" s="116">
        <v>1</v>
      </c>
      <c r="J70" s="117" t="s">
        <v>81</v>
      </c>
      <c r="K70" s="118" t="s">
        <v>82</v>
      </c>
      <c r="L70" s="278">
        <f>IF(L75&lt;1,0.8168,IF(L75&gt;100,0.114,(L71-L72)/(L73-L74)*(L75-L74)+L72))</f>
        <v>0.36790099220009126</v>
      </c>
      <c r="M70" s="583"/>
      <c r="N70" s="584"/>
      <c r="O70" s="584"/>
    </row>
    <row r="71" spans="5:23" ht="25.5">
      <c r="I71" s="119">
        <v>2</v>
      </c>
      <c r="J71" s="120" t="s">
        <v>134</v>
      </c>
      <c r="K71" s="121" t="s">
        <v>84</v>
      </c>
      <c r="L71" s="279">
        <f>IF(L75&lt;1,0.816,LOOKUP(L73,'Dinh muc'!$C$88:$I$89))+0.00000000000001</f>
        <v>0.38900000000001</v>
      </c>
      <c r="M71" s="585"/>
      <c r="N71" s="285"/>
      <c r="O71" s="285"/>
    </row>
    <row r="72" spans="5:23" ht="25.5">
      <c r="I72" s="119">
        <v>3</v>
      </c>
      <c r="J72" s="120" t="s">
        <v>135</v>
      </c>
      <c r="K72" s="121" t="s">
        <v>86</v>
      </c>
      <c r="L72" s="279">
        <f>LOOKUP(L74,'Dinh muc'!$C$88:$I$89)+0.0000000000001</f>
        <v>0.31100000000009997</v>
      </c>
      <c r="M72" s="585"/>
      <c r="N72" s="285"/>
      <c r="O72" s="285"/>
    </row>
    <row r="73" spans="5:23">
      <c r="I73" s="119">
        <v>4</v>
      </c>
      <c r="J73" s="120" t="s">
        <v>87</v>
      </c>
      <c r="K73" s="121" t="s">
        <v>88</v>
      </c>
      <c r="L73" s="163">
        <f>IF((L75&lt;1),1,(SMALL('Dinh muc'!$C$88:$I$88,COUNTIF('Dinh muc'!$C$88:$I$88,"&lt;="&amp;$L$75))))+0.00000000001</f>
        <v>10.000000000009999</v>
      </c>
      <c r="M73" s="586"/>
      <c r="N73" s="587"/>
      <c r="O73" s="587"/>
    </row>
    <row r="74" spans="5:23">
      <c r="I74" s="119">
        <v>5</v>
      </c>
      <c r="J74" s="120" t="s">
        <v>89</v>
      </c>
      <c r="K74" s="121" t="s">
        <v>90</v>
      </c>
      <c r="L74" s="163">
        <f>IF(L75&gt;100,100,(LARGE('Dinh muc'!$C$88:$I$88,COUNTIF('Dinh muc'!$C$88:$I$88,"&gt;="&amp;$L$75))))+0.0000000000000001</f>
        <v>20</v>
      </c>
      <c r="M74" s="586"/>
      <c r="N74" s="587"/>
      <c r="O74" s="587"/>
    </row>
    <row r="75" spans="5:23">
      <c r="I75" s="124">
        <v>6</v>
      </c>
      <c r="J75" s="125" t="s">
        <v>91</v>
      </c>
      <c r="K75" s="126" t="s">
        <v>92</v>
      </c>
      <c r="L75" s="164">
        <f>C42/1000000000+0.000001</f>
        <v>12.705000999999999</v>
      </c>
      <c r="M75" s="586"/>
      <c r="N75" s="587"/>
      <c r="O75" s="587"/>
    </row>
    <row r="76" spans="5:23" ht="15">
      <c r="I76" s="110"/>
      <c r="J76" s="127"/>
      <c r="K76" s="110"/>
      <c r="L76" s="110"/>
      <c r="M76" s="110"/>
      <c r="N76" s="110"/>
      <c r="O76" s="110"/>
    </row>
    <row r="77" spans="5:23"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</row>
    <row r="78" spans="5:23"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</row>
    <row r="79" spans="5:23"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</row>
    <row r="80" spans="5:23"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</row>
    <row r="81" spans="9:69"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</row>
    <row r="82" spans="9:69"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</row>
    <row r="83" spans="9:69"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</row>
    <row r="84" spans="9:69"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</row>
    <row r="85" spans="9:69" ht="15"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</row>
    <row r="86" spans="9:69" ht="15">
      <c r="I86" s="110"/>
      <c r="J86" s="110"/>
      <c r="K86" s="110"/>
      <c r="L86" s="110"/>
      <c r="M86" s="110"/>
      <c r="N86" s="110"/>
      <c r="O86" s="110"/>
      <c r="P86" s="110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</row>
    <row r="87" spans="9:69" ht="15">
      <c r="I87" s="110"/>
      <c r="J87" s="110"/>
      <c r="K87" s="110"/>
      <c r="L87" s="110"/>
      <c r="M87" s="110"/>
      <c r="N87" s="110"/>
      <c r="O87" s="110"/>
      <c r="P87" s="110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</row>
    <row r="88" spans="9:69" ht="15.75">
      <c r="I88" s="110"/>
      <c r="J88" s="123" t="s">
        <v>136</v>
      </c>
      <c r="K88" s="130" t="s">
        <v>137</v>
      </c>
      <c r="L88" s="110">
        <f>L89*L90</f>
        <v>0.83200000000000007</v>
      </c>
      <c r="M88" s="110"/>
      <c r="N88" s="110"/>
      <c r="O88" s="110"/>
      <c r="P88" s="110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</row>
    <row r="89" spans="9:69" ht="31.5">
      <c r="J89" s="131" t="s">
        <v>138</v>
      </c>
      <c r="K89" s="434">
        <v>201</v>
      </c>
      <c r="L89" s="435">
        <f>IF(K89&gt;1500,1.2,IF(K89&gt;1000,1.1,IF(K89&gt;=500,1,IF(K89&gt;200,0.8,0.6))))</f>
        <v>0.8</v>
      </c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</row>
    <row r="90" spans="9:69" ht="15.75">
      <c r="I90" s="110"/>
      <c r="J90" s="131" t="s">
        <v>139</v>
      </c>
      <c r="K90" s="132">
        <v>2</v>
      </c>
      <c r="L90" s="435">
        <f>IF(K90=1,1,LOOKUP(K90,$K$96:$U$97))</f>
        <v>1.04</v>
      </c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</row>
    <row r="91" spans="9:69" ht="18">
      <c r="I91" s="122"/>
      <c r="J91" s="122"/>
      <c r="K91" s="122"/>
      <c r="L91" s="134"/>
      <c r="M91" s="134"/>
      <c r="N91" s="134"/>
      <c r="O91" s="134"/>
      <c r="P91" s="134"/>
      <c r="Q91" s="134"/>
      <c r="R91" s="134"/>
      <c r="S91" s="134"/>
      <c r="T91" s="133"/>
      <c r="U91" s="133"/>
      <c r="V91" s="133"/>
      <c r="W91" s="133"/>
      <c r="X91" s="144"/>
      <c r="Y91" s="145"/>
    </row>
    <row r="92" spans="9:69" ht="18.75">
      <c r="I92" s="122"/>
      <c r="J92" s="135" t="s">
        <v>140</v>
      </c>
      <c r="K92" s="122"/>
      <c r="L92" s="134"/>
      <c r="M92" s="134"/>
      <c r="N92" s="134"/>
      <c r="O92" s="134"/>
      <c r="P92" s="134"/>
      <c r="Q92" s="134"/>
      <c r="R92" s="134"/>
      <c r="S92" s="134"/>
      <c r="T92" s="133"/>
      <c r="U92" s="133"/>
      <c r="V92" s="133"/>
      <c r="W92" s="133"/>
      <c r="X92" s="144"/>
      <c r="Y92" s="145"/>
    </row>
    <row r="93" spans="9:69" ht="18">
      <c r="I93" s="122"/>
      <c r="J93" s="136" t="s">
        <v>141</v>
      </c>
      <c r="K93" s="109">
        <v>1500</v>
      </c>
      <c r="L93" s="137">
        <v>1000</v>
      </c>
      <c r="M93" s="137">
        <v>500</v>
      </c>
      <c r="N93" s="137">
        <v>200</v>
      </c>
      <c r="O93" s="137"/>
      <c r="P93" s="134"/>
      <c r="Q93" s="134"/>
      <c r="R93" s="134"/>
      <c r="S93" s="134"/>
      <c r="T93" s="133"/>
      <c r="U93" s="133"/>
      <c r="V93" s="133"/>
      <c r="W93" s="133"/>
      <c r="X93" s="144"/>
      <c r="Y93" s="145"/>
    </row>
    <row r="94" spans="9:69" ht="18">
      <c r="I94" s="122"/>
      <c r="J94" s="136" t="s">
        <v>142</v>
      </c>
      <c r="K94" s="137">
        <v>1.2</v>
      </c>
      <c r="L94" s="137">
        <v>1.1000000000000001</v>
      </c>
      <c r="M94" s="137">
        <v>0.8</v>
      </c>
      <c r="N94" s="137">
        <v>0.6</v>
      </c>
      <c r="O94" s="137"/>
      <c r="P94" s="134"/>
      <c r="Q94" s="134"/>
      <c r="R94" s="134"/>
      <c r="S94" s="134"/>
      <c r="T94" s="133"/>
      <c r="U94" s="133"/>
      <c r="V94" s="133"/>
      <c r="W94" s="133"/>
      <c r="X94" s="144"/>
      <c r="Y94" s="145"/>
    </row>
    <row r="95" spans="9:69" ht="18">
      <c r="I95" s="122"/>
      <c r="J95" s="122" t="s">
        <v>143</v>
      </c>
      <c r="K95" s="134"/>
      <c r="L95" s="134"/>
      <c r="M95" s="134"/>
      <c r="N95" s="134"/>
      <c r="O95" s="134"/>
      <c r="P95" s="134"/>
      <c r="Q95" s="134"/>
      <c r="R95" s="134"/>
      <c r="S95" s="134"/>
      <c r="T95" s="133"/>
      <c r="U95" s="133"/>
      <c r="V95" s="133"/>
      <c r="W95" s="133"/>
      <c r="X95" s="144"/>
      <c r="Y95" s="145"/>
    </row>
    <row r="96" spans="9:69" ht="18">
      <c r="I96" s="122"/>
      <c r="J96" s="138" t="s">
        <v>144</v>
      </c>
      <c r="K96" s="139">
        <v>2</v>
      </c>
      <c r="L96" s="139">
        <v>3</v>
      </c>
      <c r="M96" s="139">
        <v>4</v>
      </c>
      <c r="N96" s="139">
        <v>5</v>
      </c>
      <c r="O96" s="139">
        <v>6</v>
      </c>
      <c r="P96" s="139">
        <v>7</v>
      </c>
      <c r="Q96" s="139">
        <v>8</v>
      </c>
      <c r="R96" s="139">
        <v>9</v>
      </c>
      <c r="S96" s="139">
        <v>10</v>
      </c>
      <c r="T96" s="139">
        <v>11</v>
      </c>
      <c r="U96" s="139">
        <v>12</v>
      </c>
      <c r="V96" s="139"/>
      <c r="W96" s="139"/>
      <c r="X96" s="144"/>
      <c r="Y96" s="145"/>
    </row>
    <row r="97" spans="9:27" ht="31.5">
      <c r="I97" s="122"/>
      <c r="J97" s="138" t="s">
        <v>145</v>
      </c>
      <c r="K97" s="140">
        <v>1.04</v>
      </c>
      <c r="L97" s="140">
        <v>1.08</v>
      </c>
      <c r="M97" s="140">
        <v>1.1200000000000001</v>
      </c>
      <c r="N97" s="140">
        <v>1.1499999999999999</v>
      </c>
      <c r="O97" s="140">
        <v>1.19</v>
      </c>
      <c r="P97" s="140">
        <v>1.23</v>
      </c>
      <c r="Q97" s="140">
        <v>1.27</v>
      </c>
      <c r="R97" s="140">
        <v>1.31</v>
      </c>
      <c r="S97" s="140">
        <v>1.35</v>
      </c>
      <c r="T97" s="140">
        <v>1.4</v>
      </c>
      <c r="U97" s="140">
        <v>1.45</v>
      </c>
      <c r="V97" s="140"/>
      <c r="W97" s="140"/>
      <c r="X97" s="146"/>
      <c r="Y97" s="145"/>
    </row>
    <row r="98" spans="9:27" ht="18">
      <c r="I98" s="122"/>
      <c r="J98" s="12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146"/>
      <c r="Y98" s="145"/>
    </row>
    <row r="99" spans="9:27" ht="18">
      <c r="I99" s="122"/>
      <c r="J99" s="128"/>
      <c r="K99" s="288"/>
      <c r="L99" s="288">
        <f>125500/128</f>
        <v>980.46875</v>
      </c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146"/>
      <c r="Y99" s="145"/>
    </row>
    <row r="100" spans="9:27" ht="18">
      <c r="I100" s="122"/>
      <c r="J100" s="12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146"/>
      <c r="Y100" s="145"/>
    </row>
    <row r="101" spans="9:27" ht="18">
      <c r="I101" s="122"/>
      <c r="J101" s="12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146"/>
      <c r="Y101" s="145"/>
    </row>
    <row r="102" spans="9:27" ht="18">
      <c r="I102" s="122"/>
      <c r="J102" s="128"/>
      <c r="K102" s="288"/>
      <c r="L102" s="288"/>
      <c r="M102" s="288"/>
      <c r="N102" s="288"/>
      <c r="O102" s="288"/>
      <c r="P102" s="10" t="str">
        <f>"Đọc giá trị số thành chữ"</f>
        <v>Đọc giá trị số thành chữ</v>
      </c>
      <c r="Q102" s="37"/>
      <c r="R102" s="37"/>
      <c r="S102" s="11"/>
      <c r="T102" s="37"/>
      <c r="U102" s="37"/>
      <c r="V102" s="37"/>
      <c r="W102" s="37"/>
      <c r="X102" s="37"/>
      <c r="Y102" s="38"/>
      <c r="Z102">
        <f>2350-1669</f>
        <v>681</v>
      </c>
    </row>
    <row r="103" spans="9:27" ht="18.75">
      <c r="I103" s="122"/>
      <c r="J103" s="128"/>
      <c r="K103" s="288"/>
      <c r="L103" s="288"/>
      <c r="M103" s="288"/>
      <c r="N103" s="288"/>
      <c r="O103" s="288"/>
      <c r="P103" s="12" t="s">
        <v>146</v>
      </c>
      <c r="Q103" s="37"/>
      <c r="R103" s="37"/>
      <c r="S103" s="13"/>
      <c r="T103" s="37"/>
      <c r="U103" s="37"/>
      <c r="V103" s="37"/>
      <c r="W103" s="37"/>
      <c r="X103" s="37"/>
      <c r="Y103" s="38"/>
      <c r="Z103"/>
    </row>
    <row r="104" spans="9:27" ht="18.75">
      <c r="I104" s="122"/>
      <c r="J104" s="128"/>
      <c r="K104" s="288"/>
      <c r="L104" s="288"/>
      <c r="M104" s="288"/>
      <c r="N104" s="288"/>
      <c r="O104" s="288"/>
      <c r="P104" s="14"/>
      <c r="Q104" s="37"/>
      <c r="R104" s="37"/>
      <c r="S104" s="11" t="s">
        <v>146</v>
      </c>
      <c r="T104" s="37"/>
      <c r="U104" s="37"/>
      <c r="V104" s="37"/>
      <c r="W104" s="37" t="s">
        <v>146</v>
      </c>
      <c r="X104" s="37"/>
      <c r="Y104" s="38"/>
      <c r="Z104"/>
    </row>
    <row r="105" spans="9:27" ht="18">
      <c r="I105" s="122"/>
      <c r="J105" s="128"/>
      <c r="K105" s="288"/>
      <c r="L105" s="288"/>
      <c r="M105" s="288"/>
      <c r="N105" s="288"/>
      <c r="O105" s="288"/>
      <c r="P105" s="37">
        <v>1</v>
      </c>
      <c r="Q105" s="37">
        <v>6</v>
      </c>
      <c r="R105" s="37"/>
      <c r="S105" s="11"/>
      <c r="T105" s="37"/>
      <c r="U105" s="37"/>
      <c r="V105" s="37"/>
      <c r="W105" s="37"/>
      <c r="X105" s="37"/>
      <c r="Y105" s="38"/>
      <c r="Z105"/>
    </row>
    <row r="106" spans="9:27" ht="18.75" thickBot="1">
      <c r="I106" s="122"/>
      <c r="J106" s="128"/>
      <c r="K106" s="288"/>
      <c r="L106" s="288"/>
      <c r="M106" s="288"/>
      <c r="N106" s="288"/>
      <c r="O106" s="288"/>
      <c r="P106" s="37"/>
      <c r="Q106" s="37"/>
      <c r="R106" s="37"/>
      <c r="S106" s="37"/>
      <c r="T106" s="37"/>
      <c r="U106" s="37"/>
      <c r="V106" s="37"/>
      <c r="W106" s="37"/>
      <c r="X106" s="37"/>
      <c r="Y106" s="38"/>
      <c r="Z106"/>
    </row>
    <row r="107" spans="9:27" ht="19.5" thickBot="1">
      <c r="I107" s="122"/>
      <c r="J107" s="128"/>
      <c r="K107" s="288"/>
      <c r="L107" s="288"/>
      <c r="M107" s="288"/>
      <c r="N107" s="288"/>
      <c r="O107" s="288"/>
      <c r="P107" s="15" t="str">
        <f>"Giá trị số cần đổi:"</f>
        <v>Giá trị số cần đổi:</v>
      </c>
      <c r="Q107" s="39">
        <f>G47</f>
        <v>14093392000</v>
      </c>
      <c r="R107" s="379" t="str">
        <f>IF(ROUND(VALUE(10*(100*Q107-INT(100*Q107))),0)&gt;0,"Chỉ có 2 chữ số sau dấu phẩy","")</f>
        <v/>
      </c>
      <c r="S107" s="37"/>
      <c r="T107" s="37"/>
      <c r="U107" s="37"/>
      <c r="V107" s="37"/>
      <c r="W107" s="37"/>
      <c r="X107" s="37"/>
      <c r="Y107" s="38"/>
      <c r="Z107"/>
    </row>
    <row r="108" spans="9:27" ht="18.75">
      <c r="I108" s="122"/>
      <c r="J108" s="128"/>
      <c r="K108" s="288"/>
      <c r="L108" s="288"/>
      <c r="M108" s="288"/>
      <c r="N108" s="288"/>
      <c r="O108" s="288"/>
      <c r="P108" s="40" t="s">
        <v>146</v>
      </c>
      <c r="Q108" s="16" t="str">
        <f ca="1">IF(Q107&gt;=1000000000000,"Công thức này chỉ có thể đếm thành chữ dưới 1000 tỷ",IF(ABS(Q107)&lt;1,"không",IF(Q107&lt;0,"âm ","")&amp;IF(Q110=0,"",R110)&amp;IF(AND(Q111=0,Q112=0),"",S111)&amp;IF(Q113=0,"",R113)&amp;IF(AND(Q114=0,Q115=0),"",S114)&amp;IF(Q116=0,"",R116)&amp;IF(AND(Q117=0,Q118=0),"",S117)&amp;IF(Q119=0,"",R119)&amp;IF(AND(Q120=0,Q121=0),"",IF(AND(Q120=0,Q121=1),"một",S120)))&amp;CELL("contents",V111))&amp;IF(T128=0,"",IF(P108=1,T127,S123))</f>
        <v>mười bốn tỷ, chín mươi ba triệu, ba trăm  chín mươi  hai nghìn  đồng chẵn</v>
      </c>
      <c r="R108" s="41"/>
      <c r="S108" s="41"/>
      <c r="T108" s="41"/>
      <c r="U108" s="41"/>
      <c r="V108" s="41"/>
      <c r="W108" s="41"/>
      <c r="X108" s="41"/>
      <c r="Y108" s="38"/>
      <c r="Z108"/>
    </row>
    <row r="109" spans="9:27" ht="18.75">
      <c r="P109" s="147" t="str">
        <f>"đếm từng chữ một"</f>
        <v>đếm từng chữ một</v>
      </c>
      <c r="Q109" s="148" t="str">
        <f>IF(Q96&lt;0,"minus   ","")&amp;SUBSTITUTE(SUBSTITUTE(SUBSTITUTE(SUBSTITUTE(Q125,8,"tám   "),9,"chín   "),",","phẩy   "),"-","")</f>
        <v xml:space="preserve">một   bốn   không   chín   ba   ba   chín   hai   không   không   không   </v>
      </c>
      <c r="R109" s="149"/>
      <c r="S109" s="144"/>
      <c r="T109" s="144"/>
      <c r="U109" s="144"/>
      <c r="V109" s="144" t="s">
        <v>147</v>
      </c>
      <c r="W109" s="144"/>
      <c r="X109" s="144"/>
      <c r="Y109" s="145"/>
    </row>
    <row r="110" spans="9:27" ht="18.75">
      <c r="P110" s="147" t="str">
        <f>"hàng trăm tỷ"</f>
        <v>hàng trăm tỷ</v>
      </c>
      <c r="Q110" s="19">
        <f>VALUE(RIGHT(INT(ABS(Q107)/100000000000)))</f>
        <v>0</v>
      </c>
      <c r="R110" s="20" t="str">
        <f>IF(Q110=1,"một",IF(Q110=2,"hai",IF(Q110=3,"ba",IF(Q110=4,"bốn",IF(Q110=5,"năm",IF(Q110=6,"sáu",IF(Q110=7,"bẩy",IF(Q110=8,"tám","chín"))))))))&amp;" trăm "&amp;IF(AND(Q111=0,Q112=0),"tỷ","")</f>
        <v xml:space="preserve">chín trăm </v>
      </c>
      <c r="S110" s="31"/>
      <c r="T110" s="43"/>
      <c r="U110" s="144"/>
      <c r="V110" s="144">
        <v>1</v>
      </c>
      <c r="W110" s="144">
        <v>2</v>
      </c>
      <c r="X110" s="144">
        <v>3</v>
      </c>
      <c r="Y110" s="145"/>
    </row>
    <row r="111" spans="9:27" ht="18.75">
      <c r="P111" s="147" t="str">
        <f>"hàng chục tỷ"</f>
        <v>hàng chục tỷ</v>
      </c>
      <c r="Q111" s="19">
        <f>VALUE(RIGHT(INT(ABS(Q107)/10000000000)))</f>
        <v>1</v>
      </c>
      <c r="R111" s="20" t="str">
        <f>IF(Q111=1,"mười ",IF(Q111=2," hai mươi",IF(Q111=3,"ba mươi",IF(Q111=4,"bốn mươi",IF(Q111=5,"năm mươi",IF(Q111=6,"sáu mươi",IF(Q111=7,"bẩy mươi",IF(Q111=8,"tám mươi","chín mươi"))))))))</f>
        <v xml:space="preserve">mười </v>
      </c>
      <c r="S111" s="21" t="str">
        <f>IF(AND(Q111=0,Q112=1),"một tỷ ",IF(AND(Q111=1,Q112=1),"mười một",IF(AND(Q111=1,Q112=2),"mười hai",IF(AND(Q111=1,Q112=6),"mười sáu",IF(AND(Q111=1,Q112=7),"mười bẩy",IF(Q112=0,R111,IF(Q111=0,R112,R111&amp;IF(Q111&gt;1," ","")&amp;R112))))))&amp;" tỷ, ")</f>
        <v xml:space="preserve">mười bốn tỷ, </v>
      </c>
      <c r="T111" s="44"/>
      <c r="U111" s="144"/>
      <c r="V111" s="151" t="str">
        <f>INDEX(V112:X128,P105,2)</f>
        <v xml:space="preserve"> đồng chẵn</v>
      </c>
      <c r="W111" s="151" t="str">
        <f>INDEX(V112:X128,P105,3)</f>
        <v xml:space="preserve"> xu</v>
      </c>
      <c r="X111" s="144"/>
      <c r="Y111" s="145"/>
      <c r="AA111" s="111" t="s">
        <v>148</v>
      </c>
    </row>
    <row r="112" spans="9:27" ht="18.75">
      <c r="P112" s="147" t="str">
        <f>"hàng tỷ"</f>
        <v>hàng tỷ</v>
      </c>
      <c r="Q112" s="23">
        <f>VALUE(RIGHT(INT(ABS(Q107)/1000000000)))</f>
        <v>4</v>
      </c>
      <c r="R112" s="20" t="str">
        <f>IF(Q112=1,"một",IF(Q112=2,"hai",IF(Q112=3,"ba",IF(Q112=4,"bốn",IF(Q112=5,"năm",IF(Q112=6,"sáu",IF(Q112=7,"bẩy",IF(Q112=8,"tám","chín"))))))))</f>
        <v>bốn</v>
      </c>
      <c r="S112" s="45"/>
      <c r="T112" s="46"/>
      <c r="U112" s="144"/>
      <c r="V112" s="150" t="s">
        <v>149</v>
      </c>
      <c r="W112" s="150" t="s">
        <v>150</v>
      </c>
      <c r="X112" s="150" t="s">
        <v>151</v>
      </c>
      <c r="Y112" s="145"/>
      <c r="AA112" s="111" t="s">
        <v>152</v>
      </c>
    </row>
    <row r="113" spans="16:27" ht="18.75">
      <c r="P113" s="147" t="str">
        <f>"hàng trăm triệu"</f>
        <v>hàng trăm triệu</v>
      </c>
      <c r="Q113" s="152">
        <f>VALUE(RIGHT(INT(ABS(Q107)/100000000)))</f>
        <v>0</v>
      </c>
      <c r="R113" s="25" t="str">
        <f>IF(Q113=1,"một",IF(Q113=2,"hai",IF(Q113=3,"ba",IF(Q113=4,"bốn",IF(Q113=5,"năm",IF(Q113=6,"sáu",IF(Q113=7,"bẩy",IF(Q113=8,"tám","chín"))))))))&amp;" trăm "&amp;IF(AND(Q114=0,Q115=0),"triệu","")</f>
        <v xml:space="preserve">chín trăm </v>
      </c>
      <c r="S113" s="47"/>
      <c r="T113" s="48"/>
      <c r="U113" s="144"/>
      <c r="V113" s="150" t="s">
        <v>153</v>
      </c>
      <c r="W113" s="150" t="s">
        <v>154</v>
      </c>
      <c r="X113" s="150" t="s">
        <v>155</v>
      </c>
      <c r="Y113" s="145"/>
      <c r="AA113" s="111" t="s">
        <v>156</v>
      </c>
    </row>
    <row r="114" spans="16:27" ht="18.75">
      <c r="P114" s="147" t="str">
        <f>"hàng chục triệu"</f>
        <v>hàng chục triệu</v>
      </c>
      <c r="Q114" s="152">
        <f>VALUE(RIGHT(INT(ABS(Q107)/10000000)))</f>
        <v>9</v>
      </c>
      <c r="R114" s="25" t="str">
        <f>IF(Q114=1,"mười ",IF(Q114=2,"hai mươi",IF(Q114=3,"ba mươi",IF(Q114=4,"bốn mươi",IF(Q114=5,"năm mươi",IF(Q114=6,"sáu mươi",IF(Q114=7,"bẩy mươi",IF(Q114=8,"tám mươi","chín mươi"))))))))</f>
        <v>chín mươi</v>
      </c>
      <c r="S114" s="26" t="str">
        <f>IF(AND(Q114=0,Q115=1)," linh một triệu",IF(AND(Q114=1,Q115=1),"mười một",IF(AND(Q114=1,Q115=2),"mười hai",IF(AND(Q114=1,Q115=6),"mười sáu",IF(AND(Q114=1,Q115=7),"mười bẩy",IF(Q115=0,R114,IF(Q114=0,"linh "&amp;R115,R114&amp;IF(Q114&gt;1," ","")&amp;R115))))))&amp;" triệu,")</f>
        <v>chín mươi ba triệu,</v>
      </c>
      <c r="T114" s="49"/>
      <c r="U114" s="144"/>
      <c r="V114" s="150" t="s">
        <v>157</v>
      </c>
      <c r="W114" s="150" t="s">
        <v>158</v>
      </c>
      <c r="X114" s="150" t="s">
        <v>159</v>
      </c>
      <c r="Y114" s="145"/>
      <c r="AA114" s="111" t="s">
        <v>160</v>
      </c>
    </row>
    <row r="115" spans="16:27" ht="18.75">
      <c r="P115" s="147" t="str">
        <f>"hàng triệu"</f>
        <v>hàng triệu</v>
      </c>
      <c r="Q115" s="152">
        <f>VALUE(RIGHT(INT(ABS(Q107)/1000000)))</f>
        <v>3</v>
      </c>
      <c r="R115" s="25" t="str">
        <f>IF(Q115=1,"một",IF(Q115=2,"hai",IF(Q115=3,"ba",IF(Q115=4,"bốn",IF(Q115=5,"năm",IF(Q115=6,"sáu",IF(Q115=7,"bẩy",IF(Q115=8,"tám","chín"))))))))</f>
        <v>ba</v>
      </c>
      <c r="S115" s="26"/>
      <c r="T115" s="49"/>
      <c r="U115" s="144"/>
      <c r="V115" s="150" t="s">
        <v>161</v>
      </c>
      <c r="W115" s="150" t="s">
        <v>162</v>
      </c>
      <c r="X115" s="150" t="s">
        <v>163</v>
      </c>
      <c r="Y115" s="145"/>
      <c r="AA115" s="111" t="s">
        <v>164</v>
      </c>
    </row>
    <row r="116" spans="16:27" ht="18.75">
      <c r="P116" s="147" t="str">
        <f>"hàng trăm nghìn"</f>
        <v>hàng trăm nghìn</v>
      </c>
      <c r="Q116" s="153">
        <f>VALUE(RIGHT(INT(ABS(Q107)/100000)))</f>
        <v>3</v>
      </c>
      <c r="R116" s="20" t="str">
        <f>IF(Q116=1," một",IF(Q116=2," hai",IF(Q116=3," ba",IF(Q116=4," bốn",IF(Q116=5," năm",IF(Q116=6," sáu",IF(Q116=7," bẩy",IF(Q116=8," tám"," chín"))))))))&amp;" trăm "&amp;IF(AND(Q117=0,Q118=0)," nghìn","")</f>
        <v xml:space="preserve"> ba trăm </v>
      </c>
      <c r="S116" s="31"/>
      <c r="T116" s="43"/>
      <c r="U116" s="144"/>
      <c r="V116" s="150" t="s">
        <v>165</v>
      </c>
      <c r="W116" s="150" t="s">
        <v>166</v>
      </c>
      <c r="X116" s="150" t="s">
        <v>167</v>
      </c>
      <c r="Y116" s="145"/>
      <c r="AA116" s="111" t="s">
        <v>168</v>
      </c>
    </row>
    <row r="117" spans="16:27" ht="18.75">
      <c r="P117" s="147" t="str">
        <f>"hàng chục nghìn"</f>
        <v>hàng chục nghìn</v>
      </c>
      <c r="Q117" s="153">
        <f>VALUE(RIGHT(INT(ABS(Q107)/10000)))</f>
        <v>9</v>
      </c>
      <c r="R117" s="20" t="str">
        <f>IF(Q117=1,"mười ",IF(Q117=2," hai mươi ",IF(Q117=3," ba mươi ",IF(Q117=4," bốn mươi ",IF(Q117=5," năm mươi ",IF(Q117=6," sáu mươi ",IF(Q117=7," bẩy mươi ",IF(Q117=8," tám mươi "," chín mươi "))))))))</f>
        <v xml:space="preserve"> chín mươi </v>
      </c>
      <c r="S117" s="21" t="str">
        <f>IF(AND(Q117=1,Q118=1)," mười một",IF(AND(Q117=1,Q118=2)," mười hai",IF(AND(Q117=1,Q118=6)," mười sáu",IF(AND(Q117=1,Q118=7)," mười bẩy",IF(Q118=0,R117,IF(Q117=0,"linh"&amp;R118,R117&amp;IF(Q117&gt;1,"","")&amp;R118))))))&amp;" nghìn "</f>
        <v xml:space="preserve"> chín mươi  hai nghìn </v>
      </c>
      <c r="T117" s="44"/>
      <c r="U117" s="144"/>
      <c r="V117" s="150" t="s">
        <v>169</v>
      </c>
      <c r="W117" s="150" t="s">
        <v>170</v>
      </c>
      <c r="X117" s="150" t="s">
        <v>171</v>
      </c>
      <c r="Y117" s="145"/>
      <c r="AA117" s="111" t="s">
        <v>172</v>
      </c>
    </row>
    <row r="118" spans="16:27" ht="18.75">
      <c r="P118" s="147" t="str">
        <f>"hàng nghìn"</f>
        <v>hàng nghìn</v>
      </c>
      <c r="Q118" s="153">
        <f>VALUE(RIGHT(INT(ABS(Q107)/1000)))</f>
        <v>2</v>
      </c>
      <c r="R118" s="20" t="str">
        <f>IF(Q118=1," một",IF(Q118=2," hai",IF(Q118=3," ba",IF(Q118=4," bốn",IF(Q118=5," năm",IF(Q118=6," sáu",IF(Q118=7," bẩy",IF(Q118=8," tám"," chín"))))))))</f>
        <v xml:space="preserve"> hai</v>
      </c>
      <c r="S118" s="21"/>
      <c r="T118" s="44"/>
      <c r="U118" s="144"/>
      <c r="V118" s="150" t="s">
        <v>173</v>
      </c>
      <c r="W118" s="150" t="s">
        <v>174</v>
      </c>
      <c r="X118" s="150" t="s">
        <v>175</v>
      </c>
      <c r="Y118" s="145"/>
      <c r="AA118" s="111" t="s">
        <v>176</v>
      </c>
    </row>
    <row r="119" spans="16:27" ht="18.75">
      <c r="P119" s="147" t="str">
        <f>"hàng trăm"</f>
        <v>hàng trăm</v>
      </c>
      <c r="Q119" s="154">
        <f>VALUE(RIGHT(INT(ABS(Q107)/100)))</f>
        <v>0</v>
      </c>
      <c r="R119" s="29" t="str">
        <f>IF(Q119=1,"một",IF(Q119=2,"hai",IF(Q119=3,"ba",IF(Q119=4,"bốn",IF(Q119=5,"năm",IF(Q119=6,"sáu",IF(Q119=7,"bẩy",IF(Q119=8,"tám","chín"))))))))&amp;" trăm "</f>
        <v xml:space="preserve">chín trăm </v>
      </c>
      <c r="S119" s="50"/>
      <c r="T119" s="51"/>
      <c r="U119" s="144"/>
      <c r="V119" s="150" t="s">
        <v>177</v>
      </c>
      <c r="W119" s="150" t="s">
        <v>178</v>
      </c>
      <c r="X119" s="150" t="s">
        <v>155</v>
      </c>
      <c r="Y119" s="145"/>
      <c r="AA119" s="111" t="s">
        <v>179</v>
      </c>
    </row>
    <row r="120" spans="16:27" ht="18.75">
      <c r="P120" s="147" t="str">
        <f>"hàng chục"</f>
        <v>hàng chục</v>
      </c>
      <c r="Q120" s="154">
        <f>VALUE(RIGHT(INT(ABS(Q107)/10)))</f>
        <v>0</v>
      </c>
      <c r="R120" s="29" t="str">
        <f>IF(Q120=1,",mười ",IF(Q120=2,"hai mươi ",IF(Q120=3,"ba mươi ",IF(Q120=4,"bốn mươi ",IF(Q120=5,"năm mươi ",IF(Q120=6,"sáu mươi ",IF(Q120=7,"bẩy mươi ",IF(Q120=8,"tám mươi ","chín mươi "))))))))</f>
        <v xml:space="preserve">chín mươi </v>
      </c>
      <c r="S120" s="30" t="str">
        <f>IF(AND(Q120=1,Q121=1),"mười một",IF(AND(Q120=1,Q121=2),"mười hai",IF(AND(Q120=1,Q121=6),"mười sáu",IF(AND(Q120=1,Q121=7),"mười bẩy",IF(Q121=0,R120,IF(Q120=0,R121,IF(Q120&gt;1,"","")&amp;R120&amp;R121))))))</f>
        <v xml:space="preserve">chín mươi </v>
      </c>
      <c r="T120" s="52"/>
      <c r="U120" s="144"/>
      <c r="V120" s="150" t="s">
        <v>180</v>
      </c>
      <c r="W120" s="150" t="s">
        <v>181</v>
      </c>
      <c r="X120" s="150" t="s">
        <v>182</v>
      </c>
      <c r="Y120" s="145"/>
      <c r="AA120" s="111" t="s">
        <v>183</v>
      </c>
    </row>
    <row r="121" spans="16:27" ht="18.75">
      <c r="P121" s="147" t="str">
        <f>"hàng đơn vị"</f>
        <v>hàng đơn vị</v>
      </c>
      <c r="Q121" s="154">
        <f>VALUE(RIGHT(INT(ABS(Q107))))</f>
        <v>0</v>
      </c>
      <c r="R121" s="29" t="str">
        <f>IF(Q121=1,"mốt",IF(Q121=2,"hai",IF(Q121=3,"ba",IF(Q121=4,"bốn",IF(Q121=5,"năm",IF(Q121=6,"sáu",IF(Q121=7,"bẩy",IF(Q121=8,"tám","chín"))))))))</f>
        <v>chín</v>
      </c>
      <c r="S121" s="53"/>
      <c r="T121" s="54"/>
      <c r="U121" s="144"/>
      <c r="V121" s="150" t="s">
        <v>184</v>
      </c>
      <c r="W121" s="150" t="s">
        <v>185</v>
      </c>
      <c r="X121" s="150" t="s">
        <v>186</v>
      </c>
      <c r="Y121" s="145"/>
    </row>
    <row r="122" spans="16:27" ht="18.75">
      <c r="P122" s="147"/>
      <c r="Q122" s="155" t="str">
        <f>"Giá trị sau dấu phẩy"</f>
        <v>Giá trị sau dấu phẩy</v>
      </c>
      <c r="R122" s="37"/>
      <c r="S122" s="37"/>
      <c r="T122" s="37"/>
      <c r="U122" s="144"/>
      <c r="V122" s="150" t="s">
        <v>187</v>
      </c>
      <c r="W122" s="150" t="s">
        <v>188</v>
      </c>
      <c r="X122" s="150" t="s">
        <v>155</v>
      </c>
      <c r="Y122" s="145"/>
    </row>
    <row r="123" spans="16:27" ht="18.75">
      <c r="P123" s="147" t="str">
        <f>"hàng chục"</f>
        <v>hàng chục</v>
      </c>
      <c r="Q123" s="153">
        <f>VALUE(RIGHT(INT(ABS(T128)/10)))</f>
        <v>0</v>
      </c>
      <c r="R123" s="20" t="str">
        <f>IF(Q123=1,"mười",IF(Q123=2,"hai mươi",IF(Q123=3,"ba mươi",IF(Q123=4,"bốn mươi",IF(Q123=5,"năm mươi",IF(Q123=6,"sáu mươi",IF(Q123=7,"bẩy mươi",IF(Q123=8,"tám mươi","chín mươi"))))))))</f>
        <v>chín mươi</v>
      </c>
      <c r="S123" s="31" t="str">
        <f ca="1">" và "&amp;IF(T128&lt;10,"không ","")&amp;IF(T128=1,"một",IF(AND(Q123=1,Q124=1),"mười một",IF(AND(Q123=1,Q124=2),"mười hai",IF(AND(Q123=1,Q124=6),"mười sáu",IF(AND(Q123=1,Q124=7),"mười bẩy",IF(Q124=0,R123,IF(Q123=0,R124,R123&amp;IF(Q123&gt;1," ","")&amp;R124&amp;""))))))&amp;CELL("contents",W111))</f>
        <v xml:space="preserve"> và không chín mươi xu</v>
      </c>
      <c r="T123" s="43"/>
      <c r="U123" s="144"/>
      <c r="V123" s="150" t="s">
        <v>189</v>
      </c>
      <c r="W123" s="150" t="s">
        <v>190</v>
      </c>
      <c r="X123" s="150" t="s">
        <v>155</v>
      </c>
      <c r="Y123" s="145"/>
    </row>
    <row r="124" spans="16:27" ht="18.75">
      <c r="P124" s="147" t="str">
        <f>"hàng đơn vị"</f>
        <v>hàng đơn vị</v>
      </c>
      <c r="Q124" s="153">
        <f>VALUE(RIGHT(INT(ABS(T128))))</f>
        <v>0</v>
      </c>
      <c r="R124" s="20" t="str">
        <f>IF(Q124=1,"một",IF(Q124=2,"hai",IF(Q124=3,"ba",IF(Q124=4,"bốn",IF(Q124=5,"năm",IF(Q124=6,"sáu",IF(Q124=7,"bẩy",IF(Q124=8,"tám","chín"))))))))</f>
        <v>chín</v>
      </c>
      <c r="S124" s="45"/>
      <c r="T124" s="46"/>
      <c r="U124" s="144"/>
      <c r="V124" s="150"/>
      <c r="W124" s="150"/>
      <c r="X124" s="150"/>
      <c r="Y124" s="145"/>
    </row>
    <row r="125" spans="16:27" ht="18">
      <c r="P125" s="144"/>
      <c r="Q125" s="156" t="str">
        <f>SUBSTITUTE(SUBSTITUTE(SUBSTITUTE(SUBSTITUTE(SUBSTITUTE(SUBSTITUTE(SUBSTITUTE(SUBSTITUTE(Q107,0,"không   "),1,"một   "),2,"hai   "),3,"ba   "),4,"bốn   "),5,"năm   "),6,"sáu   "),7,"bẩy   ")</f>
        <v xml:space="preserve">một   bốn   không   9ba   ba   9hai   không   không   không   </v>
      </c>
      <c r="R125" s="144"/>
      <c r="S125" s="144"/>
      <c r="T125" s="144"/>
      <c r="U125" s="144"/>
      <c r="V125" s="150"/>
      <c r="W125" s="150"/>
      <c r="X125" s="150"/>
      <c r="Y125" s="145"/>
    </row>
    <row r="126" spans="16:27" ht="18">
      <c r="P126" s="144"/>
      <c r="Q126" s="144"/>
      <c r="R126" s="144"/>
      <c r="S126" s="144"/>
      <c r="T126" s="144"/>
      <c r="U126" s="144"/>
      <c r="V126" s="150"/>
      <c r="W126" s="150"/>
      <c r="X126" s="150"/>
      <c r="Y126" s="145"/>
    </row>
    <row r="127" spans="16:27" ht="18">
      <c r="P127" s="144"/>
      <c r="Q127" s="157">
        <f>ABS(100*(MOD(Q96,1)-(Q96&lt;0)))</f>
        <v>0</v>
      </c>
      <c r="R127" s="144"/>
      <c r="S127" s="144"/>
      <c r="T127" s="158" t="str">
        <f>TEXT(T128,"   00")&amp;"/100"</f>
        <v xml:space="preserve">   00/100</v>
      </c>
      <c r="U127" s="144"/>
      <c r="V127" s="150"/>
      <c r="W127" s="150"/>
      <c r="X127" s="150"/>
      <c r="Y127" s="145"/>
    </row>
    <row r="128" spans="16:27" ht="18">
      <c r="P128" s="144"/>
      <c r="Q128" s="159">
        <f>ROUND(100*(ABS(Q96)-INT(ABS(Q96))),0)</f>
        <v>0</v>
      </c>
      <c r="R128" s="144"/>
      <c r="S128" s="144"/>
      <c r="T128" s="160">
        <f>IF(P97=0,0,ROUND(100*(ABS(Q96)-INT(ABS(Q96))),0))</f>
        <v>0</v>
      </c>
      <c r="U128" s="144"/>
      <c r="V128" s="150"/>
      <c r="W128" s="150"/>
      <c r="X128" s="150"/>
      <c r="Y128" s="145"/>
    </row>
    <row r="129" spans="9:69" ht="15"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</row>
    <row r="130" spans="9:69" ht="15"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</row>
  </sheetData>
  <mergeCells count="22">
    <mergeCell ref="A6:B6"/>
    <mergeCell ref="A2:G3"/>
    <mergeCell ref="A5:B5"/>
    <mergeCell ref="A10:G10"/>
    <mergeCell ref="A14:G14"/>
    <mergeCell ref="A13:G13"/>
    <mergeCell ref="E59:G59"/>
    <mergeCell ref="A4:G4"/>
    <mergeCell ref="A15:G15"/>
    <mergeCell ref="A17:G17"/>
    <mergeCell ref="C18:C19"/>
    <mergeCell ref="E18:F19"/>
    <mergeCell ref="A11:G11"/>
    <mergeCell ref="E51:G51"/>
    <mergeCell ref="E49:G49"/>
    <mergeCell ref="A12:G12"/>
    <mergeCell ref="C20:C21"/>
    <mergeCell ref="B20:B21"/>
    <mergeCell ref="A20:A21"/>
    <mergeCell ref="E50:G50"/>
    <mergeCell ref="F20:F21"/>
    <mergeCell ref="G20:G21"/>
  </mergeCells>
  <pageMargins left="0.8" right="0" top="0.10433070899999999" bottom="0.10433070899999999" header="0.511811023622047" footer="0.511811023622047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BM137"/>
  <sheetViews>
    <sheetView topLeftCell="A10" zoomScale="85" zoomScaleNormal="85" workbookViewId="0">
      <selection activeCell="E41" sqref="E41:G41"/>
    </sheetView>
  </sheetViews>
  <sheetFormatPr defaultColWidth="8.85546875" defaultRowHeight="12.75"/>
  <cols>
    <col min="1" max="1" width="4.42578125" customWidth="1"/>
    <col min="2" max="2" width="31.7109375" customWidth="1"/>
    <col min="3" max="3" width="15.42578125" customWidth="1"/>
    <col min="4" max="4" width="12.7109375" customWidth="1"/>
    <col min="5" max="5" width="14.85546875" customWidth="1"/>
    <col min="6" max="6" width="15.42578125" customWidth="1"/>
    <col min="7" max="7" width="17" customWidth="1"/>
    <col min="10" max="10" width="32.7109375" customWidth="1"/>
    <col min="12" max="12" width="28.42578125" customWidth="1"/>
    <col min="13" max="13" width="19" customWidth="1"/>
  </cols>
  <sheetData>
    <row r="1" spans="1:65" s="133" customFormat="1" ht="17.25" customHeight="1" thickBot="1">
      <c r="B1" s="191"/>
      <c r="C1" s="190"/>
      <c r="D1" s="190"/>
      <c r="E1" s="190"/>
      <c r="F1" s="190"/>
      <c r="G1" s="190"/>
    </row>
    <row r="2" spans="1:65" ht="17.25" thickTop="1">
      <c r="A2" s="704" t="s">
        <v>50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</row>
    <row r="3" spans="1:65" ht="17.25" thickBot="1">
      <c r="A3" s="705"/>
      <c r="B3" s="705"/>
      <c r="C3" s="705"/>
      <c r="D3" s="705"/>
      <c r="E3" s="705"/>
      <c r="F3" s="705"/>
      <c r="G3" s="70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</row>
    <row r="4" spans="1:65" ht="40.5" customHeight="1" thickTop="1">
      <c r="A4" s="687" t="s">
        <v>191</v>
      </c>
      <c r="B4" s="710"/>
      <c r="C4" s="710"/>
      <c r="D4" s="710"/>
      <c r="E4" s="710"/>
      <c r="F4" s="710"/>
      <c r="G4" s="710"/>
      <c r="H4" s="1"/>
      <c r="I4" s="383"/>
      <c r="J4" s="387"/>
      <c r="K4" s="387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</row>
    <row r="5" spans="1:65" ht="16.5">
      <c r="A5" s="706" t="s">
        <v>52</v>
      </c>
      <c r="B5" s="706"/>
      <c r="C5" s="372">
        <v>1922</v>
      </c>
      <c r="D5" s="61" t="s">
        <v>192</v>
      </c>
      <c r="E5" s="114" t="s">
        <v>193</v>
      </c>
      <c r="F5" s="439"/>
      <c r="G5" s="114"/>
      <c r="H5" s="373"/>
      <c r="I5" s="382"/>
      <c r="J5" s="390"/>
      <c r="K5" s="382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</row>
    <row r="6" spans="1:65" ht="16.5">
      <c r="A6" s="114"/>
      <c r="B6" s="114" t="s">
        <v>194</v>
      </c>
      <c r="C6" s="607">
        <f>+L18</f>
        <v>541.72679226753655</v>
      </c>
      <c r="D6" s="61" t="s">
        <v>195</v>
      </c>
      <c r="E6" s="114" t="s">
        <v>196</v>
      </c>
      <c r="F6" s="439" t="s">
        <v>207</v>
      </c>
      <c r="G6" s="114"/>
      <c r="H6" s="373"/>
      <c r="I6" s="382"/>
      <c r="J6" s="390"/>
      <c r="K6" s="382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</row>
    <row r="7" spans="1:65" ht="16.5">
      <c r="A7" s="114"/>
      <c r="B7" s="114" t="s">
        <v>198</v>
      </c>
      <c r="C7" s="443">
        <f>L70</f>
        <v>1.0349999999999999</v>
      </c>
      <c r="D7" s="61"/>
      <c r="E7" s="61" t="s">
        <v>199</v>
      </c>
      <c r="F7" s="442">
        <f>IF(F6="Loại I",1.15,(IF(F6="Loại II",1.12,(IF(F6="Loại III",1.1,(IF(F6="Loại IV",1.05,(IF(F6="Loại V",1,1.2)))))))))</f>
        <v>1</v>
      </c>
      <c r="G7" s="114"/>
      <c r="H7" s="373"/>
      <c r="I7" s="382"/>
      <c r="J7" s="390"/>
      <c r="K7" s="382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</row>
    <row r="8" spans="1:65" ht="18.95" customHeight="1">
      <c r="A8" s="193" t="s">
        <v>58</v>
      </c>
      <c r="B8" s="194"/>
      <c r="C8" s="194"/>
      <c r="D8" s="195"/>
      <c r="E8" s="195"/>
      <c r="F8" s="195"/>
      <c r="G8" s="195"/>
      <c r="H8" s="1"/>
      <c r="I8" s="382"/>
      <c r="J8" s="390" t="s">
        <v>200</v>
      </c>
      <c r="K8" s="382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</row>
    <row r="9" spans="1:65" ht="15" customHeight="1">
      <c r="A9" s="263" t="s">
        <v>201</v>
      </c>
      <c r="B9" s="198"/>
      <c r="C9" s="199"/>
      <c r="D9" s="199"/>
      <c r="E9" s="199"/>
      <c r="F9" s="199"/>
      <c r="G9" s="199"/>
      <c r="H9" s="1"/>
      <c r="I9" s="382"/>
      <c r="J9" s="390" t="s">
        <v>197</v>
      </c>
      <c r="K9" s="382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</row>
    <row r="10" spans="1:65" ht="15" customHeight="1">
      <c r="A10" s="263" t="s">
        <v>202</v>
      </c>
      <c r="B10" s="198"/>
      <c r="C10" s="199"/>
      <c r="D10" s="199"/>
      <c r="E10" s="199"/>
      <c r="F10" s="199"/>
      <c r="G10" s="199"/>
      <c r="H10" s="1"/>
      <c r="I10" s="382"/>
      <c r="J10" s="390" t="s">
        <v>203</v>
      </c>
      <c r="K10" s="382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</row>
    <row r="11" spans="1:65" ht="16.5">
      <c r="A11" s="688" t="s">
        <v>61</v>
      </c>
      <c r="B11" s="688"/>
      <c r="C11" s="688"/>
      <c r="D11" s="688"/>
      <c r="E11" s="688"/>
      <c r="F11" s="688"/>
      <c r="G11" s="688"/>
      <c r="H11" s="1"/>
      <c r="I11" s="88"/>
      <c r="J11" s="390" t="s">
        <v>204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</row>
    <row r="12" spans="1:65" ht="15" customHeight="1">
      <c r="A12" s="693" t="s">
        <v>205</v>
      </c>
      <c r="B12" s="693"/>
      <c r="C12" s="693"/>
      <c r="D12" s="693"/>
      <c r="E12" s="693"/>
      <c r="F12" s="693"/>
      <c r="G12" s="693"/>
      <c r="H12" s="1"/>
      <c r="I12" s="88"/>
      <c r="J12" s="390" t="s">
        <v>206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</row>
    <row r="13" spans="1:65" s="111" customFormat="1" ht="31.5" customHeight="1">
      <c r="A13" s="695" t="s">
        <v>63</v>
      </c>
      <c r="B13" s="695"/>
      <c r="C13" s="695"/>
      <c r="D13" s="695"/>
      <c r="E13" s="695"/>
      <c r="F13" s="695"/>
      <c r="G13" s="695"/>
      <c r="H13" s="167"/>
      <c r="I13" s="281"/>
      <c r="J13" s="390" t="s">
        <v>207</v>
      </c>
      <c r="K13" s="283"/>
    </row>
    <row r="14" spans="1:65" s="111" customFormat="1" ht="39" customHeight="1">
      <c r="A14" s="707" t="s">
        <v>208</v>
      </c>
      <c r="B14" s="707"/>
      <c r="C14" s="707"/>
      <c r="D14" s="707"/>
      <c r="E14" s="707"/>
      <c r="F14" s="707"/>
      <c r="G14" s="707"/>
      <c r="H14" s="167"/>
      <c r="I14" s="281"/>
      <c r="J14" s="390"/>
      <c r="K14" s="283"/>
    </row>
    <row r="15" spans="1:65" ht="16.5">
      <c r="A15" s="688" t="s">
        <v>65</v>
      </c>
      <c r="B15" s="688"/>
      <c r="C15" s="688"/>
      <c r="D15" s="688"/>
      <c r="E15" s="688"/>
      <c r="F15" s="688"/>
      <c r="G15" s="688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5" customHeight="1">
      <c r="A16" s="200"/>
      <c r="B16" s="201" t="s">
        <v>66</v>
      </c>
      <c r="C16" s="276">
        <f>C5</f>
        <v>1922</v>
      </c>
      <c r="D16" s="225" t="str">
        <f>D5</f>
        <v>ha</v>
      </c>
      <c r="E16" s="201"/>
      <c r="F16" s="202"/>
      <c r="G16" s="203"/>
      <c r="H16" s="1"/>
      <c r="I16" s="383"/>
      <c r="J16" s="387"/>
      <c r="K16" s="387"/>
      <c r="L16" s="88">
        <v>2021</v>
      </c>
      <c r="M16" s="88">
        <f>1+1.65%</f>
        <v>1.0165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</row>
    <row r="17" spans="1:65" ht="35.25" customHeight="1">
      <c r="A17" s="689" t="s">
        <v>209</v>
      </c>
      <c r="B17" s="690"/>
      <c r="C17" s="690"/>
      <c r="D17" s="690"/>
      <c r="E17" s="690"/>
      <c r="F17" s="690"/>
      <c r="G17" s="690"/>
      <c r="H17" s="1"/>
      <c r="I17" s="382"/>
      <c r="J17" s="390"/>
      <c r="K17" s="382"/>
      <c r="L17" s="88">
        <f>8280*M16^14</f>
        <v>10411.988947382051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</row>
    <row r="18" spans="1:65" ht="16.5">
      <c r="A18" s="204"/>
      <c r="B18" s="205" t="s">
        <v>68</v>
      </c>
      <c r="C18" s="691" t="s">
        <v>69</v>
      </c>
      <c r="D18" s="206" t="s">
        <v>70</v>
      </c>
      <c r="E18" s="692" t="s">
        <v>71</v>
      </c>
      <c r="F18" s="692"/>
      <c r="G18" s="203"/>
      <c r="H18" s="1"/>
      <c r="I18" s="382"/>
      <c r="J18" s="390"/>
      <c r="K18" s="382"/>
      <c r="L18" s="88">
        <f>+L17/19.22</f>
        <v>541.72679226753655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</row>
    <row r="19" spans="1:65" ht="17.25" thickBot="1">
      <c r="A19" s="204"/>
      <c r="B19" s="200"/>
      <c r="C19" s="691"/>
      <c r="D19" s="210" t="s">
        <v>72</v>
      </c>
      <c r="E19" s="692"/>
      <c r="F19" s="692"/>
      <c r="G19" s="203"/>
      <c r="H19" s="1"/>
      <c r="I19" s="382"/>
      <c r="J19" s="390"/>
      <c r="K19" s="38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</row>
    <row r="20" spans="1:65" ht="42.75">
      <c r="A20" s="698" t="s">
        <v>26</v>
      </c>
      <c r="B20" s="696" t="s">
        <v>73</v>
      </c>
      <c r="C20" s="696" t="s">
        <v>74</v>
      </c>
      <c r="D20" s="314" t="s">
        <v>75</v>
      </c>
      <c r="E20" s="314" t="s">
        <v>76</v>
      </c>
      <c r="F20" s="696" t="s">
        <v>77</v>
      </c>
      <c r="G20" s="701" t="s">
        <v>78</v>
      </c>
      <c r="H20" s="1"/>
      <c r="I20" s="382"/>
      <c r="J20" s="390"/>
      <c r="K20" s="38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</row>
    <row r="21" spans="1:65" ht="17.25" thickBot="1">
      <c r="A21" s="699"/>
      <c r="B21" s="697"/>
      <c r="C21" s="697"/>
      <c r="D21" s="317" t="s">
        <v>79</v>
      </c>
      <c r="E21" s="317" t="s">
        <v>79</v>
      </c>
      <c r="F21" s="697"/>
      <c r="G21" s="702"/>
      <c r="H21" s="1"/>
      <c r="I21" s="88"/>
      <c r="J21" s="39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</row>
    <row r="22" spans="1:65" ht="15" customHeight="1">
      <c r="A22" s="396">
        <v>1</v>
      </c>
      <c r="B22" s="300" t="s">
        <v>81</v>
      </c>
      <c r="C22" s="321" t="s">
        <v>82</v>
      </c>
      <c r="D22" s="445">
        <f>IF(D27&lt;500,1170,IF(D27&gt;360000,"Vượt quy mô",(D23-D24)/(D25-D26)*(D27-D26)+D24))</f>
        <v>1841.989999999993</v>
      </c>
      <c r="E22" s="445">
        <f>IF(E27&lt;500,15,IF(E27&gt;360000,"Vượt quy mô",ROUND(((E23-E24)/(E25-E26)*(E27-E26)+E24),3)))</f>
        <v>25.84</v>
      </c>
      <c r="F22" s="397">
        <f>IF(F27&lt;200,12.3,IF(F27&gt;10000,2.8,ROUND(((F23-F24)/(F25-F26)*(F27-F26)+F24),3)))</f>
        <v>5.6870000000000003</v>
      </c>
      <c r="G22" s="398">
        <f>IF(G27&lt;200,10.6,IF(G27&gt;10000,2.6,ROUND(((G23-G24)/(G25-G26)*(G27-G26)+G24),3)))</f>
        <v>5.2869999999999999</v>
      </c>
      <c r="H22" s="1"/>
      <c r="I22" s="88"/>
      <c r="J22" s="3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</row>
    <row r="23" spans="1:65" ht="15" customHeight="1">
      <c r="A23" s="302">
        <v>2</v>
      </c>
      <c r="B23" s="303" t="s">
        <v>83</v>
      </c>
      <c r="C23" s="304" t="s">
        <v>84</v>
      </c>
      <c r="D23" s="393">
        <f>LOOKUP(D25, 'Dinh muc'!$C$13:$M$14)</f>
        <v>1570</v>
      </c>
      <c r="E23" s="393">
        <f>LOOKUP(E25, 'Dinh muc'!$C$13:$M$15)</f>
        <v>20.7</v>
      </c>
      <c r="F23" s="394">
        <f>LOOKUP(F25,  'Dinh muc'!$C$75:$J$76)+0.00000000001</f>
        <v>7.50000000001</v>
      </c>
      <c r="G23" s="395">
        <f>LOOKUP(G25, 'Dinh muc'!$C$75:$J$77)+0.000000000001</f>
        <v>7.1000000000009997</v>
      </c>
      <c r="H23" s="1"/>
      <c r="I23" s="281"/>
      <c r="J23" s="390"/>
      <c r="K23" s="283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</row>
    <row r="24" spans="1:65" ht="15" customHeight="1">
      <c r="A24" s="302">
        <v>3</v>
      </c>
      <c r="B24" s="303" t="s">
        <v>85</v>
      </c>
      <c r="C24" s="304" t="s">
        <v>86</v>
      </c>
      <c r="D24" s="393">
        <f>LOOKUP(D26,'Dinh muc'!$C$13:$M$14)</f>
        <v>2750</v>
      </c>
      <c r="E24" s="393">
        <f>LOOKUP(E26,'Dinh muc'!$C$13:$M$15)</f>
        <v>43</v>
      </c>
      <c r="F24" s="394">
        <f>LOOKUP(F26, 'Dinh muc'!$C$75:$J$76)+0.000000000001</f>
        <v>5.5000000000010001</v>
      </c>
      <c r="G24" s="395">
        <f>LOOKUP(G26, 'Dinh muc'!$C$75:$J$77)+0.000000000000001</f>
        <v>5.1000000000000005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</row>
    <row r="25" spans="1:65" ht="15" customHeight="1">
      <c r="A25" s="302">
        <v>4</v>
      </c>
      <c r="B25" s="303" t="s">
        <v>87</v>
      </c>
      <c r="C25" s="304" t="s">
        <v>88</v>
      </c>
      <c r="D25" s="409">
        <f>IF(D27&gt;360000,360000,IF(D27&lt;500,500,SMALL('Dinh muc'!$C$13:$M$13,COUNTIF('Dinh muc'!$C$13:$M$13,"&lt;="&amp;$D$27))))+0.000000000001</f>
        <v>1000.000000000001</v>
      </c>
      <c r="E25" s="409">
        <f>D25</f>
        <v>1000.000000000001</v>
      </c>
      <c r="F25" s="399">
        <f>IF(F27&lt;200,200,(SMALL('Dinh muc'!$C$75:$J$75,COUNTIF('Dinh muc'!$C$75:$J$75,"&lt;="&amp;$F$27))))+0.000000001</f>
        <v>1000.000000001</v>
      </c>
      <c r="G25" s="400">
        <f>F25</f>
        <v>1000.000000001</v>
      </c>
      <c r="H25" s="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</row>
    <row r="26" spans="1:65" ht="15" customHeight="1">
      <c r="A26" s="302">
        <v>5</v>
      </c>
      <c r="B26" s="303" t="s">
        <v>89</v>
      </c>
      <c r="C26" s="304" t="s">
        <v>90</v>
      </c>
      <c r="D26" s="409">
        <f>IF(D27&gt;360000,360000,IF(D27&lt;500,500,LARGE('Dinh muc'!$C$13:$M$13,COUNTIF('Dinh muc'!$C$13:$M$13,"&gt;="&amp;$D$27))))+0.0000000001</f>
        <v>5000.0000000001</v>
      </c>
      <c r="E26" s="409">
        <f>D26</f>
        <v>5000.0000000001</v>
      </c>
      <c r="F26" s="399">
        <f>IF(F27&gt;=10000,10000,LARGE('Dinh muc'!$C$75:$J$75,COUNTIF('Dinh muc'!$C$75:$J$75,"&gt;="&amp; $F$27)))+0.000000000001</f>
        <v>2000.0000000000009</v>
      </c>
      <c r="G26" s="400">
        <f>F26</f>
        <v>2000.0000000000009</v>
      </c>
      <c r="H26" s="1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</row>
    <row r="27" spans="1:65" ht="15" customHeight="1" thickBot="1">
      <c r="A27" s="305">
        <v>6</v>
      </c>
      <c r="B27" s="306" t="s">
        <v>91</v>
      </c>
      <c r="C27" s="307" t="s">
        <v>92</v>
      </c>
      <c r="D27" s="438">
        <f>C5</f>
        <v>1922</v>
      </c>
      <c r="E27" s="438">
        <f>D27</f>
        <v>1922</v>
      </c>
      <c r="F27" s="401">
        <f>E34/1000000+0.0000001</f>
        <v>1906.4596500999924</v>
      </c>
      <c r="G27" s="402">
        <f>F27</f>
        <v>1906.4596500999924</v>
      </c>
      <c r="H27" s="1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</row>
    <row r="28" spans="1:65" s="489" customFormat="1" ht="15" customHeight="1">
      <c r="A28" s="204"/>
      <c r="B28" s="207" t="s">
        <v>210</v>
      </c>
      <c r="C28" s="487">
        <f>E22*1000000</f>
        <v>25840000</v>
      </c>
      <c r="D28" s="242" t="s">
        <v>94</v>
      </c>
      <c r="E28" s="208"/>
      <c r="F28" s="209"/>
      <c r="G28" s="242"/>
      <c r="H28" s="103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8"/>
      <c r="AO28" s="488"/>
      <c r="AP28" s="488"/>
      <c r="AQ28" s="488"/>
      <c r="AR28" s="488"/>
      <c r="AS28" s="488"/>
      <c r="AT28" s="488"/>
      <c r="AU28" s="488"/>
      <c r="AV28" s="488"/>
      <c r="AW28" s="488"/>
      <c r="AX28" s="488"/>
      <c r="AY28" s="488"/>
      <c r="AZ28" s="488"/>
      <c r="BA28" s="488"/>
      <c r="BB28" s="488"/>
      <c r="BC28" s="488"/>
      <c r="BD28" s="488"/>
      <c r="BE28" s="488"/>
      <c r="BF28" s="488"/>
      <c r="BG28" s="488"/>
      <c r="BH28" s="488"/>
      <c r="BI28" s="488"/>
      <c r="BJ28" s="488"/>
      <c r="BK28" s="488"/>
      <c r="BL28" s="488"/>
      <c r="BM28" s="488"/>
    </row>
    <row r="29" spans="1:65" s="489" customFormat="1" ht="15" customHeight="1" thickBot="1">
      <c r="A29" s="204"/>
      <c r="B29" s="207" t="s">
        <v>211</v>
      </c>
      <c r="C29" s="487">
        <f>D22*1000000</f>
        <v>1841989999.9999928</v>
      </c>
      <c r="D29" s="242" t="s">
        <v>94</v>
      </c>
      <c r="E29" s="208"/>
      <c r="F29" s="209"/>
      <c r="G29" s="242"/>
      <c r="H29" s="103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  <c r="AC29" s="488"/>
      <c r="AD29" s="488"/>
      <c r="AE29" s="488"/>
      <c r="AF29" s="488"/>
      <c r="AG29" s="488"/>
      <c r="AH29" s="488"/>
      <c r="AI29" s="488"/>
      <c r="AJ29" s="488"/>
      <c r="AK29" s="488"/>
      <c r="AL29" s="488"/>
      <c r="AM29" s="488"/>
      <c r="AN29" s="488"/>
      <c r="AO29" s="488"/>
      <c r="AP29" s="488"/>
      <c r="AQ29" s="488"/>
      <c r="AR29" s="488"/>
      <c r="AS29" s="488"/>
      <c r="AT29" s="488"/>
      <c r="AU29" s="488"/>
      <c r="AV29" s="488"/>
      <c r="AW29" s="488"/>
      <c r="AX29" s="488"/>
      <c r="AY29" s="488"/>
      <c r="AZ29" s="488"/>
      <c r="BA29" s="488"/>
      <c r="BB29" s="488"/>
      <c r="BC29" s="488"/>
      <c r="BD29" s="488"/>
      <c r="BE29" s="488"/>
      <c r="BF29" s="488"/>
      <c r="BG29" s="488"/>
      <c r="BH29" s="488"/>
      <c r="BI29" s="488"/>
      <c r="BJ29" s="488"/>
      <c r="BK29" s="488"/>
      <c r="BL29" s="488"/>
      <c r="BM29" s="488"/>
    </row>
    <row r="30" spans="1:65" ht="42.75">
      <c r="A30" s="170" t="s">
        <v>26</v>
      </c>
      <c r="B30" s="171" t="s">
        <v>96</v>
      </c>
      <c r="C30" s="171" t="s">
        <v>97</v>
      </c>
      <c r="D30" s="171" t="s">
        <v>98</v>
      </c>
      <c r="E30" s="171" t="s">
        <v>99</v>
      </c>
      <c r="F30" s="171" t="s">
        <v>100</v>
      </c>
      <c r="G30" s="172" t="s">
        <v>101</v>
      </c>
      <c r="H30" s="9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</row>
    <row r="31" spans="1:65" ht="17.25" thickBot="1">
      <c r="A31" s="184">
        <v>1</v>
      </c>
      <c r="B31" s="185">
        <v>2</v>
      </c>
      <c r="C31" s="185">
        <v>3</v>
      </c>
      <c r="D31" s="185">
        <v>4</v>
      </c>
      <c r="E31" s="185" t="s">
        <v>102</v>
      </c>
      <c r="F31" s="185" t="s">
        <v>103</v>
      </c>
      <c r="G31" s="186" t="s">
        <v>104</v>
      </c>
      <c r="H31" s="9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</row>
    <row r="32" spans="1:65" ht="15.75" customHeight="1">
      <c r="A32" s="231">
        <v>1</v>
      </c>
      <c r="B32" s="237" t="s">
        <v>105</v>
      </c>
      <c r="C32" s="238"/>
      <c r="D32" s="238"/>
      <c r="E32" s="238"/>
      <c r="F32" s="238"/>
      <c r="G32" s="239"/>
      <c r="H32" s="99"/>
      <c r="I32" s="88"/>
      <c r="J32" s="88"/>
      <c r="K32" s="88"/>
    </row>
    <row r="33" spans="1:65" ht="73.5" customHeight="1">
      <c r="A33" s="177" t="s">
        <v>106</v>
      </c>
      <c r="B33" s="69" t="s">
        <v>212</v>
      </c>
      <c r="C33" s="79">
        <f>C28</f>
        <v>25840000</v>
      </c>
      <c r="D33" s="444">
        <f>C7*F7</f>
        <v>1.0349999999999999</v>
      </c>
      <c r="E33" s="78">
        <f>C33*D33</f>
        <v>26744399.999999996</v>
      </c>
      <c r="F33" s="78">
        <f>E33*10%</f>
        <v>2674440</v>
      </c>
      <c r="G33" s="179">
        <f>SUM(E33:F33)</f>
        <v>29418839.999999996</v>
      </c>
      <c r="H33" s="100"/>
      <c r="I33" s="88"/>
      <c r="J33" s="381">
        <f>3671327488</f>
        <v>3671327488</v>
      </c>
      <c r="K33" s="88"/>
    </row>
    <row r="34" spans="1:65" ht="61.5" customHeight="1">
      <c r="A34" s="177" t="s">
        <v>108</v>
      </c>
      <c r="B34" s="69" t="s">
        <v>213</v>
      </c>
      <c r="C34" s="79">
        <f>C29</f>
        <v>1841989999.9999928</v>
      </c>
      <c r="D34" s="444">
        <f>D33</f>
        <v>1.0349999999999999</v>
      </c>
      <c r="E34" s="78">
        <f>C34*D34</f>
        <v>1906459649.9999924</v>
      </c>
      <c r="F34" s="78">
        <f>E34*10%</f>
        <v>190645964.99999925</v>
      </c>
      <c r="G34" s="179">
        <f>F34+E34</f>
        <v>2097105614.9999917</v>
      </c>
      <c r="H34" s="100"/>
      <c r="I34" s="88"/>
      <c r="J34" s="381">
        <f>J33*1/2.5</f>
        <v>1468530995.2</v>
      </c>
      <c r="K34" s="88"/>
    </row>
    <row r="35" spans="1:65" s="111" customFormat="1" ht="30">
      <c r="A35" s="451" t="s">
        <v>110</v>
      </c>
      <c r="B35" s="452" t="s">
        <v>111</v>
      </c>
      <c r="C35" s="453">
        <f>E34</f>
        <v>1906459649.9999924</v>
      </c>
      <c r="D35" s="454">
        <v>0.1</v>
      </c>
      <c r="E35" s="458">
        <f>C35*D35</f>
        <v>190645964.99999925</v>
      </c>
      <c r="F35" s="456">
        <f>E35*10%</f>
        <v>19064596.499999925</v>
      </c>
      <c r="G35" s="457">
        <f>SUM(E35:F35)</f>
        <v>209710561.49999917</v>
      </c>
      <c r="H35" s="100"/>
      <c r="I35" s="414"/>
      <c r="J35" s="292"/>
      <c r="K35" s="291"/>
      <c r="L35" s="134"/>
      <c r="M35" s="134"/>
      <c r="N35" s="134"/>
      <c r="O35" s="134"/>
      <c r="P35" s="133"/>
      <c r="Q35" s="133"/>
      <c r="R35" s="133"/>
      <c r="S35" s="133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</row>
    <row r="36" spans="1:65" ht="15.75" customHeight="1">
      <c r="A36" s="177"/>
      <c r="B36" s="63" t="s">
        <v>112</v>
      </c>
      <c r="C36" s="69"/>
      <c r="D36" s="69"/>
      <c r="E36" s="70"/>
      <c r="F36" s="71">
        <f>SUM(F32:F35)</f>
        <v>212385001.49999917</v>
      </c>
      <c r="G36" s="71">
        <f>SUM(G32:G35)</f>
        <v>2336235016.4999909</v>
      </c>
      <c r="H36" s="101"/>
      <c r="I36" s="88"/>
      <c r="J36" s="88"/>
      <c r="K36" s="88"/>
    </row>
    <row r="37" spans="1:65" ht="15.75" customHeight="1">
      <c r="A37" s="187">
        <v>2</v>
      </c>
      <c r="B37" s="224" t="s">
        <v>113</v>
      </c>
      <c r="C37" s="79">
        <f>E33</f>
        <v>26744399.999999996</v>
      </c>
      <c r="D37" s="165">
        <v>0.2</v>
      </c>
      <c r="E37" s="78">
        <f>C37*D37</f>
        <v>5348880</v>
      </c>
      <c r="F37" s="79"/>
      <c r="G37" s="179">
        <f>SUM(E37:F37)</f>
        <v>5348880</v>
      </c>
      <c r="H37" s="101"/>
      <c r="I37" s="88"/>
      <c r="J37" s="88"/>
      <c r="K37" s="88"/>
    </row>
    <row r="38" spans="1:65" ht="16.5">
      <c r="A38" s="187">
        <v>3</v>
      </c>
      <c r="B38" s="224" t="s">
        <v>214</v>
      </c>
      <c r="C38" s="79">
        <f>E34</f>
        <v>1906459649.9999924</v>
      </c>
      <c r="D38" s="165">
        <v>0.02</v>
      </c>
      <c r="E38" s="78">
        <f>C38*D38</f>
        <v>38129192.999999851</v>
      </c>
      <c r="F38" s="78">
        <f>E38*10%</f>
        <v>3812919.2999999854</v>
      </c>
      <c r="G38" s="179">
        <f t="shared" ref="G38:G41" si="0">SUM(E38:F38)</f>
        <v>41942112.299999833</v>
      </c>
      <c r="H38" s="100"/>
      <c r="I38" s="88"/>
      <c r="J38" s="88"/>
      <c r="K38" s="88"/>
    </row>
    <row r="39" spans="1:65" ht="16.5">
      <c r="A39" s="187">
        <v>4</v>
      </c>
      <c r="B39" s="224" t="s">
        <v>114</v>
      </c>
      <c r="C39" s="79">
        <f>C38</f>
        <v>1906459649.9999924</v>
      </c>
      <c r="D39" s="310">
        <f>F22/100</f>
        <v>5.6870000000000004E-2</v>
      </c>
      <c r="E39" s="78">
        <f t="shared" ref="E39:E40" si="1">C39*D39</f>
        <v>108420360.29549958</v>
      </c>
      <c r="F39" s="79"/>
      <c r="G39" s="179">
        <f t="shared" si="0"/>
        <v>108420360.29549958</v>
      </c>
      <c r="H39" s="100"/>
      <c r="I39" s="88"/>
      <c r="J39" s="88"/>
      <c r="K39" s="88"/>
    </row>
    <row r="40" spans="1:65" ht="44.25">
      <c r="A40" s="187">
        <v>5</v>
      </c>
      <c r="B40" s="223" t="s">
        <v>215</v>
      </c>
      <c r="C40" s="79">
        <f>C39</f>
        <v>1906459649.9999924</v>
      </c>
      <c r="D40" s="310">
        <f>G22/100</f>
        <v>5.287E-2</v>
      </c>
      <c r="E40" s="78">
        <f t="shared" si="1"/>
        <v>100794521.6954996</v>
      </c>
      <c r="F40" s="79"/>
      <c r="G40" s="179">
        <f t="shared" si="0"/>
        <v>100794521.6954996</v>
      </c>
      <c r="H40" s="100"/>
      <c r="I40" s="88"/>
      <c r="J40" s="88"/>
      <c r="K40" s="88"/>
    </row>
    <row r="41" spans="1:65" ht="30">
      <c r="A41" s="187">
        <v>6</v>
      </c>
      <c r="B41" s="76" t="s">
        <v>116</v>
      </c>
      <c r="C41" s="79">
        <f>C40</f>
        <v>1906459649.9999924</v>
      </c>
      <c r="D41" s="77">
        <v>0.03</v>
      </c>
      <c r="E41" s="78">
        <f>D41*C41</f>
        <v>57193789.499999769</v>
      </c>
      <c r="F41" s="79">
        <f>E41*10%</f>
        <v>5719378.9499999769</v>
      </c>
      <c r="G41" s="179">
        <f t="shared" si="0"/>
        <v>62913168.44999975</v>
      </c>
      <c r="H41" s="100"/>
      <c r="I41" s="88"/>
      <c r="J41" s="88"/>
      <c r="K41" s="88"/>
    </row>
    <row r="42" spans="1:65" ht="28.5">
      <c r="A42" s="187">
        <v>7</v>
      </c>
      <c r="B42" s="224" t="s">
        <v>117</v>
      </c>
      <c r="C42" s="79"/>
      <c r="D42" s="77"/>
      <c r="E42" s="78"/>
      <c r="F42" s="79"/>
      <c r="G42" s="179">
        <f>SUM(G43:G46)</f>
        <v>19380286.550750054</v>
      </c>
      <c r="H42" s="100"/>
      <c r="I42" s="88"/>
      <c r="J42" s="88"/>
      <c r="K42" s="88"/>
    </row>
    <row r="43" spans="1:65" ht="30">
      <c r="A43" s="415" t="s">
        <v>216</v>
      </c>
      <c r="B43" s="416" t="s">
        <v>119</v>
      </c>
      <c r="C43" s="273">
        <f>SUM(G34:G35)</f>
        <v>2306816176.4999909</v>
      </c>
      <c r="D43" s="310">
        <f>M70/100*45%</f>
        <v>2.9869010952220062E-3</v>
      </c>
      <c r="E43" s="79">
        <f>D43*C43</f>
        <v>6890231.7640636638</v>
      </c>
      <c r="F43" s="79">
        <f>E43*10%</f>
        <v>689023.1764063664</v>
      </c>
      <c r="G43" s="179">
        <f>IF(SUM(E43:F43)&lt;1000000, 1000000,SUM(E43:F43))</f>
        <v>7579254.9404700305</v>
      </c>
      <c r="H43" s="100"/>
      <c r="I43" s="88"/>
      <c r="J43" s="88"/>
      <c r="K43" s="88"/>
    </row>
    <row r="44" spans="1:65" ht="30">
      <c r="A44" s="415" t="s">
        <v>217</v>
      </c>
      <c r="B44" s="416" t="s">
        <v>121</v>
      </c>
      <c r="C44" s="273">
        <f>C43</f>
        <v>2306816176.4999909</v>
      </c>
      <c r="D44" s="310">
        <f>M70/100*55%</f>
        <v>3.6506568941602298E-3</v>
      </c>
      <c r="E44" s="79">
        <f>D44*C44</f>
        <v>8421394.3783000335</v>
      </c>
      <c r="F44" s="79">
        <f>E44*10%</f>
        <v>842139.43783000344</v>
      </c>
      <c r="G44" s="179">
        <f>IF(SUM(E44:F44)&lt;1000000, 1000000,SUM(E44:F44))</f>
        <v>9263533.8161300365</v>
      </c>
      <c r="H44" s="100"/>
      <c r="I44" s="88"/>
      <c r="J44" s="88"/>
      <c r="K44" s="88"/>
    </row>
    <row r="45" spans="1:65" ht="30">
      <c r="A45" s="415" t="s">
        <v>218</v>
      </c>
      <c r="B45" s="416" t="s">
        <v>123</v>
      </c>
      <c r="C45" s="273">
        <f>C44</f>
        <v>2306816176.4999909</v>
      </c>
      <c r="D45" s="77">
        <v>5.0000000000000001E-4</v>
      </c>
      <c r="E45" s="79">
        <f>D45*C45</f>
        <v>1153408.0882499956</v>
      </c>
      <c r="F45" s="79">
        <f>E45*10%</f>
        <v>115340.80882499956</v>
      </c>
      <c r="G45" s="179">
        <f>IF(SUM(E45:F45)&lt;1000000, 1000000,SUM(E45:F45))</f>
        <v>1268748.8970749951</v>
      </c>
      <c r="H45" s="100"/>
      <c r="I45" s="88"/>
      <c r="J45" s="88"/>
      <c r="K45" s="88"/>
    </row>
    <row r="46" spans="1:65" ht="45">
      <c r="A46" s="415" t="s">
        <v>219</v>
      </c>
      <c r="B46" s="416" t="s">
        <v>125</v>
      </c>
      <c r="C46" s="273">
        <f>C45</f>
        <v>2306816176.4999909</v>
      </c>
      <c r="D46" s="77">
        <v>5.0000000000000001E-4</v>
      </c>
      <c r="E46" s="79">
        <f>D46*C46</f>
        <v>1153408.0882499956</v>
      </c>
      <c r="F46" s="79">
        <f>E46*10%</f>
        <v>115340.80882499956</v>
      </c>
      <c r="G46" s="179">
        <f>IF(SUM(E46:F46)&lt;1000000, 1000000,SUM(E46:F46))</f>
        <v>1268748.8970749951</v>
      </c>
      <c r="H46" s="100"/>
      <c r="I46" s="88"/>
      <c r="J46" s="88"/>
      <c r="K46" s="88"/>
    </row>
    <row r="47" spans="1:65" ht="16.5">
      <c r="A47" s="244"/>
      <c r="B47" s="417"/>
      <c r="C47" s="273"/>
      <c r="D47" s="418"/>
      <c r="E47" s="419"/>
      <c r="F47" s="273"/>
      <c r="G47" s="420"/>
      <c r="H47" s="100"/>
      <c r="I47" s="88"/>
      <c r="J47" s="88"/>
      <c r="K47" s="88"/>
    </row>
    <row r="48" spans="1:65" ht="17.25" thickBot="1">
      <c r="A48" s="232"/>
      <c r="B48" s="233" t="s">
        <v>220</v>
      </c>
      <c r="C48" s="234"/>
      <c r="D48" s="234"/>
      <c r="E48" s="234"/>
      <c r="F48" s="216"/>
      <c r="G48" s="235">
        <f>SUM(G37:G42)</f>
        <v>338799329.29174882</v>
      </c>
      <c r="H48" s="102"/>
      <c r="I48" s="88"/>
      <c r="J48" s="88"/>
      <c r="K48" s="88"/>
    </row>
    <row r="49" spans="1:65" ht="17.25" thickBot="1">
      <c r="A49" s="218"/>
      <c r="B49" s="219" t="s">
        <v>127</v>
      </c>
      <c r="C49" s="219"/>
      <c r="D49" s="219"/>
      <c r="E49" s="219"/>
      <c r="F49" s="220"/>
      <c r="G49" s="236">
        <f>ROUND(G48+G36,-3)</f>
        <v>2675034000</v>
      </c>
      <c r="H49" s="104"/>
      <c r="I49" s="88"/>
      <c r="J49" s="88"/>
      <c r="K49" s="88"/>
    </row>
    <row r="50" spans="1:65" ht="16.5">
      <c r="A50" s="228" t="str">
        <f ca="1">CONCATENATE("Bằng chữ :  ",UPPER(LEFT(M89))&amp;RIGHT(M89,LEN(M89)-1))</f>
        <v>Bằng chữ :  Hai tỷ, sáu trăm bẩy mươi năm triệu, ba mươi bốn nghìn  đồng chẵn</v>
      </c>
      <c r="B50" s="229"/>
      <c r="C50" s="229"/>
      <c r="D50" s="229"/>
      <c r="E50" s="229"/>
      <c r="F50" s="229"/>
      <c r="G50" s="229"/>
      <c r="H50" s="105"/>
      <c r="I50" s="88"/>
      <c r="J50" s="88"/>
      <c r="K50" s="88"/>
      <c r="L50" s="1"/>
    </row>
    <row r="51" spans="1:65" ht="16.5">
      <c r="E51" s="694" t="s">
        <v>128</v>
      </c>
      <c r="F51" s="694"/>
      <c r="G51" s="694"/>
      <c r="I51" s="88"/>
      <c r="J51" s="88"/>
      <c r="K51" s="88"/>
      <c r="L51" s="1"/>
    </row>
    <row r="52" spans="1:65" ht="16.5">
      <c r="E52" s="700" t="s">
        <v>129</v>
      </c>
      <c r="F52" s="700"/>
      <c r="G52" s="700"/>
      <c r="H52" s="57"/>
      <c r="I52" s="88"/>
      <c r="J52" s="88"/>
      <c r="K52" s="88"/>
      <c r="L52" s="1"/>
    </row>
    <row r="53" spans="1:65" ht="16.5">
      <c r="B53" s="339"/>
      <c r="E53" s="686" t="s">
        <v>130</v>
      </c>
      <c r="F53" s="686"/>
      <c r="G53" s="686"/>
      <c r="I53" s="88"/>
      <c r="J53" s="88"/>
      <c r="K53" s="88"/>
      <c r="L53" s="1"/>
    </row>
    <row r="54" spans="1:65" ht="16.5">
      <c r="E54" s="133"/>
      <c r="F54" s="133"/>
      <c r="G54" s="133"/>
      <c r="I54" s="88"/>
      <c r="J54" s="88"/>
      <c r="K54" s="88"/>
      <c r="L54" s="1"/>
    </row>
    <row r="55" spans="1:65" ht="16.5">
      <c r="E55" s="133"/>
      <c r="F55" s="133"/>
      <c r="G55" s="133"/>
      <c r="I55" s="88"/>
      <c r="J55" s="88"/>
      <c r="K55" s="8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ht="16.5">
      <c r="E56" s="133"/>
      <c r="F56" s="133"/>
      <c r="G56" s="133"/>
      <c r="I56" s="88"/>
      <c r="J56" s="88"/>
      <c r="K56" s="8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ht="16.5">
      <c r="E57" s="133"/>
      <c r="F57" s="133"/>
      <c r="G57" s="133"/>
      <c r="I57" s="88"/>
      <c r="J57" s="88"/>
      <c r="K57" s="8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ht="16.5">
      <c r="E58" s="133"/>
      <c r="F58" s="133"/>
      <c r="G58" s="133"/>
      <c r="I58" s="88"/>
      <c r="J58" s="88"/>
      <c r="K58" s="8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ht="16.5">
      <c r="E59" s="133"/>
      <c r="F59" s="133"/>
      <c r="G59" s="133"/>
      <c r="I59" s="88"/>
      <c r="J59" s="88"/>
      <c r="K59" s="8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ht="16.5">
      <c r="B60" s="339"/>
      <c r="E60" s="711"/>
      <c r="F60" s="711"/>
      <c r="G60" s="133"/>
      <c r="I60" s="88"/>
      <c r="J60" s="88"/>
      <c r="K60" s="8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ht="16.5">
      <c r="E61" s="686" t="s">
        <v>131</v>
      </c>
      <c r="F61" s="686"/>
      <c r="G61" s="686"/>
      <c r="I61" s="88"/>
      <c r="J61" s="88"/>
      <c r="K61" s="8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ht="16.5">
      <c r="I62" s="88"/>
      <c r="J62" s="88"/>
      <c r="K62" s="8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ht="16.5">
      <c r="I63" s="88"/>
      <c r="J63" s="88"/>
      <c r="K63" s="8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ht="16.5">
      <c r="I64" s="88"/>
      <c r="J64" s="88"/>
      <c r="K64" s="8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9:65" ht="16.5">
      <c r="I65" s="88"/>
      <c r="J65" s="88"/>
      <c r="K65" s="88"/>
      <c r="L65" s="1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</row>
    <row r="66" spans="9:65" ht="16.5">
      <c r="I66" s="88"/>
      <c r="J66" s="88"/>
      <c r="K66" s="88"/>
      <c r="L66" s="1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</row>
    <row r="67" spans="9:65" ht="15.75">
      <c r="L67" s="1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</row>
    <row r="68" spans="9:65" ht="16.5">
      <c r="I68" s="90"/>
      <c r="J68" s="9"/>
      <c r="K68" s="88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</row>
    <row r="69" spans="9:65" ht="25.5">
      <c r="I69" s="91" t="s">
        <v>132</v>
      </c>
      <c r="J69" s="92" t="s">
        <v>73</v>
      </c>
      <c r="K69" s="91" t="s">
        <v>74</v>
      </c>
      <c r="L69" s="241" t="s">
        <v>221</v>
      </c>
      <c r="M69" s="240" t="s">
        <v>133</v>
      </c>
    </row>
    <row r="70" spans="9:65">
      <c r="I70" s="93">
        <v>1</v>
      </c>
      <c r="J70" s="94" t="s">
        <v>222</v>
      </c>
      <c r="K70" s="95" t="s">
        <v>82</v>
      </c>
      <c r="L70" s="437">
        <f>IF(L75&lt;200,10.6,IF(L75&gt;10000,2.6,ROUND(((L71-L72)/(L73-L74)*(L75-L74)+L72),3)))</f>
        <v>1.0349999999999999</v>
      </c>
      <c r="M70" s="278">
        <f>IF(M75&lt;1,0.8168,IF(M75&gt;100,0.114,(M71-M72)/(M73-M74)*(M75-M74)+M72))</f>
        <v>0.66375579893822356</v>
      </c>
    </row>
    <row r="71" spans="9:65">
      <c r="I71" s="3">
        <v>2</v>
      </c>
      <c r="J71" s="4" t="s">
        <v>223</v>
      </c>
      <c r="K71" s="5" t="s">
        <v>84</v>
      </c>
      <c r="L71" s="436">
        <f>LOOKUP(L73, 'Dinh muc'!$C$18:$K$19)+0.000000000001</f>
        <v>1.0000000000010001</v>
      </c>
      <c r="M71" s="279">
        <f>IF(M75&lt;1,0.816,LOOKUP(M73,'Dinh muc'!$C$88:$I$89))+0.00000000000001</f>
        <v>0.81600000000000994</v>
      </c>
    </row>
    <row r="72" spans="9:65">
      <c r="I72" s="3">
        <v>3</v>
      </c>
      <c r="J72" s="4" t="s">
        <v>224</v>
      </c>
      <c r="K72" s="5" t="s">
        <v>86</v>
      </c>
      <c r="L72" s="436">
        <f>LOOKUP(L74, 'Dinh muc'!$C$18:$K$19)+0.000000000000001</f>
        <v>1.150000000000001</v>
      </c>
      <c r="M72" s="279">
        <f>LOOKUP(M74,'Dinh muc'!$C$88:$I$89)+0.0000000000001</f>
        <v>0.58300000000009999</v>
      </c>
    </row>
    <row r="73" spans="9:65">
      <c r="I73" s="3">
        <v>4</v>
      </c>
      <c r="J73" s="4" t="s">
        <v>225</v>
      </c>
      <c r="K73" s="5" t="s">
        <v>88</v>
      </c>
      <c r="L73" s="326">
        <f>IF(L75&lt;200,0.25,SMALL('Dinh muc'!$C$18:$K$18,COUNTIF('Dinh muc'!$C$18:$K$18,"&lt;="&amp;$L$75)))</f>
        <v>400</v>
      </c>
      <c r="M73" s="163">
        <f>IF((M75&lt;1),1,(SMALL('Dinh muc'!$C$88:$I$88,COUNTIF('Dinh muc'!$C$88:$I$88,"&lt;="&amp;$M$75))))+0.00000000001</f>
        <v>1.00000000001</v>
      </c>
    </row>
    <row r="74" spans="9:65">
      <c r="I74" s="3">
        <v>5</v>
      </c>
      <c r="J74" s="4" t="s">
        <v>226</v>
      </c>
      <c r="K74" s="5" t="s">
        <v>90</v>
      </c>
      <c r="L74" s="326">
        <f>IF(L75&gt;8000,2,LARGE('Dinh muc'!$C$18:$K$18,COUNTIF('Dinh muc'!$C$18:$K$18,"&gt;="&amp;$L$75)))</f>
        <v>1000</v>
      </c>
      <c r="M74" s="163">
        <f>IF(M75&gt;100,100,(LARGE('Dinh muc'!$C$88:$I$88,COUNTIF('Dinh muc'!$C$88:$I$88,"&gt;="&amp;$M$75))))+0.0000000000000001</f>
        <v>3</v>
      </c>
    </row>
    <row r="75" spans="9:65">
      <c r="I75" s="6">
        <v>6</v>
      </c>
      <c r="J75" s="7" t="s">
        <v>227</v>
      </c>
      <c r="K75" s="8" t="s">
        <v>92</v>
      </c>
      <c r="L75" s="433">
        <f>C6+0.000001</f>
        <v>541.72679326753655</v>
      </c>
      <c r="M75" s="164">
        <f>C43/1000000000+0.000001</f>
        <v>2.3068171764999912</v>
      </c>
    </row>
    <row r="76" spans="9:65" ht="15">
      <c r="I76" s="1"/>
      <c r="J76" s="2"/>
      <c r="K76" s="1"/>
    </row>
    <row r="77" spans="9:65" ht="15">
      <c r="I77" s="1"/>
      <c r="J77" s="56"/>
      <c r="K77" s="1"/>
    </row>
    <row r="78" spans="9:65" ht="15">
      <c r="I78" s="1"/>
      <c r="J78" s="1"/>
      <c r="K78" s="1"/>
    </row>
    <row r="79" spans="9:65">
      <c r="I79" s="709"/>
      <c r="J79" s="709"/>
    </row>
    <row r="80" spans="9:65">
      <c r="J80" s="440"/>
    </row>
    <row r="81" spans="10:65" ht="15">
      <c r="J81" s="441"/>
    </row>
    <row r="82" spans="10:65" ht="15">
      <c r="J82" s="44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</row>
    <row r="83" spans="10:65" ht="18">
      <c r="J83" s="440"/>
      <c r="L83" s="10" t="str">
        <f>"Đọc giá trị số thành chữ"</f>
        <v>Đọc giá trị số thành chữ</v>
      </c>
      <c r="M83" s="37"/>
      <c r="N83" s="37"/>
      <c r="O83" s="11"/>
      <c r="P83" s="37"/>
      <c r="Q83" s="37"/>
      <c r="R83" s="37"/>
      <c r="S83" s="37"/>
      <c r="T83" s="37"/>
      <c r="U83" s="38"/>
    </row>
    <row r="84" spans="10:65" ht="18.75">
      <c r="J84" s="440"/>
      <c r="L84" s="12" t="s">
        <v>146</v>
      </c>
      <c r="M84" s="37"/>
      <c r="N84" s="37"/>
      <c r="O84" s="13"/>
      <c r="P84" s="37"/>
      <c r="Q84" s="37"/>
      <c r="R84" s="37"/>
      <c r="S84" s="37"/>
      <c r="T84" s="37"/>
      <c r="U84" s="38"/>
    </row>
    <row r="85" spans="10:65" ht="18.75">
      <c r="J85" s="440"/>
      <c r="L85" s="14"/>
      <c r="M85" s="37"/>
      <c r="N85" s="37"/>
      <c r="O85" s="11" t="s">
        <v>146</v>
      </c>
      <c r="P85" s="37"/>
      <c r="Q85" s="37"/>
      <c r="R85" s="37"/>
      <c r="S85" s="37" t="s">
        <v>146</v>
      </c>
      <c r="T85" s="37"/>
      <c r="U85" s="38"/>
    </row>
    <row r="86" spans="10:65" ht="18">
      <c r="J86" s="440"/>
      <c r="L86" s="37">
        <v>1</v>
      </c>
      <c r="M86" s="37">
        <v>6</v>
      </c>
      <c r="N86" s="37"/>
      <c r="O86" s="11"/>
      <c r="P86" s="37"/>
      <c r="Q86" s="37"/>
      <c r="R86" s="37"/>
      <c r="S86" s="37"/>
      <c r="T86" s="37"/>
      <c r="U86" s="38"/>
    </row>
    <row r="87" spans="10:65" ht="18.75" thickBot="1">
      <c r="J87" s="440"/>
      <c r="L87" s="37"/>
      <c r="M87" s="37"/>
      <c r="N87" s="37"/>
      <c r="O87" s="37"/>
      <c r="P87" s="37"/>
      <c r="Q87" s="37"/>
      <c r="R87" s="37"/>
      <c r="S87" s="37"/>
      <c r="T87" s="37"/>
      <c r="U87" s="38"/>
    </row>
    <row r="88" spans="10:65" ht="19.5" thickBot="1">
      <c r="J88" s="440"/>
      <c r="L88" s="15" t="str">
        <f>"Giá trị số cần đổi:"</f>
        <v>Giá trị số cần đổi:</v>
      </c>
      <c r="M88" s="325">
        <f>G49</f>
        <v>2675034000</v>
      </c>
      <c r="N88" s="379" t="str">
        <f>IF(ROUND(VALUE(10*(100*M88-INT(100*M88))),0)&gt;0,"Chỉ có 2 chữ số sau dấu phẩy","")</f>
        <v/>
      </c>
      <c r="O88" s="37"/>
      <c r="P88" s="37"/>
      <c r="Q88" s="37"/>
      <c r="R88" s="37"/>
      <c r="S88" s="37"/>
      <c r="T88" s="37"/>
      <c r="U88" s="38"/>
    </row>
    <row r="89" spans="10:65" ht="18.75">
      <c r="L89" s="40" t="s">
        <v>146</v>
      </c>
      <c r="M89" s="16" t="str">
        <f ca="1">IF(M88&gt;=1000000000000,"Công thức này chỉ có thể đếm thành chữ dưới 1000 tỷ",IF(ABS(M88)&lt;1,"không",IF(M88&lt;0,"âm ","")&amp;IF(M91=0,"",N91)&amp;IF(AND(M92=0,M93=0),"",O92)&amp;IF(M94=0,"",N94)&amp;IF(AND(M95=0,M96=0),"",O95)&amp;IF(M97=0,"",N97)&amp;IF(AND(M98=0,M99=0),"",O98)&amp;IF(M100=0,"",N100)&amp;IF(AND(M101=0,M102=0),"",IF(AND(M101=0,M102=1),"một",O101)))&amp;CELL("contents",R92))&amp;IF(P109=0,"",IF(L89=1,P108,O104))</f>
        <v>hai tỷ, sáu trăm bẩy mươi năm triệu, ba mươi bốn nghìn  đồng chẵn</v>
      </c>
      <c r="N89" s="41"/>
      <c r="O89" s="41"/>
      <c r="P89" s="41"/>
      <c r="Q89" s="41"/>
      <c r="R89" s="41"/>
      <c r="S89" s="41"/>
      <c r="T89" s="41"/>
      <c r="U89" s="38"/>
    </row>
    <row r="90" spans="10:65" ht="18.75">
      <c r="L90" s="17" t="str">
        <f>"đếm từng chữ một"</f>
        <v>đếm từng chữ một</v>
      </c>
      <c r="M90" s="18" t="str">
        <f>IF(M88&lt;0,"minus   ","")&amp;SUBSTITUTE(SUBSTITUTE(SUBSTITUTE(SUBSTITUTE(M106,8,"tám   "),9,"chín   "),",","phẩy   "),"-","")</f>
        <v xml:space="preserve">hai   sáu   bẩy   năm   không   ba   bốn   không   không   không   </v>
      </c>
      <c r="N90" s="42"/>
      <c r="O90" s="37"/>
      <c r="P90" s="37"/>
      <c r="Q90" s="37"/>
      <c r="R90" s="37" t="s">
        <v>147</v>
      </c>
      <c r="S90" s="37"/>
      <c r="T90" s="37"/>
      <c r="U90" s="38"/>
    </row>
    <row r="91" spans="10:65" ht="18.75">
      <c r="L91" s="17" t="str">
        <f>"hàng trăm tỷ"</f>
        <v>hàng trăm tỷ</v>
      </c>
      <c r="M91" s="19">
        <f>VALUE(RIGHT(INT(ABS(M88)/100000000000)))</f>
        <v>0</v>
      </c>
      <c r="N91" s="20" t="str">
        <f>IF(M91=1,"một",IF(M91=2,"hai",IF(M91=3,"ba",IF(M91=4,"bốn",IF(M91=5,"năm",IF(M91=6,"sáu",IF(M91=7,"bẩy",IF(M91=8,"tám","chín"))))))))&amp;" trăm "&amp;IF(AND(M92=0,M93=0),"tỷ","")</f>
        <v xml:space="preserve">chín trăm </v>
      </c>
      <c r="O91" s="31"/>
      <c r="P91" s="43"/>
      <c r="Q91" s="37"/>
      <c r="R91" s="37">
        <v>1</v>
      </c>
      <c r="S91" s="37">
        <v>2</v>
      </c>
      <c r="T91" s="37">
        <v>3</v>
      </c>
      <c r="U91" s="38"/>
    </row>
    <row r="92" spans="10:65" ht="18.75">
      <c r="L92" s="17" t="str">
        <f>"hàng chục tỷ"</f>
        <v>hàng chục tỷ</v>
      </c>
      <c r="M92" s="19">
        <f>VALUE(RIGHT(INT(ABS(M88)/10000000000)))</f>
        <v>0</v>
      </c>
      <c r="N92" s="20" t="str">
        <f>IF(M92=1,"mười",IF(M92=2," hai mươi",IF(M92=3,"ba mươi",IF(M92=4,"bốn mươi",IF(M92=5,"năm mươi",IF(M92=6,"sáu mươi",IF(M92=7,"bẩy mươi",IF(M92=8,"tám mươi","chín mươi"))))))))</f>
        <v>chín mươi</v>
      </c>
      <c r="O92" s="21" t="str">
        <f>IF(AND(M92=0,M93=1),"một tỷ ",IF(AND(M92=1,M93=1),"mười một",IF(AND(M92=1,M93=2),"mười hai",IF(AND(M92=1,M93=6),"mười sáu",IF(AND(M92=1,M93=7),"mười bẩy",IF(M93=0,N92,IF(M92=0,N93,N92&amp;IF(M92&gt;1," ","")&amp;N93))))))&amp;" tỷ, ")</f>
        <v xml:space="preserve">hai tỷ, </v>
      </c>
      <c r="P92" s="44"/>
      <c r="Q92" s="37"/>
      <c r="R92" s="22" t="str">
        <f>INDEX(R93:T109,L86,2)</f>
        <v xml:space="preserve"> đồng chẵn</v>
      </c>
      <c r="S92" s="22" t="str">
        <f>INDEX(R93:T109,L86,3)</f>
        <v xml:space="preserve"> xu</v>
      </c>
      <c r="T92" s="37"/>
      <c r="U92" s="38"/>
    </row>
    <row r="93" spans="10:65" ht="18.75">
      <c r="L93" s="17" t="str">
        <f>"hàng tỷ"</f>
        <v>hàng tỷ</v>
      </c>
      <c r="M93" s="23">
        <f>VALUE(RIGHT(INT(ABS(M88)/1000000000)))</f>
        <v>2</v>
      </c>
      <c r="N93" s="20" t="str">
        <f>IF(M93=1,"một",IF(M93=2,"hai",IF(M93=3,"ba",IF(M93=4,"bốn",IF(M93=5,"năm",IF(M93=6,"sáu",IF(M93=7,"bẩy",IF(M93=8,"tám","chín"))))))))</f>
        <v>hai</v>
      </c>
      <c r="O93" s="45"/>
      <c r="P93" s="46"/>
      <c r="Q93" s="37"/>
      <c r="R93" s="20" t="s">
        <v>149</v>
      </c>
      <c r="S93" s="20" t="s">
        <v>150</v>
      </c>
      <c r="T93" s="20" t="s">
        <v>151</v>
      </c>
      <c r="U93" s="38"/>
    </row>
    <row r="94" spans="10:65" ht="18.75">
      <c r="L94" s="17" t="str">
        <f>"hàng trăm triệu"</f>
        <v>hàng trăm triệu</v>
      </c>
      <c r="M94" s="24">
        <f>VALUE(RIGHT(INT(ABS(M88)/100000000)))</f>
        <v>6</v>
      </c>
      <c r="N94" s="25" t="str">
        <f>IF(M94=1,"một",IF(M94=2,"hai",IF(M94=3,"ba",IF(M94=4,"bốn",IF(M94=5,"năm",IF(M94=6,"sáu",IF(M94=7,"bẩy",IF(M94=8,"tám","chín"))))))))&amp;" trăm "&amp;IF(AND(M95=0,M96=0),"triệu","")</f>
        <v xml:space="preserve">sáu trăm </v>
      </c>
      <c r="O94" s="47"/>
      <c r="P94" s="48"/>
      <c r="Q94" s="37"/>
      <c r="R94" s="20" t="s">
        <v>153</v>
      </c>
      <c r="S94" s="20" t="s">
        <v>154</v>
      </c>
      <c r="T94" s="20" t="s">
        <v>155</v>
      </c>
      <c r="U94" s="38"/>
    </row>
    <row r="95" spans="10:65" ht="18.75">
      <c r="L95" s="17" t="str">
        <f>"hàng chục triệu"</f>
        <v>hàng chục triệu</v>
      </c>
      <c r="M95" s="24">
        <f>VALUE(RIGHT(INT(ABS(M88)/10000000)))</f>
        <v>7</v>
      </c>
      <c r="N95" s="25" t="str">
        <f>IF(M95=1,"mười ",IF(M95=2,"hai mươi",IF(M95=3,"ba mươi",IF(M95=4,"bốn mươi",IF(M95=5,"năm mươi",IF(M95=6,"sáu mươi",IF(M95=7,"bẩy mươi",IF(M95=8,"tám mươi","chín mươi"))))))))</f>
        <v>bẩy mươi</v>
      </c>
      <c r="O95" s="26" t="str">
        <f>IF(AND(M95=0,M96=1),"linh một triệu",IF(AND(M95=1,M96=1),"mười một",IF(AND(M95=1,M96=2),"mười hai",IF(AND(M95=1,M96=6),"mười sáu",IF(AND(M95=1,M96=7),"mười bẩy",IF(M96=0,N95,IF(M95=0,"linh "&amp;N96,N95&amp;IF(M95&gt;1," ","")&amp;N96))))))&amp;" triệu,")</f>
        <v>bẩy mươi năm triệu,</v>
      </c>
      <c r="P95" s="49"/>
      <c r="Q95" s="37"/>
      <c r="R95" s="20" t="s">
        <v>157</v>
      </c>
      <c r="S95" s="20" t="s">
        <v>158</v>
      </c>
      <c r="T95" s="20" t="s">
        <v>159</v>
      </c>
      <c r="U95" s="38"/>
    </row>
    <row r="96" spans="10:65" ht="18.75">
      <c r="L96" s="17" t="str">
        <f>"hàng triệu"</f>
        <v>hàng triệu</v>
      </c>
      <c r="M96" s="24">
        <f>VALUE(RIGHT(INT(ABS(M88)/1000000)))</f>
        <v>5</v>
      </c>
      <c r="N96" s="25" t="str">
        <f>IF(M96=1,"một",IF(M96=2,"hai",IF(M96=3,"ba",IF(M96=4,"bốn",IF(M96=5,"năm",IF(M96=6,"sáu",IF(M96=7,"bẩy",IF(M96=8,"tám","chín"))))))))</f>
        <v>năm</v>
      </c>
      <c r="O96" s="26"/>
      <c r="P96" s="49"/>
      <c r="Q96" s="37"/>
      <c r="R96" s="20" t="s">
        <v>161</v>
      </c>
      <c r="S96" s="20" t="s">
        <v>162</v>
      </c>
      <c r="T96" s="20" t="s">
        <v>163</v>
      </c>
      <c r="U96" s="38"/>
    </row>
    <row r="97" spans="9:65" ht="18.75">
      <c r="L97" s="17" t="str">
        <f>"hàng trăm nghìn"</f>
        <v>hàng trăm nghìn</v>
      </c>
      <c r="M97" s="27">
        <f>VALUE(RIGHT(INT(ABS(M88)/100000)))</f>
        <v>0</v>
      </c>
      <c r="N97" s="20" t="str">
        <f>IF(M97=1," một",IF(M97=2," hai",IF(M97=3," ba",IF(M97=4," bốn",IF(M97=5," năm",IF(M97=6," sáu",IF(M97=7," bẩy",IF(M97=8," tám"," chín"))))))))&amp;" trăm "&amp;IF(AND(M98=0,M99=0)," nghìn","")</f>
        <v xml:space="preserve"> chín trăm </v>
      </c>
      <c r="O97" s="31"/>
      <c r="P97" s="43"/>
      <c r="Q97" s="37"/>
      <c r="R97" s="20" t="s">
        <v>165</v>
      </c>
      <c r="S97" s="20" t="s">
        <v>166</v>
      </c>
      <c r="T97" s="20" t="s">
        <v>167</v>
      </c>
      <c r="U97" s="38"/>
    </row>
    <row r="98" spans="9:65" ht="18.75">
      <c r="L98" s="17" t="str">
        <f>"hàng chục nghìn"</f>
        <v>hàng chục nghìn</v>
      </c>
      <c r="M98" s="27">
        <f>VALUE(RIGHT(INT(ABS(M88)/10000)))</f>
        <v>3</v>
      </c>
      <c r="N98" s="20" t="str">
        <f>IF(M98=1,"mười ",IF(M98=2," hai mươi ",IF(M98=3," ba mươi ",IF(M98=4," bốn mươi ",IF(M98=5," năm mươi ",IF(M98=6," sáu mươi ",IF(M98=7," bẩy mươi ",IF(M98=8," tám mươi "," chín mươi "))))))))</f>
        <v xml:space="preserve"> ba mươi </v>
      </c>
      <c r="O98" s="21" t="str">
        <f>IF(AND(M98=1,M99=1),"mười một",IF(AND(M98=1,M99=2)," mười hai",IF(AND(M98=1,M99=6)," mười sáu",IF(AND(M98=1,M99=7)," mười bẩy",IF(M99=0,N98,IF(M98=0,"linh"&amp;N99,N98&amp;IF(M98&gt;1,"","")&amp;N99))))))&amp;" nghìn "</f>
        <v xml:space="preserve"> ba mươi bốn nghìn </v>
      </c>
      <c r="P98" s="44"/>
      <c r="Q98" s="37"/>
      <c r="R98" s="20" t="s">
        <v>169</v>
      </c>
      <c r="S98" s="20" t="s">
        <v>170</v>
      </c>
      <c r="T98" s="20" t="s">
        <v>171</v>
      </c>
      <c r="U98" s="38"/>
    </row>
    <row r="99" spans="9:65" ht="18.75">
      <c r="L99" s="17" t="str">
        <f>"hàng nghìn"</f>
        <v>hàng nghìn</v>
      </c>
      <c r="M99" s="27">
        <f>VALUE(RIGHT(INT(ABS(M88)/1000)))</f>
        <v>4</v>
      </c>
      <c r="N99" s="29" t="str">
        <f>IF(M99=1," mốt","")&amp;IF(M99=2,"hai","")&amp;IF(M99=3,"ba","")&amp;IF(M99=4,"bốn","")&amp;IF(M99=5,"năm","")&amp;IF(M99=6,"sáu","")&amp;IF(M99=7,"bẩy","")&amp;IF(M99=8,"tám","")&amp;IF(M99=9,"chín","")</f>
        <v>bốn</v>
      </c>
      <c r="O99" s="21"/>
      <c r="P99" s="44"/>
      <c r="Q99" s="37"/>
      <c r="R99" s="20" t="s">
        <v>173</v>
      </c>
      <c r="S99" s="20" t="s">
        <v>174</v>
      </c>
      <c r="T99" s="20" t="s">
        <v>175</v>
      </c>
      <c r="U99" s="38"/>
    </row>
    <row r="100" spans="9:65" ht="18.75">
      <c r="L100" s="17" t="str">
        <f>"hàng trăm"</f>
        <v>hàng trăm</v>
      </c>
      <c r="M100" s="28">
        <f>VALUE(RIGHT(INT(ABS(M88)/100)))</f>
        <v>0</v>
      </c>
      <c r="N100" s="29" t="str">
        <f>IF(M100=1,"một","")&amp;IF(M100=2,"hai","")&amp;IF(M100=3,"ba","")&amp;IF(M100=4,"bốn","")&amp;IF(M100=5,"năm","")&amp;IF(M100=6,"sáu","")&amp;IF(M100=7,"bẩy","")&amp;IF(M100=8,"tám","")&amp;IF(M100=9,"chín","")&amp;" trăm "</f>
        <v xml:space="preserve"> trăm </v>
      </c>
      <c r="O100" s="50"/>
      <c r="P100" s="51"/>
      <c r="Q100" s="37"/>
      <c r="R100" s="20" t="s">
        <v>177</v>
      </c>
      <c r="S100" s="20" t="s">
        <v>178</v>
      </c>
      <c r="T100" s="20" t="s">
        <v>155</v>
      </c>
      <c r="U100" s="38"/>
    </row>
    <row r="101" spans="9:65" ht="18.75">
      <c r="L101" s="17" t="str">
        <f>"hàng chục"</f>
        <v>hàng chục</v>
      </c>
      <c r="M101" s="28">
        <f>VALUE(RIGHT(INT(ABS(M88)/10)))</f>
        <v>0</v>
      </c>
      <c r="N101" s="29" t="str">
        <f>IF(M101=1,",mười ",IF(M101=2,"hai mươi ",IF(M101=3,"ba mươi ",IF(M101=4,"bốn mươi ",IF(M101=5,"năm mươi ",IF(M101=6,"sáu mươi ",IF(M101=7,"bẩy mươi ",IF(M101=8,"tám mươi ","chín mươi "))))))))</f>
        <v xml:space="preserve">chín mươi </v>
      </c>
      <c r="O101" s="30" t="str">
        <f>IF(AND(M101=1,M102=1),"mười một",IF(AND(M101=1,M102=2),"mười hai",IF(AND(M101=1,M102=6),"mười sáu",IF(AND(M101=1,M102=7),"mười bẩy",IF(M102=0,N101,IF(M101=0,N102,IF(M101&gt;1,"","")&amp;N101&amp;N102))))))</f>
        <v xml:space="preserve">chín mươi </v>
      </c>
      <c r="P101" s="52"/>
      <c r="Q101" s="37"/>
      <c r="R101" s="20" t="s">
        <v>180</v>
      </c>
      <c r="S101" s="20" t="s">
        <v>181</v>
      </c>
      <c r="T101" s="20" t="s">
        <v>182</v>
      </c>
      <c r="U101" s="38"/>
    </row>
    <row r="102" spans="9:65" ht="18.75">
      <c r="L102" s="17" t="str">
        <f>"hàng đơn vị"</f>
        <v>hàng đơn vị</v>
      </c>
      <c r="M102" s="28">
        <f>VALUE(RIGHT(INT(ABS(M88))))</f>
        <v>0</v>
      </c>
      <c r="N102" s="29" t="str">
        <f>IF(M102=1,"một",IF(M102=2,"hai",IF(M102=3,"ba",IF(M102=4,"bốn",IF(M102=5,"năm",IF(M102=6,"sáu",IF(M102=7,"bẩy",IF(M102=8,"tám","chín"))))))))</f>
        <v>chín</v>
      </c>
      <c r="O102" s="53"/>
      <c r="P102" s="54"/>
      <c r="Q102" s="37"/>
      <c r="R102" s="20" t="s">
        <v>184</v>
      </c>
      <c r="S102" s="20" t="s">
        <v>185</v>
      </c>
      <c r="T102" s="20" t="s">
        <v>186</v>
      </c>
      <c r="U102" s="38"/>
    </row>
    <row r="103" spans="9:65" ht="18.75">
      <c r="L103" s="17"/>
      <c r="M103" s="12" t="str">
        <f>"Giá trị sau dấu phẩy"</f>
        <v>Giá trị sau dấu phẩy</v>
      </c>
      <c r="N103" s="37"/>
      <c r="O103" s="37"/>
      <c r="P103" s="37"/>
      <c r="Q103" s="37"/>
      <c r="R103" s="20" t="s">
        <v>187</v>
      </c>
      <c r="S103" s="20" t="s">
        <v>188</v>
      </c>
      <c r="T103" s="20" t="s">
        <v>155</v>
      </c>
      <c r="U103" s="38"/>
    </row>
    <row r="104" spans="9:65" ht="18.75">
      <c r="L104" s="17" t="str">
        <f>"hàng chục"</f>
        <v>hàng chục</v>
      </c>
      <c r="M104" s="27">
        <f>VALUE(RIGHT(INT(ABS(P109)/10)))</f>
        <v>0</v>
      </c>
      <c r="N104" s="20" t="str">
        <f>IF(M104=1,"mười",IF(M104=2,"hai mươi",IF(M104=3,"ba mươi",IF(M104=4,"bốn mươi",IF(M104=5,"năm mươi",IF(M104=6,"sáu mươi",IF(M104=7,"bẩy mươi",IF(M104=8,"tám mươi","chín mươi"))))))))</f>
        <v>chín mươi</v>
      </c>
      <c r="O104" s="31" t="str">
        <f ca="1">" và "&amp;IF(P109&lt;10,"không ","")&amp;IF(P109=1,"một",IF(AND(M104=1,M105=1),"mười một",IF(AND(M104=1,M105=2),"mười hai",IF(AND(M104=1,M105=6),"mười sáu",IF(AND(M104=1,M105=7),"mười bẩy",IF(M105=0,N104,IF(M104=0,N105,N104&amp;IF(M104&gt;1," ","")&amp;N105&amp;""))))))&amp;CELL("contents",S92))</f>
        <v xml:space="preserve"> và không chín mươi xu</v>
      </c>
      <c r="P104" s="43"/>
      <c r="Q104" s="37"/>
      <c r="R104" s="20" t="s">
        <v>189</v>
      </c>
      <c r="S104" s="20" t="s">
        <v>190</v>
      </c>
      <c r="T104" s="20" t="s">
        <v>155</v>
      </c>
      <c r="U104" s="38"/>
    </row>
    <row r="105" spans="9:65" ht="18.75">
      <c r="L105" s="17" t="str">
        <f>"hàng đơn vị"</f>
        <v>hàng đơn vị</v>
      </c>
      <c r="M105" s="27">
        <f>VALUE(RIGHT(INT(ABS(P109))))</f>
        <v>0</v>
      </c>
      <c r="N105" s="20" t="str">
        <f>IF(M105=1,"một",IF(M105=2,"hai",IF(M105=3,"ba",IF(M105=4,"bốn",IF(M105=5,"năm",IF(M105=6,"sáu",IF(M105=7,"bẩy",IF(M105=8,"tám","chín"))))))))</f>
        <v>chín</v>
      </c>
      <c r="O105" s="45"/>
      <c r="P105" s="46"/>
      <c r="Q105" s="37"/>
      <c r="R105" s="20"/>
      <c r="S105" s="20"/>
      <c r="T105" s="20"/>
      <c r="U105" s="38"/>
    </row>
    <row r="106" spans="9:65" ht="18">
      <c r="L106" s="37"/>
      <c r="M106" s="32" t="str">
        <f>SUBSTITUTE(SUBSTITUTE(SUBSTITUTE(SUBSTITUTE(SUBSTITUTE(SUBSTITUTE(SUBSTITUTE(SUBSTITUTE(M88,0,"không   "),1,"một   "),2,"hai   "),3,"ba   "),4,"bốn   "),5,"năm   "),6,"sáu   "),7,"bẩy   ")</f>
        <v xml:space="preserve">hai   sáu   bẩy   năm   không   ba   bốn   không   không   không   </v>
      </c>
      <c r="N106" s="37"/>
      <c r="O106" s="37"/>
      <c r="P106" s="37"/>
      <c r="Q106" s="37"/>
      <c r="R106" s="20"/>
      <c r="S106" s="20"/>
      <c r="T106" s="20"/>
      <c r="U106" s="38"/>
    </row>
    <row r="107" spans="9:65" ht="18">
      <c r="L107" s="37"/>
      <c r="M107" s="37"/>
      <c r="N107" s="37"/>
      <c r="O107" s="37"/>
      <c r="P107" s="37"/>
      <c r="Q107" s="37"/>
      <c r="R107" s="20"/>
      <c r="S107" s="20"/>
      <c r="T107" s="20"/>
      <c r="U107" s="38"/>
    </row>
    <row r="108" spans="9:65" ht="18">
      <c r="L108" s="37"/>
      <c r="M108" s="33">
        <f>ABS(100*(MOD(M88,1)-(M88&lt;0)))</f>
        <v>0</v>
      </c>
      <c r="N108" s="37"/>
      <c r="O108" s="37"/>
      <c r="P108" s="34" t="str">
        <f>TEXT(P109,"   00")&amp;"/100"</f>
        <v xml:space="preserve">   00/100</v>
      </c>
      <c r="Q108" s="37"/>
      <c r="R108" s="20"/>
      <c r="S108" s="20"/>
      <c r="T108" s="20"/>
      <c r="U108" s="38"/>
    </row>
    <row r="109" spans="9:65" ht="18">
      <c r="I109" s="80"/>
      <c r="J109" s="80"/>
      <c r="K109" s="80"/>
      <c r="L109" s="37"/>
      <c r="M109" s="35">
        <f>ROUND(100*(ABS(M88)-INT(ABS(M88))),0)</f>
        <v>0</v>
      </c>
      <c r="N109" s="37"/>
      <c r="O109" s="37"/>
      <c r="P109" s="36">
        <f>IF(L89=0,0,ROUND(100*(ABS(M88)-INT(ABS(M88))),0))</f>
        <v>0</v>
      </c>
      <c r="Q109" s="37"/>
      <c r="R109" s="20"/>
      <c r="S109" s="20"/>
      <c r="T109" s="20"/>
      <c r="U109" s="38"/>
    </row>
    <row r="110" spans="9:65" ht="15"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</row>
    <row r="137" spans="9:11" ht="15">
      <c r="I137" s="80"/>
      <c r="J137" s="80"/>
      <c r="K137" s="80"/>
    </row>
  </sheetData>
  <mergeCells count="22">
    <mergeCell ref="A14:G14"/>
    <mergeCell ref="E53:G53"/>
    <mergeCell ref="E60:F60"/>
    <mergeCell ref="E61:G61"/>
    <mergeCell ref="F20:F21"/>
    <mergeCell ref="G20:G21"/>
    <mergeCell ref="I79:J79"/>
    <mergeCell ref="A13:G13"/>
    <mergeCell ref="A2:G3"/>
    <mergeCell ref="A4:G4"/>
    <mergeCell ref="A5:B5"/>
    <mergeCell ref="A11:G11"/>
    <mergeCell ref="A12:G12"/>
    <mergeCell ref="A15:G15"/>
    <mergeCell ref="A17:G17"/>
    <mergeCell ref="C18:C19"/>
    <mergeCell ref="E18:F19"/>
    <mergeCell ref="A20:A21"/>
    <mergeCell ref="B20:B21"/>
    <mergeCell ref="C20:C21"/>
    <mergeCell ref="E51:G51"/>
    <mergeCell ref="E52:G52"/>
  </mergeCells>
  <dataValidations disablePrompts="1" count="1">
    <dataValidation type="list" allowBlank="1" showInputMessage="1" showErrorMessage="1" sqref="F6" xr:uid="{00000000-0002-0000-0200-000000000000}">
      <formula1>$J$8:$J$13</formula1>
    </dataValidation>
  </dataValidations>
  <pageMargins left="0.8" right="0" top="0.15" bottom="0.15" header="0.5" footer="0.5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183DF4"/>
  </sheetPr>
  <dimension ref="A1:BQ153"/>
  <sheetViews>
    <sheetView workbookViewId="0">
      <selection activeCell="E41" sqref="E41:G41"/>
    </sheetView>
  </sheetViews>
  <sheetFormatPr defaultColWidth="8.85546875" defaultRowHeight="12.75"/>
  <cols>
    <col min="1" max="1" width="6" customWidth="1"/>
    <col min="2" max="2" width="30.28515625" customWidth="1"/>
    <col min="3" max="3" width="14.85546875" customWidth="1"/>
    <col min="4" max="4" width="12.7109375" customWidth="1"/>
    <col min="5" max="5" width="14.140625" customWidth="1"/>
    <col min="6" max="6" width="16" customWidth="1"/>
    <col min="7" max="7" width="15.42578125" customWidth="1"/>
    <col min="10" max="10" width="34.28515625" customWidth="1"/>
    <col min="11" max="11" width="11.28515625" customWidth="1"/>
    <col min="12" max="12" width="15.140625" customWidth="1"/>
    <col min="13" max="13" width="12.140625" customWidth="1"/>
    <col min="14" max="14" width="13" customWidth="1"/>
    <col min="15" max="15" width="15.42578125" customWidth="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17.25" thickTop="1">
      <c r="A2" s="704" t="s">
        <v>50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17.25" thickBot="1">
      <c r="A3" s="705"/>
      <c r="B3" s="705"/>
      <c r="C3" s="705"/>
      <c r="D3" s="705"/>
      <c r="E3" s="705"/>
      <c r="F3" s="705"/>
      <c r="G3" s="70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9.5" thickTop="1">
      <c r="A4" s="710" t="s">
        <v>228</v>
      </c>
      <c r="B4" s="710"/>
      <c r="C4" s="710"/>
      <c r="D4" s="710"/>
      <c r="E4" s="710"/>
      <c r="F4" s="710"/>
      <c r="G4" s="710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6.5">
      <c r="A5" s="706" t="s">
        <v>52</v>
      </c>
      <c r="B5" s="706"/>
      <c r="C5" s="323">
        <v>5000</v>
      </c>
      <c r="D5" s="61" t="s">
        <v>192</v>
      </c>
      <c r="E5" s="114" t="s">
        <v>54</v>
      </c>
      <c r="F5" s="115">
        <v>2000</v>
      </c>
      <c r="G5" s="111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8.95" customHeight="1">
      <c r="A6" s="193" t="s">
        <v>58</v>
      </c>
      <c r="B6" s="194"/>
      <c r="C6" s="194" t="s">
        <v>229</v>
      </c>
      <c r="D6" s="195"/>
      <c r="E6" s="195"/>
      <c r="F6" s="195"/>
      <c r="G6" s="195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5" customHeight="1">
      <c r="A7" s="263" t="s">
        <v>201</v>
      </c>
      <c r="B7" s="198"/>
      <c r="C7" s="199"/>
      <c r="D7" s="199"/>
      <c r="E7" s="199"/>
      <c r="F7" s="199"/>
      <c r="G7" s="199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5" customHeight="1">
      <c r="A8" s="263" t="s">
        <v>230</v>
      </c>
      <c r="B8" s="198"/>
      <c r="C8" s="199"/>
      <c r="D8" s="199"/>
      <c r="E8" s="199"/>
      <c r="F8" s="199"/>
      <c r="G8" s="199"/>
      <c r="H8" s="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ht="16.5">
      <c r="A9" s="688" t="s">
        <v>61</v>
      </c>
      <c r="B9" s="688"/>
      <c r="C9" s="688"/>
      <c r="D9" s="688"/>
      <c r="E9" s="688"/>
      <c r="F9" s="688"/>
      <c r="G9" s="688"/>
      <c r="H9" s="1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15" customHeight="1">
      <c r="A10" s="693" t="s">
        <v>205</v>
      </c>
      <c r="B10" s="693"/>
      <c r="C10" s="693"/>
      <c r="D10" s="693"/>
      <c r="E10" s="693"/>
      <c r="F10" s="693"/>
      <c r="G10" s="693"/>
      <c r="H10" s="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30" customHeight="1">
      <c r="A11" s="695" t="s">
        <v>63</v>
      </c>
      <c r="B11" s="695"/>
      <c r="C11" s="695"/>
      <c r="D11" s="695"/>
      <c r="E11" s="695"/>
      <c r="F11" s="695"/>
      <c r="G11" s="695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36.75" customHeight="1">
      <c r="A12" s="707" t="s">
        <v>64</v>
      </c>
      <c r="B12" s="707"/>
      <c r="C12" s="707"/>
      <c r="D12" s="707"/>
      <c r="E12" s="707"/>
      <c r="F12" s="707"/>
      <c r="G12" s="707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16.5">
      <c r="A13" s="688" t="s">
        <v>65</v>
      </c>
      <c r="B13" s="688"/>
      <c r="C13" s="688"/>
      <c r="D13" s="688"/>
      <c r="E13" s="688"/>
      <c r="F13" s="688"/>
      <c r="G13" s="688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5" customHeight="1">
      <c r="A14" s="200"/>
      <c r="B14" s="201" t="s">
        <v>66</v>
      </c>
      <c r="C14" s="324">
        <f>C5</f>
        <v>5000</v>
      </c>
      <c r="D14" s="225" t="str">
        <f>D5</f>
        <v>ha</v>
      </c>
      <c r="E14" s="201"/>
      <c r="F14" s="202"/>
      <c r="G14" s="203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46.5" customHeight="1">
      <c r="A15" s="689" t="s">
        <v>231</v>
      </c>
      <c r="B15" s="690"/>
      <c r="C15" s="690"/>
      <c r="D15" s="690"/>
      <c r="E15" s="690"/>
      <c r="F15" s="690"/>
      <c r="G15" s="690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23.25" customHeight="1">
      <c r="A16" s="204"/>
      <c r="B16" s="205" t="s">
        <v>68</v>
      </c>
      <c r="C16" s="691" t="s">
        <v>69</v>
      </c>
      <c r="D16" s="206" t="s">
        <v>70</v>
      </c>
      <c r="E16" s="692" t="s">
        <v>71</v>
      </c>
      <c r="F16" s="692"/>
      <c r="G16" s="203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17.25" thickBot="1">
      <c r="A17" s="204"/>
      <c r="B17" s="200"/>
      <c r="C17" s="691"/>
      <c r="D17" s="210" t="s">
        <v>72</v>
      </c>
      <c r="E17" s="692"/>
      <c r="F17" s="692"/>
      <c r="G17" s="203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42.75" customHeight="1">
      <c r="A18" s="698" t="s">
        <v>26</v>
      </c>
      <c r="B18" s="696" t="s">
        <v>73</v>
      </c>
      <c r="C18" s="696" t="s">
        <v>74</v>
      </c>
      <c r="D18" s="314" t="s">
        <v>75</v>
      </c>
      <c r="E18" s="314" t="s">
        <v>76</v>
      </c>
      <c r="F18" s="696" t="s">
        <v>77</v>
      </c>
      <c r="G18" s="701" t="s">
        <v>78</v>
      </c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17.25" thickBot="1">
      <c r="A19" s="699"/>
      <c r="B19" s="697"/>
      <c r="C19" s="697"/>
      <c r="D19" s="317" t="s">
        <v>79</v>
      </c>
      <c r="E19" s="317" t="s">
        <v>79</v>
      </c>
      <c r="F19" s="697"/>
      <c r="G19" s="702"/>
      <c r="H19" s="1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396">
        <v>1</v>
      </c>
      <c r="B20" s="320" t="s">
        <v>81</v>
      </c>
      <c r="C20" s="321" t="s">
        <v>82</v>
      </c>
      <c r="D20" s="408">
        <f>IF(D25&lt;75,731.25,IF(D25&gt;5000,"Vượt quy mô",((D21-D22)/(D23-D24)*(D25-D24)+D22)))</f>
        <v>5700</v>
      </c>
      <c r="E20" s="494">
        <f>IF(E25&lt;75,63.66,IF(E25&gt;5000,"Vượt quy mô",ROUND(((E21-E22)/(E23-E24)*(E25-E24)+E22),3)))</f>
        <v>219.74</v>
      </c>
      <c r="F20" s="397">
        <f>IF(F25&lt;200,12.3,IF(F25&gt;10000,2.8,ROUND(((F21-F22)/(F23-F24)*(F25-F24)+F22),3)))</f>
        <v>3.6549999999999998</v>
      </c>
      <c r="G20" s="398">
        <f>IF(G25&lt;200,10.6,IF(G25&gt;10000,2.6,ROUND(((G21-G22)/(G23-G24)*(G25-G24)+G22),3)))</f>
        <v>3.4550000000000001</v>
      </c>
      <c r="H20" s="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02">
        <v>2</v>
      </c>
      <c r="B21" s="303" t="s">
        <v>83</v>
      </c>
      <c r="C21" s="304" t="s">
        <v>84</v>
      </c>
      <c r="D21" s="393">
        <f>LOOKUP(D23, 'Dinh muc'!$D$25:$M$26)</f>
        <v>5700</v>
      </c>
      <c r="E21" s="393">
        <f>LOOKUP(E23, 'Dinh muc'!$D$25:$M$27)</f>
        <v>219.74</v>
      </c>
      <c r="F21" s="394">
        <f>LOOKUP(F23,  'Dinh muc'!$C$75:$J$76)+0.00000000001</f>
        <v>3.9000000000099999</v>
      </c>
      <c r="G21" s="395">
        <f>LOOKUP(G23, 'Dinh muc'!$C$75:$J$77)+0.000000000001</f>
        <v>3.7000000000010003</v>
      </c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3</v>
      </c>
      <c r="B22" s="303" t="s">
        <v>85</v>
      </c>
      <c r="C22" s="304" t="s">
        <v>86</v>
      </c>
      <c r="D22" s="393">
        <f>LOOKUP(D24, 'Dinh muc'!$D$25:$M$26)</f>
        <v>5700</v>
      </c>
      <c r="E22" s="393">
        <f>LOOKUP(E24, 'Dinh muc'!$D$25:$M$27)</f>
        <v>219.74</v>
      </c>
      <c r="F22" s="394">
        <f>LOOKUP(F24, 'Dinh muc'!$C$75:$J$76)+0.000000000001</f>
        <v>3.2000000000010003</v>
      </c>
      <c r="G22" s="395">
        <f>LOOKUP(G24, 'Dinh muc'!$C$75:$J$77)+0.000000000000001</f>
        <v>3.0000000000000009</v>
      </c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02">
        <v>4</v>
      </c>
      <c r="B23" s="303" t="s">
        <v>87</v>
      </c>
      <c r="C23" s="304" t="s">
        <v>88</v>
      </c>
      <c r="D23" s="404">
        <f>IF(D25&lt;75,75.00000001,SMALL('Dinh muc'!$D$25:$M$25,COUNTIF('Dinh muc'!$D$25:$M$25,"&lt;="&amp;$D$25)))</f>
        <v>5000</v>
      </c>
      <c r="E23" s="404">
        <f>D23</f>
        <v>5000</v>
      </c>
      <c r="F23" s="359">
        <f>IF(F25&lt;200,200,(SMALL('Dinh muc'!$C$75:$J$76,COUNTIF('Dinh muc'!$C$75:$J$76,"&lt;="&amp;$F$25))))+0.000000001</f>
        <v>5000.0000000010004</v>
      </c>
      <c r="G23" s="360">
        <f>F23</f>
        <v>5000.0000000010004</v>
      </c>
      <c r="H23" s="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302">
        <v>5</v>
      </c>
      <c r="B24" s="303" t="s">
        <v>89</v>
      </c>
      <c r="C24" s="304" t="s">
        <v>90</v>
      </c>
      <c r="D24" s="404">
        <f>IF(D25&gt;5000,5000.0000001,LARGE('Dinh muc'!$D$25:$M$25,COUNTIF('Dinh muc'!$D$25:$M$25,"&gt;="&amp;$D$25)))+0.0000000001</f>
        <v>5000.0000000001</v>
      </c>
      <c r="E24" s="404">
        <f>D24</f>
        <v>5000.0000000001</v>
      </c>
      <c r="F24" s="359">
        <f>IF(F25&gt;=10000,10000,LARGE('Dinh muc'!$C$75:$J$76,COUNTIF('Dinh muc'!$C$75:$J$76,"&gt;="&amp; $F$25)))+0.000000000001</f>
        <v>7000.0000000000009</v>
      </c>
      <c r="G24" s="360">
        <f>F24</f>
        <v>7000.0000000000009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 thickBot="1">
      <c r="A25" s="305">
        <v>6</v>
      </c>
      <c r="B25" s="306" t="s">
        <v>91</v>
      </c>
      <c r="C25" s="307" t="s">
        <v>92</v>
      </c>
      <c r="D25" s="405">
        <f>C5</f>
        <v>5000</v>
      </c>
      <c r="E25" s="405">
        <f>D25</f>
        <v>5000</v>
      </c>
      <c r="F25" s="361">
        <f>E32/1000000+0.000000001</f>
        <v>5700.0000000010004</v>
      </c>
      <c r="G25" s="362">
        <f>F25</f>
        <v>5700.0000000010004</v>
      </c>
      <c r="H25" s="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s="489" customFormat="1" ht="15" customHeight="1">
      <c r="A26" s="204"/>
      <c r="B26" s="207" t="s">
        <v>210</v>
      </c>
      <c r="C26" s="487">
        <f>E20*1000000</f>
        <v>219740000</v>
      </c>
      <c r="D26" s="242" t="s">
        <v>94</v>
      </c>
      <c r="E26" s="208"/>
      <c r="F26" s="209"/>
      <c r="G26" s="242"/>
      <c r="H26" s="103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8"/>
      <c r="BN26" s="488"/>
      <c r="BO26" s="488"/>
      <c r="BP26" s="488"/>
      <c r="BQ26" s="488"/>
    </row>
    <row r="27" spans="1:69" s="489" customFormat="1" ht="15" customHeight="1" thickBot="1">
      <c r="A27" s="204"/>
      <c r="B27" s="207" t="s">
        <v>211</v>
      </c>
      <c r="C27" s="487">
        <f>D20*1000000</f>
        <v>5700000000</v>
      </c>
      <c r="D27" s="242" t="s">
        <v>94</v>
      </c>
      <c r="E27" s="208"/>
      <c r="F27" s="209"/>
      <c r="G27" s="242"/>
      <c r="H27" s="103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488"/>
      <c r="AI27" s="488"/>
      <c r="AJ27" s="488"/>
      <c r="AK27" s="488"/>
      <c r="AL27" s="488"/>
      <c r="AM27" s="488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  <c r="AX27" s="488"/>
      <c r="AY27" s="488"/>
      <c r="AZ27" s="488"/>
      <c r="BA27" s="488"/>
      <c r="BB27" s="488"/>
      <c r="BC27" s="488"/>
      <c r="BD27" s="488"/>
      <c r="BE27" s="488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</row>
    <row r="28" spans="1:69" ht="42.75">
      <c r="A28" s="170" t="s">
        <v>26</v>
      </c>
      <c r="B28" s="171" t="s">
        <v>96</v>
      </c>
      <c r="C28" s="171" t="s">
        <v>97</v>
      </c>
      <c r="D28" s="171" t="s">
        <v>98</v>
      </c>
      <c r="E28" s="171" t="s">
        <v>99</v>
      </c>
      <c r="F28" s="171" t="s">
        <v>100</v>
      </c>
      <c r="G28" s="172" t="s">
        <v>101</v>
      </c>
      <c r="H28" s="98"/>
      <c r="I28" s="88"/>
      <c r="J28" s="88"/>
      <c r="K28" s="88"/>
      <c r="L28" s="88"/>
      <c r="M28" s="88"/>
      <c r="N28" s="88"/>
      <c r="O28" s="88"/>
    </row>
    <row r="29" spans="1:69" ht="15" customHeight="1" thickBot="1">
      <c r="A29" s="244">
        <v>1</v>
      </c>
      <c r="B29" s="245">
        <v>2</v>
      </c>
      <c r="C29" s="245">
        <v>3</v>
      </c>
      <c r="D29" s="245">
        <v>4</v>
      </c>
      <c r="E29" s="245" t="s">
        <v>102</v>
      </c>
      <c r="F29" s="245" t="s">
        <v>103</v>
      </c>
      <c r="G29" s="246" t="s">
        <v>104</v>
      </c>
      <c r="H29" s="9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</row>
    <row r="30" spans="1:69" ht="15" customHeight="1">
      <c r="A30" s="251">
        <v>1</v>
      </c>
      <c r="B30" s="252" t="s">
        <v>105</v>
      </c>
      <c r="C30" s="253"/>
      <c r="D30" s="253"/>
      <c r="E30" s="253"/>
      <c r="F30" s="253"/>
      <c r="G30" s="254"/>
      <c r="H30" s="99"/>
      <c r="I30" s="88"/>
      <c r="J30" s="88"/>
      <c r="K30" s="88"/>
      <c r="L30" s="88"/>
      <c r="M30" s="88"/>
      <c r="N30" s="88"/>
      <c r="O30" s="88"/>
    </row>
    <row r="31" spans="1:69" ht="15" customHeight="1">
      <c r="A31" s="175" t="s">
        <v>106</v>
      </c>
      <c r="B31" s="67" t="s">
        <v>232</v>
      </c>
      <c r="C31" s="162">
        <f>C26</f>
        <v>219740000</v>
      </c>
      <c r="D31" s="478">
        <v>1</v>
      </c>
      <c r="E31" s="68">
        <f>D31*C31</f>
        <v>219740000</v>
      </c>
      <c r="F31" s="68">
        <f>E31*10%</f>
        <v>21974000</v>
      </c>
      <c r="G31" s="176">
        <f>F31+E31</f>
        <v>241714000</v>
      </c>
      <c r="H31" s="100"/>
      <c r="I31" s="88"/>
      <c r="J31" s="421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</row>
    <row r="32" spans="1:69" ht="15" customHeight="1">
      <c r="A32" s="177" t="s">
        <v>108</v>
      </c>
      <c r="B32" s="69" t="s">
        <v>233</v>
      </c>
      <c r="C32" s="79">
        <f>C27</f>
        <v>5700000000</v>
      </c>
      <c r="D32" s="444">
        <v>1</v>
      </c>
      <c r="E32" s="78">
        <f>C32*D32</f>
        <v>5700000000</v>
      </c>
      <c r="F32" s="78">
        <f>E32*10%</f>
        <v>570000000</v>
      </c>
      <c r="G32" s="179">
        <f>F32+E32</f>
        <v>6270000000</v>
      </c>
      <c r="H32" s="100"/>
      <c r="I32" s="88"/>
      <c r="J32" s="88">
        <f>30*75%</f>
        <v>22.5</v>
      </c>
      <c r="K32" s="88"/>
      <c r="L32" s="88"/>
      <c r="M32" s="88"/>
      <c r="N32" s="88"/>
      <c r="O32" s="88"/>
    </row>
    <row r="33" spans="1:16" ht="42.75" customHeight="1">
      <c r="A33" s="451"/>
      <c r="B33" s="452"/>
      <c r="C33" s="453"/>
      <c r="D33" s="459"/>
      <c r="E33" s="458"/>
      <c r="F33" s="458"/>
      <c r="G33" s="460"/>
      <c r="H33" s="100"/>
      <c r="I33" s="88"/>
      <c r="J33" s="88"/>
      <c r="K33" s="88"/>
      <c r="L33" s="88"/>
      <c r="M33" s="88"/>
      <c r="N33" s="88"/>
      <c r="O33" s="88"/>
    </row>
    <row r="34" spans="1:16" ht="15" customHeight="1">
      <c r="A34" s="177"/>
      <c r="B34" s="63" t="s">
        <v>112</v>
      </c>
      <c r="C34" s="79"/>
      <c r="D34" s="310"/>
      <c r="E34" s="70"/>
      <c r="F34" s="71">
        <f>SUM(F30:F33)</f>
        <v>591974000</v>
      </c>
      <c r="G34" s="71">
        <f>SUM(G30:G33)</f>
        <v>6511714000</v>
      </c>
      <c r="H34" s="101"/>
      <c r="I34" s="88"/>
      <c r="J34" s="88"/>
      <c r="K34" s="88"/>
      <c r="L34" s="88"/>
      <c r="M34" s="88"/>
      <c r="N34" s="88"/>
      <c r="O34" s="88"/>
    </row>
    <row r="35" spans="1:16" ht="15" customHeight="1">
      <c r="A35" s="187">
        <v>2</v>
      </c>
      <c r="B35" s="224" t="s">
        <v>113</v>
      </c>
      <c r="C35" s="79">
        <f>C31</f>
        <v>219740000</v>
      </c>
      <c r="D35" s="165">
        <v>0.2</v>
      </c>
      <c r="E35" s="68">
        <f>D35*C35</f>
        <v>43948000</v>
      </c>
      <c r="F35" s="68"/>
      <c r="G35" s="176">
        <f>SUM(E35:F35)</f>
        <v>43948000</v>
      </c>
      <c r="H35" s="100"/>
      <c r="I35" s="88"/>
      <c r="J35" s="88"/>
      <c r="K35" s="88"/>
      <c r="L35" s="88"/>
      <c r="M35" s="88"/>
      <c r="N35" s="88"/>
      <c r="O35" s="88"/>
    </row>
    <row r="36" spans="1:16" ht="15" customHeight="1">
      <c r="A36" s="187">
        <v>3</v>
      </c>
      <c r="B36" s="224" t="s">
        <v>214</v>
      </c>
      <c r="C36" s="79">
        <f>E32</f>
        <v>5700000000</v>
      </c>
      <c r="D36" s="165">
        <v>0.02</v>
      </c>
      <c r="E36" s="68">
        <f>D36*C36</f>
        <v>114000000</v>
      </c>
      <c r="F36" s="68">
        <f>E36*10%</f>
        <v>11400000</v>
      </c>
      <c r="G36" s="176">
        <f t="shared" ref="G36:G39" si="0">SUM(E36:F36)</f>
        <v>125400000</v>
      </c>
      <c r="H36" s="100"/>
      <c r="I36" s="88"/>
      <c r="J36" s="88"/>
      <c r="K36" s="88"/>
      <c r="L36" s="88"/>
      <c r="M36" s="88"/>
      <c r="N36" s="88"/>
      <c r="O36" s="88"/>
    </row>
    <row r="37" spans="1:16" ht="15" customHeight="1">
      <c r="A37" s="187">
        <v>4</v>
      </c>
      <c r="B37" s="224" t="s">
        <v>114</v>
      </c>
      <c r="C37" s="79">
        <f>C36</f>
        <v>5700000000</v>
      </c>
      <c r="D37" s="310">
        <f>F20/100</f>
        <v>3.6549999999999999E-2</v>
      </c>
      <c r="E37" s="68">
        <f t="shared" ref="E37:E38" si="1">D37*C37</f>
        <v>208335000</v>
      </c>
      <c r="F37" s="79"/>
      <c r="G37" s="176">
        <f t="shared" si="0"/>
        <v>208335000</v>
      </c>
      <c r="H37" s="100"/>
      <c r="I37" s="88"/>
      <c r="J37" s="88"/>
      <c r="K37" s="88"/>
      <c r="L37" s="88"/>
      <c r="M37" s="88"/>
      <c r="N37" s="88"/>
      <c r="O37" s="88"/>
    </row>
    <row r="38" spans="1:16" ht="15" customHeight="1">
      <c r="A38" s="187">
        <v>5</v>
      </c>
      <c r="B38" s="223" t="s">
        <v>234</v>
      </c>
      <c r="C38" s="79">
        <f>C37</f>
        <v>5700000000</v>
      </c>
      <c r="D38" s="310">
        <f>G20/100</f>
        <v>3.4549999999999997E-2</v>
      </c>
      <c r="E38" s="68">
        <f t="shared" si="1"/>
        <v>196934999.99999997</v>
      </c>
      <c r="F38" s="79"/>
      <c r="G38" s="176">
        <f t="shared" si="0"/>
        <v>196934999.99999997</v>
      </c>
      <c r="H38" s="100"/>
      <c r="I38" s="88"/>
      <c r="J38" s="88"/>
      <c r="K38" s="88"/>
      <c r="L38" s="88"/>
      <c r="M38" s="88"/>
      <c r="N38" s="88"/>
      <c r="O38" s="88"/>
    </row>
    <row r="39" spans="1:16" ht="29.25">
      <c r="A39" s="187">
        <v>6</v>
      </c>
      <c r="B39" s="224" t="s">
        <v>235</v>
      </c>
      <c r="C39" s="79">
        <f>C38</f>
        <v>5700000000</v>
      </c>
      <c r="D39" s="310">
        <v>0.03</v>
      </c>
      <c r="E39" s="78">
        <f>D39*C39</f>
        <v>171000000</v>
      </c>
      <c r="F39" s="79">
        <f>E39*10%</f>
        <v>17100000</v>
      </c>
      <c r="G39" s="176">
        <f t="shared" si="0"/>
        <v>188100000</v>
      </c>
      <c r="H39" s="100"/>
      <c r="I39" s="88"/>
      <c r="J39" s="88"/>
      <c r="K39" s="88"/>
      <c r="L39" s="88"/>
      <c r="M39" s="88"/>
      <c r="N39" s="88"/>
      <c r="O39" s="88"/>
    </row>
    <row r="40" spans="1:16" ht="28.5">
      <c r="A40" s="187">
        <v>7</v>
      </c>
      <c r="B40" s="224" t="s">
        <v>117</v>
      </c>
      <c r="C40" s="79"/>
      <c r="D40" s="77"/>
      <c r="E40" s="78"/>
      <c r="F40" s="79"/>
      <c r="G40" s="179">
        <f>SUM(G41:G44)</f>
        <v>39694716.319910206</v>
      </c>
      <c r="H40" s="100"/>
      <c r="I40" s="88"/>
      <c r="J40" s="88"/>
      <c r="K40" s="88"/>
      <c r="L40" s="88"/>
      <c r="M40" s="88"/>
      <c r="N40" s="88"/>
      <c r="O40" s="88"/>
    </row>
    <row r="41" spans="1:16" ht="30">
      <c r="A41" s="415" t="s">
        <v>216</v>
      </c>
      <c r="B41" s="416" t="s">
        <v>119</v>
      </c>
      <c r="C41" s="273">
        <f>SUM(G32:G33)</f>
        <v>6270000000</v>
      </c>
      <c r="D41" s="77">
        <f>L66/100*45%</f>
        <v>2.1399118956009267E-3</v>
      </c>
      <c r="E41" s="79">
        <f>D41*C41</f>
        <v>13417247.585417811</v>
      </c>
      <c r="F41" s="79">
        <f>E41*10%</f>
        <v>1341724.7585417812</v>
      </c>
      <c r="G41" s="179">
        <f>IF(SUM(E41:F41)&lt;1000000, 1000000,SUM(E41:F41))</f>
        <v>14758972.343959592</v>
      </c>
      <c r="H41" s="100"/>
      <c r="I41" s="88"/>
      <c r="J41" s="88"/>
      <c r="K41" s="88"/>
      <c r="L41" s="88"/>
      <c r="M41" s="88"/>
      <c r="N41" s="88"/>
      <c r="O41" s="88"/>
    </row>
    <row r="42" spans="1:16" ht="30">
      <c r="A42" s="415" t="s">
        <v>217</v>
      </c>
      <c r="B42" s="416" t="s">
        <v>121</v>
      </c>
      <c r="C42" s="273">
        <f>C41</f>
        <v>6270000000</v>
      </c>
      <c r="D42" s="77">
        <f>L66/100*55%</f>
        <v>2.615447872401133E-3</v>
      </c>
      <c r="E42" s="79">
        <f>D42*C42</f>
        <v>16398858.159955105</v>
      </c>
      <c r="F42" s="79">
        <f>E42*10%</f>
        <v>1639885.8159955107</v>
      </c>
      <c r="G42" s="179">
        <f>IF(SUM(E42:F42)&lt;1000000, 1000000,SUM(E42:F42))</f>
        <v>18038743.975950614</v>
      </c>
      <c r="H42" s="100"/>
      <c r="I42" s="88"/>
      <c r="J42" s="88"/>
      <c r="K42" s="88"/>
      <c r="L42" s="88"/>
      <c r="M42" s="88"/>
      <c r="N42" s="88"/>
      <c r="O42" s="88"/>
    </row>
    <row r="43" spans="1:16" ht="30">
      <c r="A43" s="415" t="s">
        <v>218</v>
      </c>
      <c r="B43" s="416" t="s">
        <v>123</v>
      </c>
      <c r="C43" s="273">
        <f>C42</f>
        <v>6270000000</v>
      </c>
      <c r="D43" s="77">
        <v>5.0000000000000001E-4</v>
      </c>
      <c r="E43" s="79">
        <f>D43*C43</f>
        <v>3135000</v>
      </c>
      <c r="F43" s="79">
        <f>E43*10%</f>
        <v>313500</v>
      </c>
      <c r="G43" s="179">
        <f>IF(SUM(E43:F43)&lt;1000000, 1000000,SUM(E43:F43))</f>
        <v>3448500</v>
      </c>
      <c r="H43" s="100"/>
      <c r="I43" s="88"/>
      <c r="J43" s="88"/>
      <c r="K43" s="88"/>
      <c r="L43" s="88"/>
      <c r="M43" s="88"/>
      <c r="N43" s="88"/>
      <c r="O43" s="88"/>
    </row>
    <row r="44" spans="1:16" ht="45">
      <c r="A44" s="415" t="s">
        <v>219</v>
      </c>
      <c r="B44" s="416" t="s">
        <v>125</v>
      </c>
      <c r="C44" s="273">
        <f>C43</f>
        <v>6270000000</v>
      </c>
      <c r="D44" s="77">
        <v>5.0000000000000001E-4</v>
      </c>
      <c r="E44" s="79">
        <f>D44*C44</f>
        <v>3135000</v>
      </c>
      <c r="F44" s="79">
        <f>E44*10%</f>
        <v>313500</v>
      </c>
      <c r="G44" s="179">
        <f>IF(SUM(E44:F44)&lt;1000000, 1000000,SUM(E44:F44))</f>
        <v>3448500</v>
      </c>
      <c r="H44" s="100"/>
      <c r="I44" s="88"/>
      <c r="J44" s="88"/>
      <c r="K44" s="88"/>
      <c r="L44" s="88"/>
      <c r="M44" s="88"/>
      <c r="N44" s="88"/>
      <c r="O44" s="88"/>
    </row>
    <row r="45" spans="1:16" ht="15" customHeight="1" thickBot="1">
      <c r="A45" s="255"/>
      <c r="B45" s="256" t="s">
        <v>220</v>
      </c>
      <c r="C45" s="257"/>
      <c r="D45" s="257"/>
      <c r="E45" s="257"/>
      <c r="F45" s="216"/>
      <c r="G45" s="258">
        <f>SUM(G35:G40)</f>
        <v>802412716.31991017</v>
      </c>
      <c r="H45" s="102"/>
      <c r="I45" s="88"/>
      <c r="J45" s="88"/>
      <c r="K45" s="88"/>
      <c r="L45" s="88"/>
      <c r="M45" s="88"/>
      <c r="N45" s="88"/>
      <c r="O45" s="88"/>
    </row>
    <row r="46" spans="1:16" ht="15" customHeight="1" thickBot="1">
      <c r="A46" s="247"/>
      <c r="B46" s="248" t="s">
        <v>127</v>
      </c>
      <c r="C46" s="249"/>
      <c r="D46" s="249"/>
      <c r="E46" s="249"/>
      <c r="F46" s="262"/>
      <c r="G46" s="250">
        <f>ROUND(G45+G34,-3)</f>
        <v>7314127000</v>
      </c>
      <c r="H46" s="104"/>
      <c r="I46" s="88"/>
      <c r="J46" s="88"/>
      <c r="K46" s="88"/>
      <c r="L46" s="88"/>
      <c r="M46" s="88"/>
      <c r="N46" s="88"/>
      <c r="O46" s="88"/>
    </row>
    <row r="47" spans="1:16" ht="15" customHeight="1">
      <c r="A47" s="228" t="str">
        <f ca="1">CONCATENATE("Bằng chữ :  ",UPPER(LEFT(Q110))&amp;RIGHT(Q110,LEN(Q110)-1))</f>
        <v>Bằng chữ :  Bẩy tỷ, ba trăm mười bốn triệu, một trăm  hai mươi  bẩy nghìn  đồng chẵn</v>
      </c>
      <c r="B47" s="169"/>
      <c r="C47" s="169"/>
      <c r="D47" s="169"/>
      <c r="E47" s="169"/>
      <c r="F47" s="169"/>
      <c r="G47" s="169"/>
      <c r="H47" s="105"/>
      <c r="I47" s="88"/>
      <c r="J47" s="88"/>
      <c r="K47" s="88"/>
      <c r="L47" s="88"/>
      <c r="M47" s="88"/>
      <c r="N47" s="88"/>
      <c r="O47" s="88"/>
      <c r="P47" s="1"/>
    </row>
    <row r="48" spans="1:16" ht="16.5">
      <c r="E48" s="694" t="s">
        <v>128</v>
      </c>
      <c r="F48" s="694"/>
      <c r="G48" s="694"/>
      <c r="I48" s="88"/>
      <c r="J48" s="88"/>
      <c r="K48" s="88"/>
      <c r="L48" s="88"/>
      <c r="M48" s="88"/>
      <c r="N48" s="88"/>
      <c r="O48" s="88"/>
      <c r="P48" s="1"/>
    </row>
    <row r="49" spans="2:69" ht="16.5">
      <c r="E49" s="700" t="s">
        <v>129</v>
      </c>
      <c r="F49" s="700"/>
      <c r="G49" s="700"/>
      <c r="H49" s="57"/>
      <c r="I49" s="88"/>
      <c r="J49" s="88"/>
      <c r="K49" s="88"/>
      <c r="L49" s="88"/>
      <c r="M49" s="88"/>
      <c r="N49" s="88"/>
      <c r="O49" s="88"/>
      <c r="P49" s="1"/>
    </row>
    <row r="50" spans="2:69" ht="16.5">
      <c r="B50" s="339"/>
      <c r="E50" s="686" t="s">
        <v>130</v>
      </c>
      <c r="F50" s="686"/>
      <c r="G50" s="686"/>
      <c r="I50" s="88"/>
      <c r="J50" s="88"/>
      <c r="K50" s="88"/>
      <c r="L50" s="88"/>
      <c r="M50" s="88"/>
      <c r="N50" s="88"/>
      <c r="O50" s="88"/>
      <c r="P50" s="1"/>
    </row>
    <row r="51" spans="2:69" ht="16.5">
      <c r="E51" s="133"/>
      <c r="F51" s="133"/>
      <c r="G51" s="133"/>
      <c r="I51" s="88"/>
      <c r="J51" s="88"/>
      <c r="K51" s="88"/>
      <c r="L51" s="88"/>
      <c r="M51" s="88"/>
      <c r="N51" s="88"/>
      <c r="O51" s="88"/>
      <c r="P51" s="1"/>
    </row>
    <row r="52" spans="2:69" ht="16.5">
      <c r="E52" s="133"/>
      <c r="F52" s="133"/>
      <c r="G52" s="133"/>
      <c r="I52" s="88"/>
      <c r="J52" s="88"/>
      <c r="K52" s="88"/>
      <c r="L52" s="88"/>
      <c r="M52" s="88"/>
      <c r="N52" s="88"/>
      <c r="O52" s="8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2:69" ht="16.5">
      <c r="E53" s="133"/>
      <c r="F53" s="133"/>
      <c r="G53" s="133"/>
      <c r="I53" s="88"/>
      <c r="J53" s="88"/>
      <c r="K53" s="88"/>
      <c r="L53" s="88"/>
      <c r="M53" s="88"/>
      <c r="N53" s="88"/>
      <c r="O53" s="8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2:69" ht="16.5">
      <c r="E54" s="133"/>
      <c r="F54" s="133"/>
      <c r="G54" s="133"/>
      <c r="I54" s="88"/>
      <c r="J54" s="88"/>
      <c r="K54" s="88"/>
      <c r="L54" s="88"/>
      <c r="M54" s="88"/>
      <c r="N54" s="88"/>
      <c r="O54" s="8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2:69" ht="16.5">
      <c r="E55" s="133"/>
      <c r="F55" s="133"/>
      <c r="G55" s="133"/>
      <c r="I55" s="88"/>
      <c r="J55" s="88"/>
      <c r="K55" s="88"/>
      <c r="L55" s="88"/>
      <c r="M55" s="88"/>
      <c r="N55" s="88"/>
      <c r="O55" s="8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2:69" ht="16.5">
      <c r="E56" s="133"/>
      <c r="F56" s="133"/>
      <c r="G56" s="133"/>
      <c r="I56" s="88"/>
      <c r="J56" s="88"/>
      <c r="K56" s="88"/>
      <c r="L56" s="88"/>
      <c r="M56" s="88"/>
      <c r="N56" s="88"/>
      <c r="O56" s="8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2:69" ht="16.5">
      <c r="B57" s="339"/>
      <c r="E57" s="686" t="s">
        <v>131</v>
      </c>
      <c r="F57" s="686"/>
      <c r="G57" s="686"/>
      <c r="I57" s="88"/>
      <c r="J57" s="88"/>
      <c r="K57" s="88"/>
      <c r="L57" s="88"/>
      <c r="M57" s="88"/>
      <c r="N57" s="88"/>
      <c r="O57" s="8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2:69" ht="16.5">
      <c r="B58" s="339"/>
      <c r="E58" s="322"/>
      <c r="F58" s="322"/>
      <c r="G58" s="322"/>
      <c r="I58" s="88"/>
      <c r="J58" s="88"/>
      <c r="K58" s="88"/>
      <c r="L58" s="88"/>
      <c r="M58" s="88"/>
      <c r="N58" s="88"/>
      <c r="O58" s="8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2:69" ht="16.5">
      <c r="B59" s="339"/>
      <c r="E59" s="322"/>
      <c r="F59" s="322"/>
      <c r="G59" s="322"/>
      <c r="I59" s="88"/>
      <c r="J59" s="88"/>
      <c r="K59" s="88"/>
      <c r="L59" s="88"/>
      <c r="M59" s="88"/>
      <c r="N59" s="88"/>
      <c r="O59" s="8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2:69" ht="16.5">
      <c r="B60" s="339"/>
      <c r="E60" s="322"/>
      <c r="F60" s="322"/>
      <c r="G60" s="322"/>
      <c r="I60" s="88"/>
      <c r="J60" s="88"/>
      <c r="K60" s="88"/>
      <c r="L60" s="88"/>
      <c r="M60" s="88"/>
      <c r="N60" s="88"/>
      <c r="O60" s="8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2:69" ht="16.5">
      <c r="B61" s="339"/>
      <c r="E61" s="322"/>
      <c r="F61" s="322"/>
      <c r="G61" s="322"/>
      <c r="I61" s="88"/>
      <c r="J61" s="88"/>
      <c r="K61" s="88"/>
      <c r="L61" s="88"/>
      <c r="M61" s="88"/>
      <c r="N61" s="88"/>
      <c r="O61" s="8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2:69" ht="16.5">
      <c r="B62" s="339"/>
      <c r="E62" s="322"/>
      <c r="F62" s="322"/>
      <c r="G62" s="322"/>
      <c r="I62" s="88"/>
      <c r="J62" s="88"/>
      <c r="K62" s="88"/>
      <c r="L62" s="88"/>
      <c r="M62" s="88"/>
      <c r="N62" s="88"/>
      <c r="O62" s="8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2:69" ht="15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2:69" ht="16.5">
      <c r="I64" s="90"/>
      <c r="J64" s="9"/>
      <c r="K64" s="88"/>
      <c r="L64" s="88"/>
      <c r="M64" s="88"/>
      <c r="N64" s="88"/>
      <c r="O64" s="8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9:69" ht="25.5">
      <c r="I65" s="91" t="s">
        <v>132</v>
      </c>
      <c r="J65" s="92" t="s">
        <v>73</v>
      </c>
      <c r="K65" s="91" t="s">
        <v>74</v>
      </c>
      <c r="L65" s="240" t="s">
        <v>133</v>
      </c>
      <c r="M65" s="92"/>
      <c r="N65" s="92"/>
      <c r="O65" s="9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9:69" ht="15.75">
      <c r="I66" s="93">
        <v>1</v>
      </c>
      <c r="J66" s="94" t="s">
        <v>236</v>
      </c>
      <c r="K66" s="95" t="s">
        <v>82</v>
      </c>
      <c r="L66" s="278">
        <f>IF(L71&lt;1,0.8168,IF(L71&gt;100,0.114,(L67-L68)/(L69-L70)*(L71-L70)+L68))</f>
        <v>0.47553597680020593</v>
      </c>
      <c r="M66" s="278"/>
      <c r="N66" s="278"/>
      <c r="O66" s="278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</row>
    <row r="67" spans="9:69" ht="15.75">
      <c r="I67" s="3">
        <v>2</v>
      </c>
      <c r="J67" s="120" t="s">
        <v>237</v>
      </c>
      <c r="K67" s="5" t="s">
        <v>84</v>
      </c>
      <c r="L67" s="279">
        <f>IF(L71&lt;1,0.816,LOOKUP(L69,'Dinh muc'!$C$88:$I$89))+0.00000000000001</f>
        <v>0.50500000000001</v>
      </c>
      <c r="M67" s="82"/>
      <c r="N67" s="163"/>
      <c r="O67" s="16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</row>
    <row r="68" spans="9:69" ht="26.25">
      <c r="I68" s="3">
        <v>3</v>
      </c>
      <c r="J68" s="4" t="s">
        <v>238</v>
      </c>
      <c r="K68" s="5" t="s">
        <v>86</v>
      </c>
      <c r="L68" s="279">
        <f>LOOKUP(L70,'Dinh muc'!$C$88:$I$89)+0.0000000000001</f>
        <v>0.38900000000009999</v>
      </c>
      <c r="M68" s="82"/>
      <c r="N68" s="163"/>
      <c r="O68" s="163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</row>
    <row r="69" spans="9:69" ht="15.75">
      <c r="I69" s="3">
        <v>4</v>
      </c>
      <c r="J69" s="4" t="s">
        <v>225</v>
      </c>
      <c r="K69" s="5" t="s">
        <v>88</v>
      </c>
      <c r="L69" s="163">
        <f>IF((L71&lt;1),1,(SMALL('Dinh muc'!$C$88:$I$88,COUNTIF('Dinh muc'!$C$88:$I$88,"&lt;="&amp;$L$71))))+0.00000000001</f>
        <v>5.00000000001</v>
      </c>
      <c r="M69" s="326"/>
      <c r="N69" s="163"/>
      <c r="O69" s="163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</row>
    <row r="70" spans="9:69">
      <c r="I70" s="3">
        <v>5</v>
      </c>
      <c r="J70" s="4" t="s">
        <v>226</v>
      </c>
      <c r="K70" s="5" t="s">
        <v>90</v>
      </c>
      <c r="L70" s="163">
        <f>IF(L71&gt;100,100,(LARGE('Dinh muc'!$C$88:$I$88,COUNTIF('Dinh muc'!$C$88:$I$88,"&gt;="&amp;$L$71))))+0.0000000000000001</f>
        <v>10</v>
      </c>
      <c r="M70" s="326"/>
      <c r="N70" s="163"/>
      <c r="O70" s="163"/>
    </row>
    <row r="71" spans="9:69">
      <c r="I71" s="6">
        <v>6</v>
      </c>
      <c r="J71" s="7" t="s">
        <v>227</v>
      </c>
      <c r="K71" s="8" t="s">
        <v>92</v>
      </c>
      <c r="L71" s="164">
        <f>C41/1000000000+0.000001</f>
        <v>6.2700009999999997</v>
      </c>
      <c r="M71" s="433"/>
      <c r="N71" s="164"/>
      <c r="O71" s="164"/>
    </row>
    <row r="72" spans="9:69" ht="15">
      <c r="I72" s="1"/>
      <c r="J72" s="2"/>
      <c r="K72" s="1"/>
      <c r="L72" s="1"/>
      <c r="M72" s="1"/>
      <c r="N72" s="1"/>
      <c r="O72" s="1"/>
    </row>
    <row r="73" spans="9:69" ht="15">
      <c r="I73" s="1"/>
      <c r="J73" s="1"/>
      <c r="K73" s="1"/>
      <c r="L73" s="55"/>
      <c r="M73" s="1"/>
      <c r="N73" s="1"/>
      <c r="O73" s="1"/>
    </row>
    <row r="74" spans="9:69" ht="15">
      <c r="I74" s="1"/>
      <c r="J74" s="1"/>
      <c r="K74" s="1"/>
      <c r="L74" s="1"/>
      <c r="M74" s="1"/>
      <c r="N74" s="1"/>
      <c r="O74" s="1"/>
    </row>
    <row r="75" spans="9:69" ht="15">
      <c r="I75" s="1"/>
      <c r="J75" s="1"/>
      <c r="K75" s="1"/>
      <c r="L75" s="1"/>
      <c r="M75" s="1"/>
      <c r="N75" s="1"/>
      <c r="O75" s="1"/>
    </row>
    <row r="76" spans="9:69" ht="15">
      <c r="I76" s="1"/>
      <c r="J76" s="1"/>
      <c r="K76" s="1"/>
      <c r="L76" s="1"/>
      <c r="M76" s="1"/>
      <c r="N76" s="1"/>
      <c r="O76" s="1"/>
    </row>
    <row r="77" spans="9:69" ht="15">
      <c r="I77" s="1"/>
      <c r="J77" s="1"/>
      <c r="K77" s="1"/>
      <c r="L77" s="1"/>
      <c r="M77" s="1"/>
      <c r="N77" s="1"/>
      <c r="O77" s="1"/>
    </row>
    <row r="78" spans="9:69" ht="15">
      <c r="I78" s="1"/>
      <c r="J78" s="1"/>
      <c r="K78" s="1"/>
      <c r="L78" s="1"/>
      <c r="M78" s="1"/>
      <c r="N78" s="1"/>
      <c r="O78" s="1"/>
    </row>
    <row r="79" spans="9:69" ht="15">
      <c r="I79" s="1"/>
      <c r="J79" s="1"/>
      <c r="K79" s="1"/>
      <c r="L79" s="1"/>
      <c r="M79" s="1"/>
      <c r="N79" s="1"/>
      <c r="O79" s="1"/>
    </row>
    <row r="80" spans="9:69" ht="15">
      <c r="I80" s="1"/>
      <c r="J80" s="1"/>
      <c r="K80" s="1"/>
      <c r="L80" s="1"/>
      <c r="M80" s="1"/>
      <c r="N80" s="1"/>
      <c r="O80" s="1"/>
    </row>
    <row r="81" spans="9:15" ht="15">
      <c r="I81" s="1"/>
      <c r="J81" s="1"/>
      <c r="K81" s="1"/>
      <c r="L81" s="1"/>
      <c r="M81" s="1"/>
      <c r="N81" s="1"/>
      <c r="O81" s="1"/>
    </row>
    <row r="82" spans="9:15" ht="15">
      <c r="I82" s="1"/>
      <c r="J82" s="1"/>
      <c r="K82" s="1"/>
      <c r="L82" s="1"/>
      <c r="M82" s="1"/>
      <c r="N82" s="1"/>
      <c r="O82" s="1"/>
    </row>
    <row r="83" spans="9:15" ht="15">
      <c r="I83" s="1"/>
      <c r="J83" s="1"/>
      <c r="K83" s="1"/>
      <c r="L83" s="1"/>
      <c r="M83" s="1"/>
      <c r="N83" s="1"/>
      <c r="O83" s="1"/>
    </row>
    <row r="84" spans="9:15" ht="15">
      <c r="I84" s="1"/>
      <c r="J84" s="1"/>
      <c r="K84" s="1"/>
      <c r="L84" s="1"/>
      <c r="M84" s="1"/>
      <c r="N84" s="1"/>
      <c r="O84" s="1"/>
    </row>
    <row r="85" spans="9:15" ht="15">
      <c r="I85" s="1"/>
      <c r="J85" s="1"/>
      <c r="K85" s="1"/>
      <c r="L85" s="1"/>
      <c r="M85" s="1"/>
      <c r="N85" s="1"/>
      <c r="O85" s="1"/>
    </row>
    <row r="86" spans="9:15" ht="15">
      <c r="I86" s="1"/>
      <c r="J86" s="1"/>
      <c r="K86" s="1"/>
      <c r="L86" s="1"/>
      <c r="M86" s="1"/>
      <c r="N86" s="1"/>
      <c r="O86" s="1"/>
    </row>
    <row r="87" spans="9:15" ht="15">
      <c r="I87" s="1"/>
      <c r="J87" s="1"/>
      <c r="K87" s="1"/>
      <c r="L87" s="1"/>
      <c r="M87" s="1"/>
      <c r="N87" s="1"/>
      <c r="O87" s="1"/>
    </row>
    <row r="88" spans="9:15" ht="15.75">
      <c r="I88" s="103"/>
      <c r="J88" s="103"/>
      <c r="K88" s="103"/>
      <c r="L88" s="103"/>
      <c r="M88" s="103"/>
      <c r="N88" s="103"/>
      <c r="O88" s="103"/>
    </row>
    <row r="89" spans="9:15" ht="15.75">
      <c r="I89" s="103"/>
      <c r="J89" s="103"/>
      <c r="K89" s="103"/>
      <c r="L89" s="103"/>
      <c r="M89" s="103"/>
      <c r="N89" s="103"/>
      <c r="O89" s="103"/>
    </row>
    <row r="90" spans="9:15" ht="15.75">
      <c r="I90" s="106"/>
      <c r="J90" s="106"/>
      <c r="K90" s="106"/>
      <c r="L90" s="106"/>
      <c r="M90" s="106"/>
      <c r="N90" s="106"/>
      <c r="O90" s="106"/>
    </row>
    <row r="91" spans="9:15" ht="15.75">
      <c r="I91" s="106"/>
      <c r="J91" s="106"/>
      <c r="K91" s="106"/>
      <c r="L91" s="106"/>
      <c r="M91" s="106"/>
      <c r="N91" s="106"/>
      <c r="O91" s="106"/>
    </row>
    <row r="97" spans="10:69" ht="15">
      <c r="J97" s="55"/>
    </row>
    <row r="103" spans="10:69" ht="15"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</row>
    <row r="104" spans="10:69" ht="18">
      <c r="P104" s="10" t="str">
        <f>"Đọc giá trị số thành chữ"</f>
        <v>Đọc giá trị số thành chữ</v>
      </c>
      <c r="Q104" s="37"/>
      <c r="R104" s="37"/>
      <c r="S104" s="11"/>
      <c r="T104" s="37"/>
      <c r="U104" s="37"/>
      <c r="V104" s="37"/>
      <c r="W104" s="37"/>
      <c r="X104" s="37"/>
      <c r="Y104" s="38"/>
    </row>
    <row r="105" spans="10:69" ht="18.75">
      <c r="P105" s="12" t="s">
        <v>146</v>
      </c>
      <c r="Q105" s="37"/>
      <c r="R105" s="37"/>
      <c r="S105" s="13" t="str">
        <f>"© VVC, modify by Tuan dt"</f>
        <v>© VVC, modify by Tuan dt</v>
      </c>
      <c r="T105" s="37"/>
      <c r="U105" s="37"/>
      <c r="V105" s="37"/>
      <c r="W105" s="37"/>
      <c r="X105" s="37"/>
      <c r="Y105" s="38"/>
    </row>
    <row r="106" spans="10:69" ht="18.75">
      <c r="P106" s="14"/>
      <c r="Q106" s="37"/>
      <c r="R106" s="37"/>
      <c r="S106" s="11" t="s">
        <v>146</v>
      </c>
      <c r="T106" s="37"/>
      <c r="U106" s="37"/>
      <c r="V106" s="37"/>
      <c r="W106" s="37" t="s">
        <v>146</v>
      </c>
      <c r="X106" s="37"/>
      <c r="Y106" s="38"/>
    </row>
    <row r="107" spans="10:69" ht="18">
      <c r="P107" s="37">
        <v>1</v>
      </c>
      <c r="Q107" s="37">
        <v>6</v>
      </c>
      <c r="R107" s="37"/>
      <c r="S107" s="11"/>
      <c r="T107" s="37"/>
      <c r="U107" s="37"/>
      <c r="V107" s="37"/>
      <c r="W107" s="37"/>
      <c r="X107" s="37"/>
      <c r="Y107" s="38"/>
    </row>
    <row r="108" spans="10:69" ht="18.75" thickBot="1">
      <c r="P108" s="37"/>
      <c r="Q108" s="37"/>
      <c r="R108" s="37"/>
      <c r="S108" s="37"/>
      <c r="T108" s="37"/>
      <c r="U108" s="37"/>
      <c r="V108" s="37"/>
      <c r="W108" s="37"/>
      <c r="X108" s="37"/>
      <c r="Y108" s="38"/>
    </row>
    <row r="109" spans="10:69" ht="19.5" thickBot="1">
      <c r="P109" s="15" t="str">
        <f>"Giá trị số cần đổi:"</f>
        <v>Giá trị số cần đổi:</v>
      </c>
      <c r="Q109" s="39">
        <f>G46</f>
        <v>7314127000</v>
      </c>
      <c r="R109" s="379" t="str">
        <f>IF(ROUND(VALUE(10*(100*Q109-INT(100*Q109))),0)&gt;0,"Chỉ có 2 chữ số sau dấu phẩy","")</f>
        <v/>
      </c>
      <c r="S109" s="37"/>
      <c r="T109" s="37"/>
      <c r="U109" s="37"/>
      <c r="V109" s="37"/>
      <c r="W109" s="37"/>
      <c r="X109" s="37"/>
      <c r="Y109" s="38"/>
    </row>
    <row r="110" spans="10:69" ht="18.75">
      <c r="P110" s="40" t="s">
        <v>146</v>
      </c>
      <c r="Q110" s="16" t="str">
        <f ca="1">IF(Q109&gt;=1000000000000,"Công thức này chỉ có thể đếm thành chữ dưới 1000 tỷ",IF(ABS(Q109)&lt;1,"không",IF(Q109&lt;0,"âm ","")&amp;IF(Q112=0,"",R112)&amp;IF(AND(Q113=0,Q114=0),"",S113)&amp;IF(Q115=0,"",R115)&amp;IF(AND(Q116=0,Q117=0),"",S116)&amp;IF(Q118=0,"",R118)&amp;IF(AND(Q119=0,Q120=0),"",S119)&amp;IF(Q121=0,"",R121)&amp;IF(AND(Q122=0,Q123=0),"",IF(AND(Q122=0,Q123=1),"một",S122)))&amp;CELL("contents",V113))&amp;IF(T130=0,"",IF(P110=1,T129,S125))</f>
        <v>bẩy tỷ, ba trăm mười bốn triệu, một trăm  hai mươi  bẩy nghìn  đồng chẵn</v>
      </c>
      <c r="R110" s="41"/>
      <c r="S110" s="41"/>
      <c r="T110" s="41"/>
      <c r="U110" s="41"/>
      <c r="V110" s="41"/>
      <c r="W110" s="41"/>
      <c r="X110" s="41"/>
      <c r="Y110" s="38"/>
    </row>
    <row r="111" spans="10:69" ht="18.75">
      <c r="P111" s="17" t="str">
        <f>"đếm từng chữ một"</f>
        <v>đếm từng chữ một</v>
      </c>
      <c r="Q111" s="18" t="str">
        <f>IF(Q109&lt;0,"minus   ","")&amp;SUBSTITUTE(SUBSTITUTE(SUBSTITUTE(SUBSTITUTE(Q127,8,"tám   "),9,"chín   "),",","phẩy   "),"-","")</f>
        <v xml:space="preserve">bẩy   ba   một   bốn   một   hai   bẩy   không   không   không   </v>
      </c>
      <c r="R111" s="42"/>
      <c r="S111" s="37"/>
      <c r="T111" s="37"/>
      <c r="U111" s="37"/>
      <c r="V111" s="37" t="s">
        <v>147</v>
      </c>
      <c r="W111" s="37"/>
      <c r="X111" s="37"/>
      <c r="Y111" s="38"/>
    </row>
    <row r="112" spans="10:69" ht="18.75">
      <c r="P112" s="17" t="str">
        <f>"hàng trăm tỷ"</f>
        <v>hàng trăm tỷ</v>
      </c>
      <c r="Q112" s="19">
        <f>VALUE(RIGHT(INT(ABS(Q109)/100000000000)))</f>
        <v>0</v>
      </c>
      <c r="R112" s="20" t="str">
        <f>IF(Q112=1,"một",IF(Q112=2,"hai",IF(Q112=3,"ba",IF(Q112=4,"bốn",IF(Q112=5,"năm",IF(Q112=6,"sáu",IF(Q112=7,"bẩy",IF(Q112=8,"tám","chín"))))))))&amp;" trăm "&amp;IF(AND(Q113=0,Q114=0),"tỷ","")</f>
        <v xml:space="preserve">chín trăm </v>
      </c>
      <c r="S112" s="31"/>
      <c r="T112" s="43"/>
      <c r="U112" s="37"/>
      <c r="V112" s="37">
        <v>1</v>
      </c>
      <c r="W112" s="37">
        <v>2</v>
      </c>
      <c r="X112" s="37">
        <v>3</v>
      </c>
      <c r="Y112" s="38"/>
    </row>
    <row r="113" spans="9:25" ht="18.75">
      <c r="P113" s="17" t="str">
        <f>"hàng chục tỷ"</f>
        <v>hàng chục tỷ</v>
      </c>
      <c r="Q113" s="19">
        <f>VALUE(RIGHT(INT(ABS(Q109)/10000000000)))</f>
        <v>0</v>
      </c>
      <c r="R113" s="20" t="str">
        <f>IF(Q113=1,"mười",IF(Q113=2," hai mươi",IF(Q113=3,"ba mươi",IF(Q113=4,"bốn mươi",IF(Q113=5,"năm mươi",IF(Q113=6,"sáu mươi",IF(Q113=7,"bẩy mươi",IF(Q113=8,"tám mươi","chín mươi"))))))))</f>
        <v>chín mươi</v>
      </c>
      <c r="S113" s="21" t="str">
        <f>IF(AND(Q113=0,Q114=1),"một tỷ ",IF(AND(Q113=1,Q114=1),"mười một",IF(AND(Q113=1,Q114=2),"mười hai",IF(AND(Q113=1,Q114=6),"mười sáu",IF(AND(Q113=1,Q114=7),"mười bẩy",IF(Q114=0,R113,IF(Q113=0,R114,R113&amp;IF(Q113&gt;1," ","")&amp;R114))))))&amp;" tỷ, ")</f>
        <v xml:space="preserve">bẩy tỷ, </v>
      </c>
      <c r="T113" s="44"/>
      <c r="U113" s="37"/>
      <c r="V113" s="22" t="str">
        <f>INDEX(V114:X130,P107,2)</f>
        <v xml:space="preserve"> đồng chẵn</v>
      </c>
      <c r="W113" s="22" t="str">
        <f>INDEX(V114:X130,P107,3)</f>
        <v xml:space="preserve"> xu</v>
      </c>
      <c r="X113" s="37"/>
      <c r="Y113" s="38"/>
    </row>
    <row r="114" spans="9:25" ht="18.75">
      <c r="P114" s="17" t="str">
        <f>"hàng tỷ"</f>
        <v>hàng tỷ</v>
      </c>
      <c r="Q114" s="23">
        <f>VALUE(RIGHT(INT(ABS(Q109)/1000000000)))</f>
        <v>7</v>
      </c>
      <c r="R114" s="20" t="str">
        <f>IF(Q114=1,"một",IF(Q114=2,"hai",IF(Q114=3,"ba",IF(Q114=4,"bốn",IF(Q114=5,"năm",IF(Q114=6,"sáu",IF(Q114=7,"bẩy",IF(Q114=8,"tám","chín"))))))))</f>
        <v>bẩy</v>
      </c>
      <c r="S114" s="45"/>
      <c r="T114" s="46"/>
      <c r="U114" s="37"/>
      <c r="V114" s="20" t="s">
        <v>149</v>
      </c>
      <c r="W114" s="20" t="s">
        <v>150</v>
      </c>
      <c r="X114" s="20" t="s">
        <v>151</v>
      </c>
      <c r="Y114" s="38"/>
    </row>
    <row r="115" spans="9:25" ht="18.75">
      <c r="P115" s="17" t="str">
        <f>"hàng trăm triệu"</f>
        <v>hàng trăm triệu</v>
      </c>
      <c r="Q115" s="24">
        <f>VALUE(RIGHT(INT(ABS(Q109)/100000000)))</f>
        <v>3</v>
      </c>
      <c r="R115" s="25" t="str">
        <f>IF(Q115=1,"một",IF(Q115=2,"hai",IF(Q115=3,"ba",IF(Q115=4,"bốn",IF(Q115=5,"năm",IF(Q115=6,"sáu",IF(Q115=7,"bẩy",IF(Q115=8,"tám","chín"))))))))&amp;" trăm "&amp;IF(AND(Q116=0,Q117=0),"triệu","")</f>
        <v xml:space="preserve">ba trăm </v>
      </c>
      <c r="S115" s="47"/>
      <c r="T115" s="48"/>
      <c r="U115" s="37"/>
      <c r="V115" s="20" t="s">
        <v>153</v>
      </c>
      <c r="W115" s="20" t="s">
        <v>154</v>
      </c>
      <c r="X115" s="20" t="s">
        <v>155</v>
      </c>
      <c r="Y115" s="38"/>
    </row>
    <row r="116" spans="9:25" ht="18.75">
      <c r="P116" s="17" t="str">
        <f>"hàng chục triệu"</f>
        <v>hàng chục triệu</v>
      </c>
      <c r="Q116" s="24">
        <f>VALUE(RIGHT(INT(ABS(Q109)/10000000)))</f>
        <v>1</v>
      </c>
      <c r="R116" s="25" t="str">
        <f>IF(Q116=1,"mười ",IF(Q116=2,"hai mươi",IF(Q116=3,"ba mươi",IF(Q116=4,"bốn mươi",IF(Q116=5,"năm mươi",IF(Q116=6,"sáu mươi",IF(Q116=7,"bẩy mươi",IF(Q116=8,"tám mươi","chín mươi"))))))))</f>
        <v xml:space="preserve">mười </v>
      </c>
      <c r="S116" s="26" t="str">
        <f>IF(AND(Q116=0,Q117=1),"một triệu",IF(AND(Q116=1,Q117=1),"mười một",IF(AND(Q116=1,Q117=2),"mười hai",IF(AND(Q116=1,Q117=6),"mười sáu",IF(AND(Q116=1,Q117=7),"mười bẩy",IF(Q117=0,R116,IF(Q116=0,"linh "&amp;R117,R116&amp;IF(Q116&gt;1," ","")&amp;R117))))))&amp;" triệu,")</f>
        <v>mười bốn triệu,</v>
      </c>
      <c r="T116" s="49"/>
      <c r="U116" s="37"/>
      <c r="V116" s="20" t="s">
        <v>157</v>
      </c>
      <c r="W116" s="20" t="s">
        <v>158</v>
      </c>
      <c r="X116" s="20" t="s">
        <v>159</v>
      </c>
      <c r="Y116" s="38"/>
    </row>
    <row r="117" spans="9:25" ht="18.75">
      <c r="P117" s="17" t="str">
        <f>"hàng triệu"</f>
        <v>hàng triệu</v>
      </c>
      <c r="Q117" s="24">
        <f>VALUE(RIGHT(INT(ABS(Q109)/1000000)))</f>
        <v>4</v>
      </c>
      <c r="R117" s="25" t="str">
        <f>IF(Q117=1,"một",IF(Q117=2,"hai",IF(Q117=3,"ba",IF(Q117=4,"bốn",IF(Q117=5,"năm",IF(Q117=6,"sáu",IF(Q117=7,"bẩy",IF(Q117=8,"tám","chín"))))))))</f>
        <v>bốn</v>
      </c>
      <c r="S117" s="26"/>
      <c r="T117" s="49"/>
      <c r="U117" s="37"/>
      <c r="V117" s="20" t="s">
        <v>161</v>
      </c>
      <c r="W117" s="20" t="s">
        <v>162</v>
      </c>
      <c r="X117" s="20" t="s">
        <v>163</v>
      </c>
      <c r="Y117" s="38"/>
    </row>
    <row r="118" spans="9:25" ht="18.75">
      <c r="P118" s="17" t="str">
        <f>"hàng trăm nghìn"</f>
        <v>hàng trăm nghìn</v>
      </c>
      <c r="Q118" s="27">
        <f>VALUE(RIGHT(INT(ABS(Q109)/100000)))</f>
        <v>1</v>
      </c>
      <c r="R118" s="20" t="str">
        <f>IF(Q118=1," một",IF(Q118=2," hai",IF(Q118=3," ba",IF(Q118=4," bốn",IF(Q118=5," năm",IF(Q118=6," sáu",IF(Q118=7," bẩy",IF(Q118=8," tám"," chín"))))))))&amp;" trăm "&amp;IF(AND(Q119=0,Q120=0)," nghìn","")</f>
        <v xml:space="preserve"> một trăm </v>
      </c>
      <c r="S118" s="31"/>
      <c r="T118" s="43"/>
      <c r="U118" s="37"/>
      <c r="V118" s="20" t="s">
        <v>165</v>
      </c>
      <c r="W118" s="20" t="s">
        <v>166</v>
      </c>
      <c r="X118" s="20" t="s">
        <v>167</v>
      </c>
      <c r="Y118" s="38"/>
    </row>
    <row r="119" spans="9:25" ht="18.75">
      <c r="P119" s="17" t="str">
        <f>"hàng chục nghìn"</f>
        <v>hàng chục nghìn</v>
      </c>
      <c r="Q119" s="27">
        <f>VALUE(RIGHT(INT(ABS(Q109)/10000)))</f>
        <v>2</v>
      </c>
      <c r="R119" s="20" t="str">
        <f>IF(Q119=1,"mười ",IF(Q119=2," hai mươi ",IF(Q119=3," ba mươi ",IF(Q119=4," bốn mươi ",IF(Q119=5," năm mươi ",IF(Q119=6," sáu mươi ",IF(Q119=7," bẩy mươi ",IF(Q119=8," tám mươi "," chín mươi "))))))))</f>
        <v xml:space="preserve"> hai mươi </v>
      </c>
      <c r="S119" s="21" t="str">
        <f>IF(AND(Q119=1,Q120=1)," mười một",IF(AND(Q119=1,Q120=2)," mười hai",IF(AND(Q119=1,Q120=6)," mười sáu",IF(AND(Q119=1,Q120=7)," mười bẩy",IF(Q120=0,R119,IF(Q119=0,"linh "&amp;R120,R119&amp;IF(Q119&gt;1,"","")&amp;R120))))))&amp;" nghìn "</f>
        <v xml:space="preserve"> hai mươi  bẩy nghìn </v>
      </c>
      <c r="T119" s="44"/>
      <c r="U119" s="37"/>
      <c r="V119" s="20" t="s">
        <v>169</v>
      </c>
      <c r="W119" s="20" t="s">
        <v>170</v>
      </c>
      <c r="X119" s="20" t="s">
        <v>171</v>
      </c>
      <c r="Y119" s="38"/>
    </row>
    <row r="120" spans="9:25" ht="18.75">
      <c r="P120" s="17" t="str">
        <f>"hàng nghìn"</f>
        <v>hàng nghìn</v>
      </c>
      <c r="Q120" s="27">
        <f>VALUE(RIGHT(INT(ABS(Q109)/1000)))</f>
        <v>7</v>
      </c>
      <c r="R120" s="20" t="str">
        <f>IF(Q120=1," một",IF(Q120=2," hai",IF(Q120=3," ba",IF(Q120=4," bốn",IF(Q120=5," năm",IF(Q120=6," sáu",IF(Q120=7," bẩy",IF(Q120=8," tám"," chín"))))))))</f>
        <v xml:space="preserve"> bẩy</v>
      </c>
      <c r="S120" s="21"/>
      <c r="T120" s="44"/>
      <c r="U120" s="37"/>
      <c r="V120" s="20" t="s">
        <v>173</v>
      </c>
      <c r="W120" s="20" t="s">
        <v>174</v>
      </c>
      <c r="X120" s="20" t="s">
        <v>175</v>
      </c>
      <c r="Y120" s="38"/>
    </row>
    <row r="121" spans="9:25" ht="18.75">
      <c r="P121" s="17" t="str">
        <f>"hàng trăm"</f>
        <v>hàng trăm</v>
      </c>
      <c r="Q121" s="28">
        <f>VALUE(RIGHT(INT(ABS(Q109)/100)))</f>
        <v>0</v>
      </c>
      <c r="R121" s="29" t="str">
        <f>IF(Q121=1,"một",IF(Q121=2,"hai",IF(Q121=3,"ba",IF(Q121=4,"bốn",IF(Q121=5,"năm",IF(Q121=6,"sáu",IF(Q121=7,"bẩy",IF(Q121=8,"tám","chín"))))))))&amp;" trăm "</f>
        <v xml:space="preserve">chín trăm </v>
      </c>
      <c r="S121" s="50"/>
      <c r="T121" s="51"/>
      <c r="U121" s="37"/>
      <c r="V121" s="20" t="s">
        <v>177</v>
      </c>
      <c r="W121" s="20" t="s">
        <v>178</v>
      </c>
      <c r="X121" s="20" t="s">
        <v>155</v>
      </c>
      <c r="Y121" s="38"/>
    </row>
    <row r="122" spans="9:25" ht="18.75">
      <c r="P122" s="17" t="str">
        <f>"hàng chục"</f>
        <v>hàng chục</v>
      </c>
      <c r="Q122" s="28">
        <f>VALUE(RIGHT(INT(ABS(Q109)/10)))</f>
        <v>0</v>
      </c>
      <c r="R122" s="29" t="str">
        <f>IF(Q122=1,",mười ",IF(Q122=2,"hai mươi ",IF(Q122=3,"ba mươi ",IF(Q122=4,"bốn mươi ",IF(Q122=5,"năm mươi ",IF(Q122=6,"sáu mươi ",IF(Q122=7,"bẩy mươi ",IF(Q122=8,"tám mươi ","chín mươi "))))))))</f>
        <v xml:space="preserve">chín mươi </v>
      </c>
      <c r="S122" s="30" t="str">
        <f>IF(AND(Q122=1,Q123=1),"mười một",IF(AND(Q122=1,Q123=2),"mười hai",IF(AND(Q122=1,Q123=6),"mười sáu",IF(AND(Q122=1,Q123=7),"mười bẩy",IF(Q123=0,R122,IF(Q122=0,R123,IF(Q122&gt;1,"","")&amp;R122&amp;R123))))))</f>
        <v xml:space="preserve">chín mươi </v>
      </c>
      <c r="T122" s="52"/>
      <c r="U122" s="37"/>
      <c r="V122" s="20" t="s">
        <v>180</v>
      </c>
      <c r="W122" s="20" t="s">
        <v>181</v>
      </c>
      <c r="X122" s="20" t="s">
        <v>182</v>
      </c>
      <c r="Y122" s="38"/>
    </row>
    <row r="123" spans="9:25" ht="18.75">
      <c r="P123" s="17" t="str">
        <f>"hàng đơn vị"</f>
        <v>hàng đơn vị</v>
      </c>
      <c r="Q123" s="28">
        <f>VALUE(RIGHT(INT(ABS(Q109))))</f>
        <v>0</v>
      </c>
      <c r="R123" s="29" t="str">
        <f>IF(Q123=1,"một",IF(Q123=2,"hai",IF(Q123=3,"ba",IF(Q123=4,"bốn",IF(Q123=5,"năm",IF(Q123=6,"sáu",IF(Q123=7,"bẩy",IF(Q123=8,"tám","chín"))))))))</f>
        <v>chín</v>
      </c>
      <c r="S123" s="53"/>
      <c r="T123" s="54"/>
      <c r="U123" s="37"/>
      <c r="V123" s="20" t="s">
        <v>184</v>
      </c>
      <c r="W123" s="20" t="s">
        <v>185</v>
      </c>
      <c r="X123" s="20" t="s">
        <v>186</v>
      </c>
      <c r="Y123" s="38"/>
    </row>
    <row r="124" spans="9:25" ht="18.75">
      <c r="P124" s="17"/>
      <c r="Q124" s="12" t="str">
        <f>"Giá trị sau dấu phẩy"</f>
        <v>Giá trị sau dấu phẩy</v>
      </c>
      <c r="R124" s="37"/>
      <c r="S124" s="37"/>
      <c r="T124" s="37"/>
      <c r="U124" s="37"/>
      <c r="V124" s="20" t="s">
        <v>187</v>
      </c>
      <c r="W124" s="20" t="s">
        <v>188</v>
      </c>
      <c r="X124" s="20" t="s">
        <v>155</v>
      </c>
      <c r="Y124" s="38"/>
    </row>
    <row r="125" spans="9:25" ht="18.75">
      <c r="I125" s="80"/>
      <c r="J125" s="80"/>
      <c r="K125" s="80"/>
      <c r="L125" s="80"/>
      <c r="M125" s="80"/>
      <c r="N125" s="80"/>
      <c r="O125" s="80"/>
      <c r="P125" s="17" t="str">
        <f>"hàng chục"</f>
        <v>hàng chục</v>
      </c>
      <c r="Q125" s="27">
        <f>VALUE(RIGHT(INT(ABS(T130)/10)))</f>
        <v>0</v>
      </c>
      <c r="R125" s="20" t="str">
        <f>IF(Q125=1,"mười",IF(Q125=2,"hai mươi",IF(Q125=3,"ba mươi",IF(Q125=4,"bốn mươi",IF(Q125=5,"năm mươi",IF(Q125=6,"sáu mươi",IF(Q125=7,"bẩy mươi",IF(Q125=8,"tám mươi","chín mươi"))))))))</f>
        <v>chín mươi</v>
      </c>
      <c r="S125" s="31" t="str">
        <f ca="1">" và "&amp;IF(T130&lt;10,"không ","")&amp;IF(T130=1,"một",IF(AND(Q125=1,Q126=1),"mười một",IF(AND(Q125=1,Q126=2),"mười hai",IF(AND(Q125=1,Q126=6),"mười sáu",IF(AND(Q125=1,Q126=7),"mười bẩy",IF(Q126=0,R125,IF(Q125=0,R126,R125&amp;IF(Q125&gt;1," ","")&amp;R126&amp;""))))))&amp;CELL("contents",W113))</f>
        <v xml:space="preserve"> và không chín mươi xu</v>
      </c>
      <c r="T125" s="43"/>
      <c r="U125" s="37"/>
      <c r="V125" s="20" t="s">
        <v>189</v>
      </c>
      <c r="W125" s="20" t="s">
        <v>190</v>
      </c>
      <c r="X125" s="20" t="s">
        <v>155</v>
      </c>
      <c r="Y125" s="38"/>
    </row>
    <row r="126" spans="9:25" ht="18.75">
      <c r="P126" s="17" t="str">
        <f>"hàng đơn vị"</f>
        <v>hàng đơn vị</v>
      </c>
      <c r="Q126" s="27">
        <f>VALUE(RIGHT(INT(ABS(T130))))</f>
        <v>0</v>
      </c>
      <c r="R126" s="20" t="str">
        <f>IF(Q126=1,"một",IF(Q126=2,"hai",IF(Q126=3,"ba",IF(Q126=4,"bốn",IF(Q126=5,"năm",IF(Q126=6,"sáu",IF(Q126=7,"bẩy",IF(Q126=8,"tám","chín"))))))))</f>
        <v>chín</v>
      </c>
      <c r="S126" s="45"/>
      <c r="T126" s="46"/>
      <c r="U126" s="37"/>
      <c r="V126" s="20"/>
      <c r="W126" s="20"/>
      <c r="X126" s="20"/>
      <c r="Y126" s="38"/>
    </row>
    <row r="127" spans="9:25" ht="18">
      <c r="P127" s="37"/>
      <c r="Q127" s="32" t="str">
        <f>SUBSTITUTE(SUBSTITUTE(SUBSTITUTE(SUBSTITUTE(SUBSTITUTE(SUBSTITUTE(SUBSTITUTE(SUBSTITUTE(Q109,0,"không   "),1,"một   "),2,"hai   "),3,"ba   "),4,"bốn   "),5,"năm   "),6,"sáu   "),7,"bẩy   ")</f>
        <v xml:space="preserve">bẩy   ba   một   bốn   một   hai   bẩy   không   không   không   </v>
      </c>
      <c r="R127" s="37"/>
      <c r="S127" s="37"/>
      <c r="T127" s="37"/>
      <c r="U127" s="37"/>
      <c r="V127" s="20"/>
      <c r="W127" s="20"/>
      <c r="X127" s="20"/>
      <c r="Y127" s="38"/>
    </row>
    <row r="128" spans="9:25" ht="18">
      <c r="P128" s="37"/>
      <c r="Q128" s="37"/>
      <c r="R128" s="37"/>
      <c r="S128" s="37"/>
      <c r="T128" s="37"/>
      <c r="U128" s="37"/>
      <c r="V128" s="20"/>
      <c r="W128" s="20"/>
      <c r="X128" s="20"/>
      <c r="Y128" s="38"/>
    </row>
    <row r="129" spans="16:69" ht="18">
      <c r="P129" s="37"/>
      <c r="Q129" s="33">
        <f>ABS(100*(MOD(Q109,1)-(Q109&lt;0)))</f>
        <v>0</v>
      </c>
      <c r="R129" s="37"/>
      <c r="S129" s="37"/>
      <c r="T129" s="34" t="str">
        <f>TEXT(T130,"   00")&amp;"/100"</f>
        <v xml:space="preserve">   00/100</v>
      </c>
      <c r="U129" s="37"/>
      <c r="V129" s="20"/>
      <c r="W129" s="20"/>
      <c r="X129" s="20"/>
      <c r="Y129" s="38"/>
    </row>
    <row r="130" spans="16:69" ht="18">
      <c r="P130" s="37"/>
      <c r="Q130" s="35">
        <f>ROUND(100*(ABS(Q109)-INT(ABS(Q109))),0)</f>
        <v>0</v>
      </c>
      <c r="R130" s="37"/>
      <c r="S130" s="37"/>
      <c r="T130" s="36">
        <f>IF(P110=0,0,ROUND(100*(ABS(Q109)-INT(ABS(Q109))),0))</f>
        <v>0</v>
      </c>
      <c r="U130" s="37"/>
      <c r="V130" s="20"/>
      <c r="W130" s="20"/>
      <c r="X130" s="20"/>
      <c r="Y130" s="38"/>
    </row>
    <row r="131" spans="16:69" ht="15"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</row>
    <row r="153" spans="9:15" ht="15">
      <c r="I153" s="80"/>
      <c r="J153" s="80"/>
      <c r="K153" s="80"/>
      <c r="L153" s="80"/>
      <c r="M153" s="80"/>
      <c r="N153" s="80"/>
      <c r="O153" s="80"/>
    </row>
  </sheetData>
  <mergeCells count="20">
    <mergeCell ref="A18:A19"/>
    <mergeCell ref="B18:B19"/>
    <mergeCell ref="E49:G49"/>
    <mergeCell ref="A12:G12"/>
    <mergeCell ref="E57:G57"/>
    <mergeCell ref="C18:C19"/>
    <mergeCell ref="A2:G3"/>
    <mergeCell ref="A4:G4"/>
    <mergeCell ref="A5:B5"/>
    <mergeCell ref="A9:G9"/>
    <mergeCell ref="A10:G10"/>
    <mergeCell ref="A11:G11"/>
    <mergeCell ref="E48:G48"/>
    <mergeCell ref="E50:G50"/>
    <mergeCell ref="A13:G13"/>
    <mergeCell ref="A15:G15"/>
    <mergeCell ref="C16:C17"/>
    <mergeCell ref="E16:F17"/>
    <mergeCell ref="F18:F19"/>
    <mergeCell ref="G18:G19"/>
  </mergeCells>
  <pageMargins left="0.8" right="0" top="0.25" bottom="0.25" header="0.5" footer="0.5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7030A0"/>
    <pageSetUpPr fitToPage="1"/>
  </sheetPr>
  <dimension ref="A1:BQ164"/>
  <sheetViews>
    <sheetView tabSelected="1" workbookViewId="0">
      <selection activeCell="J18" sqref="J18"/>
    </sheetView>
  </sheetViews>
  <sheetFormatPr defaultColWidth="8.85546875" defaultRowHeight="12.75"/>
  <cols>
    <col min="1" max="1" width="7.140625" style="358" customWidth="1"/>
    <col min="2" max="2" width="29.140625" customWidth="1"/>
    <col min="3" max="3" width="14.140625" customWidth="1"/>
    <col min="4" max="4" width="11.7109375" customWidth="1"/>
    <col min="5" max="5" width="19.85546875" customWidth="1"/>
    <col min="6" max="6" width="14.85546875" customWidth="1"/>
    <col min="7" max="7" width="15.42578125" customWidth="1"/>
    <col min="8" max="8" width="15" bestFit="1" customWidth="1"/>
    <col min="9" max="9" width="18.42578125" customWidth="1"/>
    <col min="10" max="10" width="37.28515625" bestFit="1" customWidth="1"/>
    <col min="11" max="11" width="7.7109375" customWidth="1"/>
    <col min="12" max="12" width="22.5703125" bestFit="1" customWidth="1"/>
    <col min="13" max="13" width="13" customWidth="1"/>
    <col min="14" max="14" width="11" customWidth="1"/>
    <col min="15" max="15" width="14.85546875" customWidth="1"/>
  </cols>
  <sheetData>
    <row r="1" spans="1:69">
      <c r="A1" s="725"/>
      <c r="B1" s="726"/>
      <c r="C1" s="726"/>
      <c r="D1" s="726"/>
      <c r="E1" s="726"/>
      <c r="F1" s="726"/>
      <c r="G1" s="726"/>
    </row>
    <row r="2" spans="1:69" ht="16.5">
      <c r="A2" s="727" t="s">
        <v>384</v>
      </c>
      <c r="B2" s="727"/>
      <c r="C2" s="727"/>
      <c r="D2" s="727"/>
      <c r="E2" s="727"/>
      <c r="F2" s="727"/>
      <c r="G2" s="727"/>
      <c r="H2" s="1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16.5">
      <c r="A3" s="727"/>
      <c r="B3" s="727"/>
      <c r="C3" s="727"/>
      <c r="D3" s="727"/>
      <c r="E3" s="727"/>
      <c r="F3" s="727"/>
      <c r="G3" s="727"/>
      <c r="H3" s="1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8.75" hidden="1">
      <c r="A4" s="728"/>
      <c r="B4" s="770"/>
      <c r="C4" s="770"/>
      <c r="D4" s="770"/>
      <c r="E4" s="770"/>
      <c r="F4" s="770"/>
      <c r="G4" s="729"/>
      <c r="H4" s="1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6.5">
      <c r="A5" s="768" t="s">
        <v>52</v>
      </c>
      <c r="B5" s="773"/>
      <c r="C5" s="774">
        <v>186</v>
      </c>
      <c r="D5" s="775" t="s">
        <v>192</v>
      </c>
      <c r="E5" s="776" t="s">
        <v>54</v>
      </c>
      <c r="F5" s="777">
        <v>500</v>
      </c>
      <c r="G5" s="769"/>
      <c r="H5" s="1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8.95" customHeight="1">
      <c r="A6" s="730" t="s">
        <v>58</v>
      </c>
      <c r="B6" s="771"/>
      <c r="C6" s="771"/>
      <c r="D6" s="772"/>
      <c r="E6" s="772"/>
      <c r="F6" s="772"/>
      <c r="G6" s="731"/>
      <c r="H6" s="1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5" customHeight="1">
      <c r="A7" s="732" t="s">
        <v>201</v>
      </c>
      <c r="B7" s="733"/>
      <c r="C7" s="734"/>
      <c r="D7" s="734"/>
      <c r="E7" s="734"/>
      <c r="F7" s="734"/>
      <c r="G7" s="734"/>
      <c r="H7" s="1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5" customHeight="1">
      <c r="A8" s="732" t="s">
        <v>230</v>
      </c>
      <c r="B8" s="733"/>
      <c r="C8" s="734"/>
      <c r="D8" s="734"/>
      <c r="E8" s="734"/>
      <c r="F8" s="734"/>
      <c r="G8" s="734"/>
      <c r="H8" s="1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ht="16.5">
      <c r="A9" s="735" t="s">
        <v>61</v>
      </c>
      <c r="B9" s="735"/>
      <c r="C9" s="735"/>
      <c r="D9" s="735"/>
      <c r="E9" s="735"/>
      <c r="F9" s="735"/>
      <c r="G9" s="735"/>
      <c r="H9" s="1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15" customHeight="1">
      <c r="A10" s="736" t="s">
        <v>205</v>
      </c>
      <c r="B10" s="736"/>
      <c r="C10" s="736"/>
      <c r="D10" s="736"/>
      <c r="E10" s="736"/>
      <c r="F10" s="736"/>
      <c r="G10" s="736"/>
      <c r="H10" s="1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30" customHeight="1">
      <c r="A11" s="736" t="s">
        <v>63</v>
      </c>
      <c r="B11" s="736"/>
      <c r="C11" s="736"/>
      <c r="D11" s="736"/>
      <c r="E11" s="736"/>
      <c r="F11" s="736"/>
      <c r="G11" s="736"/>
      <c r="H11" s="1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30" customHeight="1">
      <c r="A12" s="737" t="s">
        <v>64</v>
      </c>
      <c r="B12" s="737"/>
      <c r="C12" s="737"/>
      <c r="D12" s="737"/>
      <c r="E12" s="737"/>
      <c r="F12" s="737"/>
      <c r="G12" s="737"/>
      <c r="H12" s="1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16.5">
      <c r="A13" s="735" t="s">
        <v>65</v>
      </c>
      <c r="B13" s="735"/>
      <c r="C13" s="735"/>
      <c r="D13" s="735"/>
      <c r="E13" s="735"/>
      <c r="F13" s="735"/>
      <c r="G13" s="735"/>
      <c r="H13" s="1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5" customHeight="1">
      <c r="A14" s="109"/>
      <c r="B14" s="738" t="s">
        <v>66</v>
      </c>
      <c r="C14" s="739">
        <f>+C5</f>
        <v>186</v>
      </c>
      <c r="D14" s="136" t="str">
        <f>D5</f>
        <v>ha</v>
      </c>
      <c r="E14" s="738"/>
      <c r="F14" s="738"/>
      <c r="G14" s="740"/>
      <c r="H14" s="1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48" customHeight="1">
      <c r="A15" s="741" t="s">
        <v>239</v>
      </c>
      <c r="B15" s="742"/>
      <c r="C15" s="742"/>
      <c r="D15" s="742"/>
      <c r="E15" s="742"/>
      <c r="F15" s="742"/>
      <c r="G15" s="742"/>
      <c r="H15" s="1"/>
      <c r="J15" s="642">
        <f>+G49+'[1]THKP hạng mục'!$H$26</f>
        <v>3458197127.2188797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9.5" customHeight="1">
      <c r="A16" s="743"/>
      <c r="B16" s="109" t="s">
        <v>68</v>
      </c>
      <c r="C16" s="744" t="s">
        <v>69</v>
      </c>
      <c r="D16" s="109" t="s">
        <v>70</v>
      </c>
      <c r="E16" s="742" t="s">
        <v>71</v>
      </c>
      <c r="F16" s="742"/>
      <c r="G16" s="740"/>
      <c r="H16" s="1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16.5">
      <c r="A17" s="743"/>
      <c r="B17" s="109"/>
      <c r="C17" s="744"/>
      <c r="D17" s="109" t="s">
        <v>72</v>
      </c>
      <c r="E17" s="742"/>
      <c r="F17" s="742"/>
      <c r="G17" s="740"/>
      <c r="H17" s="1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42.75">
      <c r="A18" s="745" t="s">
        <v>132</v>
      </c>
      <c r="B18" s="745" t="s">
        <v>73</v>
      </c>
      <c r="C18" s="745" t="s">
        <v>74</v>
      </c>
      <c r="D18" s="746" t="s">
        <v>75</v>
      </c>
      <c r="E18" s="746" t="s">
        <v>76</v>
      </c>
      <c r="F18" s="745" t="s">
        <v>77</v>
      </c>
      <c r="G18" s="745" t="s">
        <v>78</v>
      </c>
      <c r="H18" s="1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16.5">
      <c r="A19" s="745"/>
      <c r="B19" s="745"/>
      <c r="C19" s="745"/>
      <c r="D19" s="747" t="s">
        <v>79</v>
      </c>
      <c r="E19" s="747" t="s">
        <v>79</v>
      </c>
      <c r="F19" s="745"/>
      <c r="G19" s="745"/>
      <c r="H19" s="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748">
        <v>1</v>
      </c>
      <c r="B20" s="76" t="s">
        <v>81</v>
      </c>
      <c r="C20" s="333" t="s">
        <v>82</v>
      </c>
      <c r="D20" s="749">
        <f>IF(D25&lt;5,284.45,IF(D25&gt;1000,"Vượt quy mô",((D21-D22)/(D23-D24)*(D25-D24)+D22)))</f>
        <v>1766.3599999881123</v>
      </c>
      <c r="E20" s="749">
        <f>IF(E25&lt;5,37.01,IF(E25&gt;1000,"Vượt quy mô",((E21-E22)/(E23-E24)*(E25-E24)+E22)))</f>
        <v>113.1871999995498</v>
      </c>
      <c r="F20" s="750">
        <f>IF(F25&lt;200,12.3,IF(F25&gt;10000,2.8,ROUND(((F21-F22)/(F23-F24)*(F25-F24)+F22),3)))</f>
        <v>5.9669999999999996</v>
      </c>
      <c r="G20" s="750">
        <f>IF(G25&lt;200,10.6,IF(G25&gt;10000,2.6,ROUND(((G21-G22)/(G23-G24)*(G25-G24)+G22),3)))</f>
        <v>5.5670000000000002</v>
      </c>
      <c r="H20" s="1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748">
        <v>2</v>
      </c>
      <c r="B21" s="76" t="s">
        <v>240</v>
      </c>
      <c r="C21" s="333" t="s">
        <v>84</v>
      </c>
      <c r="D21" s="751">
        <f>LOOKUP(D23, 'Dinh muc'!$C$32:$N$33)</f>
        <v>1314</v>
      </c>
      <c r="E21" s="435">
        <f>LOOKUP(E23, 'Dinh muc'!$C$32:$N$34)+0.00000000001</f>
        <v>95.970000000010003</v>
      </c>
      <c r="F21" s="752">
        <f>LOOKUP(F23,  'Dinh muc'!$C$75:$J$76)+0.00000000001</f>
        <v>7.50000000001</v>
      </c>
      <c r="G21" s="752">
        <f>LOOKUP(G23, 'Dinh muc'!$C$75:$J$77)+0.000000000001</f>
        <v>7.1000000000009997</v>
      </c>
      <c r="H21" s="1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748">
        <v>3</v>
      </c>
      <c r="B22" s="76" t="s">
        <v>85</v>
      </c>
      <c r="C22" s="333" t="s">
        <v>86</v>
      </c>
      <c r="D22" s="751">
        <f>LOOKUP(D24,'Dinh muc'!$C$32:$N$33)</f>
        <v>1840</v>
      </c>
      <c r="E22" s="435">
        <f>LOOKUP(E24, 'Dinh muc'!$C$32:$N$34)+0.000000000001</f>
        <v>115.99000000000099</v>
      </c>
      <c r="F22" s="752">
        <f>LOOKUP(F24, 'Dinh muc'!$C$75:$J$76)+0.000000000001</f>
        <v>5.5000000000010001</v>
      </c>
      <c r="G22" s="752">
        <f>LOOKUP(G24, 'Dinh muc'!$C$75:$J$77)+0.000000000000001</f>
        <v>5.1000000000000005</v>
      </c>
      <c r="H22" s="1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748">
        <v>4</v>
      </c>
      <c r="B23" s="76" t="s">
        <v>87</v>
      </c>
      <c r="C23" s="333" t="s">
        <v>90</v>
      </c>
      <c r="D23" s="753">
        <f>IF(D25&lt;5,5,SMALL('Dinh muc'!$C$32:$N$32,COUNTIF('Dinh muc'!$C$32:$N$32,"&lt;="&amp;$D$25)))+0.00000001</f>
        <v>100.00000000999999</v>
      </c>
      <c r="E23" s="753">
        <f>D23</f>
        <v>100.00000000999999</v>
      </c>
      <c r="F23" s="754">
        <f>IF(F25&lt;200,200,(SMALL('Dinh muc'!$C$75:$J$76,COUNTIF('Dinh muc'!$C$75:$J$76,"&lt;="&amp;$F$25))))+0.000000001</f>
        <v>1000.000000001</v>
      </c>
      <c r="G23" s="754">
        <f>F23</f>
        <v>1000.000000001</v>
      </c>
      <c r="H23" s="1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748">
        <v>5</v>
      </c>
      <c r="B24" s="76" t="s">
        <v>89</v>
      </c>
      <c r="C24" s="333" t="s">
        <v>241</v>
      </c>
      <c r="D24" s="753">
        <f>IF(D25&gt;1000,1000,LARGE('Dinh muc'!$C$32:$N$32,COUNTIF('Dinh muc'!$C$32:$N$32,"&gt;="&amp;$D$25)))+0.000000001</f>
        <v>200.00000000099999</v>
      </c>
      <c r="E24" s="753">
        <f>D24</f>
        <v>200.00000000099999</v>
      </c>
      <c r="F24" s="754">
        <f>IF(F25&gt;=10000,10000,LARGE('Dinh muc'!$C$75:$J$76,COUNTIF('Dinh muc'!$C$75:$J$76,"&gt;="&amp; $F$25)))+0.000000000001</f>
        <v>2000.0000000000009</v>
      </c>
      <c r="G24" s="754">
        <f>F24</f>
        <v>2000.0000000000009</v>
      </c>
      <c r="H24" s="1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>
      <c r="A25" s="748">
        <v>6</v>
      </c>
      <c r="B25" s="76" t="s">
        <v>91</v>
      </c>
      <c r="C25" s="333" t="s">
        <v>92</v>
      </c>
      <c r="D25" s="753">
        <f>C5</f>
        <v>186</v>
      </c>
      <c r="E25" s="753">
        <f>D25</f>
        <v>186</v>
      </c>
      <c r="F25" s="345">
        <f>E32/1000000</f>
        <v>1766.3599999881123</v>
      </c>
      <c r="G25" s="345">
        <f>F25</f>
        <v>1766.3599999881123</v>
      </c>
      <c r="H25" s="1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s="490" customFormat="1" ht="15" customHeight="1">
      <c r="A26" s="755"/>
      <c r="B26" s="756" t="s">
        <v>210</v>
      </c>
      <c r="C26" s="757">
        <f>E20*1000000</f>
        <v>113187199.99954981</v>
      </c>
      <c r="D26" s="758" t="s">
        <v>94</v>
      </c>
      <c r="E26" s="759"/>
      <c r="F26" s="760"/>
      <c r="G26" s="758"/>
      <c r="H26" s="60"/>
      <c r="I26" s="489"/>
      <c r="J26" s="489"/>
      <c r="K26" s="489"/>
      <c r="L26" s="489"/>
      <c r="M26" s="489"/>
      <c r="N26" s="489"/>
      <c r="O26" s="489"/>
      <c r="P26" s="489"/>
    </row>
    <row r="27" spans="1:69" s="490" customFormat="1" ht="15" customHeight="1">
      <c r="A27" s="755"/>
      <c r="B27" s="756" t="s">
        <v>211</v>
      </c>
      <c r="C27" s="757">
        <f>D20*1000000</f>
        <v>1766359999.9881124</v>
      </c>
      <c r="D27" s="758" t="s">
        <v>94</v>
      </c>
      <c r="E27" s="759"/>
      <c r="F27" s="760"/>
      <c r="G27" s="758"/>
      <c r="H27" s="60"/>
      <c r="I27" s="489"/>
      <c r="J27" s="637">
        <f>G32</f>
        <v>1942995999.9869237</v>
      </c>
      <c r="K27" s="489"/>
      <c r="L27" s="489"/>
      <c r="M27" s="489"/>
      <c r="N27" s="489"/>
      <c r="O27" s="489"/>
      <c r="P27" s="489"/>
    </row>
    <row r="28" spans="1:69" ht="42.75">
      <c r="A28" s="63" t="s">
        <v>26</v>
      </c>
      <c r="B28" s="63" t="s">
        <v>96</v>
      </c>
      <c r="C28" s="63" t="s">
        <v>97</v>
      </c>
      <c r="D28" s="63" t="s">
        <v>98</v>
      </c>
      <c r="E28" s="63" t="s">
        <v>99</v>
      </c>
      <c r="F28" s="63" t="s">
        <v>100</v>
      </c>
      <c r="G28" s="63" t="s">
        <v>101</v>
      </c>
      <c r="H28" s="635">
        <f>G31+G32+G36</f>
        <v>2106361839.986167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</row>
    <row r="29" spans="1:69" ht="16.5">
      <c r="A29" s="63">
        <v>1</v>
      </c>
      <c r="B29" s="63">
        <v>2</v>
      </c>
      <c r="C29" s="63">
        <v>3</v>
      </c>
      <c r="D29" s="63">
        <v>4</v>
      </c>
      <c r="E29" s="63" t="s">
        <v>102</v>
      </c>
      <c r="F29" s="63" t="s">
        <v>103</v>
      </c>
      <c r="G29" s="63" t="s">
        <v>104</v>
      </c>
      <c r="I29" s="88"/>
      <c r="J29" s="88"/>
      <c r="K29" s="88"/>
      <c r="L29" s="88"/>
      <c r="M29" s="88"/>
      <c r="N29" s="88"/>
      <c r="O29" s="88"/>
      <c r="P29" s="88"/>
    </row>
    <row r="30" spans="1:69" ht="16.5">
      <c r="A30" s="63">
        <v>1</v>
      </c>
      <c r="B30" s="761" t="s">
        <v>105</v>
      </c>
      <c r="C30" s="69"/>
      <c r="D30" s="69"/>
      <c r="E30" s="69"/>
      <c r="F30" s="69"/>
      <c r="G30" s="69"/>
      <c r="H30" s="636">
        <f>H28*30%</f>
        <v>631908551.99585009</v>
      </c>
      <c r="I30" s="88"/>
      <c r="J30" s="88"/>
      <c r="K30" s="88"/>
      <c r="L30" s="88"/>
      <c r="M30" s="88"/>
      <c r="N30" s="88"/>
      <c r="O30" s="88"/>
      <c r="P30" s="88"/>
    </row>
    <row r="31" spans="1:69" s="631" customFormat="1" ht="16.5">
      <c r="A31" s="762" t="s">
        <v>106</v>
      </c>
      <c r="B31" s="626" t="s">
        <v>242</v>
      </c>
      <c r="C31" s="627">
        <f>C26</f>
        <v>113187199.99954981</v>
      </c>
      <c r="D31" s="628">
        <v>1</v>
      </c>
      <c r="E31" s="629">
        <f>D31*C31</f>
        <v>113187199.99954981</v>
      </c>
      <c r="F31" s="629">
        <f>E31*10%</f>
        <v>11318719.999954982</v>
      </c>
      <c r="G31" s="629">
        <f>F31+E31</f>
        <v>124505919.99950479</v>
      </c>
      <c r="I31" s="632">
        <f>485000000</f>
        <v>485000000</v>
      </c>
      <c r="J31" s="632">
        <f>G31*92%</f>
        <v>114545446.39954442</v>
      </c>
      <c r="K31" s="633"/>
      <c r="L31" s="633"/>
      <c r="M31" s="633"/>
      <c r="N31" s="633"/>
      <c r="O31" s="633"/>
      <c r="P31" s="633"/>
    </row>
    <row r="32" spans="1:69" s="631" customFormat="1" ht="16.5">
      <c r="A32" s="762" t="s">
        <v>108</v>
      </c>
      <c r="B32" s="626" t="s">
        <v>243</v>
      </c>
      <c r="C32" s="627">
        <f>C27</f>
        <v>1766359999.9881124</v>
      </c>
      <c r="D32" s="628">
        <v>1</v>
      </c>
      <c r="E32" s="629">
        <f>C32*D32</f>
        <v>1766359999.9881124</v>
      </c>
      <c r="F32" s="629">
        <f>E32*10%</f>
        <v>176635999.99881124</v>
      </c>
      <c r="G32" s="629">
        <f>F32+E32</f>
        <v>1942995999.9869237</v>
      </c>
      <c r="I32" s="633"/>
      <c r="J32" s="633"/>
      <c r="K32" s="633"/>
      <c r="L32" s="633"/>
      <c r="M32" s="633"/>
      <c r="N32" s="633"/>
      <c r="O32" s="633"/>
      <c r="P32" s="633"/>
    </row>
    <row r="33" spans="1:16" ht="30" hidden="1">
      <c r="A33" s="763" t="s">
        <v>110</v>
      </c>
      <c r="B33" s="462" t="s">
        <v>111</v>
      </c>
      <c r="C33" s="463">
        <f>E32</f>
        <v>1766359999.9881124</v>
      </c>
      <c r="D33" s="459"/>
      <c r="E33" s="458">
        <f>C33*D33</f>
        <v>0</v>
      </c>
      <c r="F33" s="458">
        <f>E33*8%</f>
        <v>0</v>
      </c>
      <c r="G33" s="458">
        <f>F33+E33</f>
        <v>0</v>
      </c>
      <c r="H33" s="636">
        <f>H28-H30</f>
        <v>1474453287.9903169</v>
      </c>
      <c r="I33" s="381">
        <f>G32+G31</f>
        <v>2067501919.9864285</v>
      </c>
      <c r="J33" s="88"/>
      <c r="K33" s="88"/>
      <c r="L33" s="88"/>
      <c r="M33" s="88"/>
      <c r="N33" s="88"/>
      <c r="O33" s="88"/>
      <c r="P33" s="88"/>
    </row>
    <row r="34" spans="1:16" ht="16.5">
      <c r="A34" s="764"/>
      <c r="B34" s="63" t="s">
        <v>112</v>
      </c>
      <c r="C34" s="79"/>
      <c r="D34" s="310"/>
      <c r="E34" s="70">
        <f>E32+E31</f>
        <v>1879547199.9876623</v>
      </c>
      <c r="F34" s="71">
        <f>SUM(F30:F33)</f>
        <v>187954719.99876621</v>
      </c>
      <c r="G34" s="71">
        <f>SUM(G30:G33)</f>
        <v>2067501919.9864285</v>
      </c>
      <c r="I34" s="381">
        <f>G32*70%</f>
        <v>1360097199.9908464</v>
      </c>
      <c r="J34" s="88"/>
      <c r="K34" s="88"/>
      <c r="L34" s="638">
        <f>70%*I33</f>
        <v>1447251343.9905</v>
      </c>
      <c r="M34" s="88"/>
      <c r="N34" s="88"/>
      <c r="O34" s="88"/>
      <c r="P34" s="88"/>
    </row>
    <row r="35" spans="1:16" ht="16.5">
      <c r="A35" s="63">
        <v>2</v>
      </c>
      <c r="B35" s="224" t="s">
        <v>113</v>
      </c>
      <c r="C35" s="79">
        <f>E31</f>
        <v>113187199.99954981</v>
      </c>
      <c r="D35" s="165">
        <v>0.2</v>
      </c>
      <c r="E35" s="78">
        <f>D35*C35</f>
        <v>22637439.999909963</v>
      </c>
      <c r="F35" s="79"/>
      <c r="G35" s="78">
        <f>SUM(E35:F35)</f>
        <v>22637439.999909963</v>
      </c>
      <c r="H35" s="675">
        <f>G35+G31</f>
        <v>147143359.99941474</v>
      </c>
      <c r="I35" s="88"/>
      <c r="J35" s="638">
        <f>3%*I33</f>
        <v>62025057.59959285</v>
      </c>
      <c r="K35" s="88"/>
      <c r="L35" s="88"/>
      <c r="M35" s="88"/>
      <c r="N35" s="88"/>
      <c r="O35" s="88"/>
      <c r="P35" s="88"/>
    </row>
    <row r="36" spans="1:16" ht="16.5">
      <c r="A36" s="63">
        <v>3</v>
      </c>
      <c r="B36" s="224" t="s">
        <v>214</v>
      </c>
      <c r="C36" s="79">
        <f>E32</f>
        <v>1766359999.9881124</v>
      </c>
      <c r="D36" s="165">
        <v>0.02</v>
      </c>
      <c r="E36" s="78">
        <f>D36*C36</f>
        <v>35327199.999762252</v>
      </c>
      <c r="F36" s="79">
        <f>E36*10%</f>
        <v>3532719.9999762252</v>
      </c>
      <c r="G36" s="78">
        <f>SUM(E36:F36)</f>
        <v>38859919.999738477</v>
      </c>
      <c r="H36" s="59"/>
      <c r="I36" s="88"/>
      <c r="J36" s="88"/>
      <c r="K36" s="88"/>
      <c r="L36" s="88"/>
      <c r="M36" s="88"/>
      <c r="N36" s="88"/>
      <c r="O36" s="88"/>
      <c r="P36" s="88"/>
    </row>
    <row r="37" spans="1:16" ht="16.5">
      <c r="A37" s="63">
        <v>4</v>
      </c>
      <c r="B37" s="224" t="s">
        <v>114</v>
      </c>
      <c r="C37" s="319">
        <f>C36</f>
        <v>1766359999.9881124</v>
      </c>
      <c r="D37" s="310">
        <f>F20/100</f>
        <v>5.9669999999999994E-2</v>
      </c>
      <c r="E37" s="78">
        <f t="shared" ref="E37:E38" si="0">D37*C37</f>
        <v>105398701.19929066</v>
      </c>
      <c r="F37" s="79"/>
      <c r="G37" s="78">
        <f t="shared" ref="G37:G39" si="1">SUM(E37:F37)</f>
        <v>105398701.19929066</v>
      </c>
      <c r="H37" s="58"/>
      <c r="I37" s="88"/>
      <c r="J37" s="88"/>
      <c r="K37" s="88"/>
      <c r="L37" s="88"/>
      <c r="M37" s="88"/>
      <c r="N37" s="88"/>
      <c r="O37" s="88"/>
      <c r="P37" s="88"/>
    </row>
    <row r="38" spans="1:16" ht="16.5">
      <c r="A38" s="63">
        <v>5</v>
      </c>
      <c r="B38" s="224" t="s">
        <v>234</v>
      </c>
      <c r="C38" s="319">
        <f>C37</f>
        <v>1766359999.9881124</v>
      </c>
      <c r="D38" s="310">
        <f>G20/100</f>
        <v>5.5670000000000004E-2</v>
      </c>
      <c r="E38" s="78">
        <f t="shared" si="0"/>
        <v>98333261.199338228</v>
      </c>
      <c r="F38" s="79"/>
      <c r="G38" s="78">
        <f t="shared" si="1"/>
        <v>98333261.199338228</v>
      </c>
      <c r="H38" s="59"/>
      <c r="I38" s="88"/>
      <c r="J38" s="634">
        <f>30%*I33</f>
        <v>620250575.99592853</v>
      </c>
      <c r="K38" s="88"/>
      <c r="L38" s="88"/>
      <c r="M38" s="88"/>
      <c r="N38" s="88"/>
      <c r="O38" s="88"/>
      <c r="P38" s="88"/>
    </row>
    <row r="39" spans="1:16" ht="39" customHeight="1">
      <c r="A39" s="63">
        <v>6</v>
      </c>
      <c r="B39" s="224" t="s">
        <v>235</v>
      </c>
      <c r="C39" s="319">
        <f>C38</f>
        <v>1766359999.9881124</v>
      </c>
      <c r="D39" s="165">
        <v>0.03</v>
      </c>
      <c r="E39" s="78">
        <f>D39*C39</f>
        <v>52990799.999643371</v>
      </c>
      <c r="F39" s="79">
        <f>E39*10%</f>
        <v>5299079.9999643378</v>
      </c>
      <c r="G39" s="78">
        <f t="shared" si="1"/>
        <v>58289879.999607712</v>
      </c>
      <c r="H39" s="97"/>
      <c r="I39" s="88"/>
      <c r="J39" s="88"/>
      <c r="K39" s="88"/>
      <c r="L39" s="88"/>
      <c r="M39" s="88"/>
      <c r="N39" s="88"/>
      <c r="O39" s="88"/>
      <c r="P39" s="88"/>
    </row>
    <row r="40" spans="1:16" ht="28.5">
      <c r="A40" s="63">
        <v>7</v>
      </c>
      <c r="B40" s="224" t="s">
        <v>244</v>
      </c>
      <c r="C40" s="79"/>
      <c r="D40" s="77"/>
      <c r="E40" s="78">
        <f>SUM(E41:E44)</f>
        <v>5828987.9999607718</v>
      </c>
      <c r="F40" s="79"/>
      <c r="G40" s="78">
        <f>SUM(G41:G44)</f>
        <v>6411886.7999568488</v>
      </c>
      <c r="H40" s="100"/>
      <c r="I40" s="88"/>
      <c r="J40" s="88"/>
      <c r="K40" s="88"/>
      <c r="L40" s="88"/>
      <c r="M40" s="88"/>
      <c r="N40" s="88"/>
      <c r="O40" s="88"/>
    </row>
    <row r="41" spans="1:16" ht="35.25" customHeight="1">
      <c r="A41" s="677" t="s">
        <v>216</v>
      </c>
      <c r="B41" s="416" t="s">
        <v>391</v>
      </c>
      <c r="C41" s="79">
        <f>SUM(G32:G33)</f>
        <v>1942995999.9869237</v>
      </c>
      <c r="D41" s="77">
        <v>1E-3</v>
      </c>
      <c r="E41" s="79">
        <f>D41*C41</f>
        <v>1942995.9999869238</v>
      </c>
      <c r="F41" s="79">
        <f>E41*10%</f>
        <v>194299.5999986924</v>
      </c>
      <c r="G41" s="78">
        <f>IF(SUM(E41:F41)&lt;1000000, 1000000,SUM(E41:F41))</f>
        <v>2137295.5999856163</v>
      </c>
      <c r="H41" s="100"/>
      <c r="I41" s="88"/>
      <c r="J41" s="88"/>
      <c r="K41" s="88"/>
      <c r="L41" s="638">
        <f>5%*G32</f>
        <v>97149799.999346197</v>
      </c>
      <c r="M41" s="88"/>
      <c r="N41" s="88"/>
      <c r="O41" s="88"/>
    </row>
    <row r="42" spans="1:16" ht="39.75" customHeight="1">
      <c r="A42" s="677" t="s">
        <v>217</v>
      </c>
      <c r="B42" s="416" t="s">
        <v>392</v>
      </c>
      <c r="C42" s="79">
        <f>C41</f>
        <v>1942995999.9869237</v>
      </c>
      <c r="D42" s="77">
        <v>1E-3</v>
      </c>
      <c r="E42" s="79">
        <f t="shared" ref="E42" si="2">D42*C42</f>
        <v>1942995.9999869238</v>
      </c>
      <c r="F42" s="79">
        <f>E42*10%</f>
        <v>194299.5999986924</v>
      </c>
      <c r="G42" s="78">
        <f t="shared" ref="G42" si="3">IF(SUM(E42:F42)&lt;1000000, 1000000,SUM(E42:F42))</f>
        <v>2137295.5999856163</v>
      </c>
      <c r="H42" s="100"/>
      <c r="I42" s="88"/>
      <c r="J42" s="88"/>
      <c r="K42" s="88"/>
      <c r="L42" s="88"/>
      <c r="M42" s="88"/>
      <c r="N42" s="88"/>
      <c r="O42" s="88"/>
    </row>
    <row r="43" spans="1:16" ht="36" customHeight="1">
      <c r="A43" s="677" t="s">
        <v>218</v>
      </c>
      <c r="B43" s="416" t="s">
        <v>123</v>
      </c>
      <c r="C43" s="79">
        <f>C42</f>
        <v>1942995999.9869237</v>
      </c>
      <c r="D43" s="77">
        <v>5.0000000000000001E-4</v>
      </c>
      <c r="E43" s="79">
        <f>D43*C43</f>
        <v>971497.99999346188</v>
      </c>
      <c r="F43" s="79">
        <f>E43*10%</f>
        <v>97149.7999993462</v>
      </c>
      <c r="G43" s="78">
        <f>IF(SUM(E43:F43)&lt;1000000, 1000000,SUM(E43:F43))</f>
        <v>1068647.7999928081</v>
      </c>
      <c r="H43" s="100"/>
      <c r="I43" s="88"/>
      <c r="J43" s="88"/>
      <c r="K43" s="88"/>
      <c r="L43" s="88"/>
      <c r="M43" s="88"/>
      <c r="N43" s="88"/>
      <c r="O43" s="88"/>
    </row>
    <row r="44" spans="1:16" ht="45">
      <c r="A44" s="677" t="s">
        <v>219</v>
      </c>
      <c r="B44" s="416" t="s">
        <v>125</v>
      </c>
      <c r="C44" s="79">
        <f>C43</f>
        <v>1942995999.9869237</v>
      </c>
      <c r="D44" s="77">
        <v>5.0000000000000001E-4</v>
      </c>
      <c r="E44" s="79">
        <f>D44*C44</f>
        <v>971497.99999346188</v>
      </c>
      <c r="F44" s="79">
        <f>E44*10%</f>
        <v>97149.7999993462</v>
      </c>
      <c r="G44" s="78">
        <f>IF(SUM(E44:F44)&lt;1000000, 1000000,SUM(E44:F44))</f>
        <v>1068647.7999928081</v>
      </c>
      <c r="H44" s="100"/>
      <c r="I44" s="88"/>
      <c r="J44" s="88"/>
      <c r="K44" s="88"/>
      <c r="L44" s="88"/>
      <c r="M44" s="88"/>
      <c r="N44" s="88"/>
      <c r="O44" s="88"/>
    </row>
    <row r="45" spans="1:16" ht="16.5">
      <c r="A45" s="678"/>
      <c r="B45" s="678" t="s">
        <v>220</v>
      </c>
      <c r="C45" s="679"/>
      <c r="D45" s="679"/>
      <c r="E45" s="726"/>
      <c r="F45" s="680">
        <f>E46*10%</f>
        <v>220006359.03855678</v>
      </c>
      <c r="G45" s="680">
        <f>SUM(G35:G40)</f>
        <v>329931089.19784188</v>
      </c>
      <c r="H45" s="59"/>
      <c r="I45" s="88"/>
      <c r="J45" s="88">
        <f>840</f>
        <v>840</v>
      </c>
      <c r="K45" s="88"/>
      <c r="L45" s="88"/>
      <c r="M45" s="88"/>
      <c r="N45" s="88"/>
      <c r="O45" s="88"/>
      <c r="P45" s="88"/>
    </row>
    <row r="46" spans="1:16" ht="16.5">
      <c r="A46" s="678"/>
      <c r="B46" s="678" t="s">
        <v>393</v>
      </c>
      <c r="C46" s="679"/>
      <c r="D46" s="679"/>
      <c r="E46" s="680">
        <f>E40+E39+E38+E37+E36+E35+E34</f>
        <v>2200063590.3855677</v>
      </c>
      <c r="F46" s="680">
        <f>E46*10%</f>
        <v>220006359.03855678</v>
      </c>
      <c r="G46" s="680">
        <f>F46+E46</f>
        <v>2420069949.4241242</v>
      </c>
      <c r="H46" s="59"/>
      <c r="I46" s="88"/>
      <c r="J46" s="88"/>
      <c r="K46" s="88"/>
      <c r="L46" s="88"/>
      <c r="M46" s="88"/>
      <c r="N46" s="88"/>
      <c r="O46" s="88"/>
      <c r="P46" s="88"/>
    </row>
    <row r="47" spans="1:16" ht="47.25">
      <c r="A47" s="678">
        <v>8</v>
      </c>
      <c r="B47" s="676" t="s">
        <v>390</v>
      </c>
      <c r="C47" s="681">
        <f>E46</f>
        <v>2200063590.3855677</v>
      </c>
      <c r="D47" s="682">
        <v>5.7000000000000002E-3</v>
      </c>
      <c r="E47" s="70">
        <f>C47*0.57%</f>
        <v>12540362.465197735</v>
      </c>
      <c r="F47" s="71">
        <f>E47*10%</f>
        <v>1254036.2465197735</v>
      </c>
      <c r="G47" s="71">
        <f>F47+E47</f>
        <v>13794398.711717509</v>
      </c>
      <c r="H47" s="59"/>
      <c r="I47" s="88"/>
      <c r="J47" s="88"/>
      <c r="K47" s="88"/>
      <c r="L47" s="88"/>
      <c r="M47" s="88"/>
      <c r="N47" s="88"/>
      <c r="O47" s="88"/>
      <c r="P47" s="88"/>
    </row>
    <row r="48" spans="1:16" ht="16.5">
      <c r="A48" s="678"/>
      <c r="B48" s="683" t="s">
        <v>245</v>
      </c>
      <c r="C48" s="681"/>
      <c r="D48" s="682"/>
      <c r="E48" s="70"/>
      <c r="F48" s="71"/>
      <c r="G48" s="685">
        <f>G47+G46</f>
        <v>2433864348.1358418</v>
      </c>
      <c r="H48" s="59"/>
      <c r="I48" s="88"/>
      <c r="J48" s="88"/>
      <c r="K48" s="88"/>
      <c r="L48" s="88"/>
      <c r="M48" s="88"/>
      <c r="N48" s="88"/>
      <c r="O48" s="88"/>
      <c r="P48" s="88"/>
    </row>
    <row r="49" spans="1:69" ht="16.5">
      <c r="A49" s="333"/>
      <c r="B49" s="683" t="s">
        <v>394</v>
      </c>
      <c r="C49" s="683"/>
      <c r="D49" s="683"/>
      <c r="E49" s="683"/>
      <c r="F49" s="684"/>
      <c r="G49" s="685">
        <v>2433864000</v>
      </c>
      <c r="H49" s="62"/>
      <c r="I49" s="88"/>
      <c r="J49" s="88">
        <v>1975</v>
      </c>
      <c r="K49" s="88"/>
      <c r="L49" s="88"/>
      <c r="M49" s="88"/>
      <c r="N49" s="88"/>
      <c r="O49" s="88"/>
      <c r="P49" s="88"/>
    </row>
    <row r="50" spans="1:69" ht="16.5">
      <c r="A50" s="765" t="str">
        <f ca="1">CONCATENATE("Bằng chữ :  ",UPPER(LEFT(Q105))&amp;RIGHT(Q105,LEN(Q105)-1))</f>
        <v>Bằng chữ :  Hai tỷ, bốn trăm ba mươi ba triệu, tám trăm  sáu mươi  bốn nghìn  đồng chẵn</v>
      </c>
      <c r="B50" s="726"/>
      <c r="C50" s="726"/>
      <c r="D50" s="726"/>
      <c r="E50" s="726"/>
      <c r="F50" s="726"/>
      <c r="G50" s="726"/>
      <c r="I50" s="88"/>
      <c r="J50" s="88">
        <f>SUM(J45:J49)</f>
        <v>2815</v>
      </c>
      <c r="K50" s="88"/>
      <c r="L50" s="88"/>
      <c r="M50" s="88"/>
      <c r="N50" s="88"/>
      <c r="O50" s="88"/>
      <c r="P50" s="88"/>
    </row>
    <row r="51" spans="1:69" ht="16.5">
      <c r="A51" s="725"/>
      <c r="B51" s="726"/>
      <c r="C51" s="726"/>
      <c r="D51" s="726"/>
      <c r="E51" s="766" t="s">
        <v>364</v>
      </c>
      <c r="F51" s="766"/>
      <c r="G51" s="766"/>
      <c r="H51" s="98"/>
      <c r="I51" s="88"/>
      <c r="J51" s="88"/>
      <c r="K51" s="88"/>
      <c r="L51" s="88"/>
      <c r="M51" s="88">
        <f>26*44</f>
        <v>1144</v>
      </c>
      <c r="N51" s="88"/>
      <c r="O51" s="88"/>
      <c r="P51" s="8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16.5">
      <c r="A52" s="725"/>
      <c r="B52" s="726"/>
      <c r="C52" s="726"/>
      <c r="D52" s="726"/>
      <c r="E52" s="767" t="s">
        <v>129</v>
      </c>
      <c r="F52" s="767"/>
      <c r="G52" s="767"/>
      <c r="H52" s="98"/>
      <c r="I52" s="88"/>
      <c r="J52" s="641">
        <f>+G49+'[1]THKP hạng mục'!$H$26</f>
        <v>3458197127.2188797</v>
      </c>
      <c r="K52" s="88"/>
      <c r="L52" s="88"/>
      <c r="M52" s="88"/>
      <c r="N52" s="88"/>
      <c r="O52" s="88"/>
      <c r="P52" s="8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ht="16.5">
      <c r="B53" s="339"/>
      <c r="E53" s="686"/>
      <c r="F53" s="686"/>
      <c r="G53" s="686"/>
      <c r="H53" s="99"/>
      <c r="I53" s="88"/>
      <c r="J53" s="88"/>
      <c r="K53" s="88"/>
      <c r="L53" s="88"/>
      <c r="M53" s="88"/>
      <c r="N53" s="88"/>
      <c r="O53" s="88"/>
      <c r="P53" s="8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ht="16.5">
      <c r="E54" s="133"/>
      <c r="F54" s="133"/>
      <c r="G54" s="133"/>
      <c r="H54" s="100"/>
      <c r="I54" s="88"/>
      <c r="J54" s="88"/>
      <c r="K54" s="88"/>
      <c r="L54" s="88"/>
      <c r="M54" s="88"/>
      <c r="N54" s="88"/>
      <c r="O54" s="88"/>
      <c r="P54" s="8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ht="16.5">
      <c r="E55" s="133"/>
      <c r="F55" s="133"/>
      <c r="G55" s="133"/>
      <c r="H55" s="100"/>
      <c r="I55" s="88"/>
      <c r="J55" s="88"/>
      <c r="K55" s="88"/>
      <c r="L55" s="88"/>
      <c r="M55" s="88"/>
      <c r="N55" s="88"/>
      <c r="O55" s="88"/>
      <c r="P55" s="8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ht="16.5">
      <c r="E56" s="133"/>
      <c r="F56" s="133"/>
      <c r="G56" s="133"/>
      <c r="H56" s="100"/>
      <c r="I56" s="88"/>
      <c r="J56" s="88"/>
      <c r="K56" s="88"/>
      <c r="L56" s="88"/>
      <c r="M56" s="88"/>
      <c r="N56" s="88"/>
      <c r="O56" s="88"/>
      <c r="P56" s="8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ht="16.5">
      <c r="E57" s="133"/>
      <c r="F57" s="133"/>
      <c r="G57" s="133"/>
      <c r="H57" s="101"/>
      <c r="I57" s="88"/>
      <c r="J57" s="88"/>
      <c r="K57" s="88"/>
      <c r="L57" s="88"/>
      <c r="M57" s="88"/>
      <c r="N57" s="88"/>
      <c r="O57" s="88"/>
      <c r="P57" s="8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ht="16.5">
      <c r="E58" s="133"/>
      <c r="F58" s="133"/>
      <c r="G58" s="133"/>
      <c r="H58" s="100"/>
      <c r="I58" s="88"/>
      <c r="J58" s="88"/>
      <c r="K58" s="88"/>
      <c r="L58" s="88"/>
      <c r="M58" s="88"/>
      <c r="N58" s="88"/>
      <c r="O58" s="88"/>
      <c r="P58" s="8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ht="16.5">
      <c r="E59" s="133"/>
      <c r="F59" s="133"/>
      <c r="G59" s="133"/>
      <c r="H59" s="100"/>
      <c r="I59" s="88"/>
      <c r="J59" s="88"/>
      <c r="K59" s="88"/>
      <c r="L59" s="88"/>
      <c r="M59" s="88"/>
      <c r="N59" s="88"/>
      <c r="O59" s="88"/>
      <c r="P59" s="8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ht="16.5">
      <c r="B60" s="339"/>
      <c r="E60" s="711"/>
      <c r="F60" s="711"/>
      <c r="G60" s="133"/>
      <c r="H60" s="100"/>
      <c r="I60" s="88"/>
      <c r="J60" s="88"/>
      <c r="K60" s="88"/>
      <c r="L60" s="88"/>
      <c r="M60" s="88"/>
      <c r="N60" s="88"/>
      <c r="O60" s="88"/>
      <c r="P60" s="8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ht="16.5">
      <c r="B61" s="339"/>
      <c r="E61" s="686"/>
      <c r="F61" s="686"/>
      <c r="G61" s="686"/>
      <c r="H61" s="102"/>
      <c r="I61" s="88"/>
      <c r="J61" s="88"/>
      <c r="K61" s="88"/>
      <c r="L61" s="88"/>
      <c r="M61" s="88"/>
      <c r="N61" s="88"/>
      <c r="O61" s="88"/>
      <c r="P61" s="88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</row>
    <row r="62" spans="1:69" ht="16.5">
      <c r="H62" s="104"/>
      <c r="I62" s="88"/>
      <c r="J62" s="88"/>
      <c r="K62" s="88"/>
      <c r="L62" s="88"/>
      <c r="M62" s="88"/>
      <c r="N62" s="88"/>
      <c r="O62" s="88"/>
      <c r="P62" s="88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</row>
    <row r="63" spans="1:69" ht="16.5">
      <c r="H63" s="105"/>
      <c r="I63" s="88"/>
      <c r="J63" s="88"/>
      <c r="K63" s="88"/>
      <c r="L63" s="88"/>
      <c r="M63" s="88"/>
      <c r="N63" s="88"/>
      <c r="O63" s="88"/>
      <c r="P63" s="88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</row>
    <row r="64" spans="1:69" ht="16.5">
      <c r="I64" s="88"/>
      <c r="J64" s="88"/>
      <c r="K64" s="88"/>
      <c r="L64" s="88"/>
      <c r="M64" s="88"/>
      <c r="N64" s="88"/>
      <c r="O64" s="88"/>
      <c r="P64" s="88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</row>
    <row r="65" spans="8:16" ht="16.5">
      <c r="H65" s="57"/>
      <c r="I65" s="88"/>
      <c r="J65" s="88"/>
      <c r="K65" s="88"/>
      <c r="L65" s="88"/>
      <c r="M65" s="88"/>
      <c r="N65" s="88"/>
      <c r="O65" s="88"/>
      <c r="P65" s="110"/>
    </row>
    <row r="66" spans="8:16" ht="16.5">
      <c r="I66" s="88"/>
      <c r="J66" s="88"/>
      <c r="K66" s="88"/>
      <c r="L66" s="88"/>
      <c r="M66" s="88"/>
      <c r="N66" s="88"/>
      <c r="O66" s="88"/>
      <c r="P66" s="88"/>
    </row>
    <row r="67" spans="8:16" ht="16.5">
      <c r="I67" s="88"/>
      <c r="J67" s="88"/>
      <c r="K67" s="88"/>
      <c r="L67" s="88"/>
      <c r="M67" s="88"/>
      <c r="N67" s="88"/>
      <c r="O67" s="88"/>
    </row>
    <row r="68" spans="8:16" ht="16.5">
      <c r="I68" s="88"/>
      <c r="J68" s="88"/>
      <c r="K68" s="88"/>
      <c r="L68" s="88"/>
      <c r="M68" s="88"/>
      <c r="N68" s="88"/>
      <c r="O68" s="88"/>
    </row>
    <row r="69" spans="8:16" ht="16.5">
      <c r="I69" s="88"/>
      <c r="J69" s="88"/>
      <c r="K69" s="88"/>
      <c r="L69" s="88"/>
      <c r="M69" s="88"/>
      <c r="N69" s="88"/>
      <c r="O69" s="88"/>
    </row>
    <row r="70" spans="8:16" ht="16.5">
      <c r="I70" s="88"/>
      <c r="J70" s="88"/>
      <c r="K70" s="88"/>
      <c r="L70" s="88"/>
      <c r="M70" s="88"/>
      <c r="N70" s="88"/>
      <c r="O70" s="88"/>
    </row>
    <row r="71" spans="8:16" ht="16.5">
      <c r="I71" s="88"/>
      <c r="J71" s="88"/>
      <c r="K71" s="88"/>
      <c r="L71" s="88"/>
      <c r="M71" s="88"/>
      <c r="N71" s="88"/>
      <c r="O71" s="88"/>
    </row>
    <row r="72" spans="8:16" ht="16.5">
      <c r="I72" s="88"/>
      <c r="J72" s="88"/>
      <c r="K72" s="88"/>
      <c r="L72" s="88"/>
      <c r="M72" s="88"/>
      <c r="N72" s="88"/>
      <c r="O72" s="88"/>
    </row>
    <row r="73" spans="8:16" ht="15.75">
      <c r="I73" s="110"/>
      <c r="J73" s="123"/>
      <c r="K73" s="130"/>
      <c r="L73" s="110"/>
      <c r="M73" s="110"/>
      <c r="N73" s="110"/>
      <c r="O73" s="110"/>
    </row>
    <row r="74" spans="8:16" ht="16.5">
      <c r="I74" s="90"/>
      <c r="J74" s="9" t="s">
        <v>246</v>
      </c>
      <c r="K74" s="88"/>
      <c r="L74" s="88"/>
      <c r="M74" s="88"/>
      <c r="N74" s="88"/>
      <c r="O74" s="88"/>
    </row>
    <row r="75" spans="8:16" ht="42.75" customHeight="1">
      <c r="I75" s="91" t="s">
        <v>132</v>
      </c>
      <c r="J75" s="92" t="s">
        <v>73</v>
      </c>
      <c r="K75" s="91" t="s">
        <v>74</v>
      </c>
      <c r="L75" s="240" t="s">
        <v>133</v>
      </c>
      <c r="M75" s="240"/>
      <c r="N75" s="240"/>
      <c r="O75" s="240"/>
      <c r="P75" s="1"/>
    </row>
    <row r="76" spans="8:16" ht="15">
      <c r="I76" s="93">
        <v>1</v>
      </c>
      <c r="J76" s="94" t="s">
        <v>236</v>
      </c>
      <c r="K76" s="95" t="s">
        <v>82</v>
      </c>
      <c r="L76" s="278">
        <f>IF(L81&lt;1,0.8168,IF(L81&gt;100,0.114,(L77-L78)/(L79-L80)*(L81-L80)+L78))</f>
        <v>0.70614095435219149</v>
      </c>
      <c r="M76" s="445"/>
      <c r="N76" s="278"/>
      <c r="O76" s="278"/>
      <c r="P76" s="1"/>
    </row>
    <row r="77" spans="8:16" ht="15">
      <c r="I77" s="3">
        <v>2</v>
      </c>
      <c r="J77" s="120" t="s">
        <v>237</v>
      </c>
      <c r="K77" s="5" t="s">
        <v>84</v>
      </c>
      <c r="L77" s="279">
        <f>IF(L81&lt;1,0.816,LOOKUP(L79,'Dinh muc'!$C$88:$I$89))+0.00000000000001</f>
        <v>0.81600000000000994</v>
      </c>
      <c r="M77" s="163"/>
      <c r="N77" s="163"/>
      <c r="O77" s="163"/>
      <c r="P77" s="1"/>
    </row>
    <row r="78" spans="8:16" ht="15">
      <c r="I78" s="3">
        <v>3</v>
      </c>
      <c r="J78" s="4" t="s">
        <v>238</v>
      </c>
      <c r="K78" s="5" t="s">
        <v>86</v>
      </c>
      <c r="L78" s="279">
        <f>LOOKUP(L80,'Dinh muc'!$C$88:$I$89)+0.0000000000001</f>
        <v>0.58300000000009999</v>
      </c>
      <c r="M78" s="163"/>
      <c r="N78" s="163"/>
      <c r="O78" s="163"/>
      <c r="P78" s="1"/>
    </row>
    <row r="79" spans="8:16" ht="15">
      <c r="I79" s="3">
        <v>4</v>
      </c>
      <c r="J79" s="4" t="s">
        <v>225</v>
      </c>
      <c r="K79" s="5" t="s">
        <v>88</v>
      </c>
      <c r="L79" s="163">
        <f>IF((L81&lt;1),1,(SMALL('Dinh muc'!$C$88:$I$88,COUNTIF('Dinh muc'!$C$88:$I$88,"&lt;="&amp;$L$81))))+0.00000000001</f>
        <v>1.00000000001</v>
      </c>
      <c r="M79" s="163"/>
      <c r="N79" s="163"/>
      <c r="O79" s="163"/>
      <c r="P79" s="1"/>
    </row>
    <row r="80" spans="8:16" ht="15">
      <c r="I80" s="3">
        <v>5</v>
      </c>
      <c r="J80" s="4" t="s">
        <v>226</v>
      </c>
      <c r="K80" s="5" t="s">
        <v>90</v>
      </c>
      <c r="L80" s="163">
        <f>IF(L81&gt;100,100,(LARGE('Dinh muc'!$C$88:$I$88,COUNTIF('Dinh muc'!$C$88:$I$88,"&gt;="&amp;$L$81))))+0.0000000000000001</f>
        <v>3</v>
      </c>
      <c r="M80" s="163"/>
      <c r="N80" s="163"/>
      <c r="O80" s="163"/>
      <c r="P80" s="1"/>
    </row>
    <row r="81" spans="9:69" ht="15">
      <c r="I81" s="6">
        <v>6</v>
      </c>
      <c r="J81" s="7" t="s">
        <v>227</v>
      </c>
      <c r="K81" s="8" t="s">
        <v>92</v>
      </c>
      <c r="L81" s="164">
        <f>C41/1000000000+0.0000001</f>
        <v>1.9429960999869238</v>
      </c>
      <c r="M81" s="164"/>
      <c r="N81" s="164"/>
      <c r="O81" s="164"/>
      <c r="P81" s="1"/>
    </row>
    <row r="82" spans="9:69" ht="15">
      <c r="I82" s="1"/>
      <c r="J82" s="2"/>
      <c r="K82" s="1"/>
      <c r="L82" s="1"/>
      <c r="M82" s="1"/>
      <c r="N82" s="1"/>
      <c r="O82" s="1"/>
      <c r="P82" s="1"/>
    </row>
    <row r="83" spans="9:69" ht="15">
      <c r="I83" s="1"/>
      <c r="J83" s="1"/>
      <c r="K83" s="1"/>
      <c r="L83" s="55"/>
      <c r="M83" s="1"/>
      <c r="N83" s="1"/>
      <c r="O83" s="1"/>
      <c r="P83" s="1"/>
    </row>
    <row r="84" spans="9:69" ht="15">
      <c r="I84" s="1"/>
      <c r="J84" s="1"/>
      <c r="K84" s="1"/>
      <c r="L84" s="1"/>
      <c r="M84" s="1"/>
      <c r="N84" s="1"/>
      <c r="O84" s="1"/>
      <c r="P84" s="1"/>
    </row>
    <row r="85" spans="9:69" ht="15">
      <c r="I85" s="1"/>
      <c r="J85" s="1"/>
      <c r="K85" s="1"/>
      <c r="L85" s="1"/>
      <c r="M85" s="1"/>
      <c r="N85" s="1"/>
      <c r="O85" s="1"/>
      <c r="P85" s="1"/>
    </row>
    <row r="86" spans="9:69" ht="15">
      <c r="I86" s="1"/>
      <c r="J86" s="1"/>
      <c r="K86" s="1"/>
      <c r="L86" s="1"/>
      <c r="M86" s="1"/>
      <c r="N86" s="1"/>
      <c r="O86" s="1"/>
      <c r="P86" s="1"/>
    </row>
    <row r="87" spans="9:69" ht="15">
      <c r="I87" s="1"/>
      <c r="J87" s="1"/>
      <c r="K87" s="1"/>
      <c r="L87" s="1"/>
      <c r="M87" s="1"/>
      <c r="N87" s="1"/>
      <c r="O87" s="1"/>
      <c r="P87" s="1"/>
    </row>
    <row r="88" spans="9:69" ht="15">
      <c r="I88" s="1"/>
      <c r="J88" s="1"/>
      <c r="K88" s="1"/>
      <c r="L88" s="1"/>
      <c r="M88" s="1"/>
      <c r="N88" s="1"/>
      <c r="O88" s="1"/>
      <c r="P88" s="1"/>
    </row>
    <row r="89" spans="9:69" ht="15.75">
      <c r="I89" s="1"/>
      <c r="J89" s="1"/>
      <c r="K89" s="1"/>
      <c r="L89" s="1"/>
      <c r="M89" s="1"/>
      <c r="N89" s="1"/>
      <c r="O89" s="1"/>
      <c r="P89" s="103"/>
    </row>
    <row r="90" spans="9:69" ht="15.75">
      <c r="I90" s="1"/>
      <c r="J90" s="1"/>
      <c r="K90" s="1"/>
      <c r="L90" s="1"/>
      <c r="M90" s="1"/>
      <c r="N90" s="1"/>
      <c r="O90" s="1"/>
      <c r="P90" s="103"/>
    </row>
    <row r="91" spans="9:69" ht="15.75">
      <c r="I91" s="1"/>
      <c r="J91" s="1"/>
      <c r="K91" s="1"/>
      <c r="L91" s="1"/>
      <c r="M91" s="1"/>
      <c r="N91" s="1"/>
      <c r="O91" s="1"/>
      <c r="P91" s="106"/>
    </row>
    <row r="92" spans="9:69" ht="15.75">
      <c r="I92" s="1"/>
      <c r="J92" s="1"/>
      <c r="K92" s="1"/>
      <c r="L92" s="1"/>
      <c r="M92" s="1"/>
      <c r="N92" s="1"/>
      <c r="O92" s="1"/>
      <c r="P92" s="106"/>
    </row>
    <row r="93" spans="9:69" ht="15">
      <c r="I93" s="1"/>
      <c r="J93" s="1"/>
      <c r="K93" s="1"/>
      <c r="L93" s="1"/>
      <c r="M93" s="1"/>
      <c r="N93" s="1"/>
      <c r="O93" s="1"/>
    </row>
    <row r="94" spans="9:69" ht="15">
      <c r="I94" s="1"/>
      <c r="J94" s="1"/>
      <c r="K94" s="1"/>
      <c r="L94" s="1"/>
      <c r="M94" s="1"/>
      <c r="N94" s="1"/>
      <c r="O94" s="1"/>
    </row>
    <row r="95" spans="9:69" ht="15">
      <c r="I95" s="1"/>
      <c r="J95" s="1"/>
      <c r="K95" s="1"/>
      <c r="L95" s="1"/>
      <c r="M95" s="1"/>
      <c r="N95" s="1"/>
      <c r="O95" s="1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</row>
    <row r="96" spans="9:69" ht="15">
      <c r="I96" s="1"/>
      <c r="J96" s="1"/>
      <c r="K96" s="1"/>
      <c r="L96" s="1"/>
      <c r="M96" s="1"/>
      <c r="N96" s="1"/>
      <c r="O96" s="1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</row>
    <row r="97" spans="9:69" ht="15.75">
      <c r="I97" s="103"/>
      <c r="J97" s="103"/>
      <c r="K97" s="103"/>
      <c r="L97" s="103"/>
      <c r="M97" s="103"/>
      <c r="N97" s="103"/>
      <c r="O97" s="103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</row>
    <row r="98" spans="9:69" ht="15.75">
      <c r="I98" s="103"/>
      <c r="J98" s="103"/>
      <c r="K98" s="103"/>
      <c r="L98" s="103"/>
      <c r="M98" s="103"/>
      <c r="N98" s="103"/>
      <c r="O98" s="103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</row>
    <row r="99" spans="9:69" ht="18">
      <c r="I99" s="106"/>
      <c r="J99" s="106"/>
      <c r="K99" s="106"/>
      <c r="L99" s="106"/>
      <c r="M99" s="106"/>
      <c r="N99" s="106"/>
      <c r="O99" s="106"/>
      <c r="Q99" s="37"/>
      <c r="R99" s="37"/>
      <c r="S99" s="11"/>
      <c r="T99" s="37"/>
      <c r="U99" s="37"/>
      <c r="V99" s="37"/>
      <c r="W99" s="37"/>
      <c r="X99" s="37"/>
      <c r="Y99" s="38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</row>
    <row r="100" spans="9:69" ht="18.75">
      <c r="I100" s="106"/>
      <c r="J100" s="106"/>
      <c r="K100" s="106"/>
      <c r="L100" s="106"/>
      <c r="M100" s="106"/>
      <c r="N100" s="106"/>
      <c r="O100" s="106"/>
      <c r="Q100" s="37"/>
      <c r="R100" s="37"/>
      <c r="S100" s="13" t="str">
        <f>"© VVC, modify by Tuan dt"</f>
        <v>© VVC, modify by Tuan dt</v>
      </c>
      <c r="T100" s="37"/>
      <c r="U100" s="37"/>
      <c r="V100" s="37"/>
      <c r="W100" s="37"/>
      <c r="X100" s="37"/>
      <c r="Y100" s="38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</row>
    <row r="101" spans="9:69" ht="18">
      <c r="Q101" s="37"/>
      <c r="R101" s="37"/>
      <c r="S101" s="11" t="s">
        <v>146</v>
      </c>
      <c r="T101" s="37"/>
      <c r="U101" s="37"/>
      <c r="V101" s="37"/>
      <c r="W101" s="37" t="s">
        <v>146</v>
      </c>
      <c r="X101" s="37"/>
      <c r="Y101" s="38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</row>
    <row r="102" spans="9:69" ht="18">
      <c r="Q102" s="37">
        <v>6</v>
      </c>
      <c r="R102" s="37"/>
      <c r="S102" s="11"/>
      <c r="T102" s="37"/>
      <c r="U102" s="37"/>
      <c r="V102" s="37"/>
      <c r="W102" s="37"/>
      <c r="X102" s="37"/>
      <c r="Y102" s="38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</row>
    <row r="103" spans="9:69" ht="18.75" thickBot="1">
      <c r="Q103" s="37"/>
      <c r="R103" s="37"/>
      <c r="S103" s="37"/>
      <c r="T103" s="37"/>
      <c r="U103" s="37"/>
      <c r="V103" s="37"/>
      <c r="W103" s="37"/>
      <c r="X103" s="37"/>
      <c r="Y103" s="38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</row>
    <row r="104" spans="9:69" ht="18.75" thickBot="1">
      <c r="Q104" s="39">
        <f>G49</f>
        <v>2433864000</v>
      </c>
      <c r="R104" s="379" t="str">
        <f>IF(ROUND(VALUE(10*(100*Q104-INT(100*Q104))),0)&gt;0,"Chỉ có 2 chữ số sau dấu phẩy","")</f>
        <v/>
      </c>
      <c r="S104" s="37"/>
      <c r="T104" s="37"/>
      <c r="U104" s="37"/>
      <c r="V104" s="37"/>
      <c r="W104" s="37"/>
      <c r="X104" s="37"/>
      <c r="Y104" s="38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</row>
    <row r="105" spans="9:69" ht="18.75">
      <c r="Q105" s="16" t="str">
        <f ca="1">IF(Q104&gt;=1000000000000,"Công thức này chỉ có thể đếm thành chữ dưới 1000 tỷ",IF(ABS(Q104)&lt;1,"không",IF(Q104&lt;0,"âm ","")&amp;IF(Q107=0,"",R107)&amp;IF(AND(Q108=0,Q109=0),"",S108)&amp;IF(Q110=0,"",R110)&amp;IF(AND(Q111=0,Q112=0),"",S111)&amp;IF(Q113=0,"",R113)&amp;IF(AND(Q114=0,Q115=0),"",S114)&amp;IF(Q116=0,"",R116)&amp;IF(AND(Q117=0,Q118=0),"",IF(AND(Q117=0,Q118=1),"một",S117)))&amp;CELL("contents",V108))&amp;IF(T125=0,"",IF(P133=1,T124,S120))</f>
        <v>hai tỷ, bốn trăm ba mươi ba triệu, tám trăm  sáu mươi  bốn nghìn  đồng chẵn</v>
      </c>
      <c r="R105" s="41"/>
      <c r="S105" s="41"/>
      <c r="T105" s="41"/>
      <c r="U105" s="41"/>
      <c r="V105" s="41"/>
      <c r="W105" s="41"/>
      <c r="X105" s="41"/>
      <c r="Y105" s="38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</row>
    <row r="106" spans="9:69" ht="18.75">
      <c r="J106" s="55"/>
      <c r="Q106" s="18" t="str">
        <f>IF(Q104&lt;0,"minus   ","")&amp;SUBSTITUTE(SUBSTITUTE(SUBSTITUTE(SUBSTITUTE(Q122,8,"tám   "),9,"chín   "),",","phẩy   "),"-","")</f>
        <v xml:space="preserve">hai   bốn   ba   ba   tám   sáu   bốn   không   không   không   </v>
      </c>
      <c r="R106" s="42"/>
      <c r="S106" s="37"/>
      <c r="T106" s="37"/>
      <c r="U106" s="37"/>
      <c r="V106" s="37" t="s">
        <v>147</v>
      </c>
      <c r="W106" s="37"/>
      <c r="X106" s="37"/>
      <c r="Y106" s="38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</row>
    <row r="107" spans="9:69" ht="18">
      <c r="Q107" s="19">
        <f>VALUE(RIGHT(INT(ABS(Q104)/100000000000)))</f>
        <v>0</v>
      </c>
      <c r="R107" s="20" t="str">
        <f>IF(Q107=1,"một",IF(Q107=2,"hai",IF(Q107=3,"ba",IF(Q107=4,"bốn",IF(Q107=5,"năm",IF(Q107=6,"sáu",IF(Q107=7,"bẩy",IF(Q107=8,"tám","chín"))))))))&amp;" trăm "&amp;IF(AND(Q108=0,Q109=0),"tỷ","")</f>
        <v xml:space="preserve">chín trăm </v>
      </c>
      <c r="S107" s="31"/>
      <c r="T107" s="43"/>
      <c r="U107" s="37"/>
      <c r="V107" s="37">
        <v>1</v>
      </c>
      <c r="W107" s="37">
        <v>2</v>
      </c>
      <c r="X107" s="37">
        <v>3</v>
      </c>
      <c r="Y107" s="38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</row>
    <row r="108" spans="9:69" ht="18">
      <c r="Q108" s="19">
        <f>VALUE(RIGHT(INT(ABS(Q104)/10000000000)))</f>
        <v>0</v>
      </c>
      <c r="R108" s="20" t="str">
        <f>IF(Q108=1,"mười",IF(Q108=2," hai mươi",IF(Q108=3,"ba mươi",IF(Q108=4,"bốn mươi",IF(Q108=5,"năm mươi",IF(Q108=6,"sáu mươi",IF(Q108=7,"bẩy mươi",IF(Q108=8,"tám mươi","chín mươi"))))))))</f>
        <v>chín mươi</v>
      </c>
      <c r="S108" s="21" t="str">
        <f>IF(AND(Q108=0,Q109=1),"một tỷ ",IF(AND(Q108=1,Q109=1),"mười một",IF(AND(Q108=1,Q109=2),"mười hai",IF(AND(Q108=1,Q109=6),"mười sáu",IF(AND(Q108=1,Q109=7),"mười bẩy",IF(Q109=0,R108,IF(Q108=0,R109,R108&amp;IF(Q108&gt;1," ","")&amp;R109))))))&amp;" tỷ, ")</f>
        <v xml:space="preserve">hai tỷ, </v>
      </c>
      <c r="T108" s="44"/>
      <c r="U108" s="37"/>
      <c r="V108" s="22" t="str">
        <f>INDEX(V109:X125,P130,2)</f>
        <v xml:space="preserve"> đồng chẵn</v>
      </c>
      <c r="W108" s="22" t="str">
        <f>INDEX(V109:X125,P130,3)</f>
        <v xml:space="preserve"> xu</v>
      </c>
      <c r="X108" s="37"/>
      <c r="Y108" s="38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</row>
    <row r="109" spans="9:69" ht="18">
      <c r="Q109" s="23">
        <f>VALUE(RIGHT(INT(ABS(Q104)/1000000000)))</f>
        <v>2</v>
      </c>
      <c r="R109" s="20" t="str">
        <f>IF(Q109=1,"một",IF(Q109=2,"hai",IF(Q109=3,"ba",IF(Q109=4,"bốn",IF(Q109=5,"năm",IF(Q109=6,"sáu",IF(Q109=7,"bẩy",IF(Q109=8,"tám","chín"))))))))</f>
        <v>hai</v>
      </c>
      <c r="S109" s="45"/>
      <c r="T109" s="46"/>
      <c r="U109" s="37"/>
      <c r="V109" s="20" t="s">
        <v>149</v>
      </c>
      <c r="W109" s="20" t="s">
        <v>150</v>
      </c>
      <c r="X109" s="20" t="s">
        <v>151</v>
      </c>
      <c r="Y109" s="38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</row>
    <row r="110" spans="9:69" ht="18">
      <c r="Q110" s="24">
        <f>VALUE(RIGHT(INT(ABS(Q104)/100000000)))</f>
        <v>4</v>
      </c>
      <c r="R110" s="25" t="str">
        <f>IF(Q110=1,"một",IF(Q110=2,"hai",IF(Q110=3,"ba",IF(Q110=4,"bốn",IF(Q110=5,"năm",IF(Q110=6,"sáu",IF(Q110=7,"bẩy",IF(Q110=8,"tám","chín"))))))))&amp;" trăm "&amp;IF(AND(Q111=0,Q112=0),"triệu","")</f>
        <v xml:space="preserve">bốn trăm </v>
      </c>
      <c r="S110" s="47"/>
      <c r="T110" s="48"/>
      <c r="U110" s="37"/>
      <c r="V110" s="20" t="s">
        <v>153</v>
      </c>
      <c r="W110" s="20" t="s">
        <v>154</v>
      </c>
      <c r="X110" s="20" t="s">
        <v>155</v>
      </c>
      <c r="Y110" s="38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</row>
    <row r="111" spans="9:69" ht="18">
      <c r="Q111" s="24">
        <f>VALUE(RIGHT(INT(ABS(Q104)/10000000)))</f>
        <v>3</v>
      </c>
      <c r="R111" s="25" t="str">
        <f>IF(Q111=1,"mười ",IF(Q111=2,"hai mươi",IF(Q111=3,"ba mươi",IF(Q111=4,"bốn mươi",IF(Q111=5,"năm mươi",IF(Q111=6,"sáu mươi",IF(Q111=7,"bẩy mươi",IF(Q111=8,"tám mươi","chín mươi"))))))))</f>
        <v>ba mươi</v>
      </c>
      <c r="S111" s="26" t="str">
        <f>IF(AND(Q111=0,Q112=1),"một triệu",IF(AND(Q111=1,Q112=1),"mười một",IF(AND(Q111=1,Q112=2),"mười hai",IF(AND(Q111=1,Q112=6),"mười sáu",IF(AND(Q111=1,Q112=7),"mười bẩy",IF(Q112=0,R111,IF(Q111=0,R112,R111&amp;IF(Q111&gt;1," ","")&amp;R112))))))&amp;" triệu,")</f>
        <v>ba mươi ba triệu,</v>
      </c>
      <c r="T111" s="49"/>
      <c r="U111" s="37"/>
      <c r="V111" s="20" t="s">
        <v>157</v>
      </c>
      <c r="W111" s="20" t="s">
        <v>158</v>
      </c>
      <c r="X111" s="20" t="s">
        <v>159</v>
      </c>
      <c r="Y111" s="38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</row>
    <row r="112" spans="9:69" ht="18">
      <c r="Q112" s="24">
        <f>VALUE(RIGHT(INT(ABS(Q104)/1000000)))</f>
        <v>3</v>
      </c>
      <c r="R112" s="25" t="str">
        <f>IF(Q112=1,"một",IF(Q112=2,"hai",IF(Q112=3,"ba",IF(Q112=4,"bốn",IF(Q112=5,"năm",IF(Q112=6,"sáu",IF(Q112=7,"bẩy",IF(Q112=8,"tám","chín"))))))))</f>
        <v>ba</v>
      </c>
      <c r="S112" s="26"/>
      <c r="T112" s="49"/>
      <c r="U112" s="37"/>
      <c r="V112" s="20" t="s">
        <v>161</v>
      </c>
      <c r="W112" s="20" t="s">
        <v>162</v>
      </c>
      <c r="X112" s="20" t="s">
        <v>163</v>
      </c>
      <c r="Y112" s="38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</row>
    <row r="113" spans="16:69" ht="18">
      <c r="Q113" s="27">
        <f>VALUE(RIGHT(INT(ABS(Q104)/100000)))</f>
        <v>8</v>
      </c>
      <c r="R113" s="20" t="str">
        <f>IF(Q113=1," một",IF(Q113=2," hai",IF(Q113=3," ba",IF(Q113=4," bốn",IF(Q113=5," năm",IF(Q113=6," sáu",IF(Q113=7," bẩy",IF(Q113=8," tám"," chín"))))))))&amp;" trăm "&amp;IF(AND(Q114=0,Q115=0)," nghìn","")</f>
        <v xml:space="preserve"> tám trăm </v>
      </c>
      <c r="S113" s="31"/>
      <c r="T113" s="43"/>
      <c r="U113" s="37"/>
      <c r="V113" s="20" t="s">
        <v>165</v>
      </c>
      <c r="W113" s="20" t="s">
        <v>166</v>
      </c>
      <c r="X113" s="20" t="s">
        <v>167</v>
      </c>
      <c r="Y113" s="38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</row>
    <row r="114" spans="16:69" ht="18">
      <c r="Q114" s="27">
        <f>VALUE(RIGHT(INT(ABS(Q104)/10000)))</f>
        <v>6</v>
      </c>
      <c r="R114" s="20" t="str">
        <f>IF(Q114=1,"mười ",IF(Q114=2," hai mươi ",IF(Q114=3," ba mươi ",IF(Q114=4," bốn mươi ",IF(Q114=5," năm mươi ",IF(Q114=6," sáu mươi ",IF(Q114=7," bẩy mươi ",IF(Q114=8," tám mươi "," chín mươi "))))))))</f>
        <v xml:space="preserve"> sáu mươi </v>
      </c>
      <c r="S114" s="21" t="str">
        <f>IF(AND(Q114=1,Q115=1)," mười một",IF(AND(Q114=1,Q115=2)," mười hai",IF(AND(Q114=1,Q115=6)," mười sáu",IF(AND(Q114=1,Q115=7)," mười bẩy",IF(Q115=0,R114,IF(Q114=0,R115,R114&amp;IF(Q114&gt;1,"","")&amp;R115))))))&amp;" nghìn "</f>
        <v xml:space="preserve"> sáu mươi  bốn nghìn </v>
      </c>
      <c r="T114" s="44"/>
      <c r="U114" s="37"/>
      <c r="V114" s="20" t="s">
        <v>169</v>
      </c>
      <c r="W114" s="20" t="s">
        <v>170</v>
      </c>
      <c r="X114" s="20" t="s">
        <v>171</v>
      </c>
      <c r="Y114" s="38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</row>
    <row r="115" spans="16:69" ht="18">
      <c r="Q115" s="27">
        <f>VALUE(RIGHT(INT(ABS(Q104)/1000)))</f>
        <v>4</v>
      </c>
      <c r="R115" s="20" t="str">
        <f>IF(Q115=1," một",IF(Q115=2," hai",IF(Q115=3," ba",IF(Q115=4," bốn",IF(Q115=5," năm",IF(Q115=6," sáu",IF(Q115=7," bẩy",IF(Q115=8," tám"," chín"))))))))</f>
        <v xml:space="preserve"> bốn</v>
      </c>
      <c r="S115" s="21"/>
      <c r="T115" s="44"/>
      <c r="U115" s="37"/>
      <c r="V115" s="20" t="s">
        <v>173</v>
      </c>
      <c r="W115" s="20" t="s">
        <v>174</v>
      </c>
      <c r="X115" s="20" t="s">
        <v>175</v>
      </c>
      <c r="Y115" s="38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</row>
    <row r="116" spans="16:69" ht="18">
      <c r="Q116" s="28">
        <f>VALUE(RIGHT(INT(ABS(Q104)/100)))</f>
        <v>0</v>
      </c>
      <c r="R116" s="29" t="str">
        <f>IF(Q116=1,"một",IF(Q116=2,"hai",IF(Q116=3,"ba",IF(Q116=4,"bốn",IF(Q116=5,"năm",IF(Q116=6,"sáu",IF(Q116=7,"bẩy",IF(Q116=8,"tám","chín"))))))))&amp;" trăm "</f>
        <v xml:space="preserve">chín trăm </v>
      </c>
      <c r="S116" s="50"/>
      <c r="T116" s="51"/>
      <c r="U116" s="37"/>
      <c r="V116" s="20" t="s">
        <v>177</v>
      </c>
      <c r="W116" s="20" t="s">
        <v>178</v>
      </c>
      <c r="X116" s="20" t="s">
        <v>155</v>
      </c>
      <c r="Y116" s="38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</row>
    <row r="117" spans="16:69" ht="18">
      <c r="Q117" s="28">
        <f>VALUE(RIGHT(INT(ABS(Q104)/10)))</f>
        <v>0</v>
      </c>
      <c r="R117" s="29" t="str">
        <f>IF(Q117=1,",mười ",IF(Q117=2,"hai mươi ",IF(Q117=3,"ba mươi ",IF(Q117=4,"bốn mươi ",IF(Q117=5,"năm mươi ",IF(Q117=6,"sáu mươi ",IF(Q117=7,"bẩy mươi ",IF(Q117=8,"tám mươi ","chín mươi "))))))))</f>
        <v xml:space="preserve">chín mươi </v>
      </c>
      <c r="S117" s="30" t="str">
        <f>IF(AND(Q117=1,Q118=1),"mười một",IF(AND(Q117=1,Q118=2),"mười hai",IF(AND(Q117=1,Q118=6),"mười sáu",IF(AND(Q117=1,Q118=7),"mười bẩy",IF(Q118=0,R117,IF(Q117=0,R118,IF(Q117&gt;1,"","")&amp;R117&amp;R118))))))</f>
        <v xml:space="preserve">chín mươi </v>
      </c>
      <c r="T117" s="52"/>
      <c r="U117" s="37"/>
      <c r="V117" s="20" t="s">
        <v>180</v>
      </c>
      <c r="W117" s="20" t="s">
        <v>181</v>
      </c>
      <c r="X117" s="20" t="s">
        <v>182</v>
      </c>
      <c r="Y117" s="38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</row>
    <row r="118" spans="16:69" ht="18">
      <c r="Q118" s="28">
        <f>VALUE(RIGHT(INT(ABS(Q104))))</f>
        <v>0</v>
      </c>
      <c r="R118" s="29" t="str">
        <f>IF(Q118=1,"một",IF(Q118=2,"hai",IF(Q118=3,"ba",IF(Q118=4,"bốn",IF(Q118=5,"năm",IF(Q118=6,"sáu",IF(Q118=7,"bẩy",IF(Q118=8,"tám","chín"))))))))</f>
        <v>chín</v>
      </c>
      <c r="S118" s="53"/>
      <c r="T118" s="54"/>
      <c r="U118" s="37"/>
      <c r="V118" s="20" t="s">
        <v>184</v>
      </c>
      <c r="W118" s="20" t="s">
        <v>185</v>
      </c>
      <c r="X118" s="20" t="s">
        <v>186</v>
      </c>
      <c r="Y118" s="38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</row>
    <row r="119" spans="16:69" ht="18">
      <c r="Q119" s="12" t="str">
        <f>"Giá trị sau dấu phẩy"</f>
        <v>Giá trị sau dấu phẩy</v>
      </c>
      <c r="R119" s="37"/>
      <c r="S119" s="37"/>
      <c r="T119" s="37"/>
      <c r="U119" s="37"/>
      <c r="V119" s="20" t="s">
        <v>187</v>
      </c>
      <c r="W119" s="20" t="s">
        <v>188</v>
      </c>
      <c r="X119" s="20" t="s">
        <v>155</v>
      </c>
      <c r="Y119" s="38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</row>
    <row r="120" spans="16:69" ht="18">
      <c r="Q120" s="27">
        <f>VALUE(RIGHT(INT(ABS(T125)/10)))</f>
        <v>0</v>
      </c>
      <c r="R120" s="20" t="str">
        <f>IF(Q120=1,"mười",IF(Q120=2,"hai mươi",IF(Q120=3,"ba mươi",IF(Q120=4,"bốn mươi",IF(Q120=5,"năm mươi",IF(Q120=6,"sáu mươi",IF(Q120=7,"bẩy mươi",IF(Q120=8,"tám mươi","chín mươi"))))))))</f>
        <v>chín mươi</v>
      </c>
      <c r="S120" s="31" t="str">
        <f ca="1">" và "&amp;IF(T125&lt;10,"không ","")&amp;IF(T125=1,"một",IF(AND(Q120=1,Q121=1),"mười một",IF(AND(Q120=1,Q121=2),"mười hai",IF(AND(Q120=1,Q121=6),"mười sáu",IF(AND(Q120=1,Q121=7),"mười bẩy",IF(Q121=0,R120,IF(Q120=0,R121,R120&amp;IF(Q120&gt;1," ","")&amp;R121&amp;""))))))&amp;CELL("contents",W108))</f>
        <v xml:space="preserve"> và không chín mươi xu</v>
      </c>
      <c r="T120" s="43"/>
      <c r="U120" s="37"/>
      <c r="V120" s="20" t="s">
        <v>189</v>
      </c>
      <c r="W120" s="20" t="s">
        <v>190</v>
      </c>
      <c r="X120" s="20" t="s">
        <v>155</v>
      </c>
      <c r="Y120" s="38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</row>
    <row r="121" spans="16:69" ht="18">
      <c r="Q121" s="27">
        <f>VALUE(RIGHT(INT(ABS(T125))))</f>
        <v>0</v>
      </c>
      <c r="R121" s="20" t="str">
        <f>IF(Q121=1,"một",IF(Q121=2,"hai",IF(Q121=3,"ba",IF(Q121=4,"bốn",IF(Q121=5,"năm",IF(Q121=6,"sáu",IF(Q121=7,"bẩy",IF(Q121=8,"tám","chín"))))))))</f>
        <v>chín</v>
      </c>
      <c r="S121" s="45"/>
      <c r="T121" s="46"/>
      <c r="U121" s="37"/>
      <c r="V121" s="20"/>
      <c r="W121" s="20"/>
      <c r="X121" s="20"/>
      <c r="Y121" s="38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</row>
    <row r="122" spans="16:69" ht="18">
      <c r="Q122" s="32" t="str">
        <f>SUBSTITUTE(SUBSTITUTE(SUBSTITUTE(SUBSTITUTE(SUBSTITUTE(SUBSTITUTE(SUBSTITUTE(SUBSTITUTE(Q104,0,"không   "),1,"một   "),2,"hai   "),3,"ba   "),4,"bốn   "),5,"năm   "),6,"sáu   "),7,"bẩy   ")</f>
        <v xml:space="preserve">hai   bốn   ba   ba   8sáu   bốn   không   không   không   </v>
      </c>
      <c r="R122" s="37"/>
      <c r="S122" s="37"/>
      <c r="T122" s="37"/>
      <c r="U122" s="37"/>
      <c r="V122" s="20"/>
      <c r="W122" s="20"/>
      <c r="X122" s="20"/>
      <c r="Y122" s="38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</row>
    <row r="123" spans="16:69" ht="18">
      <c r="P123" s="80"/>
      <c r="Q123" s="37"/>
      <c r="R123" s="37"/>
      <c r="S123" s="37"/>
      <c r="T123" s="37"/>
      <c r="U123" s="37"/>
      <c r="V123" s="20"/>
      <c r="W123" s="20"/>
      <c r="X123" s="20"/>
      <c r="Y123" s="38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</row>
    <row r="124" spans="16:69" ht="18">
      <c r="P124" s="80"/>
      <c r="Q124" s="33">
        <f>ABS(100*(MOD(Q104,1)-(Q104&lt;0)))</f>
        <v>0</v>
      </c>
      <c r="R124" s="37"/>
      <c r="S124" s="37"/>
      <c r="T124" s="34" t="str">
        <f>TEXT(T125,"   00")&amp;"/100"</f>
        <v xml:space="preserve">   00/100</v>
      </c>
      <c r="U124" s="37"/>
      <c r="V124" s="20"/>
      <c r="W124" s="20"/>
      <c r="X124" s="20"/>
      <c r="Y124" s="38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</row>
    <row r="125" spans="16:69" ht="18">
      <c r="P125" s="80"/>
      <c r="Q125" s="35">
        <f>ROUND(100*(ABS(Q104)-INT(ABS(Q104))),0)</f>
        <v>0</v>
      </c>
      <c r="R125" s="37"/>
      <c r="S125" s="37"/>
      <c r="T125" s="36">
        <f>IF(P133=0,0,ROUND(100*(ABS(Q104)-INT(ABS(Q104))),0))</f>
        <v>0</v>
      </c>
      <c r="U125" s="37"/>
      <c r="V125" s="20"/>
      <c r="W125" s="20"/>
      <c r="X125" s="20"/>
      <c r="Y125" s="38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</row>
    <row r="126" spans="16:69" ht="15"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</row>
    <row r="127" spans="16:69" ht="18">
      <c r="P127" s="10" t="str">
        <f>"Đọc giá trị số thành chữ"</f>
        <v>Đọc giá trị số thành chữ</v>
      </c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</row>
    <row r="128" spans="16:69" ht="18">
      <c r="P128" s="12" t="s">
        <v>146</v>
      </c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</row>
    <row r="129" spans="9:16" ht="18.75">
      <c r="P129" s="14"/>
    </row>
    <row r="130" spans="9:16" ht="18">
      <c r="P130" s="37">
        <v>1</v>
      </c>
    </row>
    <row r="131" spans="9:16" ht="18">
      <c r="I131" s="80"/>
      <c r="J131" s="80"/>
      <c r="K131" s="80"/>
      <c r="L131" s="80"/>
      <c r="M131" s="80"/>
      <c r="N131" s="80"/>
      <c r="O131" s="80"/>
      <c r="P131" s="37"/>
    </row>
    <row r="132" spans="9:16" ht="18.75">
      <c r="I132" s="80"/>
      <c r="J132" s="80"/>
      <c r="K132" s="80"/>
      <c r="L132" s="80"/>
      <c r="M132" s="80"/>
      <c r="N132" s="80"/>
      <c r="O132" s="80"/>
      <c r="P132" s="15" t="str">
        <f>"Giá trị số cần đổi:"</f>
        <v>Giá trị số cần đổi:</v>
      </c>
    </row>
    <row r="133" spans="9:16" ht="18">
      <c r="I133" s="80"/>
      <c r="J133" s="80"/>
      <c r="K133" s="80"/>
      <c r="L133" s="80"/>
      <c r="M133" s="80"/>
      <c r="N133" s="80"/>
      <c r="O133" s="80"/>
      <c r="P133" s="40" t="s">
        <v>146</v>
      </c>
    </row>
    <row r="134" spans="9:16" ht="18.75">
      <c r="I134" s="80"/>
      <c r="J134" s="80"/>
      <c r="K134" s="80"/>
      <c r="L134" s="80"/>
      <c r="M134" s="80"/>
      <c r="N134" s="80"/>
      <c r="O134" s="80"/>
      <c r="P134" s="17" t="str">
        <f>"đếm từng chữ một"</f>
        <v>đếm từng chữ một</v>
      </c>
    </row>
    <row r="135" spans="9:16" ht="18.75">
      <c r="I135" s="80"/>
      <c r="J135" s="80"/>
      <c r="K135" s="80"/>
      <c r="L135" s="80"/>
      <c r="M135" s="80"/>
      <c r="N135" s="80"/>
      <c r="O135" s="80"/>
      <c r="P135" s="17" t="str">
        <f>"hàng trăm tỷ"</f>
        <v>hàng trăm tỷ</v>
      </c>
    </row>
    <row r="136" spans="9:16" ht="18.75">
      <c r="I136" s="80"/>
      <c r="J136" s="80"/>
      <c r="K136" s="80"/>
      <c r="L136" s="80"/>
      <c r="M136" s="80"/>
      <c r="N136" s="80"/>
      <c r="O136" s="80"/>
      <c r="P136" s="17" t="str">
        <f>"hàng chục tỷ"</f>
        <v>hàng chục tỷ</v>
      </c>
    </row>
    <row r="137" spans="9:16" ht="18.75">
      <c r="I137" s="80"/>
      <c r="J137" s="80"/>
      <c r="K137" s="80"/>
      <c r="L137" s="80"/>
      <c r="M137" s="80"/>
      <c r="N137" s="80"/>
      <c r="O137" s="80"/>
      <c r="P137" s="17" t="str">
        <f>"hàng tỷ"</f>
        <v>hàng tỷ</v>
      </c>
    </row>
    <row r="138" spans="9:16" ht="18.75">
      <c r="I138" s="80"/>
      <c r="J138" s="80"/>
      <c r="K138" s="80"/>
      <c r="L138" s="80"/>
      <c r="M138" s="80"/>
      <c r="N138" s="80"/>
      <c r="O138" s="80"/>
      <c r="P138" s="17" t="str">
        <f>"hàng trăm triệu"</f>
        <v>hàng trăm triệu</v>
      </c>
    </row>
    <row r="139" spans="9:16" ht="18.75">
      <c r="I139" s="80"/>
      <c r="J139" s="80"/>
      <c r="K139" s="80"/>
      <c r="L139" s="80"/>
      <c r="M139" s="80"/>
      <c r="N139" s="80"/>
      <c r="O139" s="80"/>
      <c r="P139" s="17" t="str">
        <f>"hàng chục triệu"</f>
        <v>hàng chục triệu</v>
      </c>
    </row>
    <row r="140" spans="9:16" ht="18.75">
      <c r="I140" s="80"/>
      <c r="J140" s="80"/>
      <c r="K140" s="80"/>
      <c r="L140" s="80"/>
      <c r="M140" s="80"/>
      <c r="N140" s="80"/>
      <c r="O140" s="80"/>
      <c r="P140" s="17" t="str">
        <f>"hàng triệu"</f>
        <v>hàng triệu</v>
      </c>
    </row>
    <row r="141" spans="9:16" ht="18.75">
      <c r="I141" s="80"/>
      <c r="J141" s="80"/>
      <c r="K141" s="80"/>
      <c r="L141" s="80"/>
      <c r="M141" s="80"/>
      <c r="N141" s="80"/>
      <c r="O141" s="80"/>
      <c r="P141" s="17" t="str">
        <f>"hàng trăm nghìn"</f>
        <v>hàng trăm nghìn</v>
      </c>
    </row>
    <row r="142" spans="9:16" ht="18.75">
      <c r="I142" s="80"/>
      <c r="J142" s="80"/>
      <c r="K142" s="80"/>
      <c r="L142" s="80"/>
      <c r="M142" s="80"/>
      <c r="N142" s="80"/>
      <c r="O142" s="80"/>
      <c r="P142" s="17" t="str">
        <f>"hàng chục nghìn"</f>
        <v>hàng chục nghìn</v>
      </c>
    </row>
    <row r="143" spans="9:16" ht="18.75">
      <c r="I143" s="80"/>
      <c r="J143" s="80"/>
      <c r="K143" s="80"/>
      <c r="L143" s="80"/>
      <c r="M143" s="80"/>
      <c r="N143" s="80"/>
      <c r="O143" s="80"/>
      <c r="P143" s="17" t="str">
        <f>"hàng nghìn"</f>
        <v>hàng nghìn</v>
      </c>
    </row>
    <row r="144" spans="9:16" ht="18.75">
      <c r="I144" s="80"/>
      <c r="J144" s="80"/>
      <c r="K144" s="80"/>
      <c r="L144" s="80"/>
      <c r="M144" s="80"/>
      <c r="N144" s="80"/>
      <c r="O144" s="80"/>
      <c r="P144" s="17" t="str">
        <f>"hàng trăm"</f>
        <v>hàng trăm</v>
      </c>
    </row>
    <row r="145" spans="9:16" ht="18.75">
      <c r="I145" s="80"/>
      <c r="J145" s="80"/>
      <c r="K145" s="80"/>
      <c r="L145" s="80"/>
      <c r="M145" s="80"/>
      <c r="N145" s="80"/>
      <c r="O145" s="80"/>
      <c r="P145" s="17" t="str">
        <f>"hàng chục"</f>
        <v>hàng chục</v>
      </c>
    </row>
    <row r="146" spans="9:16" ht="18.75">
      <c r="I146" s="80"/>
      <c r="J146" s="80"/>
      <c r="K146" s="80"/>
      <c r="L146" s="80"/>
      <c r="M146" s="80"/>
      <c r="N146" s="80"/>
      <c r="O146" s="80"/>
      <c r="P146" s="17" t="str">
        <f>"hàng đơn vị"</f>
        <v>hàng đơn vị</v>
      </c>
    </row>
    <row r="147" spans="9:16" ht="18.75">
      <c r="I147" s="80"/>
      <c r="J147" s="80"/>
      <c r="K147" s="80"/>
      <c r="L147" s="80"/>
      <c r="M147" s="80"/>
      <c r="N147" s="80"/>
      <c r="O147" s="80"/>
      <c r="P147" s="17"/>
    </row>
    <row r="148" spans="9:16" ht="18.75">
      <c r="I148" s="80"/>
      <c r="J148" s="80"/>
      <c r="K148" s="80"/>
      <c r="L148" s="80"/>
      <c r="M148" s="80"/>
      <c r="N148" s="80"/>
      <c r="O148" s="80"/>
      <c r="P148" s="17" t="str">
        <f>"hàng chục"</f>
        <v>hàng chục</v>
      </c>
    </row>
    <row r="149" spans="9:16" ht="18.75">
      <c r="I149" s="80"/>
      <c r="J149" s="80"/>
      <c r="K149" s="80"/>
      <c r="L149" s="80"/>
      <c r="M149" s="80"/>
      <c r="N149" s="80"/>
      <c r="O149" s="80"/>
      <c r="P149" s="17" t="str">
        <f>"hàng đơn vị"</f>
        <v>hàng đơn vị</v>
      </c>
    </row>
    <row r="150" spans="9:16" ht="18">
      <c r="I150" s="80"/>
      <c r="J150" s="80"/>
      <c r="K150" s="80"/>
      <c r="L150" s="80"/>
      <c r="M150" s="80"/>
      <c r="N150" s="80"/>
      <c r="O150" s="80"/>
      <c r="P150" s="37"/>
    </row>
    <row r="151" spans="9:16" ht="18">
      <c r="I151" s="80"/>
      <c r="J151" s="80"/>
      <c r="K151" s="80"/>
      <c r="L151" s="80"/>
      <c r="M151" s="80"/>
      <c r="N151" s="80"/>
      <c r="O151" s="80"/>
      <c r="P151" s="37"/>
    </row>
    <row r="152" spans="9:16" ht="18">
      <c r="I152" s="80"/>
      <c r="J152" s="80"/>
      <c r="K152" s="80"/>
      <c r="L152" s="80"/>
      <c r="M152" s="80"/>
      <c r="N152" s="80"/>
      <c r="O152" s="80"/>
      <c r="P152" s="37"/>
    </row>
    <row r="153" spans="9:16" ht="18">
      <c r="I153" s="80"/>
      <c r="J153" s="80"/>
      <c r="K153" s="80"/>
      <c r="L153" s="80"/>
      <c r="M153" s="80"/>
      <c r="N153" s="80"/>
      <c r="O153" s="80"/>
      <c r="P153" s="37"/>
    </row>
    <row r="154" spans="9:16" ht="15">
      <c r="I154" s="80"/>
      <c r="J154" s="80"/>
      <c r="K154" s="80"/>
      <c r="L154" s="80"/>
      <c r="M154" s="80"/>
      <c r="N154" s="80"/>
      <c r="O154" s="80"/>
      <c r="P154" s="80"/>
    </row>
    <row r="155" spans="9:16" ht="15">
      <c r="I155" s="80"/>
      <c r="J155" s="80"/>
      <c r="K155" s="80"/>
      <c r="L155" s="80"/>
      <c r="M155" s="80"/>
      <c r="N155" s="80"/>
      <c r="O155" s="80"/>
      <c r="P155" s="80"/>
    </row>
    <row r="156" spans="9:16" ht="15">
      <c r="I156" s="80"/>
      <c r="J156" s="80"/>
      <c r="K156" s="80"/>
      <c r="L156" s="80"/>
      <c r="M156" s="80"/>
      <c r="N156" s="80"/>
      <c r="O156" s="80"/>
      <c r="P156" s="80"/>
    </row>
    <row r="157" spans="9:16" ht="15">
      <c r="I157" s="80"/>
      <c r="J157" s="80"/>
      <c r="K157" s="80"/>
      <c r="L157" s="80"/>
      <c r="M157" s="80"/>
      <c r="N157" s="80"/>
      <c r="O157" s="80"/>
    </row>
    <row r="158" spans="9:16" ht="15">
      <c r="I158" s="80"/>
      <c r="J158" s="80"/>
      <c r="K158" s="80"/>
      <c r="L158" s="80"/>
      <c r="M158" s="80"/>
      <c r="N158" s="80"/>
      <c r="O158" s="80"/>
    </row>
    <row r="159" spans="9:16" ht="15">
      <c r="I159" s="80"/>
      <c r="J159" s="80"/>
      <c r="K159" s="80"/>
      <c r="L159" s="80"/>
      <c r="M159" s="80"/>
      <c r="N159" s="80"/>
      <c r="O159" s="80"/>
    </row>
    <row r="160" spans="9:16" ht="15">
      <c r="I160" s="80"/>
      <c r="J160" s="80"/>
      <c r="K160" s="80"/>
      <c r="L160" s="80"/>
      <c r="M160" s="80"/>
      <c r="N160" s="80"/>
      <c r="O160" s="80"/>
    </row>
    <row r="161" spans="9:15" ht="15">
      <c r="I161" s="80"/>
      <c r="J161" s="80"/>
      <c r="K161" s="80"/>
      <c r="L161" s="80"/>
      <c r="M161" s="80"/>
      <c r="N161" s="80"/>
      <c r="O161" s="80"/>
    </row>
    <row r="162" spans="9:15" ht="15">
      <c r="I162" s="80"/>
      <c r="J162" s="80"/>
      <c r="K162" s="80"/>
      <c r="L162" s="80"/>
      <c r="M162" s="80"/>
      <c r="N162" s="80"/>
      <c r="O162" s="80"/>
    </row>
    <row r="163" spans="9:15" ht="15">
      <c r="I163" s="80"/>
      <c r="J163" s="80"/>
      <c r="K163" s="80"/>
      <c r="L163" s="80"/>
      <c r="M163" s="80"/>
      <c r="N163" s="80"/>
      <c r="O163" s="80"/>
    </row>
    <row r="164" spans="9:15" ht="15">
      <c r="I164" s="80"/>
      <c r="J164" s="80"/>
      <c r="K164" s="80"/>
      <c r="L164" s="80"/>
      <c r="M164" s="80"/>
      <c r="N164" s="80"/>
      <c r="O164" s="80"/>
    </row>
  </sheetData>
  <mergeCells count="20">
    <mergeCell ref="A12:G12"/>
    <mergeCell ref="E52:G52"/>
    <mergeCell ref="E60:F60"/>
    <mergeCell ref="E61:G61"/>
    <mergeCell ref="E51:G51"/>
    <mergeCell ref="E53:G53"/>
    <mergeCell ref="A13:G13"/>
    <mergeCell ref="A15:G15"/>
    <mergeCell ref="C16:C17"/>
    <mergeCell ref="E16:F17"/>
    <mergeCell ref="A18:A19"/>
    <mergeCell ref="B18:B19"/>
    <mergeCell ref="C18:C19"/>
    <mergeCell ref="F18:F19"/>
    <mergeCell ref="G18:G19"/>
    <mergeCell ref="A11:G11"/>
    <mergeCell ref="A2:G3"/>
    <mergeCell ref="A4:G4"/>
    <mergeCell ref="A9:G9"/>
    <mergeCell ref="A10:G10"/>
  </mergeCells>
  <pageMargins left="0.31" right="0" top="0.15" bottom="0.15" header="0.5" footer="0.4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BQ146"/>
  <sheetViews>
    <sheetView topLeftCell="A17" workbookViewId="0">
      <selection activeCell="E15" sqref="E15"/>
    </sheetView>
  </sheetViews>
  <sheetFormatPr defaultColWidth="8.85546875" defaultRowHeight="12.75"/>
  <cols>
    <col min="1" max="1" width="4.42578125" customWidth="1"/>
    <col min="2" max="2" width="31.28515625" customWidth="1"/>
    <col min="3" max="3" width="14.42578125" customWidth="1"/>
    <col min="4" max="4" width="15.42578125" customWidth="1"/>
    <col min="5" max="5" width="15.28515625" customWidth="1"/>
    <col min="6" max="6" width="15.42578125" customWidth="1"/>
    <col min="7" max="7" width="16.7109375" customWidth="1"/>
    <col min="9" max="9" width="5.28515625" customWidth="1"/>
    <col min="10" max="10" width="38.28515625" customWidth="1"/>
    <col min="12" max="12" width="10.140625" customWidth="1"/>
    <col min="13" max="13" width="10.28515625" customWidth="1"/>
    <col min="14" max="14" width="10" customWidth="1"/>
    <col min="15" max="15" width="11.42578125" customWidth="1"/>
  </cols>
  <sheetData>
    <row r="1" spans="1:69" s="133" customFormat="1" ht="28.5" customHeight="1" thickBot="1">
      <c r="B1" s="188"/>
      <c r="C1" s="188"/>
      <c r="D1" s="188"/>
      <c r="E1" s="188"/>
      <c r="F1" s="188"/>
      <c r="G1" s="189"/>
    </row>
    <row r="2" spans="1:69" ht="20.25" thickTop="1" thickBot="1">
      <c r="A2" s="704" t="s">
        <v>385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17.25" thickTop="1">
      <c r="A3" s="715" t="s">
        <v>365</v>
      </c>
      <c r="B3" s="715"/>
      <c r="C3" s="715"/>
      <c r="D3" s="715"/>
      <c r="E3" s="715"/>
      <c r="F3" s="715"/>
      <c r="G3" s="71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6.5">
      <c r="A4" s="706" t="s">
        <v>321</v>
      </c>
      <c r="B4" s="706"/>
      <c r="C4" s="428" t="s">
        <v>322</v>
      </c>
      <c r="D4" s="432" t="s">
        <v>323</v>
      </c>
      <c r="E4" s="114"/>
      <c r="F4" s="115"/>
      <c r="G4" s="111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8.95" customHeight="1">
      <c r="A5" s="193" t="s">
        <v>58</v>
      </c>
      <c r="B5" s="194"/>
      <c r="C5" s="194"/>
      <c r="D5" s="195"/>
      <c r="E5" s="195"/>
      <c r="F5" s="195"/>
      <c r="G5" s="195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5" customHeight="1">
      <c r="A6" s="263" t="s">
        <v>324</v>
      </c>
      <c r="B6" s="198"/>
      <c r="C6" s="199"/>
      <c r="D6" s="199"/>
      <c r="E6" s="199"/>
      <c r="F6" s="199"/>
      <c r="G6" s="199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6.5">
      <c r="A7" s="688" t="s">
        <v>61</v>
      </c>
      <c r="B7" s="688"/>
      <c r="C7" s="688"/>
      <c r="D7" s="688"/>
      <c r="E7" s="688"/>
      <c r="F7" s="688"/>
      <c r="G7" s="688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s="111" customFormat="1" ht="18.75" hidden="1" customHeight="1">
      <c r="A8" s="693" t="s">
        <v>286</v>
      </c>
      <c r="B8" s="693"/>
      <c r="C8" s="693"/>
      <c r="D8" s="693"/>
      <c r="E8" s="693"/>
      <c r="F8" s="693"/>
      <c r="G8" s="693"/>
      <c r="I8" s="281"/>
      <c r="J8" s="624"/>
      <c r="K8" s="624" t="s">
        <v>325</v>
      </c>
      <c r="L8" s="285"/>
      <c r="M8" s="285"/>
      <c r="N8" s="285"/>
      <c r="O8" s="285"/>
    </row>
    <row r="9" spans="1:69" ht="30" customHeight="1">
      <c r="A9" s="695" t="s">
        <v>287</v>
      </c>
      <c r="B9" s="695"/>
      <c r="C9" s="695"/>
      <c r="D9" s="695"/>
      <c r="E9" s="695"/>
      <c r="F9" s="695"/>
      <c r="G9" s="695"/>
      <c r="H9" s="1"/>
      <c r="I9" s="88"/>
      <c r="J9" s="88"/>
      <c r="K9" s="624" t="s">
        <v>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30" hidden="1" customHeight="1">
      <c r="A10" s="707" t="s">
        <v>64</v>
      </c>
      <c r="B10" s="707"/>
      <c r="C10" s="707"/>
      <c r="D10" s="707"/>
      <c r="E10" s="707"/>
      <c r="F10" s="707"/>
      <c r="G10" s="707"/>
      <c r="H10" s="1"/>
      <c r="I10" s="88"/>
      <c r="J10" s="88"/>
      <c r="K10" s="624" t="s">
        <v>327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16.5">
      <c r="A11" s="688" t="s">
        <v>65</v>
      </c>
      <c r="B11" s="688"/>
      <c r="C11" s="688"/>
      <c r="D11" s="688"/>
      <c r="E11" s="688"/>
      <c r="F11" s="688"/>
      <c r="G11" s="688"/>
      <c r="H11" s="1"/>
      <c r="I11" s="88"/>
      <c r="J11" s="88"/>
      <c r="K11" s="624" t="s">
        <v>328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32.25" customHeight="1">
      <c r="A12" s="689" t="s">
        <v>329</v>
      </c>
      <c r="B12" s="690"/>
      <c r="C12" s="690"/>
      <c r="D12" s="690"/>
      <c r="E12" s="690"/>
      <c r="F12" s="690"/>
      <c r="G12" s="690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s="424" customFormat="1" ht="15" customHeight="1">
      <c r="A13" s="204"/>
      <c r="B13" s="207" t="s">
        <v>291</v>
      </c>
      <c r="C13" s="226">
        <f>IF(C4="I",1800000000,IF(C4="II",1325000000,IF(C4="III",1080000000,IF(C4="IV",770000000,IF(C4="V",320000000,0)))))</f>
        <v>320000000</v>
      </c>
      <c r="D13" s="242" t="s">
        <v>94</v>
      </c>
      <c r="E13" s="208"/>
      <c r="F13" s="209"/>
      <c r="G13" s="242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  <c r="BO13" s="423"/>
      <c r="BP13" s="423"/>
      <c r="BQ13" s="423"/>
    </row>
    <row r="14" spans="1:69" s="424" customFormat="1" ht="15" customHeight="1" thickBot="1">
      <c r="A14" s="204"/>
      <c r="B14" s="207"/>
      <c r="C14" s="226"/>
      <c r="D14" s="242"/>
      <c r="E14" s="208"/>
      <c r="F14" s="209"/>
      <c r="G14" s="242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3"/>
      <c r="AW14" s="423"/>
      <c r="AX14" s="423"/>
      <c r="AY14" s="423"/>
      <c r="AZ14" s="423"/>
      <c r="BA14" s="423"/>
      <c r="BB14" s="423"/>
      <c r="BC14" s="423"/>
      <c r="BD14" s="423"/>
      <c r="BE14" s="423"/>
      <c r="BF14" s="423"/>
      <c r="BG14" s="423"/>
      <c r="BH14" s="423"/>
      <c r="BI14" s="423"/>
      <c r="BJ14" s="423"/>
      <c r="BK14" s="423"/>
      <c r="BL14" s="423"/>
      <c r="BM14" s="423"/>
      <c r="BN14" s="423"/>
      <c r="BO14" s="423"/>
      <c r="BP14" s="423"/>
      <c r="BQ14" s="423"/>
    </row>
    <row r="15" spans="1:69" ht="48" customHeight="1">
      <c r="A15" s="170" t="s">
        <v>26</v>
      </c>
      <c r="B15" s="171" t="s">
        <v>96</v>
      </c>
      <c r="C15" s="171" t="s">
        <v>97</v>
      </c>
      <c r="D15" s="171" t="s">
        <v>98</v>
      </c>
      <c r="E15" s="171" t="s">
        <v>99</v>
      </c>
      <c r="F15" s="171" t="s">
        <v>100</v>
      </c>
      <c r="G15" s="172" t="s">
        <v>101</v>
      </c>
      <c r="I15" s="88"/>
      <c r="J15" s="88"/>
      <c r="K15" s="88"/>
      <c r="L15" s="88"/>
      <c r="M15" s="88"/>
      <c r="N15" s="88"/>
      <c r="O15" s="88"/>
    </row>
    <row r="16" spans="1:69" ht="17.25" thickBot="1">
      <c r="A16" s="244">
        <v>1</v>
      </c>
      <c r="B16" s="245">
        <v>2</v>
      </c>
      <c r="C16" s="245">
        <v>3</v>
      </c>
      <c r="D16" s="245">
        <v>4</v>
      </c>
      <c r="E16" s="245" t="s">
        <v>102</v>
      </c>
      <c r="F16" s="245" t="s">
        <v>103</v>
      </c>
      <c r="G16" s="246" t="s">
        <v>104</v>
      </c>
      <c r="I16" s="88"/>
      <c r="J16" s="88"/>
      <c r="K16" s="88"/>
      <c r="L16" s="88"/>
      <c r="M16" s="88"/>
      <c r="N16" s="88"/>
      <c r="O16" s="88"/>
    </row>
    <row r="17" spans="1:69" ht="28.5">
      <c r="A17" s="251">
        <v>1</v>
      </c>
      <c r="B17" s="252" t="s">
        <v>330</v>
      </c>
      <c r="C17" s="425">
        <f>C13</f>
        <v>320000000</v>
      </c>
      <c r="D17" s="479">
        <v>1.3</v>
      </c>
      <c r="E17" s="426">
        <f>D17*C17</f>
        <v>416000000</v>
      </c>
      <c r="F17" s="426">
        <f>E17*10%</f>
        <v>41600000</v>
      </c>
      <c r="G17" s="427">
        <f>SUM(E17:F17)</f>
        <v>457600000</v>
      </c>
      <c r="I17" s="88"/>
      <c r="J17" s="381">
        <f>G17-485000000</f>
        <v>-27400000</v>
      </c>
      <c r="K17" s="88"/>
      <c r="L17" s="88"/>
      <c r="M17" s="88"/>
      <c r="N17" s="88"/>
      <c r="O17" s="88"/>
    </row>
    <row r="18" spans="1:69" ht="60">
      <c r="A18" s="429"/>
      <c r="B18" s="430" t="s">
        <v>331</v>
      </c>
      <c r="C18" s="161"/>
      <c r="D18" s="431"/>
      <c r="E18" s="65"/>
      <c r="F18" s="65"/>
      <c r="G18" s="174"/>
      <c r="I18" s="88"/>
      <c r="J18" s="381"/>
      <c r="K18" s="88"/>
      <c r="L18" s="88"/>
      <c r="M18" s="88"/>
      <c r="N18" s="88"/>
      <c r="O18" s="88"/>
    </row>
    <row r="19" spans="1:69" ht="16.5">
      <c r="A19" s="187">
        <v>2</v>
      </c>
      <c r="B19" s="224" t="s">
        <v>293</v>
      </c>
      <c r="C19" s="319">
        <f>E17</f>
        <v>416000000</v>
      </c>
      <c r="D19" s="165">
        <v>0.05</v>
      </c>
      <c r="E19" s="70"/>
      <c r="F19" s="71"/>
      <c r="G19" s="179">
        <f>D19*C19</f>
        <v>20800000</v>
      </c>
      <c r="H19" s="58"/>
      <c r="I19" s="88"/>
      <c r="J19" s="88"/>
      <c r="K19" s="88"/>
      <c r="L19" s="88"/>
      <c r="M19" s="88"/>
      <c r="N19" s="88"/>
      <c r="O19" s="88"/>
    </row>
    <row r="20" spans="1:69" ht="16.5">
      <c r="A20" s="187">
        <v>3</v>
      </c>
      <c r="B20" s="224" t="s">
        <v>332</v>
      </c>
      <c r="C20" s="319">
        <f>C19</f>
        <v>416000000</v>
      </c>
      <c r="D20" s="165">
        <v>0.02</v>
      </c>
      <c r="E20" s="78">
        <f>D20*C20</f>
        <v>8320000</v>
      </c>
      <c r="F20" s="79">
        <f>E20*10%</f>
        <v>832000</v>
      </c>
      <c r="G20" s="179">
        <f>SUM(E20:F20)</f>
        <v>9152000</v>
      </c>
      <c r="H20" s="59"/>
      <c r="I20" s="88"/>
      <c r="J20" s="88"/>
      <c r="K20" s="88"/>
      <c r="L20" s="88"/>
      <c r="M20" s="88"/>
      <c r="N20" s="88"/>
      <c r="O20" s="88"/>
      <c r="P20" s="1"/>
    </row>
    <row r="21" spans="1:69" s="111" customFormat="1" ht="28.5" hidden="1">
      <c r="A21" s="187">
        <v>4</v>
      </c>
      <c r="B21" s="224" t="s">
        <v>333</v>
      </c>
      <c r="C21" s="79"/>
      <c r="D21" s="310"/>
      <c r="E21" s="79"/>
      <c r="F21" s="79"/>
      <c r="G21" s="179">
        <f>SUM(G22:G25)</f>
        <v>2000000</v>
      </c>
      <c r="H21" s="100"/>
      <c r="I21" s="122"/>
      <c r="J21" s="128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</row>
    <row r="22" spans="1:69" s="111" customFormat="1" ht="30" hidden="1">
      <c r="A22" s="415" t="s">
        <v>296</v>
      </c>
      <c r="B22" s="416" t="s">
        <v>119</v>
      </c>
      <c r="C22" s="79">
        <v>0</v>
      </c>
      <c r="D22" s="77">
        <f>L57/100*45%</f>
        <v>3.6756000000000002E-3</v>
      </c>
      <c r="E22" s="79">
        <f>D22*C22</f>
        <v>0</v>
      </c>
      <c r="F22" s="79">
        <f>E22*10%</f>
        <v>0</v>
      </c>
      <c r="G22" s="179">
        <f>SUM(E22:F22)</f>
        <v>0</v>
      </c>
      <c r="H22" s="100"/>
      <c r="I22" s="122"/>
      <c r="J22" s="128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</row>
    <row r="23" spans="1:69" s="111" customFormat="1" ht="30" hidden="1">
      <c r="A23" s="415" t="s">
        <v>297</v>
      </c>
      <c r="B23" s="416" t="s">
        <v>121</v>
      </c>
      <c r="C23" s="79">
        <f>C22</f>
        <v>0</v>
      </c>
      <c r="D23" s="77">
        <f>L57/100*55%</f>
        <v>4.4924000000000006E-3</v>
      </c>
      <c r="E23" s="79">
        <f>D23*C23</f>
        <v>0</v>
      </c>
      <c r="F23" s="79">
        <f>E23*10%</f>
        <v>0</v>
      </c>
      <c r="G23" s="179">
        <f>SUM(E23:F23)</f>
        <v>0</v>
      </c>
      <c r="H23" s="100"/>
      <c r="I23" s="122"/>
      <c r="J23" s="128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</row>
    <row r="24" spans="1:69" s="111" customFormat="1" ht="30" hidden="1">
      <c r="A24" s="415" t="s">
        <v>298</v>
      </c>
      <c r="B24" s="416" t="s">
        <v>123</v>
      </c>
      <c r="C24" s="79">
        <f>C23</f>
        <v>0</v>
      </c>
      <c r="D24" s="77">
        <v>5.0000000000000001E-4</v>
      </c>
      <c r="E24" s="79">
        <f>D24*C24</f>
        <v>0</v>
      </c>
      <c r="F24" s="79">
        <f>E24*10%</f>
        <v>0</v>
      </c>
      <c r="G24" s="179">
        <f>IF(SUM(E24:F24)&lt;1000000, 1000000,SUM(E24:F24))</f>
        <v>1000000</v>
      </c>
      <c r="H24" s="100"/>
      <c r="I24" s="122"/>
      <c r="J24" s="128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</row>
    <row r="25" spans="1:69" s="111" customFormat="1" ht="45" hidden="1">
      <c r="A25" s="415" t="s">
        <v>299</v>
      </c>
      <c r="B25" s="416" t="s">
        <v>125</v>
      </c>
      <c r="C25" s="79">
        <f>C24</f>
        <v>0</v>
      </c>
      <c r="D25" s="77">
        <v>5.0000000000000001E-4</v>
      </c>
      <c r="E25" s="79">
        <f>D25*C25</f>
        <v>0</v>
      </c>
      <c r="F25" s="79">
        <f>E25*10%</f>
        <v>0</v>
      </c>
      <c r="G25" s="179">
        <f>IF(SUM(E25:F25)&lt;1000000, 1000000,SUM(E25:F25))</f>
        <v>1000000</v>
      </c>
      <c r="H25" s="100"/>
      <c r="I25" s="122"/>
      <c r="J25" s="12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</row>
    <row r="26" spans="1:69" ht="16.5" hidden="1">
      <c r="A26" s="244"/>
      <c r="B26" s="417"/>
      <c r="C26" s="350"/>
      <c r="D26" s="377"/>
      <c r="E26" s="419"/>
      <c r="F26" s="273"/>
      <c r="G26" s="420"/>
      <c r="H26" s="59"/>
      <c r="I26" s="88"/>
      <c r="J26" s="88"/>
      <c r="K26" s="88"/>
      <c r="L26" s="88"/>
      <c r="M26" s="88"/>
      <c r="N26" s="88"/>
      <c r="O26" s="88"/>
      <c r="P26" s="1"/>
    </row>
    <row r="27" spans="1:69" ht="17.25" thickBot="1">
      <c r="A27" s="269"/>
      <c r="B27" s="266" t="s">
        <v>300</v>
      </c>
      <c r="C27" s="267"/>
      <c r="D27" s="267"/>
      <c r="E27" s="267"/>
      <c r="F27" s="267"/>
      <c r="G27" s="268">
        <f>SUM(G17:G20)</f>
        <v>487552000</v>
      </c>
      <c r="H27" s="62"/>
      <c r="I27" s="88"/>
      <c r="J27" s="88"/>
      <c r="K27" s="88"/>
      <c r="L27" s="88"/>
      <c r="M27" s="88"/>
      <c r="N27" s="88"/>
      <c r="O27" s="88"/>
      <c r="P27" s="1"/>
    </row>
    <row r="28" spans="1:69" ht="17.25" thickBot="1">
      <c r="A28" s="270"/>
      <c r="B28" s="248" t="s">
        <v>301</v>
      </c>
      <c r="C28" s="248"/>
      <c r="D28" s="248"/>
      <c r="E28" s="248"/>
      <c r="F28" s="264"/>
      <c r="G28" s="265">
        <f>ROUNDDOWN(G27,-3)</f>
        <v>487552000</v>
      </c>
      <c r="H28" s="60"/>
      <c r="I28" s="88"/>
      <c r="J28" s="88"/>
      <c r="K28" s="88"/>
      <c r="L28" s="88"/>
      <c r="M28" s="88"/>
      <c r="N28" s="88"/>
      <c r="O28" s="88"/>
      <c r="P28" s="1"/>
    </row>
    <row r="29" spans="1:69" ht="16.5">
      <c r="A29" s="228" t="str">
        <f ca="1">CONCATENATE("Bằng chữ :  ",UPPER(LEFT(Q91))&amp;RIGHT(Q91,LEN(Q91)-1))</f>
        <v>Bằng chữ :  Bốn trăm tám mươi bẩy triệu, năm trăm  năm mươi  hai nghìn  đồng chẵn</v>
      </c>
      <c r="B29" s="229"/>
      <c r="C29" s="229"/>
      <c r="D29" s="229"/>
      <c r="E29" s="229"/>
      <c r="F29" s="229"/>
      <c r="G29" s="229"/>
      <c r="I29" s="88"/>
      <c r="J29" s="88"/>
      <c r="K29" s="88"/>
      <c r="L29" s="88"/>
      <c r="M29" s="88"/>
      <c r="N29" s="88"/>
      <c r="O29" s="88"/>
      <c r="P29" s="1"/>
    </row>
    <row r="30" spans="1:69" ht="12.75" customHeight="1">
      <c r="H30" s="98"/>
      <c r="I30" s="88"/>
      <c r="J30" s="88"/>
      <c r="K30" s="88"/>
      <c r="L30" s="88"/>
      <c r="M30" s="88"/>
      <c r="N30" s="88"/>
      <c r="O30" s="8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6.5">
      <c r="E31" s="694" t="s">
        <v>364</v>
      </c>
      <c r="F31" s="694"/>
      <c r="G31" s="694"/>
      <c r="H31" s="98"/>
      <c r="I31" s="88"/>
      <c r="J31" s="88"/>
      <c r="K31" s="88"/>
      <c r="L31" s="88"/>
      <c r="M31" s="88"/>
      <c r="N31" s="88"/>
      <c r="O31" s="8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3.5" customHeight="1">
      <c r="E32" s="714" t="s">
        <v>280</v>
      </c>
      <c r="F32" s="714"/>
      <c r="G32" s="714"/>
      <c r="H32" s="99"/>
      <c r="I32" s="88"/>
      <c r="J32" s="88"/>
      <c r="K32" s="88"/>
      <c r="L32" s="88"/>
      <c r="M32" s="88"/>
      <c r="N32" s="88"/>
      <c r="O32" s="8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2:69" ht="16.5">
      <c r="B33" s="339"/>
      <c r="E33" s="686"/>
      <c r="F33" s="686"/>
      <c r="G33" s="686"/>
      <c r="H33" s="100"/>
      <c r="I33" s="88"/>
      <c r="J33" s="88"/>
      <c r="K33" s="88"/>
      <c r="L33" s="88"/>
      <c r="M33" s="88"/>
      <c r="N33" s="88"/>
      <c r="O33" s="8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2:69" ht="16.5">
      <c r="E34" s="133"/>
      <c r="F34" s="133"/>
      <c r="G34" s="133"/>
      <c r="H34" s="100"/>
      <c r="I34" s="88"/>
      <c r="J34" s="88"/>
      <c r="K34" s="88"/>
      <c r="L34" s="88"/>
      <c r="M34" s="88"/>
      <c r="N34" s="88"/>
      <c r="O34" s="8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2:69" ht="16.5">
      <c r="E35" s="133"/>
      <c r="F35" s="133"/>
      <c r="G35" s="133"/>
      <c r="H35" s="100"/>
      <c r="I35" s="88"/>
      <c r="J35" s="88"/>
      <c r="K35" s="88"/>
      <c r="L35" s="88"/>
      <c r="M35" s="88"/>
      <c r="N35" s="88"/>
      <c r="O35" s="8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2:69" ht="16.5">
      <c r="E36" s="133"/>
      <c r="F36" s="133"/>
      <c r="G36" s="133"/>
      <c r="H36" s="101"/>
      <c r="I36" s="88"/>
      <c r="J36" s="88"/>
      <c r="K36" s="88"/>
      <c r="L36" s="88"/>
      <c r="M36" s="88"/>
      <c r="N36" s="88"/>
      <c r="O36" s="8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2:69" ht="16.5">
      <c r="E37" s="133"/>
      <c r="F37" s="133"/>
      <c r="G37" s="133"/>
      <c r="H37" s="100"/>
      <c r="I37" s="88"/>
      <c r="J37" s="88"/>
      <c r="K37" s="88"/>
      <c r="L37" s="88"/>
      <c r="M37" s="88"/>
      <c r="N37" s="88"/>
      <c r="O37" s="8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2:69" ht="16.5">
      <c r="E38" s="133"/>
      <c r="F38" s="133"/>
      <c r="G38" s="133"/>
      <c r="H38" s="100"/>
      <c r="I38" s="88"/>
      <c r="J38" s="88"/>
      <c r="K38" s="88"/>
      <c r="L38" s="88"/>
      <c r="M38" s="88"/>
      <c r="N38" s="88"/>
      <c r="O38" s="8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2:69" ht="16.5">
      <c r="E39" s="133"/>
      <c r="F39" s="133"/>
      <c r="G39" s="133"/>
      <c r="H39" s="100"/>
      <c r="I39" s="88"/>
      <c r="J39" s="88"/>
      <c r="K39" s="88"/>
      <c r="L39" s="88"/>
      <c r="M39" s="88"/>
      <c r="N39" s="88"/>
      <c r="O39" s="8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2:69" ht="16.5">
      <c r="B40" s="339"/>
      <c r="E40" s="686"/>
      <c r="F40" s="686"/>
      <c r="G40" s="686"/>
      <c r="H40" s="102"/>
      <c r="I40" s="88"/>
      <c r="J40" s="88"/>
      <c r="K40" s="88"/>
      <c r="L40" s="88"/>
      <c r="M40" s="88"/>
      <c r="N40" s="88"/>
      <c r="O40" s="88"/>
      <c r="P40" s="1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</row>
    <row r="41" spans="2:69" ht="16.5">
      <c r="B41" s="339"/>
      <c r="E41" s="322"/>
      <c r="F41" s="322"/>
      <c r="G41" s="322"/>
      <c r="H41" s="102"/>
      <c r="I41" s="88"/>
      <c r="J41" s="88"/>
      <c r="K41" s="88"/>
      <c r="L41" s="88"/>
      <c r="M41" s="88"/>
      <c r="N41" s="88"/>
      <c r="O41" s="88"/>
      <c r="P41" s="1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</row>
    <row r="42" spans="2:69" ht="16.5">
      <c r="B42" s="339"/>
      <c r="E42" s="322"/>
      <c r="F42" s="322"/>
      <c r="G42" s="322"/>
      <c r="H42" s="102"/>
      <c r="I42" s="88"/>
      <c r="J42" s="88"/>
      <c r="K42" s="88"/>
      <c r="L42" s="88"/>
      <c r="M42" s="88"/>
      <c r="N42" s="88"/>
      <c r="O42" s="88"/>
      <c r="P42" s="1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</row>
    <row r="43" spans="2:69" ht="16.5">
      <c r="B43" s="339"/>
      <c r="E43" s="322"/>
      <c r="F43" s="322"/>
      <c r="G43" s="322"/>
      <c r="H43" s="102"/>
      <c r="I43" s="88"/>
      <c r="J43" s="88"/>
      <c r="K43" s="88"/>
      <c r="L43" s="88"/>
      <c r="M43" s="88"/>
      <c r="N43" s="88"/>
      <c r="O43" s="88"/>
      <c r="P43" s="1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</row>
    <row r="44" spans="2:69" ht="16.5">
      <c r="B44" s="339"/>
      <c r="E44" s="322"/>
      <c r="F44" s="322"/>
      <c r="G44" s="322"/>
      <c r="H44" s="102"/>
      <c r="I44" s="88"/>
      <c r="J44" s="88"/>
      <c r="K44" s="88"/>
      <c r="L44" s="88"/>
      <c r="M44" s="88"/>
      <c r="N44" s="88"/>
      <c r="O44" s="88"/>
      <c r="P44" s="1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</row>
    <row r="45" spans="2:69" ht="16.5">
      <c r="B45" s="339"/>
      <c r="E45" s="322"/>
      <c r="F45" s="322"/>
      <c r="G45" s="322"/>
      <c r="H45" s="102"/>
      <c r="I45" s="88"/>
      <c r="J45" s="88"/>
      <c r="K45" s="88"/>
      <c r="L45" s="88"/>
      <c r="M45" s="88"/>
      <c r="N45" s="88"/>
      <c r="O45" s="88"/>
      <c r="P45" s="1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</row>
    <row r="46" spans="2:69" ht="16.5">
      <c r="B46" s="339"/>
      <c r="E46" s="322"/>
      <c r="F46" s="322"/>
      <c r="G46" s="322"/>
      <c r="H46" s="102"/>
      <c r="I46" s="88"/>
      <c r="J46" s="88"/>
      <c r="K46" s="88"/>
      <c r="L46" s="88"/>
      <c r="M46" s="88"/>
      <c r="N46" s="88"/>
      <c r="O46" s="88"/>
      <c r="P46" s="1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</row>
    <row r="47" spans="2:69" ht="16.5">
      <c r="B47" s="339"/>
      <c r="E47" s="322"/>
      <c r="F47" s="322"/>
      <c r="G47" s="322"/>
      <c r="H47" s="102"/>
      <c r="I47" s="88"/>
      <c r="J47" s="88"/>
      <c r="K47" s="88"/>
      <c r="L47" s="88"/>
      <c r="M47" s="88"/>
      <c r="N47" s="88"/>
      <c r="O47" s="88"/>
      <c r="P47" s="1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</row>
    <row r="48" spans="2:69" ht="16.5">
      <c r="B48" s="339"/>
      <c r="H48" s="104"/>
      <c r="I48" s="88"/>
      <c r="J48" s="88"/>
      <c r="K48" s="88"/>
      <c r="L48" s="88"/>
      <c r="M48" s="88"/>
      <c r="N48" s="88"/>
      <c r="O48" s="88"/>
      <c r="P48" s="1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8:69" ht="16.5">
      <c r="H49" s="105"/>
      <c r="I49" s="88"/>
      <c r="J49" s="88"/>
      <c r="K49" s="88"/>
      <c r="L49" s="88"/>
      <c r="M49" s="88"/>
      <c r="N49" s="88"/>
      <c r="O49" s="88"/>
      <c r="P49" s="1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</row>
    <row r="50" spans="8:69" ht="16.5">
      <c r="I50" s="88"/>
      <c r="J50" s="88"/>
      <c r="K50" s="88"/>
      <c r="L50" s="88"/>
      <c r="M50" s="88"/>
      <c r="N50" s="88"/>
      <c r="O50" s="88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</row>
    <row r="51" spans="8:69" ht="16.5">
      <c r="H51" s="57"/>
      <c r="I51" s="88"/>
      <c r="J51" s="88"/>
      <c r="K51" s="88"/>
      <c r="L51" s="88"/>
      <c r="M51" s="88"/>
      <c r="N51" s="88"/>
      <c r="O51" s="88"/>
    </row>
    <row r="52" spans="8:69" ht="16.5">
      <c r="I52" s="88"/>
      <c r="J52" s="88"/>
      <c r="K52" s="88"/>
      <c r="L52" s="88"/>
      <c r="M52" s="88"/>
      <c r="N52" s="88"/>
      <c r="O52" s="88"/>
    </row>
    <row r="53" spans="8:69" ht="16.5">
      <c r="I53" s="88"/>
      <c r="J53" s="88"/>
      <c r="K53" s="88"/>
      <c r="L53" s="88"/>
      <c r="M53" s="88"/>
      <c r="N53" s="88"/>
      <c r="O53" s="88"/>
    </row>
    <row r="54" spans="8:69" ht="16.5">
      <c r="I54" s="88"/>
      <c r="J54" s="88"/>
      <c r="K54" s="88"/>
      <c r="L54" s="88"/>
      <c r="M54" s="88"/>
      <c r="N54" s="88"/>
      <c r="O54" s="88"/>
    </row>
    <row r="55" spans="8:69" ht="16.5">
      <c r="I55" s="88"/>
      <c r="J55" s="88"/>
      <c r="K55" s="88"/>
      <c r="L55" s="88"/>
      <c r="M55" s="88"/>
      <c r="N55" s="88"/>
      <c r="O55" s="88"/>
    </row>
    <row r="56" spans="8:69" ht="38.25">
      <c r="I56" s="91" t="s">
        <v>132</v>
      </c>
      <c r="J56" s="92" t="s">
        <v>73</v>
      </c>
      <c r="K56" s="91" t="s">
        <v>74</v>
      </c>
      <c r="L56" s="240" t="s">
        <v>133</v>
      </c>
      <c r="M56" s="92"/>
      <c r="N56" s="92"/>
      <c r="O56" s="92"/>
    </row>
    <row r="57" spans="8:69">
      <c r="I57" s="93">
        <v>1</v>
      </c>
      <c r="J57" s="94" t="s">
        <v>315</v>
      </c>
      <c r="K57" s="95" t="s">
        <v>82</v>
      </c>
      <c r="L57" s="597">
        <f>IF(L62&lt;1,0.8168,IF(L62&gt;100,0.114,(L58-L59)/(L60-L61)*(L62-L61)+L59))</f>
        <v>0.81679999999999997</v>
      </c>
      <c r="M57" s="96"/>
      <c r="N57" s="96"/>
      <c r="O57" s="96"/>
    </row>
    <row r="58" spans="8:69" ht="25.5">
      <c r="I58" s="3">
        <v>2</v>
      </c>
      <c r="J58" s="120" t="s">
        <v>316</v>
      </c>
      <c r="K58" s="5" t="s">
        <v>84</v>
      </c>
      <c r="L58" s="598">
        <f>IF(L62&lt;1,0.816,LOOKUP(L60,'Dinh muc'!$C$88:$I$89))+0.00000000000001</f>
        <v>0.81600000000000994</v>
      </c>
      <c r="M58" s="83"/>
      <c r="N58" s="84"/>
      <c r="O58" s="84"/>
    </row>
    <row r="59" spans="8:69" ht="25.5">
      <c r="I59" s="3">
        <v>3</v>
      </c>
      <c r="J59" s="4" t="s">
        <v>317</v>
      </c>
      <c r="K59" s="5" t="s">
        <v>86</v>
      </c>
      <c r="L59" s="598">
        <f>LOOKUP(L61,'Dinh muc'!$C$88:$I$89)+0.0000000000001</f>
        <v>0.81600000000009998</v>
      </c>
      <c r="M59" s="83"/>
      <c r="N59" s="84"/>
      <c r="O59" s="84"/>
    </row>
    <row r="60" spans="8:69">
      <c r="I60" s="3">
        <v>4</v>
      </c>
      <c r="J60" s="4" t="s">
        <v>318</v>
      </c>
      <c r="K60" s="5" t="s">
        <v>88</v>
      </c>
      <c r="L60" s="599">
        <f>IF((L62&lt;1),1,(SMALL('Dinh muc'!$C$88:$I$88,COUNTIF('Dinh muc'!$C$88:$I$88,"&lt;="&amp;$L$62))))+0.00000000001</f>
        <v>1.00000000001</v>
      </c>
      <c r="M60" s="163"/>
      <c r="N60" s="163"/>
      <c r="O60" s="163"/>
    </row>
    <row r="61" spans="8:69">
      <c r="I61" s="3">
        <v>5</v>
      </c>
      <c r="J61" s="4" t="s">
        <v>319</v>
      </c>
      <c r="K61" s="5" t="s">
        <v>90</v>
      </c>
      <c r="L61" s="599">
        <f>IF(L62&gt;100,100,(LARGE('Dinh muc'!$C$88:$I$88,COUNTIF('Dinh muc'!$C$88:$I$88,"&gt;="&amp;$L$62))))+0.0000000000000001</f>
        <v>1</v>
      </c>
      <c r="M61" s="163"/>
      <c r="N61" s="163"/>
      <c r="O61" s="163"/>
    </row>
    <row r="62" spans="8:69">
      <c r="I62" s="6">
        <v>6</v>
      </c>
      <c r="J62" s="7" t="s">
        <v>320</v>
      </c>
      <c r="K62" s="8" t="s">
        <v>92</v>
      </c>
      <c r="L62" s="600">
        <f>C22/1000000000</f>
        <v>0</v>
      </c>
      <c r="M62" s="86"/>
      <c r="N62" s="86"/>
      <c r="O62" s="86"/>
    </row>
    <row r="63" spans="8:69" ht="15">
      <c r="I63" s="1"/>
      <c r="J63" s="2"/>
      <c r="K63" s="1"/>
      <c r="L63" s="1"/>
      <c r="M63" s="1"/>
      <c r="N63" s="1"/>
      <c r="O63" s="1"/>
    </row>
    <row r="64" spans="8:69" ht="15">
      <c r="I64" s="1"/>
      <c r="J64" s="56"/>
      <c r="K64" s="1"/>
      <c r="L64" s="1"/>
      <c r="M64" s="1"/>
      <c r="N64" s="1"/>
      <c r="O64" s="1"/>
    </row>
    <row r="65" spans="9:69" ht="15">
      <c r="I65" s="1"/>
      <c r="J65" s="1"/>
      <c r="K65" s="1"/>
      <c r="L65" s="1"/>
      <c r="M65" s="1"/>
      <c r="N65" s="1"/>
      <c r="O65" s="1"/>
    </row>
    <row r="66" spans="9:69" ht="15">
      <c r="I66" s="1"/>
      <c r="J66" s="1"/>
      <c r="K66" s="1"/>
      <c r="L66" s="1"/>
      <c r="M66" s="1"/>
      <c r="N66" s="1"/>
      <c r="O66" s="1"/>
    </row>
    <row r="67" spans="9:69" ht="15">
      <c r="I67" s="1"/>
      <c r="J67" s="1"/>
      <c r="K67" s="1"/>
      <c r="L67" s="1"/>
      <c r="M67" s="1"/>
      <c r="N67" s="1"/>
      <c r="O67" s="1"/>
    </row>
    <row r="68" spans="9:69" ht="15">
      <c r="I68" s="1"/>
      <c r="J68" s="1"/>
      <c r="K68" s="1"/>
      <c r="L68" s="1"/>
      <c r="M68" s="1"/>
      <c r="N68" s="1"/>
      <c r="O68" s="1"/>
    </row>
    <row r="69" spans="9:69" ht="15">
      <c r="I69" s="1"/>
      <c r="J69" s="1"/>
      <c r="K69" s="1"/>
      <c r="L69" s="1"/>
      <c r="M69" s="1"/>
      <c r="N69" s="1"/>
      <c r="O69" s="1"/>
    </row>
    <row r="70" spans="9:69" ht="15">
      <c r="I70" s="1"/>
      <c r="J70" s="1"/>
      <c r="K70" s="1"/>
      <c r="L70" s="1"/>
      <c r="M70" s="1"/>
      <c r="N70" s="1"/>
      <c r="O70" s="1"/>
    </row>
    <row r="71" spans="9:69" ht="15">
      <c r="I71" s="1"/>
      <c r="J71" s="1"/>
      <c r="K71" s="1"/>
      <c r="L71" s="1"/>
      <c r="M71" s="1"/>
      <c r="N71" s="1"/>
      <c r="O71" s="1"/>
    </row>
    <row r="72" spans="9:69" ht="15">
      <c r="I72" s="1"/>
      <c r="J72" s="1"/>
      <c r="K72" s="1"/>
      <c r="L72" s="1"/>
      <c r="M72" s="1"/>
      <c r="N72" s="1"/>
      <c r="O72" s="1"/>
    </row>
    <row r="73" spans="9:69" ht="15">
      <c r="I73" s="1"/>
      <c r="J73" s="1"/>
      <c r="K73" s="1"/>
      <c r="L73" s="1"/>
      <c r="M73" s="1"/>
      <c r="N73" s="1"/>
      <c r="O73" s="1"/>
    </row>
    <row r="74" spans="9:69" ht="15">
      <c r="I74" s="1"/>
      <c r="J74" s="1"/>
      <c r="K74" s="1"/>
      <c r="L74" s="1"/>
      <c r="M74" s="1"/>
      <c r="N74" s="1"/>
      <c r="O74" s="1"/>
    </row>
    <row r="75" spans="9:69" ht="15">
      <c r="I75" s="1"/>
      <c r="J75" s="1"/>
      <c r="K75" s="1"/>
      <c r="L75" s="1"/>
      <c r="M75" s="1">
        <f>66197</f>
        <v>66197</v>
      </c>
      <c r="N75" s="1">
        <v>0.15</v>
      </c>
      <c r="O75" s="1">
        <f>N75*M75</f>
        <v>9929.5499999999993</v>
      </c>
    </row>
    <row r="76" spans="9:69" ht="15">
      <c r="I76" s="1"/>
      <c r="J76" s="55"/>
      <c r="K76" s="1"/>
      <c r="L76" s="1"/>
      <c r="M76" s="1"/>
      <c r="N76" s="1"/>
      <c r="O76" s="1"/>
    </row>
    <row r="77" spans="9:69" ht="15">
      <c r="I77" s="1"/>
      <c r="J77" s="1"/>
      <c r="K77" s="1"/>
      <c r="L77" s="1"/>
      <c r="M77" s="1"/>
      <c r="N77" s="1"/>
      <c r="O77" s="1"/>
    </row>
    <row r="78" spans="9:69" ht="15">
      <c r="I78" s="1"/>
      <c r="J78" s="1"/>
      <c r="K78" s="1"/>
      <c r="L78" s="1"/>
      <c r="M78" s="1"/>
      <c r="N78" s="1"/>
      <c r="O78" s="1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</row>
    <row r="79" spans="9:69" ht="15">
      <c r="I79" s="1"/>
      <c r="J79" s="1"/>
      <c r="K79" s="1"/>
      <c r="L79" s="1"/>
      <c r="M79" s="1"/>
      <c r="N79" s="1"/>
      <c r="O79" s="1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</row>
    <row r="80" spans="9:69" ht="15">
      <c r="I80" s="1"/>
      <c r="J80" s="1"/>
      <c r="K80" s="1"/>
      <c r="L80" s="1"/>
      <c r="M80" s="1"/>
      <c r="N80" s="1"/>
      <c r="O80" s="1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</row>
    <row r="81" spans="9:69" ht="15">
      <c r="I81" s="1"/>
      <c r="J81" s="1"/>
      <c r="K81" s="1"/>
      <c r="L81" s="1"/>
      <c r="M81" s="1"/>
      <c r="N81" s="1"/>
      <c r="O81" s="1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</row>
    <row r="82" spans="9:69" ht="15">
      <c r="I82" s="1"/>
      <c r="J82" s="1"/>
      <c r="K82" s="1"/>
      <c r="L82" s="1"/>
      <c r="M82" s="1"/>
      <c r="N82" s="1"/>
      <c r="O82" s="1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</row>
    <row r="83" spans="9:69" ht="15.75">
      <c r="I83" s="106"/>
      <c r="J83" s="106"/>
      <c r="K83" s="106"/>
      <c r="L83" s="106"/>
      <c r="M83" s="106"/>
      <c r="N83" s="106"/>
      <c r="O83" s="106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</row>
    <row r="84" spans="9:69" ht="15"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</row>
    <row r="85" spans="9:69" ht="18">
      <c r="P85" s="10" t="str">
        <f>"Đọc giá trị số thành chữ"</f>
        <v>Đọc giá trị số thành chữ</v>
      </c>
      <c r="Q85" s="37"/>
      <c r="R85" s="37"/>
      <c r="S85" s="11"/>
      <c r="T85" s="37"/>
      <c r="U85" s="37"/>
      <c r="V85" s="37"/>
      <c r="W85" s="37"/>
      <c r="X85" s="37"/>
      <c r="Y85" s="38"/>
    </row>
    <row r="86" spans="9:69" ht="18.75">
      <c r="P86" s="12" t="s">
        <v>146</v>
      </c>
      <c r="Q86" s="37"/>
      <c r="R86" s="37"/>
      <c r="S86" s="13" t="str">
        <f>"© VVC, modify by Tuan dt"</f>
        <v>© VVC, modify by Tuan dt</v>
      </c>
      <c r="T86" s="37"/>
      <c r="U86" s="37"/>
      <c r="V86" s="37"/>
      <c r="W86" s="37"/>
      <c r="X86" s="37"/>
      <c r="Y86" s="38"/>
    </row>
    <row r="87" spans="9:69" ht="18.75">
      <c r="P87" s="14"/>
      <c r="Q87" s="37"/>
      <c r="R87" s="37"/>
      <c r="S87" s="11" t="s">
        <v>146</v>
      </c>
      <c r="T87" s="37"/>
      <c r="U87" s="37"/>
      <c r="V87" s="37"/>
      <c r="W87" s="37" t="s">
        <v>146</v>
      </c>
      <c r="X87" s="37"/>
      <c r="Y87" s="38"/>
    </row>
    <row r="88" spans="9:69" ht="18">
      <c r="P88" s="37">
        <v>1</v>
      </c>
      <c r="Q88" s="37">
        <v>6</v>
      </c>
      <c r="R88" s="37"/>
      <c r="S88" s="11"/>
      <c r="T88" s="37"/>
      <c r="U88" s="37"/>
      <c r="V88" s="37"/>
      <c r="W88" s="37"/>
      <c r="X88" s="37"/>
      <c r="Y88" s="38"/>
    </row>
    <row r="89" spans="9:69" ht="18.75" thickBot="1">
      <c r="J89" s="55"/>
      <c r="P89" s="37"/>
      <c r="Q89" s="37"/>
      <c r="R89" s="37"/>
      <c r="S89" s="37"/>
      <c r="T89" s="37"/>
      <c r="U89" s="37"/>
      <c r="V89" s="37"/>
      <c r="W89" s="37"/>
      <c r="X89" s="37"/>
      <c r="Y89" s="38"/>
    </row>
    <row r="90" spans="9:69" ht="19.5" thickBot="1">
      <c r="P90" s="15" t="str">
        <f>"Giá trị số cần đổi:"</f>
        <v>Giá trị số cần đổi:</v>
      </c>
      <c r="Q90" s="39">
        <f>G28</f>
        <v>487552000</v>
      </c>
      <c r="R90" s="379" t="str">
        <f>IF(ROUND(VALUE(10*(100*Q90-INT(100*Q90))),0)&gt;0,"Chỉ có 2 chữ số sau dấu phẩy","")</f>
        <v/>
      </c>
      <c r="S90" s="37"/>
      <c r="T90" s="37"/>
      <c r="U90" s="37"/>
      <c r="V90" s="37"/>
      <c r="W90" s="37"/>
      <c r="X90" s="37"/>
      <c r="Y90" s="38"/>
    </row>
    <row r="91" spans="9:69" ht="18.75">
      <c r="P91" s="40" t="s">
        <v>146</v>
      </c>
      <c r="Q91" s="16" t="str">
        <f ca="1">IF(Q90&gt;=1000000000000,"Công thức này chỉ có thể đếm thành chữ dưới 1000 tỷ",IF(ABS(Q90)&lt;1,"không",IF(Q90&lt;0,"âm ","")&amp;IF(Q93=0,"",R93)&amp;IF(AND(Q94=0,Q95=0),"",S94)&amp;IF(Q96=0,"",R96)&amp;IF(AND(Q97=0,Q98=0),"",S97)&amp;IF(Q99=0,"",R99)&amp;IF(AND(Q100=0,Q101=0),"",S100)&amp;IF(Q102=0,"",R102)&amp;IF(AND(Q103=0,Q104=0),"",IF(AND(Q103=0,Q104=1),"một",S103)))&amp;CELL("contents",V94))&amp;IF(T111=0,"",IF(P91=1,T110,S106))</f>
        <v>bốn trăm tám mươi bẩy triệu, năm trăm  năm mươi  hai nghìn  đồng chẵn</v>
      </c>
      <c r="R91" s="41"/>
      <c r="S91" s="41"/>
      <c r="T91" s="41"/>
      <c r="U91" s="41"/>
      <c r="V91" s="41"/>
      <c r="W91" s="41"/>
      <c r="X91" s="41"/>
      <c r="Y91" s="38"/>
    </row>
    <row r="92" spans="9:69" ht="18.75">
      <c r="P92" s="17" t="str">
        <f>"đếm từng chữ một"</f>
        <v>đếm từng chữ một</v>
      </c>
      <c r="Q92" s="18" t="str">
        <f>IF(Q90&lt;0,"minus   ","")&amp;SUBSTITUTE(SUBSTITUTE(SUBSTITUTE(SUBSTITUTE(Q108,8,"tám   "),9,"chín   "),",","phẩy   "),"-","")</f>
        <v xml:space="preserve">bốn   tám   bẩy   năm   năm   hai   không   không   không   </v>
      </c>
      <c r="R92" s="42"/>
      <c r="S92" s="37"/>
      <c r="T92" s="37"/>
      <c r="U92" s="37"/>
      <c r="V92" s="37" t="s">
        <v>147</v>
      </c>
      <c r="W92" s="37"/>
      <c r="X92" s="37"/>
      <c r="Y92" s="38"/>
    </row>
    <row r="93" spans="9:69" ht="18.75">
      <c r="P93" s="17" t="str">
        <f>"hàng trăm tỷ"</f>
        <v>hàng trăm tỷ</v>
      </c>
      <c r="Q93" s="19">
        <f>VALUE(RIGHT(INT(ABS(Q90)/100000000000)))</f>
        <v>0</v>
      </c>
      <c r="R93" s="20" t="str">
        <f>IF(Q93=1,"một",IF(Q93=2,"hai",IF(Q93=3,"ba",IF(Q93=4,"bốn",IF(Q93=5,"năm",IF(Q93=6,"sáu",IF(Q93=7,"bẩy",IF(Q93=8,"tám","chín"))))))))&amp;" trăm "&amp;IF(AND(Q94=0,Q95=0),"tỷ","")</f>
        <v>chín trăm tỷ</v>
      </c>
      <c r="S93" s="31"/>
      <c r="T93" s="43"/>
      <c r="U93" s="37"/>
      <c r="V93" s="37">
        <v>1</v>
      </c>
      <c r="W93" s="37">
        <v>2</v>
      </c>
      <c r="X93" s="37">
        <v>3</v>
      </c>
      <c r="Y93" s="38"/>
    </row>
    <row r="94" spans="9:69" ht="18.75">
      <c r="P94" s="17" t="str">
        <f>"hàng chục tỷ"</f>
        <v>hàng chục tỷ</v>
      </c>
      <c r="Q94" s="19">
        <f>VALUE(RIGHT(INT(ABS(Q90)/10000000000)))</f>
        <v>0</v>
      </c>
      <c r="R94" s="20" t="str">
        <f>IF(Q94=1,"mười",IF(Q94=2," hai mươi",IF(Q94=3,"ba mươi",IF(Q94=4,"bốn mươi",IF(Q94=5,"năm mươi",IF(Q94=6,"sáu mươi",IF(Q94=7,"bẩy mươi",IF(Q94=8,"tám mươi","chín mươi"))))))))</f>
        <v>chín mươi</v>
      </c>
      <c r="S94" s="21" t="str">
        <f>IF(AND(Q94=0,Q95=1),"một tỷ ",IF(AND(Q94=1,Q95=1),"mười một",IF(AND(Q94=1,Q95=2),"mười hai",IF(AND(Q94=1,Q95=6),"mười sáu",IF(AND(Q94=1,Q95=7),"mười bẩy",IF(Q95=0,R94,IF(Q94=0,R95,R94&amp;IF(Q94&gt;1," ","")&amp;R95))))))&amp;" tỷ, ")</f>
        <v xml:space="preserve">chín mươi tỷ, </v>
      </c>
      <c r="T94" s="44"/>
      <c r="U94" s="37"/>
      <c r="V94" s="22" t="str">
        <f>INDEX(V95:X111,P88,2)</f>
        <v xml:space="preserve"> đồng chẵn</v>
      </c>
      <c r="W94" s="22" t="str">
        <f>INDEX(V95:X111,P88,3)</f>
        <v xml:space="preserve"> xu</v>
      </c>
      <c r="X94" s="37"/>
      <c r="Y94" s="38"/>
    </row>
    <row r="95" spans="9:69" ht="18.75">
      <c r="P95" s="17" t="str">
        <f>"hàng tỷ"</f>
        <v>hàng tỷ</v>
      </c>
      <c r="Q95" s="23">
        <f>VALUE(RIGHT(INT(ABS(Q90)/1000000000)))</f>
        <v>0</v>
      </c>
      <c r="R95" s="20" t="str">
        <f>IF(Q95=1,"một",IF(Q95=2,"hai",IF(Q95=3,"ba",IF(Q95=4,"bốn",IF(Q95=5,"năm",IF(Q95=6,"sáu",IF(Q95=7,"bẩy",IF(Q95=8,"tám","chín"))))))))</f>
        <v>chín</v>
      </c>
      <c r="S95" s="45"/>
      <c r="T95" s="46"/>
      <c r="U95" s="37"/>
      <c r="V95" s="20" t="s">
        <v>149</v>
      </c>
      <c r="W95" s="20" t="s">
        <v>150</v>
      </c>
      <c r="X95" s="20" t="s">
        <v>151</v>
      </c>
      <c r="Y95" s="38"/>
    </row>
    <row r="96" spans="9:69" ht="18.75">
      <c r="P96" s="17" t="str">
        <f>"hàng trăm triệu"</f>
        <v>hàng trăm triệu</v>
      </c>
      <c r="Q96" s="24">
        <f>VALUE(RIGHT(INT(ABS(Q90)/100000000)))</f>
        <v>4</v>
      </c>
      <c r="R96" s="25" t="str">
        <f>IF(Q96=1,"một",IF(Q96=2,"hai",IF(Q96=3,"ba",IF(Q96=4,"bốn",IF(Q96=5,"năm",IF(Q96=6,"sáu",IF(Q96=7,"bẩy",IF(Q96=8,"tám","chín"))))))))&amp;" trăm "&amp;IF(AND(Q97=0,Q98=0),"triệu","")</f>
        <v xml:space="preserve">bốn trăm </v>
      </c>
      <c r="S96" s="47"/>
      <c r="T96" s="48"/>
      <c r="U96" s="37"/>
      <c r="V96" s="20" t="s">
        <v>153</v>
      </c>
      <c r="W96" s="20" t="s">
        <v>154</v>
      </c>
      <c r="X96" s="20" t="s">
        <v>155</v>
      </c>
      <c r="Y96" s="38"/>
    </row>
    <row r="97" spans="9:69" ht="18.75">
      <c r="P97" s="17" t="str">
        <f>"hàng chục triệu"</f>
        <v>hàng chục triệu</v>
      </c>
      <c r="Q97" s="24">
        <f>VALUE(RIGHT(INT(ABS(Q90)/10000000)))</f>
        <v>8</v>
      </c>
      <c r="R97" s="25" t="str">
        <f>IF(Q97=1,"mười ",IF(Q97=2,"hai mươi",IF(Q97=3,"ba mươi",IF(Q97=4,"bốn mươi",IF(Q97=5,"năm mươi",IF(Q97=6,"sáu mươi",IF(Q97=7,"bẩy mươi",IF(Q97=8,"tám mươi","chín mươi"))))))))</f>
        <v>tám mươi</v>
      </c>
      <c r="S97" s="26" t="str">
        <f>IF(AND(Q97=0,Q98=1),"một triệu",IF(AND(Q97=1,Q98=1),"mười một",IF(AND(Q97=1,Q98=2),"mười hai",IF(AND(Q97=1,Q98=6),"mười sáu",IF(AND(Q97=1,Q98=7),"mười bẩy",IF(Q98=0,R97,IF(Q97=0,"linh "&amp;R98,R97&amp;IF(Q97&gt;1," ","")&amp;R98))))))&amp;" triệu,")</f>
        <v>tám mươi bẩy triệu,</v>
      </c>
      <c r="T97" s="49"/>
      <c r="U97" s="37"/>
      <c r="V97" s="20" t="s">
        <v>157</v>
      </c>
      <c r="W97" s="20" t="s">
        <v>158</v>
      </c>
      <c r="X97" s="20" t="s">
        <v>159</v>
      </c>
      <c r="Y97" s="38"/>
    </row>
    <row r="98" spans="9:69" ht="18.75">
      <c r="P98" s="17" t="str">
        <f>"hàng triệu"</f>
        <v>hàng triệu</v>
      </c>
      <c r="Q98" s="24">
        <f>VALUE(RIGHT(INT(ABS(Q90)/1000000)))</f>
        <v>7</v>
      </c>
      <c r="R98" s="25" t="str">
        <f>IF(Q98=1,"một",IF(Q98=2,"hai",IF(Q98=3,"ba",IF(Q98=4,"bốn",IF(Q98=5,"năm",IF(Q98=6,"sáu",IF(Q98=7,"bẩy",IF(Q98=8,"tám","chín"))))))))</f>
        <v>bẩy</v>
      </c>
      <c r="S98" s="26"/>
      <c r="T98" s="49"/>
      <c r="U98" s="37"/>
      <c r="V98" s="20" t="s">
        <v>161</v>
      </c>
      <c r="W98" s="20" t="s">
        <v>162</v>
      </c>
      <c r="X98" s="20" t="s">
        <v>163</v>
      </c>
      <c r="Y98" s="38"/>
    </row>
    <row r="99" spans="9:69" ht="18.75">
      <c r="P99" s="17" t="str">
        <f>"hàng trăm nghìn"</f>
        <v>hàng trăm nghìn</v>
      </c>
      <c r="Q99" s="27">
        <f>VALUE(RIGHT(INT(ABS(Q90)/100000)))</f>
        <v>5</v>
      </c>
      <c r="R99" s="20" t="str">
        <f>IF(Q99=1," một",IF(Q99=2," hai",IF(Q99=3," ba",IF(Q99=4," bốn",IF(Q99=5," năm",IF(Q99=6," sáu",IF(Q99=7," bẩy",IF(Q99=8," tám"," chín"))))))))&amp;" trăm "&amp;IF(AND(Q100=0,Q101=0)," nghìn","")</f>
        <v xml:space="preserve"> năm trăm </v>
      </c>
      <c r="S99" s="31"/>
      <c r="T99" s="43"/>
      <c r="U99" s="37"/>
      <c r="V99" s="20" t="s">
        <v>165</v>
      </c>
      <c r="W99" s="20" t="s">
        <v>166</v>
      </c>
      <c r="X99" s="20" t="s">
        <v>167</v>
      </c>
      <c r="Y99" s="38"/>
    </row>
    <row r="100" spans="9:69" ht="18.75">
      <c r="P100" s="17" t="str">
        <f>"hàng chục nghìn"</f>
        <v>hàng chục nghìn</v>
      </c>
      <c r="Q100" s="27">
        <f>VALUE(RIGHT(INT(ABS(Q90)/10000)))</f>
        <v>5</v>
      </c>
      <c r="R100" s="20" t="str">
        <f>IF(Q100=1,"mười ",IF(Q100=2," hai mươi ",IF(Q100=3," ba mươi ",IF(Q100=4," bốn mươi ",IF(Q100=5," năm mươi ",IF(Q100=6," sáu mươi ",IF(Q100=7," bẩy mươi ",IF(Q100=8," tám mươi "," chín mươi "))))))))</f>
        <v xml:space="preserve"> năm mươi </v>
      </c>
      <c r="S100" s="21" t="str">
        <f>IF(AND(Q100=1,Q101=1)," mười một",IF(AND(Q100=1,Q101=2)," mười hai",IF(AND(Q100=1,Q101=6)," mười sáu",IF(AND(Q100=1,Q101=7)," mười bẩy",IF(Q101=0,R100,IF(Q100=0,"linh"&amp;R101,R100&amp;IF(Q100&gt;1,"","")&amp;R101))))))&amp;" nghìn "</f>
        <v xml:space="preserve"> năm mươi  hai nghìn </v>
      </c>
      <c r="T100" s="44"/>
      <c r="U100" s="37"/>
      <c r="V100" s="20" t="s">
        <v>169</v>
      </c>
      <c r="W100" s="20" t="s">
        <v>170</v>
      </c>
      <c r="X100" s="20" t="s">
        <v>171</v>
      </c>
      <c r="Y100" s="38"/>
    </row>
    <row r="101" spans="9:69" ht="18.75">
      <c r="P101" s="17" t="str">
        <f>"hàng nghìn"</f>
        <v>hàng nghìn</v>
      </c>
      <c r="Q101" s="27">
        <f>VALUE(RIGHT(INT(ABS(Q90)/1000)))</f>
        <v>2</v>
      </c>
      <c r="R101" s="20" t="str">
        <f>IF(Q101=1," một",IF(Q101=2," hai",IF(Q101=3," ba",IF(Q101=4," bốn",IF(Q101=5," năm",IF(Q101=6," sáu",IF(Q101=7," bẩy",IF(Q101=8," tám"," chín"))))))))</f>
        <v xml:space="preserve"> hai</v>
      </c>
      <c r="S101" s="21"/>
      <c r="T101" s="44"/>
      <c r="U101" s="37"/>
      <c r="V101" s="20" t="s">
        <v>173</v>
      </c>
      <c r="W101" s="20" t="s">
        <v>174</v>
      </c>
      <c r="X101" s="20" t="s">
        <v>175</v>
      </c>
      <c r="Y101" s="38"/>
    </row>
    <row r="102" spans="9:69" ht="18.75">
      <c r="P102" s="17" t="str">
        <f>"hàng trăm"</f>
        <v>hàng trăm</v>
      </c>
      <c r="Q102" s="28">
        <f>VALUE(RIGHT(INT(ABS(Q90)/100)))</f>
        <v>0</v>
      </c>
      <c r="R102" s="29" t="str">
        <f>IF(Q102=1,"một",IF(Q102=2,"hai",IF(Q102=3,"ba",IF(Q102=4,"bốn",IF(Q102=5,"năm",IF(Q102=6,"sáu",IF(Q102=7,"bẩy",IF(Q102=8,"tám","chín"))))))))&amp;" trăm "</f>
        <v xml:space="preserve">chín trăm </v>
      </c>
      <c r="S102" s="50"/>
      <c r="T102" s="51"/>
      <c r="U102" s="37"/>
      <c r="V102" s="20" t="s">
        <v>177</v>
      </c>
      <c r="W102" s="20" t="s">
        <v>178</v>
      </c>
      <c r="X102" s="20" t="s">
        <v>155</v>
      </c>
      <c r="Y102" s="38"/>
    </row>
    <row r="103" spans="9:69" ht="18.75">
      <c r="P103" s="17" t="str">
        <f>"hàng chục"</f>
        <v>hàng chục</v>
      </c>
      <c r="Q103" s="28">
        <f>VALUE(RIGHT(INT(ABS(Q90)/10)))</f>
        <v>0</v>
      </c>
      <c r="R103" s="29" t="str">
        <f>IF(Q103=1,",mười ",IF(Q103=2,"hai mươi ",IF(Q103=3,"ba mươi ",IF(Q103=4,"bốn mươi ",IF(Q103=5,"năm mươi ",IF(Q103=6,"sáu mươi ",IF(Q103=7,"bẩy mươi ",IF(Q103=8,"tám mươi ","chín mươi "))))))))</f>
        <v xml:space="preserve">chín mươi </v>
      </c>
      <c r="S103" s="30" t="str">
        <f>IF(AND(Q103=1,Q104=1),"mười một",IF(AND(Q103=1,Q104=2),"mười hai",IF(AND(Q103=1,Q104=6),"mười sáu",IF(AND(Q103=1,Q104=7),"mười bẩy",IF(Q104=0,R103,IF(Q103=0,R104,IF(Q103&gt;1,"","")&amp;R103&amp;R104))))))</f>
        <v xml:space="preserve">chín mươi </v>
      </c>
      <c r="T103" s="52"/>
      <c r="U103" s="37"/>
      <c r="V103" s="20" t="s">
        <v>180</v>
      </c>
      <c r="W103" s="20" t="s">
        <v>181</v>
      </c>
      <c r="X103" s="20" t="s">
        <v>182</v>
      </c>
      <c r="Y103" s="38"/>
    </row>
    <row r="104" spans="9:69" ht="18.75">
      <c r="P104" s="17" t="str">
        <f>"hàng đơn vị"</f>
        <v>hàng đơn vị</v>
      </c>
      <c r="Q104" s="28">
        <f>VALUE(RIGHT(INT(ABS(Q90))))</f>
        <v>0</v>
      </c>
      <c r="R104" s="29" t="str">
        <f>IF(Q104=1,"một",IF(Q104=2,"hai",IF(Q104=3,"ba",IF(Q104=4,"bốn",IF(Q104=5,"năm",IF(Q104=6,"sáu",IF(Q104=7,"bẩy",IF(Q104=8,"tám","chín"))))))))</f>
        <v>chín</v>
      </c>
      <c r="S104" s="53"/>
      <c r="T104" s="54"/>
      <c r="U104" s="37"/>
      <c r="V104" s="20" t="s">
        <v>184</v>
      </c>
      <c r="W104" s="20" t="s">
        <v>185</v>
      </c>
      <c r="X104" s="20" t="s">
        <v>186</v>
      </c>
      <c r="Y104" s="38"/>
    </row>
    <row r="105" spans="9:69" ht="18.75">
      <c r="P105" s="17"/>
      <c r="Q105" s="12" t="str">
        <f>"Giá trị sau dấu phẩy"</f>
        <v>Giá trị sau dấu phẩy</v>
      </c>
      <c r="R105" s="37"/>
      <c r="S105" s="37"/>
      <c r="T105" s="37"/>
      <c r="U105" s="37"/>
      <c r="V105" s="20" t="s">
        <v>187</v>
      </c>
      <c r="W105" s="20" t="s">
        <v>188</v>
      </c>
      <c r="X105" s="20" t="s">
        <v>155</v>
      </c>
      <c r="Y105" s="38"/>
    </row>
    <row r="106" spans="9:69" ht="18.75">
      <c r="P106" s="17" t="str">
        <f>"hàng chục"</f>
        <v>hàng chục</v>
      </c>
      <c r="Q106" s="27">
        <f>VALUE(RIGHT(INT(ABS(T111)/10)))</f>
        <v>0</v>
      </c>
      <c r="R106" s="20" t="str">
        <f>IF(Q106=1,"mười",IF(Q106=2,"hai mươi",IF(Q106=3,"ba mươi",IF(Q106=4,"bốn mươi",IF(Q106=5,"năm mươi",IF(Q106=6,"sáu mươi",IF(Q106=7,"bẩy mươi",IF(Q106=8,"tám mươi","chín mươi"))))))))</f>
        <v>chín mươi</v>
      </c>
      <c r="S106" s="31" t="str">
        <f ca="1">" và "&amp;IF(T111&lt;10,"không ","")&amp;IF(T111=1,"một",IF(AND(Q106=1,Q107=1),"mười một",IF(AND(Q106=1,Q107=2),"mười hai",IF(AND(Q106=1,Q107=6),"mười sáu",IF(AND(Q106=1,Q107=7),"mười bẩy",IF(Q107=0,R106,IF(Q106=0,R107,R106&amp;IF(Q106&gt;1," ","")&amp;R107&amp;""))))))&amp;CELL("contents",W94))</f>
        <v xml:space="preserve"> và không chín mươi xu</v>
      </c>
      <c r="T106" s="43"/>
      <c r="U106" s="37"/>
      <c r="V106" s="20" t="s">
        <v>189</v>
      </c>
      <c r="W106" s="20" t="s">
        <v>190</v>
      </c>
      <c r="X106" s="20" t="s">
        <v>155</v>
      </c>
      <c r="Y106" s="38"/>
    </row>
    <row r="107" spans="9:69" ht="18.75">
      <c r="P107" s="17" t="str">
        <f>"hàng đơn vị"</f>
        <v>hàng đơn vị</v>
      </c>
      <c r="Q107" s="27">
        <f>VALUE(RIGHT(INT(ABS(T111))))</f>
        <v>0</v>
      </c>
      <c r="R107" s="20" t="str">
        <f>IF(Q107=1,"một",IF(Q107=2,"hai",IF(Q107=3,"ba",IF(Q107=4,"bốn",IF(Q107=5,"năm",IF(Q107=6,"sáu",IF(Q107=7,"bẩy",IF(Q107=8,"tám","chín"))))))))</f>
        <v>chín</v>
      </c>
      <c r="S107" s="45"/>
      <c r="T107" s="46"/>
      <c r="U107" s="37"/>
      <c r="V107" s="20"/>
      <c r="W107" s="20"/>
      <c r="X107" s="20"/>
      <c r="Y107" s="38"/>
    </row>
    <row r="108" spans="9:69" ht="18">
      <c r="P108" s="37"/>
      <c r="Q108" s="32" t="str">
        <f>SUBSTITUTE(SUBSTITUTE(SUBSTITUTE(SUBSTITUTE(SUBSTITUTE(SUBSTITUTE(SUBSTITUTE(SUBSTITUTE(Q90,0,"không   "),1,"một   "),2,"hai   "),3,"ba   "),4,"bốn   "),5,"năm   "),6,"sáu   "),7,"bẩy   ")</f>
        <v xml:space="preserve">bốn   8bẩy   năm   năm   hai   không   không   không   </v>
      </c>
      <c r="R108" s="37"/>
      <c r="S108" s="37"/>
      <c r="T108" s="37"/>
      <c r="U108" s="37"/>
      <c r="V108" s="20"/>
      <c r="W108" s="20"/>
      <c r="X108" s="20"/>
      <c r="Y108" s="38"/>
    </row>
    <row r="109" spans="9:69" ht="18">
      <c r="P109" s="37"/>
      <c r="Q109" s="37"/>
      <c r="R109" s="37"/>
      <c r="S109" s="37"/>
      <c r="T109" s="37"/>
      <c r="U109" s="37"/>
      <c r="V109" s="20"/>
      <c r="W109" s="20"/>
      <c r="X109" s="20"/>
      <c r="Y109" s="38"/>
    </row>
    <row r="110" spans="9:69" ht="18">
      <c r="P110" s="37"/>
      <c r="Q110" s="33">
        <f>ABS(100*(MOD(Q90,1)-(Q90&lt;0)))</f>
        <v>0</v>
      </c>
      <c r="R110" s="37"/>
      <c r="S110" s="37"/>
      <c r="T110" s="34" t="str">
        <f>TEXT(T111,"   00")&amp;"/100"</f>
        <v xml:space="preserve">   00/100</v>
      </c>
      <c r="U110" s="37"/>
      <c r="V110" s="20"/>
      <c r="W110" s="20"/>
      <c r="X110" s="20"/>
      <c r="Y110" s="38"/>
    </row>
    <row r="111" spans="9:69" ht="18">
      <c r="I111" s="80"/>
      <c r="J111" s="80"/>
      <c r="K111" s="80"/>
      <c r="L111" s="80"/>
      <c r="M111" s="80"/>
      <c r="N111" s="80"/>
      <c r="O111" s="80"/>
      <c r="P111" s="37"/>
      <c r="Q111" s="35">
        <f>ROUND(100*(ABS(Q90)-INT(ABS(Q90))),0)</f>
        <v>0</v>
      </c>
      <c r="R111" s="37"/>
      <c r="S111" s="37"/>
      <c r="T111" s="36">
        <f>IF(P91=0,0,ROUND(100*(ABS(Q90)-INT(ABS(Q90))),0))</f>
        <v>0</v>
      </c>
      <c r="U111" s="37"/>
      <c r="V111" s="20"/>
      <c r="W111" s="20"/>
      <c r="X111" s="20"/>
      <c r="Y111" s="38"/>
    </row>
    <row r="112" spans="9:69" ht="15"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</row>
    <row r="113" spans="9:69" ht="15"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</row>
    <row r="114" spans="9:69" ht="15">
      <c r="I114" s="80"/>
      <c r="J114" s="80"/>
      <c r="K114" s="80"/>
      <c r="L114" s="80"/>
      <c r="M114" s="80"/>
      <c r="N114" s="80"/>
      <c r="O114" s="80"/>
    </row>
    <row r="115" spans="9:69" ht="15">
      <c r="I115" s="80"/>
      <c r="J115" s="80"/>
      <c r="K115" s="80"/>
      <c r="L115" s="80"/>
      <c r="M115" s="80"/>
      <c r="N115" s="80"/>
      <c r="O115" s="80"/>
    </row>
    <row r="116" spans="9:69" ht="15">
      <c r="I116" s="80"/>
      <c r="J116" s="80"/>
      <c r="K116" s="80"/>
      <c r="L116" s="80"/>
      <c r="M116" s="80"/>
      <c r="N116" s="80"/>
      <c r="O116" s="80"/>
    </row>
    <row r="117" spans="9:69" ht="15">
      <c r="I117" s="80"/>
      <c r="J117" s="80"/>
      <c r="K117" s="80"/>
      <c r="L117" s="80"/>
      <c r="M117" s="80"/>
      <c r="N117" s="80"/>
      <c r="O117" s="80"/>
    </row>
    <row r="145" spans="9:15" ht="15">
      <c r="I145" s="80"/>
      <c r="J145" s="80"/>
      <c r="K145" s="80"/>
      <c r="L145" s="80"/>
      <c r="M145" s="80"/>
      <c r="N145" s="80"/>
      <c r="O145" s="80"/>
    </row>
    <row r="146" spans="9:15" ht="15">
      <c r="I146" s="80"/>
      <c r="J146" s="80"/>
      <c r="K146" s="80"/>
      <c r="L146" s="80"/>
      <c r="M146" s="80"/>
      <c r="N146" s="80"/>
      <c r="O146" s="80"/>
    </row>
  </sheetData>
  <mergeCells count="13">
    <mergeCell ref="A10:G10"/>
    <mergeCell ref="A9:G9"/>
    <mergeCell ref="A2:G2"/>
    <mergeCell ref="A3:G3"/>
    <mergeCell ref="A4:B4"/>
    <mergeCell ref="A7:G7"/>
    <mergeCell ref="A8:G8"/>
    <mergeCell ref="E31:G31"/>
    <mergeCell ref="E32:G32"/>
    <mergeCell ref="E33:G33"/>
    <mergeCell ref="E40:G40"/>
    <mergeCell ref="A11:G11"/>
    <mergeCell ref="A12:G12"/>
  </mergeCells>
  <dataValidations disablePrompts="1" count="1">
    <dataValidation type="list" allowBlank="1" showInputMessage="1" showErrorMessage="1" sqref="C4" xr:uid="{00000000-0002-0000-0C00-000000000000}">
      <formula1>$K$8:$K$11</formula1>
    </dataValidation>
  </dataValidations>
  <pageMargins left="0.8" right="0" top="0.15" bottom="0.15" header="0.5" footer="0.5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D472-AD20-447D-ABB9-04024F4C1095}">
  <sheetPr>
    <pageSetUpPr fitToPage="1"/>
  </sheetPr>
  <dimension ref="A1:BQ161"/>
  <sheetViews>
    <sheetView topLeftCell="A9" workbookViewId="0">
      <selection activeCell="A10" sqref="A10:G10"/>
    </sheetView>
  </sheetViews>
  <sheetFormatPr defaultColWidth="8.85546875" defaultRowHeight="12.75"/>
  <cols>
    <col min="1" max="1" width="4.85546875" style="358" customWidth="1"/>
    <col min="2" max="2" width="29.140625" customWidth="1"/>
    <col min="3" max="3" width="14.140625" customWidth="1"/>
    <col min="4" max="4" width="11.7109375" customWidth="1"/>
    <col min="5" max="5" width="14.140625" customWidth="1"/>
    <col min="6" max="6" width="14.42578125" bestFit="1" customWidth="1"/>
    <col min="7" max="7" width="19.5703125" customWidth="1"/>
    <col min="8" max="8" width="15" bestFit="1" customWidth="1"/>
    <col min="9" max="9" width="18.42578125" customWidth="1"/>
    <col min="10" max="10" width="37.28515625" bestFit="1" customWidth="1"/>
    <col min="11" max="11" width="7.7109375" customWidth="1"/>
    <col min="12" max="12" width="22.5703125" bestFit="1" customWidth="1"/>
    <col min="13" max="13" width="13" customWidth="1"/>
    <col min="14" max="14" width="11" customWidth="1"/>
    <col min="15" max="15" width="14.85546875" customWidth="1"/>
  </cols>
  <sheetData>
    <row r="1" spans="1:69" ht="13.5" thickBot="1"/>
    <row r="2" spans="1:69" ht="17.25" thickTop="1">
      <c r="A2" s="704" t="s">
        <v>50</v>
      </c>
      <c r="B2" s="704"/>
      <c r="C2" s="704"/>
      <c r="D2" s="704"/>
      <c r="E2" s="704"/>
      <c r="F2" s="704"/>
      <c r="G2" s="704"/>
      <c r="H2" s="1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17.25" thickBot="1">
      <c r="A3" s="705"/>
      <c r="B3" s="705"/>
      <c r="C3" s="705"/>
      <c r="D3" s="705"/>
      <c r="E3" s="705"/>
      <c r="F3" s="705"/>
      <c r="G3" s="705"/>
      <c r="H3" s="1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9.5" thickTop="1">
      <c r="A4" s="687"/>
      <c r="B4" s="710"/>
      <c r="C4" s="710"/>
      <c r="D4" s="710"/>
      <c r="E4" s="710"/>
      <c r="F4" s="710"/>
      <c r="G4" s="710"/>
      <c r="H4" s="1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6.5">
      <c r="A5" s="706" t="s">
        <v>52</v>
      </c>
      <c r="B5" s="706"/>
      <c r="C5" s="323">
        <v>172.7</v>
      </c>
      <c r="D5" s="61" t="s">
        <v>192</v>
      </c>
      <c r="E5" s="114" t="s">
        <v>54</v>
      </c>
      <c r="F5" s="115">
        <v>500</v>
      </c>
      <c r="G5" s="111"/>
      <c r="H5" s="1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8.95" customHeight="1">
      <c r="A6" s="193" t="s">
        <v>58</v>
      </c>
      <c r="B6" s="194"/>
      <c r="C6" s="194"/>
      <c r="D6" s="195"/>
      <c r="E6" s="195"/>
      <c r="F6" s="195"/>
      <c r="G6" s="195"/>
      <c r="H6" s="1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5" customHeight="1">
      <c r="A7" s="364" t="s">
        <v>201</v>
      </c>
      <c r="B7" s="365"/>
      <c r="C7" s="199"/>
      <c r="D7" s="199"/>
      <c r="E7" s="199"/>
      <c r="F7" s="199"/>
      <c r="G7" s="199"/>
      <c r="H7" s="1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5" customHeight="1">
      <c r="A8" s="364" t="s">
        <v>230</v>
      </c>
      <c r="B8" s="365"/>
      <c r="C8" s="199"/>
      <c r="D8" s="199"/>
      <c r="E8" s="199"/>
      <c r="F8" s="199"/>
      <c r="G8" s="199"/>
      <c r="H8" s="1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ht="16.5">
      <c r="A9" s="712" t="s">
        <v>61</v>
      </c>
      <c r="B9" s="712"/>
      <c r="C9" s="712"/>
      <c r="D9" s="712"/>
      <c r="E9" s="712"/>
      <c r="F9" s="712"/>
      <c r="G9" s="712"/>
      <c r="H9" s="1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15" customHeight="1">
      <c r="A10" s="693" t="s">
        <v>205</v>
      </c>
      <c r="B10" s="693"/>
      <c r="C10" s="693"/>
      <c r="D10" s="693"/>
      <c r="E10" s="693"/>
      <c r="F10" s="693"/>
      <c r="G10" s="693"/>
      <c r="H10" s="1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30" customHeight="1">
      <c r="A11" s="695" t="s">
        <v>63</v>
      </c>
      <c r="B11" s="695"/>
      <c r="C11" s="695"/>
      <c r="D11" s="695"/>
      <c r="E11" s="695"/>
      <c r="F11" s="695"/>
      <c r="G11" s="695"/>
      <c r="H11" s="1"/>
      <c r="I11">
        <v>0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30" customHeight="1">
      <c r="A12" s="707" t="s">
        <v>64</v>
      </c>
      <c r="B12" s="707"/>
      <c r="C12" s="707"/>
      <c r="D12" s="707"/>
      <c r="E12" s="707"/>
      <c r="F12" s="707"/>
      <c r="G12" s="707"/>
      <c r="H12" s="1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16.5">
      <c r="A13" s="712" t="s">
        <v>65</v>
      </c>
      <c r="B13" s="712"/>
      <c r="C13" s="712"/>
      <c r="D13" s="712"/>
      <c r="E13" s="712"/>
      <c r="F13" s="712"/>
      <c r="G13" s="712"/>
      <c r="H13" s="1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5" customHeight="1">
      <c r="A14" s="363"/>
      <c r="B14" s="366" t="s">
        <v>66</v>
      </c>
      <c r="C14" s="367">
        <f>+C5</f>
        <v>172.7</v>
      </c>
      <c r="D14" s="122" t="str">
        <f>D5</f>
        <v>ha</v>
      </c>
      <c r="E14" s="366"/>
      <c r="F14" s="366"/>
      <c r="G14" s="203"/>
      <c r="H14" s="1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48" customHeight="1">
      <c r="A15" s="689" t="s">
        <v>239</v>
      </c>
      <c r="B15" s="690"/>
      <c r="C15" s="690"/>
      <c r="D15" s="690"/>
      <c r="E15" s="690"/>
      <c r="F15" s="690"/>
      <c r="G15" s="690"/>
      <c r="H15" s="1"/>
      <c r="J15" s="642">
        <f>+G46+'[1]THKP hạng mục'!$H$26</f>
        <v>3306165127.2188797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9.5" customHeight="1">
      <c r="A16" s="368"/>
      <c r="B16" s="363" t="s">
        <v>68</v>
      </c>
      <c r="C16" s="691" t="s">
        <v>69</v>
      </c>
      <c r="D16" s="369" t="s">
        <v>70</v>
      </c>
      <c r="E16" s="690" t="s">
        <v>71</v>
      </c>
      <c r="F16" s="690"/>
      <c r="G16" s="203"/>
      <c r="H16" s="1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17.25" thickBot="1">
      <c r="A17" s="368"/>
      <c r="B17" s="363"/>
      <c r="C17" s="713"/>
      <c r="D17" s="370" t="s">
        <v>72</v>
      </c>
      <c r="E17" s="690"/>
      <c r="F17" s="690"/>
      <c r="G17" s="203"/>
      <c r="H17" s="1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42.75">
      <c r="A18" s="698" t="s">
        <v>132</v>
      </c>
      <c r="B18" s="696" t="s">
        <v>73</v>
      </c>
      <c r="C18" s="696" t="s">
        <v>74</v>
      </c>
      <c r="D18" s="314" t="s">
        <v>75</v>
      </c>
      <c r="E18" s="314" t="s">
        <v>76</v>
      </c>
      <c r="F18" s="696" t="s">
        <v>77</v>
      </c>
      <c r="G18" s="701" t="s">
        <v>78</v>
      </c>
      <c r="H18" s="1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17.25" thickBot="1">
      <c r="A19" s="699"/>
      <c r="B19" s="697"/>
      <c r="C19" s="697"/>
      <c r="D19" s="317" t="s">
        <v>79</v>
      </c>
      <c r="E19" s="317" t="s">
        <v>79</v>
      </c>
      <c r="F19" s="697"/>
      <c r="G19" s="702"/>
      <c r="H19" s="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353">
        <v>1</v>
      </c>
      <c r="B20" s="320" t="s">
        <v>81</v>
      </c>
      <c r="C20" s="321" t="s">
        <v>82</v>
      </c>
      <c r="D20" s="445">
        <f>IF(D25&lt;5,284.45,IF(D25&gt;1000,"Vượt quy mô",((D21-D22)/(D23-D24)*(D25-D24)+D22)))</f>
        <v>1696.4019999818161</v>
      </c>
      <c r="E20" s="445">
        <f>IF(E25&lt;5,37.01,IF(E25&gt;1000,"Vượt quy mô",((E21-E22)/(E23-E24)*(E25-E24)+E22)))</f>
        <v>110.52453999931136</v>
      </c>
      <c r="F20" s="380">
        <f>IF(F25&lt;200,12.3,IF(F25&gt;10000,2.8,ROUND(((F21-F22)/(F23-F24)*(F25-F24)+F22),3)))</f>
        <v>6.1070000000000002</v>
      </c>
      <c r="G20" s="391">
        <f>IF(G25&lt;200,10.6,IF(G25&gt;10000,2.6,ROUND(((G21-G22)/(G23-G24)*(G25-G24)+G22),3)))</f>
        <v>5.7069999999999999</v>
      </c>
      <c r="H20" s="1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54">
        <v>2</v>
      </c>
      <c r="B21" s="303" t="s">
        <v>240</v>
      </c>
      <c r="C21" s="304" t="s">
        <v>84</v>
      </c>
      <c r="D21" s="446">
        <f>LOOKUP(D23, 'Dinh muc'!$C$32:$N$33)</f>
        <v>1314</v>
      </c>
      <c r="E21" s="163">
        <f>LOOKUP(E23, 'Dinh muc'!$C$32:$N$34)+0.00000000001</f>
        <v>95.970000000010003</v>
      </c>
      <c r="F21" s="436">
        <f>LOOKUP(F23,  'Dinh muc'!$C$75:$J$76)+0.00000000001</f>
        <v>7.50000000001</v>
      </c>
      <c r="G21" s="436">
        <f>LOOKUP(G23, 'Dinh muc'!$C$75:$J$77)+0.000000000001</f>
        <v>7.1000000000009997</v>
      </c>
      <c r="H21" s="1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54">
        <v>3</v>
      </c>
      <c r="B22" s="303" t="s">
        <v>85</v>
      </c>
      <c r="C22" s="304" t="s">
        <v>86</v>
      </c>
      <c r="D22" s="446">
        <f>LOOKUP(D24,'Dinh muc'!$C$32:$N$33)</f>
        <v>1840</v>
      </c>
      <c r="E22" s="163">
        <f>LOOKUP(E24, 'Dinh muc'!$C$32:$N$34)+0.000000000001</f>
        <v>115.99000000000099</v>
      </c>
      <c r="F22" s="436">
        <f>LOOKUP(F24, 'Dinh muc'!$C$75:$J$76)+0.000000000001</f>
        <v>5.5000000000010001</v>
      </c>
      <c r="G22" s="436">
        <f>LOOKUP(G24, 'Dinh muc'!$C$75:$J$77)+0.000000000000001</f>
        <v>5.1000000000000005</v>
      </c>
      <c r="H22" s="1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54">
        <v>4</v>
      </c>
      <c r="B23" s="303" t="s">
        <v>87</v>
      </c>
      <c r="C23" s="304" t="s">
        <v>90</v>
      </c>
      <c r="D23" s="589">
        <f>IF(D25&lt;5,5,SMALL('Dinh muc'!$C$32:$N$32,COUNTIF('Dinh muc'!$C$32:$N$32,"&lt;="&amp;$D$25)))+0.00000001</f>
        <v>100.00000000999999</v>
      </c>
      <c r="E23" s="589">
        <f>D23</f>
        <v>100.00000000999999</v>
      </c>
      <c r="F23" s="590">
        <f>IF(F25&lt;200,200,(SMALL('Dinh muc'!$C$75:$J$76,COUNTIF('Dinh muc'!$C$75:$J$76,"&lt;="&amp;$F$25))))+0.000000001</f>
        <v>1000.000000001</v>
      </c>
      <c r="G23" s="590">
        <f>F23</f>
        <v>1000.000000001</v>
      </c>
      <c r="H23" s="1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354">
        <v>5</v>
      </c>
      <c r="B24" s="303" t="s">
        <v>89</v>
      </c>
      <c r="C24" s="304" t="s">
        <v>241</v>
      </c>
      <c r="D24" s="589">
        <f>IF(D25&gt;1000,1000,LARGE('Dinh muc'!$C$32:$N$32,COUNTIF('Dinh muc'!$C$32:$N$32,"&gt;="&amp;$D$25)))+0.000000001</f>
        <v>200.00000000099999</v>
      </c>
      <c r="E24" s="589">
        <f>D24</f>
        <v>200.00000000099999</v>
      </c>
      <c r="F24" s="590">
        <f>IF(F25&gt;=10000,10000,LARGE('Dinh muc'!$C$75:$J$76,COUNTIF('Dinh muc'!$C$75:$J$76,"&gt;="&amp; $F$25)))+0.000000000001</f>
        <v>2000.0000000000009</v>
      </c>
      <c r="G24" s="590">
        <f>F24</f>
        <v>2000.0000000000009</v>
      </c>
      <c r="H24" s="1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 thickBot="1">
      <c r="A25" s="355">
        <v>6</v>
      </c>
      <c r="B25" s="306" t="s">
        <v>91</v>
      </c>
      <c r="C25" s="307" t="s">
        <v>92</v>
      </c>
      <c r="D25" s="588">
        <f>C5</f>
        <v>172.7</v>
      </c>
      <c r="E25" s="588">
        <f>D25</f>
        <v>172.7</v>
      </c>
      <c r="F25" s="361">
        <f>E32/1000000</f>
        <v>1696.4019999818161</v>
      </c>
      <c r="G25" s="362">
        <f>F25</f>
        <v>1696.4019999818161</v>
      </c>
      <c r="H25" s="1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s="490" customFormat="1" ht="15" customHeight="1">
      <c r="A26" s="352"/>
      <c r="B26" s="207" t="s">
        <v>210</v>
      </c>
      <c r="C26" s="487">
        <f>E20*1000000</f>
        <v>110524539.99931136</v>
      </c>
      <c r="D26" s="242" t="s">
        <v>94</v>
      </c>
      <c r="E26" s="208"/>
      <c r="F26" s="209"/>
      <c r="G26" s="242"/>
      <c r="H26" s="60"/>
      <c r="I26" s="489"/>
      <c r="J26" s="489"/>
      <c r="K26" s="489"/>
      <c r="L26" s="489"/>
      <c r="M26" s="489"/>
      <c r="N26" s="489"/>
      <c r="O26" s="489"/>
      <c r="P26" s="489"/>
    </row>
    <row r="27" spans="1:69" s="490" customFormat="1" ht="15" customHeight="1" thickBot="1">
      <c r="A27" s="352"/>
      <c r="B27" s="207" t="s">
        <v>211</v>
      </c>
      <c r="C27" s="487">
        <f>D20*1000000</f>
        <v>1696401999.9818161</v>
      </c>
      <c r="D27" s="242" t="s">
        <v>94</v>
      </c>
      <c r="E27" s="208"/>
      <c r="F27" s="209"/>
      <c r="G27" s="242"/>
      <c r="H27" s="60"/>
      <c r="I27" s="489"/>
      <c r="J27" s="637">
        <f>G32</f>
        <v>1832114159.9803615</v>
      </c>
      <c r="K27" s="489"/>
      <c r="L27" s="489"/>
      <c r="M27" s="489"/>
      <c r="N27" s="489"/>
      <c r="O27" s="489"/>
      <c r="P27" s="489"/>
    </row>
    <row r="28" spans="1:69" ht="42.75">
      <c r="A28" s="170" t="s">
        <v>26</v>
      </c>
      <c r="B28" s="171" t="s">
        <v>96</v>
      </c>
      <c r="C28" s="171" t="s">
        <v>97</v>
      </c>
      <c r="D28" s="171" t="s">
        <v>98</v>
      </c>
      <c r="E28" s="171" t="s">
        <v>99</v>
      </c>
      <c r="F28" s="171" t="s">
        <v>363</v>
      </c>
      <c r="G28" s="172" t="s">
        <v>101</v>
      </c>
      <c r="H28" s="635">
        <f>G31+G32+G36</f>
        <v>1988122946.3792248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</row>
    <row r="29" spans="1:69" ht="17.25" thickBot="1">
      <c r="A29" s="244">
        <v>1</v>
      </c>
      <c r="B29" s="245">
        <v>2</v>
      </c>
      <c r="C29" s="245">
        <v>3</v>
      </c>
      <c r="D29" s="245">
        <v>4</v>
      </c>
      <c r="E29" s="245" t="s">
        <v>102</v>
      </c>
      <c r="F29" s="245" t="s">
        <v>362</v>
      </c>
      <c r="G29" s="246" t="s">
        <v>104</v>
      </c>
      <c r="I29" s="88"/>
      <c r="J29" s="88"/>
      <c r="K29" s="88"/>
      <c r="L29" s="88"/>
      <c r="M29" s="88"/>
      <c r="N29" s="88"/>
      <c r="O29" s="88"/>
      <c r="P29" s="88"/>
    </row>
    <row r="30" spans="1:69" ht="16.5">
      <c r="A30" s="170">
        <v>1</v>
      </c>
      <c r="B30" s="447" t="s">
        <v>105</v>
      </c>
      <c r="C30" s="448"/>
      <c r="D30" s="448"/>
      <c r="E30" s="448"/>
      <c r="F30" s="448"/>
      <c r="G30" s="449"/>
      <c r="H30" s="636">
        <f>H28*30%</f>
        <v>596436883.91376746</v>
      </c>
      <c r="I30" s="88"/>
      <c r="J30" s="88"/>
      <c r="K30" s="88"/>
      <c r="L30" s="88"/>
      <c r="M30" s="88"/>
      <c r="N30" s="88"/>
      <c r="O30" s="88"/>
      <c r="P30" s="88"/>
    </row>
    <row r="31" spans="1:69" s="631" customFormat="1" ht="16.5">
      <c r="A31" s="625" t="s">
        <v>106</v>
      </c>
      <c r="B31" s="626" t="s">
        <v>242</v>
      </c>
      <c r="C31" s="627">
        <f>C26</f>
        <v>110524539.99931136</v>
      </c>
      <c r="D31" s="628">
        <v>1</v>
      </c>
      <c r="E31" s="629">
        <f>D31*C31</f>
        <v>110524539.99931136</v>
      </c>
      <c r="F31" s="629">
        <f>E31*8%</f>
        <v>8841963.1999449097</v>
      </c>
      <c r="G31" s="630">
        <f>F31+E31</f>
        <v>119366503.19925627</v>
      </c>
      <c r="I31" s="632">
        <f>485000000</f>
        <v>485000000</v>
      </c>
      <c r="J31" s="632">
        <f>G31*92%</f>
        <v>109817182.94331577</v>
      </c>
      <c r="K31" s="633"/>
      <c r="L31" s="633"/>
      <c r="M31" s="633"/>
      <c r="N31" s="633"/>
      <c r="O31" s="633"/>
      <c r="P31" s="633"/>
    </row>
    <row r="32" spans="1:69" s="631" customFormat="1" ht="16.5">
      <c r="A32" s="625" t="s">
        <v>108</v>
      </c>
      <c r="B32" s="626" t="s">
        <v>243</v>
      </c>
      <c r="C32" s="627">
        <f>C27</f>
        <v>1696401999.9818161</v>
      </c>
      <c r="D32" s="628">
        <v>1</v>
      </c>
      <c r="E32" s="629">
        <f>C32*D32</f>
        <v>1696401999.9818161</v>
      </c>
      <c r="F32" s="629">
        <f>E32*8%</f>
        <v>135712159.99854529</v>
      </c>
      <c r="G32" s="630">
        <f>F32+E32</f>
        <v>1832114159.9803615</v>
      </c>
      <c r="I32" s="633"/>
      <c r="J32" s="633"/>
      <c r="K32" s="633"/>
      <c r="L32" s="633"/>
      <c r="M32" s="633"/>
      <c r="N32" s="633"/>
      <c r="O32" s="633"/>
      <c r="P32" s="633"/>
    </row>
    <row r="33" spans="1:69" ht="30" hidden="1">
      <c r="A33" s="461" t="s">
        <v>110</v>
      </c>
      <c r="B33" s="462" t="s">
        <v>111</v>
      </c>
      <c r="C33" s="463">
        <f>E32</f>
        <v>1696401999.9818161</v>
      </c>
      <c r="D33" s="459"/>
      <c r="E33" s="458">
        <f>C33*D33</f>
        <v>0</v>
      </c>
      <c r="F33" s="458">
        <f>E33*8%</f>
        <v>0</v>
      </c>
      <c r="G33" s="460">
        <f>F33+E33</f>
        <v>0</v>
      </c>
      <c r="H33" s="636">
        <f>H28-H30</f>
        <v>1391686062.4654574</v>
      </c>
      <c r="I33" s="381">
        <f>G32+G31</f>
        <v>1951480663.1796176</v>
      </c>
      <c r="J33" s="88"/>
      <c r="K33" s="88"/>
      <c r="L33" s="88"/>
      <c r="M33" s="88"/>
      <c r="N33" s="88"/>
      <c r="O33" s="88"/>
      <c r="P33" s="88"/>
    </row>
    <row r="34" spans="1:69" ht="16.5">
      <c r="A34" s="177"/>
      <c r="B34" s="63" t="s">
        <v>112</v>
      </c>
      <c r="C34" s="79"/>
      <c r="D34" s="310"/>
      <c r="E34" s="70"/>
      <c r="F34" s="71">
        <f>SUM(F30:F33)</f>
        <v>144554123.1984902</v>
      </c>
      <c r="G34" s="71">
        <f>SUM(G30:G33)</f>
        <v>1951480663.1796176</v>
      </c>
      <c r="I34" s="381">
        <f>G32*70%</f>
        <v>1282479911.986253</v>
      </c>
      <c r="J34" s="88"/>
      <c r="K34" s="88"/>
      <c r="L34" s="638">
        <f>70%*I33</f>
        <v>1366036464.2257323</v>
      </c>
      <c r="M34" s="88"/>
      <c r="N34" s="88"/>
      <c r="O34" s="88"/>
      <c r="P34" s="88"/>
    </row>
    <row r="35" spans="1:69" ht="16.5">
      <c r="A35" s="180">
        <v>2</v>
      </c>
      <c r="B35" s="259" t="s">
        <v>113</v>
      </c>
      <c r="C35" s="73">
        <f>E31</f>
        <v>110524539.99931136</v>
      </c>
      <c r="D35" s="376">
        <v>0.2</v>
      </c>
      <c r="E35" s="78">
        <f>D35*C35</f>
        <v>22104907.999862272</v>
      </c>
      <c r="F35" s="73"/>
      <c r="G35" s="179">
        <f>SUM(E35:F35)</f>
        <v>22104907.999862272</v>
      </c>
      <c r="I35" s="88"/>
      <c r="J35" s="638">
        <f>3%*I33</f>
        <v>58544419.895388529</v>
      </c>
      <c r="K35" s="88"/>
      <c r="L35" s="88"/>
      <c r="M35" s="88"/>
      <c r="N35" s="88"/>
      <c r="O35" s="88"/>
      <c r="P35" s="88"/>
    </row>
    <row r="36" spans="1:69" ht="16.5">
      <c r="A36" s="187">
        <v>3</v>
      </c>
      <c r="B36" s="224" t="s">
        <v>214</v>
      </c>
      <c r="C36" s="79">
        <f>E32</f>
        <v>1696401999.9818161</v>
      </c>
      <c r="D36" s="165">
        <v>0.02</v>
      </c>
      <c r="E36" s="78">
        <f>D36*C36</f>
        <v>33928039.999636322</v>
      </c>
      <c r="F36" s="79">
        <f>E36*8%</f>
        <v>2714243.1999709057</v>
      </c>
      <c r="G36" s="179">
        <f>SUM(E36:F36)</f>
        <v>36642283.199607231</v>
      </c>
      <c r="H36" s="59"/>
      <c r="I36" s="88"/>
      <c r="J36" s="88"/>
      <c r="K36" s="88"/>
      <c r="L36" s="88"/>
      <c r="M36" s="88"/>
      <c r="N36" s="88"/>
      <c r="O36" s="88"/>
      <c r="P36" s="88"/>
    </row>
    <row r="37" spans="1:69" ht="16.5">
      <c r="A37" s="180">
        <v>4</v>
      </c>
      <c r="B37" s="224" t="s">
        <v>114</v>
      </c>
      <c r="C37" s="319">
        <f>C36</f>
        <v>1696401999.9818161</v>
      </c>
      <c r="D37" s="310">
        <f>F20/100</f>
        <v>6.1069999999999999E-2</v>
      </c>
      <c r="E37" s="78">
        <f t="shared" ref="E37:E38" si="0">D37*C37</f>
        <v>103599270.13888951</v>
      </c>
      <c r="F37" s="79"/>
      <c r="G37" s="179">
        <f t="shared" ref="G37:G39" si="1">SUM(E37:F37)</f>
        <v>103599270.13888951</v>
      </c>
      <c r="H37" s="58"/>
      <c r="I37" s="88"/>
      <c r="J37" s="88"/>
      <c r="K37" s="88"/>
      <c r="L37" s="88"/>
      <c r="M37" s="88"/>
      <c r="N37" s="88"/>
      <c r="O37" s="88"/>
      <c r="P37" s="88"/>
    </row>
    <row r="38" spans="1:69" ht="16.5">
      <c r="A38" s="260">
        <v>5</v>
      </c>
      <c r="B38" s="223" t="s">
        <v>234</v>
      </c>
      <c r="C38" s="319">
        <f>C37</f>
        <v>1696401999.9818161</v>
      </c>
      <c r="D38" s="310">
        <f>G20/100</f>
        <v>5.7069999999999996E-2</v>
      </c>
      <c r="E38" s="78">
        <f t="shared" si="0"/>
        <v>96813662.138962239</v>
      </c>
      <c r="F38" s="79"/>
      <c r="G38" s="179">
        <f t="shared" si="1"/>
        <v>96813662.138962239</v>
      </c>
      <c r="H38" s="59"/>
      <c r="I38" s="88"/>
      <c r="J38" s="634">
        <f>30%*I33</f>
        <v>585444198.95388532</v>
      </c>
      <c r="K38" s="88"/>
      <c r="L38" s="88"/>
      <c r="M38" s="88"/>
      <c r="N38" s="88"/>
      <c r="O38" s="88"/>
      <c r="P38" s="88"/>
    </row>
    <row r="39" spans="1:69" ht="39" customHeight="1">
      <c r="A39" s="187">
        <v>6</v>
      </c>
      <c r="B39" s="224" t="s">
        <v>235</v>
      </c>
      <c r="C39" s="319">
        <f>C38</f>
        <v>1696401999.9818161</v>
      </c>
      <c r="D39" s="165">
        <v>0.03</v>
      </c>
      <c r="E39" s="78">
        <f>D39*C39</f>
        <v>50892059.999454483</v>
      </c>
      <c r="F39" s="79">
        <f>E39*8%</f>
        <v>4071364.799956359</v>
      </c>
      <c r="G39" s="179">
        <f t="shared" si="1"/>
        <v>54963424.799410842</v>
      </c>
      <c r="H39" s="97"/>
      <c r="I39" s="88"/>
      <c r="J39" s="88"/>
      <c r="K39" s="88"/>
      <c r="L39" s="88"/>
      <c r="M39" s="88"/>
      <c r="N39" s="88"/>
      <c r="O39" s="88"/>
      <c r="P39" s="88"/>
    </row>
    <row r="40" spans="1:69" ht="28.5">
      <c r="A40" s="187">
        <v>7</v>
      </c>
      <c r="B40" s="224" t="s">
        <v>244</v>
      </c>
      <c r="C40" s="79"/>
      <c r="D40" s="77"/>
      <c r="E40" s="78"/>
      <c r="F40" s="79"/>
      <c r="G40" s="179">
        <f>SUM(G41:G44)</f>
        <v>16227894.138838692</v>
      </c>
      <c r="H40" s="100"/>
      <c r="I40" s="88"/>
      <c r="J40" s="88"/>
      <c r="K40" s="88"/>
      <c r="L40" s="88"/>
      <c r="M40" s="88"/>
      <c r="N40" s="88"/>
      <c r="O40" s="88"/>
    </row>
    <row r="41" spans="1:69" ht="30">
      <c r="A41" s="415" t="s">
        <v>216</v>
      </c>
      <c r="B41" s="416" t="s">
        <v>119</v>
      </c>
      <c r="C41" s="273">
        <f>SUM(G32:G33)</f>
        <v>1832114159.9803615</v>
      </c>
      <c r="D41" s="77">
        <f>L73/100*45%</f>
        <v>3.2357640992085705E-3</v>
      </c>
      <c r="E41" s="79">
        <f>D41*C41</f>
        <v>5928289.2245161207</v>
      </c>
      <c r="F41" s="79">
        <f>E41*8%</f>
        <v>474263.13796128967</v>
      </c>
      <c r="G41" s="179">
        <f>IF(SUM(E41:F41)&lt;1000000, 1000000,SUM(E41:F41))</f>
        <v>6402552.3624774106</v>
      </c>
      <c r="H41" s="100"/>
      <c r="I41" s="88"/>
      <c r="J41" s="88"/>
      <c r="K41" s="88"/>
      <c r="L41" s="638">
        <f>5%*G32</f>
        <v>91605707.999018073</v>
      </c>
      <c r="M41" s="88"/>
      <c r="N41" s="88"/>
      <c r="O41" s="88"/>
    </row>
    <row r="42" spans="1:69" ht="30">
      <c r="A42" s="415" t="s">
        <v>217</v>
      </c>
      <c r="B42" s="416" t="s">
        <v>121</v>
      </c>
      <c r="C42" s="273">
        <f>C41</f>
        <v>1832114159.9803615</v>
      </c>
      <c r="D42" s="77">
        <f>L73/100*55%</f>
        <v>3.9548227879215867E-3</v>
      </c>
      <c r="E42" s="79">
        <f t="shared" ref="E42" si="2">D42*C42</f>
        <v>7245686.8299641488</v>
      </c>
      <c r="F42" s="79">
        <f>E42*8%</f>
        <v>579654.94639713189</v>
      </c>
      <c r="G42" s="179">
        <f t="shared" ref="G42" si="3">IF(SUM(E42:F42)&lt;1000000, 1000000,SUM(E42:F42))</f>
        <v>7825341.7763612811</v>
      </c>
      <c r="H42" s="100"/>
      <c r="I42" s="88"/>
      <c r="J42" s="88"/>
      <c r="K42" s="88"/>
      <c r="L42" s="88"/>
      <c r="M42" s="88"/>
      <c r="N42" s="88"/>
      <c r="O42" s="88"/>
    </row>
    <row r="43" spans="1:69" ht="30">
      <c r="A43" s="415" t="s">
        <v>218</v>
      </c>
      <c r="B43" s="416" t="s">
        <v>123</v>
      </c>
      <c r="C43" s="273">
        <f>C42</f>
        <v>1832114159.9803615</v>
      </c>
      <c r="D43" s="77">
        <v>5.0000000000000001E-4</v>
      </c>
      <c r="E43" s="79">
        <f>D43*C43</f>
        <v>916057.07999018079</v>
      </c>
      <c r="F43" s="79">
        <f>E43*8%</f>
        <v>73284.566399214469</v>
      </c>
      <c r="G43" s="179">
        <f>IF(SUM(E43:F43)&lt;1000000, 1000000,SUM(E43:F43))</f>
        <v>1000000</v>
      </c>
      <c r="H43" s="100"/>
      <c r="I43" s="88"/>
      <c r="J43" s="88"/>
      <c r="K43" s="88"/>
      <c r="L43" s="88"/>
      <c r="M43" s="88"/>
      <c r="N43" s="88"/>
      <c r="O43" s="88"/>
    </row>
    <row r="44" spans="1:69" ht="45">
      <c r="A44" s="415" t="s">
        <v>219</v>
      </c>
      <c r="B44" s="416" t="s">
        <v>125</v>
      </c>
      <c r="C44" s="273">
        <f>C43</f>
        <v>1832114159.9803615</v>
      </c>
      <c r="D44" s="77">
        <v>5.0000000000000001E-4</v>
      </c>
      <c r="E44" s="79">
        <f>D44*C44</f>
        <v>916057.07999018079</v>
      </c>
      <c r="F44" s="79">
        <f>E44*8%</f>
        <v>73284.566399214469</v>
      </c>
      <c r="G44" s="179">
        <f>IF(SUM(E44:F44)&lt;1000000, 1000000,SUM(E44:F44))</f>
        <v>1000000</v>
      </c>
      <c r="H44" s="100"/>
      <c r="I44" s="88"/>
      <c r="J44" s="88"/>
      <c r="K44" s="88"/>
      <c r="L44" s="88"/>
      <c r="M44" s="88"/>
      <c r="N44" s="88"/>
      <c r="O44" s="88"/>
    </row>
    <row r="45" spans="1:69" ht="17.25" thickBot="1">
      <c r="A45" s="356"/>
      <c r="B45" s="266" t="s">
        <v>220</v>
      </c>
      <c r="C45" s="267"/>
      <c r="D45" s="267"/>
      <c r="E45" s="267"/>
      <c r="F45" s="267"/>
      <c r="G45" s="268">
        <f>SUM(G35:G40)</f>
        <v>330351442.4155708</v>
      </c>
      <c r="H45" s="59"/>
      <c r="I45" s="88"/>
      <c r="J45" s="88">
        <f>840</f>
        <v>840</v>
      </c>
      <c r="K45" s="88"/>
      <c r="L45" s="88"/>
      <c r="M45" s="88"/>
      <c r="N45" s="88"/>
      <c r="O45" s="88"/>
      <c r="P45" s="88"/>
    </row>
    <row r="46" spans="1:69" ht="17.25" thickBot="1">
      <c r="A46" s="357"/>
      <c r="B46" s="248" t="s">
        <v>245</v>
      </c>
      <c r="C46" s="248"/>
      <c r="D46" s="248"/>
      <c r="E46" s="248"/>
      <c r="F46" s="264"/>
      <c r="G46" s="265">
        <f>ROUND(G45+G34,-3)</f>
        <v>2281832000</v>
      </c>
      <c r="H46" s="62"/>
      <c r="I46" s="88"/>
      <c r="J46" s="88">
        <v>1975</v>
      </c>
      <c r="K46" s="88"/>
      <c r="L46" s="88"/>
      <c r="M46" s="88"/>
      <c r="N46" s="88"/>
      <c r="O46" s="88"/>
      <c r="P46" s="88"/>
    </row>
    <row r="47" spans="1:69" ht="16.5">
      <c r="A47" s="228" t="str">
        <f ca="1">CONCATENATE("Bằng chữ :  ",UPPER(LEFT(Q102))&amp;RIGHT(Q102,LEN(Q102)-1))</f>
        <v>Bằng chữ :  Hai tỷ, hai trăm tám mươi một triệu, tám trăm  ba mươi  hai nghìn  đồng chẵn</v>
      </c>
      <c r="I47" s="88"/>
      <c r="J47" s="88">
        <f>SUM(J45:J46)</f>
        <v>2815</v>
      </c>
      <c r="K47" s="88"/>
      <c r="L47" s="88"/>
      <c r="M47" s="88"/>
      <c r="N47" s="88"/>
      <c r="O47" s="88"/>
      <c r="P47" s="88"/>
    </row>
    <row r="48" spans="1:69" ht="16.5">
      <c r="E48" s="694" t="s">
        <v>364</v>
      </c>
      <c r="F48" s="694"/>
      <c r="G48" s="694"/>
      <c r="H48" s="98"/>
      <c r="I48" s="88"/>
      <c r="J48" s="88"/>
      <c r="K48" s="88"/>
      <c r="L48" s="88"/>
      <c r="M48" s="88">
        <f>26*44</f>
        <v>1144</v>
      </c>
      <c r="N48" s="88"/>
      <c r="O48" s="88"/>
      <c r="P48" s="8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69" ht="16.5">
      <c r="E49" s="700" t="s">
        <v>129</v>
      </c>
      <c r="F49" s="700"/>
      <c r="G49" s="700"/>
      <c r="H49" s="98"/>
      <c r="I49" s="88"/>
      <c r="J49" s="641">
        <f>+G46+'[1]THKP hạng mục'!$H$26</f>
        <v>3306165127.2188797</v>
      </c>
      <c r="K49" s="88"/>
      <c r="L49" s="88"/>
      <c r="M49" s="88"/>
      <c r="N49" s="88"/>
      <c r="O49" s="88"/>
      <c r="P49" s="8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69" ht="16.5">
      <c r="B50" s="339"/>
      <c r="E50" s="686"/>
      <c r="F50" s="686"/>
      <c r="G50" s="686"/>
      <c r="H50" s="99"/>
      <c r="I50" s="88"/>
      <c r="J50" s="88"/>
      <c r="K50" s="88"/>
      <c r="L50" s="88"/>
      <c r="M50" s="88"/>
      <c r="N50" s="88"/>
      <c r="O50" s="88"/>
      <c r="P50" s="8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2:69" ht="16.5">
      <c r="E51" s="133"/>
      <c r="F51" s="133"/>
      <c r="G51" s="133"/>
      <c r="H51" s="100"/>
      <c r="I51" s="88"/>
      <c r="J51" s="88"/>
      <c r="K51" s="88"/>
      <c r="L51" s="88"/>
      <c r="M51" s="88"/>
      <c r="N51" s="88"/>
      <c r="O51" s="88"/>
      <c r="P51" s="8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2:69" ht="16.5">
      <c r="E52" s="133"/>
      <c r="F52" s="133"/>
      <c r="G52" s="133"/>
      <c r="H52" s="100"/>
      <c r="I52" s="88"/>
      <c r="J52" s="88"/>
      <c r="K52" s="88"/>
      <c r="L52" s="88"/>
      <c r="M52" s="88"/>
      <c r="N52" s="88"/>
      <c r="O52" s="88"/>
      <c r="P52" s="8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2:69" ht="16.5">
      <c r="E53" s="133"/>
      <c r="F53" s="133"/>
      <c r="G53" s="133"/>
      <c r="H53" s="100"/>
      <c r="I53" s="88"/>
      <c r="J53" s="88"/>
      <c r="K53" s="88"/>
      <c r="L53" s="88"/>
      <c r="M53" s="88"/>
      <c r="N53" s="88"/>
      <c r="O53" s="88"/>
      <c r="P53" s="8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2:69" ht="16.5">
      <c r="E54" s="133"/>
      <c r="F54" s="133"/>
      <c r="G54" s="133"/>
      <c r="H54" s="101"/>
      <c r="I54" s="88"/>
      <c r="J54" s="88"/>
      <c r="K54" s="88"/>
      <c r="L54" s="88"/>
      <c r="M54" s="88"/>
      <c r="N54" s="88"/>
      <c r="O54" s="88"/>
      <c r="P54" s="8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2:69" ht="16.5">
      <c r="E55" s="133"/>
      <c r="F55" s="133"/>
      <c r="G55" s="133"/>
      <c r="H55" s="100"/>
      <c r="I55" s="88"/>
      <c r="J55" s="88"/>
      <c r="K55" s="88"/>
      <c r="L55" s="88"/>
      <c r="M55" s="88"/>
      <c r="N55" s="88"/>
      <c r="O55" s="88"/>
      <c r="P55" s="8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2:69" ht="16.5">
      <c r="E56" s="133"/>
      <c r="F56" s="133"/>
      <c r="G56" s="133"/>
      <c r="H56" s="100"/>
      <c r="I56" s="88"/>
      <c r="J56" s="88"/>
      <c r="K56" s="88"/>
      <c r="L56" s="88"/>
      <c r="M56" s="88"/>
      <c r="N56" s="88"/>
      <c r="O56" s="88"/>
      <c r="P56" s="8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2:69" ht="16.5">
      <c r="B57" s="339"/>
      <c r="E57" s="711"/>
      <c r="F57" s="711"/>
      <c r="G57" s="133"/>
      <c r="H57" s="100"/>
      <c r="I57" s="88"/>
      <c r="J57" s="88"/>
      <c r="K57" s="88"/>
      <c r="L57" s="88"/>
      <c r="M57" s="88"/>
      <c r="N57" s="88"/>
      <c r="O57" s="88"/>
      <c r="P57" s="8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2:69" ht="16.5">
      <c r="B58" s="339"/>
      <c r="E58" s="686"/>
      <c r="F58" s="686"/>
      <c r="G58" s="686"/>
      <c r="H58" s="102"/>
      <c r="I58" s="88"/>
      <c r="J58" s="88"/>
      <c r="K58" s="88"/>
      <c r="L58" s="88"/>
      <c r="M58" s="88"/>
      <c r="N58" s="88"/>
      <c r="O58" s="88"/>
      <c r="P58" s="88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</row>
    <row r="59" spans="2:69" ht="16.5">
      <c r="H59" s="104"/>
      <c r="I59" s="88"/>
      <c r="J59" s="88"/>
      <c r="K59" s="88"/>
      <c r="L59" s="88"/>
      <c r="M59" s="88"/>
      <c r="N59" s="88"/>
      <c r="O59" s="88"/>
      <c r="P59" s="88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</row>
    <row r="60" spans="2:69" ht="16.5">
      <c r="H60" s="105"/>
      <c r="I60" s="88"/>
      <c r="J60" s="88"/>
      <c r="K60" s="88"/>
      <c r="L60" s="88"/>
      <c r="M60" s="88"/>
      <c r="N60" s="88"/>
      <c r="O60" s="88"/>
      <c r="P60" s="88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</row>
    <row r="61" spans="2:69" ht="16.5">
      <c r="I61" s="88"/>
      <c r="J61" s="88"/>
      <c r="K61" s="88"/>
      <c r="L61" s="88"/>
      <c r="M61" s="88"/>
      <c r="N61" s="88"/>
      <c r="O61" s="88"/>
      <c r="P61" s="88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</row>
    <row r="62" spans="2:69" ht="16.5">
      <c r="H62" s="57"/>
      <c r="I62" s="88"/>
      <c r="J62" s="88"/>
      <c r="K62" s="88"/>
      <c r="L62" s="88"/>
      <c r="M62" s="88"/>
      <c r="N62" s="88"/>
      <c r="O62" s="88"/>
      <c r="P62" s="110"/>
    </row>
    <row r="63" spans="2:69" ht="16.5">
      <c r="I63" s="88"/>
      <c r="J63" s="88"/>
      <c r="K63" s="88"/>
      <c r="L63" s="88"/>
      <c r="M63" s="88"/>
      <c r="N63" s="88"/>
      <c r="O63" s="88"/>
      <c r="P63" s="88"/>
    </row>
    <row r="64" spans="2:69" ht="16.5">
      <c r="I64" s="88"/>
      <c r="J64" s="88"/>
      <c r="K64" s="88"/>
      <c r="L64" s="88"/>
      <c r="M64" s="88"/>
      <c r="N64" s="88"/>
      <c r="O64" s="88"/>
    </row>
    <row r="65" spans="9:16" ht="16.5">
      <c r="I65" s="88"/>
      <c r="J65" s="88"/>
      <c r="K65" s="88"/>
      <c r="L65" s="88"/>
      <c r="M65" s="88"/>
      <c r="N65" s="88"/>
      <c r="O65" s="88"/>
    </row>
    <row r="66" spans="9:16" ht="16.5">
      <c r="I66" s="88"/>
      <c r="J66" s="88"/>
      <c r="K66" s="88"/>
      <c r="L66" s="88"/>
      <c r="M66" s="88"/>
      <c r="N66" s="88"/>
      <c r="O66" s="88"/>
    </row>
    <row r="67" spans="9:16" ht="16.5">
      <c r="I67" s="88"/>
      <c r="J67" s="88"/>
      <c r="K67" s="88"/>
      <c r="L67" s="88"/>
      <c r="M67" s="88"/>
      <c r="N67" s="88"/>
      <c r="O67" s="88"/>
    </row>
    <row r="68" spans="9:16" ht="16.5">
      <c r="I68" s="88"/>
      <c r="J68" s="88"/>
      <c r="K68" s="88"/>
      <c r="L68" s="88"/>
      <c r="M68" s="88"/>
      <c r="N68" s="88"/>
      <c r="O68" s="88"/>
    </row>
    <row r="69" spans="9:16" ht="16.5">
      <c r="I69" s="88"/>
      <c r="J69" s="88"/>
      <c r="K69" s="88"/>
      <c r="L69" s="88"/>
      <c r="M69" s="88"/>
      <c r="N69" s="88"/>
      <c r="O69" s="88"/>
    </row>
    <row r="70" spans="9:16" ht="15.75">
      <c r="I70" s="110"/>
      <c r="J70" s="123"/>
      <c r="K70" s="130"/>
      <c r="L70" s="110"/>
      <c r="M70" s="110"/>
      <c r="N70" s="110"/>
      <c r="O70" s="110"/>
    </row>
    <row r="71" spans="9:16" ht="16.5">
      <c r="I71" s="90"/>
      <c r="J71" s="9" t="s">
        <v>246</v>
      </c>
      <c r="K71" s="88"/>
      <c r="L71" s="88"/>
      <c r="M71" s="88"/>
      <c r="N71" s="88"/>
      <c r="O71" s="88"/>
    </row>
    <row r="72" spans="9:16" ht="42.75" customHeight="1">
      <c r="I72" s="91" t="s">
        <v>132</v>
      </c>
      <c r="J72" s="92" t="s">
        <v>73</v>
      </c>
      <c r="K72" s="91" t="s">
        <v>74</v>
      </c>
      <c r="L72" s="240" t="s">
        <v>133</v>
      </c>
      <c r="M72" s="240"/>
      <c r="N72" s="240"/>
      <c r="O72" s="240"/>
      <c r="P72" s="1"/>
    </row>
    <row r="73" spans="9:16" ht="15">
      <c r="I73" s="93">
        <v>1</v>
      </c>
      <c r="J73" s="94" t="s">
        <v>236</v>
      </c>
      <c r="K73" s="95" t="s">
        <v>82</v>
      </c>
      <c r="L73" s="278">
        <f>IF(L78&lt;1,0.8168,IF(L78&gt;100,0.114,(L74-L75)/(L76-L77)*(L78-L77)+L75))</f>
        <v>0.71905868871301559</v>
      </c>
      <c r="M73" s="445"/>
      <c r="N73" s="278"/>
      <c r="O73" s="278"/>
      <c r="P73" s="1"/>
    </row>
    <row r="74" spans="9:16" ht="15">
      <c r="I74" s="3">
        <v>2</v>
      </c>
      <c r="J74" s="120" t="s">
        <v>237</v>
      </c>
      <c r="K74" s="5" t="s">
        <v>84</v>
      </c>
      <c r="L74" s="279">
        <f>IF(L78&lt;1,0.816,LOOKUP(L76,'Dinh muc'!$C$88:$I$89))+0.00000000000001</f>
        <v>0.81600000000000994</v>
      </c>
      <c r="M74" s="163"/>
      <c r="N74" s="163"/>
      <c r="O74" s="163"/>
      <c r="P74" s="1"/>
    </row>
    <row r="75" spans="9:16" ht="15">
      <c r="I75" s="3">
        <v>3</v>
      </c>
      <c r="J75" s="4" t="s">
        <v>238</v>
      </c>
      <c r="K75" s="5" t="s">
        <v>86</v>
      </c>
      <c r="L75" s="279">
        <f>LOOKUP(L77,'Dinh muc'!$C$88:$I$89)+0.0000000000001</f>
        <v>0.58300000000009999</v>
      </c>
      <c r="M75" s="163"/>
      <c r="N75" s="163"/>
      <c r="O75" s="163"/>
      <c r="P75" s="1"/>
    </row>
    <row r="76" spans="9:16" ht="15">
      <c r="I76" s="3">
        <v>4</v>
      </c>
      <c r="J76" s="4" t="s">
        <v>225</v>
      </c>
      <c r="K76" s="5" t="s">
        <v>88</v>
      </c>
      <c r="L76" s="163">
        <f>IF((L78&lt;1),1,(SMALL('Dinh muc'!$C$88:$I$88,COUNTIF('Dinh muc'!$C$88:$I$88,"&lt;="&amp;$L$78))))+0.00000000001</f>
        <v>1.00000000001</v>
      </c>
      <c r="M76" s="163"/>
      <c r="N76" s="163"/>
      <c r="O76" s="163"/>
      <c r="P76" s="1"/>
    </row>
    <row r="77" spans="9:16" ht="15">
      <c r="I77" s="3">
        <v>5</v>
      </c>
      <c r="J77" s="4" t="s">
        <v>226</v>
      </c>
      <c r="K77" s="5" t="s">
        <v>90</v>
      </c>
      <c r="L77" s="163">
        <f>IF(L78&gt;100,100,(LARGE('Dinh muc'!$C$88:$I$88,COUNTIF('Dinh muc'!$C$88:$I$88,"&gt;="&amp;$L$78))))+0.0000000000000001</f>
        <v>3</v>
      </c>
      <c r="M77" s="163"/>
      <c r="N77" s="163"/>
      <c r="O77" s="163"/>
      <c r="P77" s="1"/>
    </row>
    <row r="78" spans="9:16" ht="15">
      <c r="I78" s="6">
        <v>6</v>
      </c>
      <c r="J78" s="7" t="s">
        <v>227</v>
      </c>
      <c r="K78" s="8" t="s">
        <v>92</v>
      </c>
      <c r="L78" s="164">
        <f>C41/1000000000+0.0000001</f>
        <v>1.8321142599803615</v>
      </c>
      <c r="M78" s="164"/>
      <c r="N78" s="164"/>
      <c r="O78" s="164"/>
      <c r="P78" s="1"/>
    </row>
    <row r="79" spans="9:16" ht="15">
      <c r="I79" s="1"/>
      <c r="J79" s="2"/>
      <c r="K79" s="1"/>
      <c r="L79" s="1"/>
      <c r="M79" s="1"/>
      <c r="N79" s="1"/>
      <c r="O79" s="1"/>
      <c r="P79" s="1"/>
    </row>
    <row r="80" spans="9:16" ht="15">
      <c r="I80" s="1"/>
      <c r="J80" s="1"/>
      <c r="K80" s="1"/>
      <c r="L80" s="55"/>
      <c r="M80" s="1"/>
      <c r="N80" s="1"/>
      <c r="O80" s="1"/>
      <c r="P80" s="1"/>
    </row>
    <row r="81" spans="9:69" ht="15">
      <c r="I81" s="1"/>
      <c r="J81" s="1"/>
      <c r="K81" s="1"/>
      <c r="L81" s="1"/>
      <c r="M81" s="1"/>
      <c r="N81" s="1"/>
      <c r="O81" s="1"/>
      <c r="P81" s="1"/>
    </row>
    <row r="82" spans="9:69" ht="15">
      <c r="I82" s="1"/>
      <c r="J82" s="1"/>
      <c r="K82" s="1"/>
      <c r="L82" s="1"/>
      <c r="M82" s="1"/>
      <c r="N82" s="1"/>
      <c r="O82" s="1"/>
      <c r="P82" s="1"/>
    </row>
    <row r="83" spans="9:69" ht="15">
      <c r="I83" s="1"/>
      <c r="J83" s="1"/>
      <c r="K83" s="1"/>
      <c r="L83" s="1"/>
      <c r="M83" s="1"/>
      <c r="N83" s="1"/>
      <c r="O83" s="1"/>
      <c r="P83" s="1"/>
    </row>
    <row r="84" spans="9:69" ht="15">
      <c r="I84" s="1"/>
      <c r="J84" s="1"/>
      <c r="K84" s="1"/>
      <c r="L84" s="1"/>
      <c r="M84" s="1"/>
      <c r="N84" s="1"/>
      <c r="O84" s="1"/>
      <c r="P84" s="1"/>
    </row>
    <row r="85" spans="9:69" ht="15">
      <c r="I85" s="1"/>
      <c r="J85" s="1"/>
      <c r="K85" s="1"/>
      <c r="L85" s="1"/>
      <c r="M85" s="1"/>
      <c r="N85" s="1"/>
      <c r="O85" s="1"/>
      <c r="P85" s="1"/>
    </row>
    <row r="86" spans="9:69" ht="15.75">
      <c r="I86" s="1"/>
      <c r="J86" s="1"/>
      <c r="K86" s="1"/>
      <c r="L86" s="1"/>
      <c r="M86" s="1"/>
      <c r="N86" s="1"/>
      <c r="O86" s="1"/>
      <c r="P86" s="103"/>
    </row>
    <row r="87" spans="9:69" ht="15.75">
      <c r="I87" s="1"/>
      <c r="J87" s="1"/>
      <c r="K87" s="1"/>
      <c r="L87" s="1"/>
      <c r="M87" s="1"/>
      <c r="N87" s="1"/>
      <c r="O87" s="1"/>
      <c r="P87" s="103"/>
    </row>
    <row r="88" spans="9:69" ht="15.75">
      <c r="I88" s="1"/>
      <c r="J88" s="1"/>
      <c r="K88" s="1"/>
      <c r="L88" s="1"/>
      <c r="M88" s="1"/>
      <c r="N88" s="1"/>
      <c r="O88" s="1"/>
      <c r="P88" s="106"/>
    </row>
    <row r="89" spans="9:69" ht="15.75">
      <c r="I89" s="1"/>
      <c r="J89" s="1"/>
      <c r="K89" s="1"/>
      <c r="L89" s="1"/>
      <c r="M89" s="1"/>
      <c r="N89" s="1"/>
      <c r="O89" s="1"/>
      <c r="P89" s="106"/>
    </row>
    <row r="90" spans="9:69" ht="15">
      <c r="I90" s="1"/>
      <c r="J90" s="1"/>
      <c r="K90" s="1"/>
      <c r="L90" s="1"/>
      <c r="M90" s="1"/>
      <c r="N90" s="1"/>
      <c r="O90" s="1"/>
    </row>
    <row r="91" spans="9:69" ht="15">
      <c r="I91" s="1"/>
      <c r="J91" s="1"/>
      <c r="K91" s="1"/>
      <c r="L91" s="1"/>
      <c r="M91" s="1"/>
      <c r="N91" s="1"/>
      <c r="O91" s="1"/>
    </row>
    <row r="92" spans="9:69" ht="15">
      <c r="I92" s="1"/>
      <c r="J92" s="1"/>
      <c r="K92" s="1"/>
      <c r="L92" s="1"/>
      <c r="M92" s="1"/>
      <c r="N92" s="1"/>
      <c r="O92" s="1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</row>
    <row r="93" spans="9:69" ht="15">
      <c r="I93" s="1"/>
      <c r="J93" s="1"/>
      <c r="K93" s="1"/>
      <c r="L93" s="1"/>
      <c r="M93" s="1"/>
      <c r="N93" s="1"/>
      <c r="O93" s="1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</row>
    <row r="94" spans="9:69" ht="15.75">
      <c r="I94" s="103"/>
      <c r="J94" s="103"/>
      <c r="K94" s="103"/>
      <c r="L94" s="103"/>
      <c r="M94" s="103"/>
      <c r="N94" s="103"/>
      <c r="O94" s="103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</row>
    <row r="95" spans="9:69" ht="15.75">
      <c r="I95" s="103"/>
      <c r="J95" s="103"/>
      <c r="K95" s="103"/>
      <c r="L95" s="103"/>
      <c r="M95" s="103"/>
      <c r="N95" s="103"/>
      <c r="O95" s="103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</row>
    <row r="96" spans="9:69" ht="18">
      <c r="I96" s="106"/>
      <c r="J96" s="106"/>
      <c r="K96" s="106"/>
      <c r="L96" s="106"/>
      <c r="M96" s="106"/>
      <c r="N96" s="106"/>
      <c r="O96" s="106"/>
      <c r="Q96" s="37"/>
      <c r="R96" s="37"/>
      <c r="S96" s="11"/>
      <c r="T96" s="37"/>
      <c r="U96" s="37"/>
      <c r="V96" s="37"/>
      <c r="W96" s="37"/>
      <c r="X96" s="37"/>
      <c r="Y96" s="38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</row>
    <row r="97" spans="9:69" ht="18.75">
      <c r="I97" s="106"/>
      <c r="J97" s="106"/>
      <c r="K97" s="106"/>
      <c r="L97" s="106"/>
      <c r="M97" s="106"/>
      <c r="N97" s="106"/>
      <c r="O97" s="106"/>
      <c r="Q97" s="37"/>
      <c r="R97" s="37"/>
      <c r="S97" s="13" t="str">
        <f>"© VVC, modify by Tuan dt"</f>
        <v>© VVC, modify by Tuan dt</v>
      </c>
      <c r="T97" s="37"/>
      <c r="U97" s="37"/>
      <c r="V97" s="37"/>
      <c r="W97" s="37"/>
      <c r="X97" s="37"/>
      <c r="Y97" s="38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</row>
    <row r="98" spans="9:69" ht="18">
      <c r="Q98" s="37"/>
      <c r="R98" s="37"/>
      <c r="S98" s="11" t="s">
        <v>146</v>
      </c>
      <c r="T98" s="37"/>
      <c r="U98" s="37"/>
      <c r="V98" s="37"/>
      <c r="W98" s="37" t="s">
        <v>146</v>
      </c>
      <c r="X98" s="37"/>
      <c r="Y98" s="38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</row>
    <row r="99" spans="9:69" ht="18">
      <c r="Q99" s="37">
        <v>6</v>
      </c>
      <c r="R99" s="37"/>
      <c r="S99" s="11"/>
      <c r="T99" s="37"/>
      <c r="U99" s="37"/>
      <c r="V99" s="37"/>
      <c r="W99" s="37"/>
      <c r="X99" s="37"/>
      <c r="Y99" s="38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</row>
    <row r="100" spans="9:69" ht="18.75" thickBot="1">
      <c r="Q100" s="37"/>
      <c r="R100" s="37"/>
      <c r="S100" s="37"/>
      <c r="T100" s="37"/>
      <c r="U100" s="37"/>
      <c r="V100" s="37"/>
      <c r="W100" s="37"/>
      <c r="X100" s="37"/>
      <c r="Y100" s="38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</row>
    <row r="101" spans="9:69" ht="18.75" thickBot="1">
      <c r="Q101" s="39">
        <f>G46</f>
        <v>2281832000</v>
      </c>
      <c r="R101" s="379" t="str">
        <f>IF(ROUND(VALUE(10*(100*Q101-INT(100*Q101))),0)&gt;0,"Chỉ có 2 chữ số sau dấu phẩy","")</f>
        <v/>
      </c>
      <c r="S101" s="37"/>
      <c r="T101" s="37"/>
      <c r="U101" s="37"/>
      <c r="V101" s="37"/>
      <c r="W101" s="37"/>
      <c r="X101" s="37"/>
      <c r="Y101" s="38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</row>
    <row r="102" spans="9:69" ht="18.75">
      <c r="Q102" s="16" t="str">
        <f ca="1">IF(Q101&gt;=1000000000000,"Công thức này chỉ có thể đếm thành chữ dưới 1000 tỷ",IF(ABS(Q101)&lt;1,"không",IF(Q101&lt;0,"âm ","")&amp;IF(Q104=0,"",R104)&amp;IF(AND(Q105=0,Q106=0),"",S105)&amp;IF(Q107=0,"",R107)&amp;IF(AND(Q108=0,Q109=0),"",S108)&amp;IF(Q110=0,"",R110)&amp;IF(AND(Q111=0,Q112=0),"",S111)&amp;IF(Q113=0,"",R113)&amp;IF(AND(Q114=0,Q115=0),"",IF(AND(Q114=0,Q115=1),"một",S114)))&amp;CELL("contents",V105))&amp;IF(T122=0,"",IF(P130=1,T121,S117))</f>
        <v>hai tỷ, hai trăm tám mươi một triệu, tám trăm  ba mươi  hai nghìn  đồng chẵn</v>
      </c>
      <c r="R102" s="41"/>
      <c r="S102" s="41"/>
      <c r="T102" s="41"/>
      <c r="U102" s="41"/>
      <c r="V102" s="41"/>
      <c r="W102" s="41"/>
      <c r="X102" s="41"/>
      <c r="Y102" s="38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</row>
    <row r="103" spans="9:69" ht="18.75">
      <c r="J103" s="55"/>
      <c r="Q103" s="18" t="str">
        <f>IF(Q101&lt;0,"minus   ","")&amp;SUBSTITUTE(SUBSTITUTE(SUBSTITUTE(SUBSTITUTE(Q119,8,"tám   "),9,"chín   "),",","phẩy   "),"-","")</f>
        <v xml:space="preserve">hai   hai   tám   một   tám   ba   hai   không   không   không   </v>
      </c>
      <c r="R103" s="42"/>
      <c r="S103" s="37"/>
      <c r="T103" s="37"/>
      <c r="U103" s="37"/>
      <c r="V103" s="37" t="s">
        <v>147</v>
      </c>
      <c r="W103" s="37"/>
      <c r="X103" s="37"/>
      <c r="Y103" s="38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</row>
    <row r="104" spans="9:69" ht="18">
      <c r="Q104" s="19">
        <f>VALUE(RIGHT(INT(ABS(Q101)/100000000000)))</f>
        <v>0</v>
      </c>
      <c r="R104" s="20" t="str">
        <f>IF(Q104=1,"một",IF(Q104=2,"hai",IF(Q104=3,"ba",IF(Q104=4,"bốn",IF(Q104=5,"năm",IF(Q104=6,"sáu",IF(Q104=7,"bẩy",IF(Q104=8,"tám","chín"))))))))&amp;" trăm "&amp;IF(AND(Q105=0,Q106=0),"tỷ","")</f>
        <v xml:space="preserve">chín trăm </v>
      </c>
      <c r="S104" s="31"/>
      <c r="T104" s="43"/>
      <c r="U104" s="37"/>
      <c r="V104" s="37">
        <v>1</v>
      </c>
      <c r="W104" s="37">
        <v>2</v>
      </c>
      <c r="X104" s="37">
        <v>3</v>
      </c>
      <c r="Y104" s="38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</row>
    <row r="105" spans="9:69" ht="18">
      <c r="Q105" s="19">
        <f>VALUE(RIGHT(INT(ABS(Q101)/10000000000)))</f>
        <v>0</v>
      </c>
      <c r="R105" s="20" t="str">
        <f>IF(Q105=1,"mười",IF(Q105=2," hai mươi",IF(Q105=3,"ba mươi",IF(Q105=4,"bốn mươi",IF(Q105=5,"năm mươi",IF(Q105=6,"sáu mươi",IF(Q105=7,"bẩy mươi",IF(Q105=8,"tám mươi","chín mươi"))))))))</f>
        <v>chín mươi</v>
      </c>
      <c r="S105" s="21" t="str">
        <f>IF(AND(Q105=0,Q106=1),"một tỷ ",IF(AND(Q105=1,Q106=1),"mười một",IF(AND(Q105=1,Q106=2),"mười hai",IF(AND(Q105=1,Q106=6),"mười sáu",IF(AND(Q105=1,Q106=7),"mười bẩy",IF(Q106=0,R105,IF(Q105=0,R106,R105&amp;IF(Q105&gt;1," ","")&amp;R106))))))&amp;" tỷ, ")</f>
        <v xml:space="preserve">hai tỷ, </v>
      </c>
      <c r="T105" s="44"/>
      <c r="U105" s="37"/>
      <c r="V105" s="22" t="str">
        <f>INDEX(V106:X122,P127,2)</f>
        <v xml:space="preserve"> đồng chẵn</v>
      </c>
      <c r="W105" s="22" t="str">
        <f>INDEX(V106:X122,P127,3)</f>
        <v xml:space="preserve"> xu</v>
      </c>
      <c r="X105" s="37"/>
      <c r="Y105" s="38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</row>
    <row r="106" spans="9:69" ht="18">
      <c r="Q106" s="23">
        <f>VALUE(RIGHT(INT(ABS(Q101)/1000000000)))</f>
        <v>2</v>
      </c>
      <c r="R106" s="20" t="str">
        <f>IF(Q106=1,"một",IF(Q106=2,"hai",IF(Q106=3,"ba",IF(Q106=4,"bốn",IF(Q106=5,"năm",IF(Q106=6,"sáu",IF(Q106=7,"bẩy",IF(Q106=8,"tám","chín"))))))))</f>
        <v>hai</v>
      </c>
      <c r="S106" s="45"/>
      <c r="T106" s="46"/>
      <c r="U106" s="37"/>
      <c r="V106" s="20" t="s">
        <v>149</v>
      </c>
      <c r="W106" s="20" t="s">
        <v>150</v>
      </c>
      <c r="X106" s="20" t="s">
        <v>151</v>
      </c>
      <c r="Y106" s="38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</row>
    <row r="107" spans="9:69" ht="18">
      <c r="Q107" s="24">
        <f>VALUE(RIGHT(INT(ABS(Q101)/100000000)))</f>
        <v>2</v>
      </c>
      <c r="R107" s="25" t="str">
        <f>IF(Q107=1,"một",IF(Q107=2,"hai",IF(Q107=3,"ba",IF(Q107=4,"bốn",IF(Q107=5,"năm",IF(Q107=6,"sáu",IF(Q107=7,"bẩy",IF(Q107=8,"tám","chín"))))))))&amp;" trăm "&amp;IF(AND(Q108=0,Q109=0),"triệu","")</f>
        <v xml:space="preserve">hai trăm </v>
      </c>
      <c r="S107" s="47"/>
      <c r="T107" s="48"/>
      <c r="U107" s="37"/>
      <c r="V107" s="20" t="s">
        <v>153</v>
      </c>
      <c r="W107" s="20" t="s">
        <v>154</v>
      </c>
      <c r="X107" s="20" t="s">
        <v>155</v>
      </c>
      <c r="Y107" s="38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</row>
    <row r="108" spans="9:69" ht="18">
      <c r="Q108" s="24">
        <f>VALUE(RIGHT(INT(ABS(Q101)/10000000)))</f>
        <v>8</v>
      </c>
      <c r="R108" s="25" t="str">
        <f>IF(Q108=1,"mười ",IF(Q108=2,"hai mươi",IF(Q108=3,"ba mươi",IF(Q108=4,"bốn mươi",IF(Q108=5,"năm mươi",IF(Q108=6,"sáu mươi",IF(Q108=7,"bẩy mươi",IF(Q108=8,"tám mươi","chín mươi"))))))))</f>
        <v>tám mươi</v>
      </c>
      <c r="S108" s="26" t="str">
        <f>IF(AND(Q108=0,Q109=1),"một triệu",IF(AND(Q108=1,Q109=1),"mười một",IF(AND(Q108=1,Q109=2),"mười hai",IF(AND(Q108=1,Q109=6),"mười sáu",IF(AND(Q108=1,Q109=7),"mười bẩy",IF(Q109=0,R108,IF(Q108=0,R109,R108&amp;IF(Q108&gt;1," ","")&amp;R109))))))&amp;" triệu,")</f>
        <v>tám mươi một triệu,</v>
      </c>
      <c r="T108" s="49"/>
      <c r="U108" s="37"/>
      <c r="V108" s="20" t="s">
        <v>157</v>
      </c>
      <c r="W108" s="20" t="s">
        <v>158</v>
      </c>
      <c r="X108" s="20" t="s">
        <v>159</v>
      </c>
      <c r="Y108" s="38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</row>
    <row r="109" spans="9:69" ht="18">
      <c r="Q109" s="24">
        <f>VALUE(RIGHT(INT(ABS(Q101)/1000000)))</f>
        <v>1</v>
      </c>
      <c r="R109" s="25" t="str">
        <f>IF(Q109=1,"một",IF(Q109=2,"hai",IF(Q109=3,"ba",IF(Q109=4,"bốn",IF(Q109=5,"năm",IF(Q109=6,"sáu",IF(Q109=7,"bẩy",IF(Q109=8,"tám","chín"))))))))</f>
        <v>một</v>
      </c>
      <c r="S109" s="26"/>
      <c r="T109" s="49"/>
      <c r="U109" s="37"/>
      <c r="V109" s="20" t="s">
        <v>161</v>
      </c>
      <c r="W109" s="20" t="s">
        <v>162</v>
      </c>
      <c r="X109" s="20" t="s">
        <v>163</v>
      </c>
      <c r="Y109" s="38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</row>
    <row r="110" spans="9:69" ht="18">
      <c r="Q110" s="27">
        <f>VALUE(RIGHT(INT(ABS(Q101)/100000)))</f>
        <v>8</v>
      </c>
      <c r="R110" s="20" t="str">
        <f>IF(Q110=1," một",IF(Q110=2," hai",IF(Q110=3," ba",IF(Q110=4," bốn",IF(Q110=5," năm",IF(Q110=6," sáu",IF(Q110=7," bẩy",IF(Q110=8," tám"," chín"))))))))&amp;" trăm "&amp;IF(AND(Q111=0,Q112=0)," nghìn","")</f>
        <v xml:space="preserve"> tám trăm </v>
      </c>
      <c r="S110" s="31"/>
      <c r="T110" s="43"/>
      <c r="U110" s="37"/>
      <c r="V110" s="20" t="s">
        <v>165</v>
      </c>
      <c r="W110" s="20" t="s">
        <v>166</v>
      </c>
      <c r="X110" s="20" t="s">
        <v>167</v>
      </c>
      <c r="Y110" s="38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</row>
    <row r="111" spans="9:69" ht="18">
      <c r="Q111" s="27">
        <f>VALUE(RIGHT(INT(ABS(Q101)/10000)))</f>
        <v>3</v>
      </c>
      <c r="R111" s="20" t="str">
        <f>IF(Q111=1,"mười ",IF(Q111=2," hai mươi ",IF(Q111=3," ba mươi ",IF(Q111=4," bốn mươi ",IF(Q111=5," năm mươi ",IF(Q111=6," sáu mươi ",IF(Q111=7," bẩy mươi ",IF(Q111=8," tám mươi "," chín mươi "))))))))</f>
        <v xml:space="preserve"> ba mươi </v>
      </c>
      <c r="S111" s="21" t="str">
        <f>IF(AND(Q111=1,Q112=1)," mười một",IF(AND(Q111=1,Q112=2)," mười hai",IF(AND(Q111=1,Q112=6)," mười sáu",IF(AND(Q111=1,Q112=7)," mười bẩy",IF(Q112=0,R111,IF(Q111=0,R112,R111&amp;IF(Q111&gt;1,"","")&amp;R112))))))&amp;" nghìn "</f>
        <v xml:space="preserve"> ba mươi  hai nghìn </v>
      </c>
      <c r="T111" s="44"/>
      <c r="U111" s="37"/>
      <c r="V111" s="20" t="s">
        <v>169</v>
      </c>
      <c r="W111" s="20" t="s">
        <v>170</v>
      </c>
      <c r="X111" s="20" t="s">
        <v>171</v>
      </c>
      <c r="Y111" s="38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</row>
    <row r="112" spans="9:69" ht="18">
      <c r="Q112" s="27">
        <f>VALUE(RIGHT(INT(ABS(Q101)/1000)))</f>
        <v>2</v>
      </c>
      <c r="R112" s="20" t="str">
        <f>IF(Q112=1," một",IF(Q112=2," hai",IF(Q112=3," ba",IF(Q112=4," bốn",IF(Q112=5," năm",IF(Q112=6," sáu",IF(Q112=7," bẩy",IF(Q112=8," tám"," chín"))))))))</f>
        <v xml:space="preserve"> hai</v>
      </c>
      <c r="S112" s="21"/>
      <c r="T112" s="44"/>
      <c r="U112" s="37"/>
      <c r="V112" s="20" t="s">
        <v>173</v>
      </c>
      <c r="W112" s="20" t="s">
        <v>174</v>
      </c>
      <c r="X112" s="20" t="s">
        <v>175</v>
      </c>
      <c r="Y112" s="38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</row>
    <row r="113" spans="9:69" ht="18">
      <c r="Q113" s="28">
        <f>VALUE(RIGHT(INT(ABS(Q101)/100)))</f>
        <v>0</v>
      </c>
      <c r="R113" s="29" t="str">
        <f>IF(Q113=1,"một",IF(Q113=2,"hai",IF(Q113=3,"ba",IF(Q113=4,"bốn",IF(Q113=5,"năm",IF(Q113=6,"sáu",IF(Q113=7,"bẩy",IF(Q113=8,"tám","chín"))))))))&amp;" trăm "</f>
        <v xml:space="preserve">chín trăm </v>
      </c>
      <c r="S113" s="50"/>
      <c r="T113" s="51"/>
      <c r="U113" s="37"/>
      <c r="V113" s="20" t="s">
        <v>177</v>
      </c>
      <c r="W113" s="20" t="s">
        <v>178</v>
      </c>
      <c r="X113" s="20" t="s">
        <v>155</v>
      </c>
      <c r="Y113" s="38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</row>
    <row r="114" spans="9:69" ht="18">
      <c r="Q114" s="28">
        <f>VALUE(RIGHT(INT(ABS(Q101)/10)))</f>
        <v>0</v>
      </c>
      <c r="R114" s="29" t="str">
        <f>IF(Q114=1,",mười ",IF(Q114=2,"hai mươi ",IF(Q114=3,"ba mươi ",IF(Q114=4,"bốn mươi ",IF(Q114=5,"năm mươi ",IF(Q114=6,"sáu mươi ",IF(Q114=7,"bẩy mươi ",IF(Q114=8,"tám mươi ","chín mươi "))))))))</f>
        <v xml:space="preserve">chín mươi </v>
      </c>
      <c r="S114" s="30" t="str">
        <f>IF(AND(Q114=1,Q115=1),"mười một",IF(AND(Q114=1,Q115=2),"mười hai",IF(AND(Q114=1,Q115=6),"mười sáu",IF(AND(Q114=1,Q115=7),"mười bẩy",IF(Q115=0,R114,IF(Q114=0,R115,IF(Q114&gt;1,"","")&amp;R114&amp;R115))))))</f>
        <v xml:space="preserve">chín mươi </v>
      </c>
      <c r="T114" s="52"/>
      <c r="U114" s="37"/>
      <c r="V114" s="20" t="s">
        <v>180</v>
      </c>
      <c r="W114" s="20" t="s">
        <v>181</v>
      </c>
      <c r="X114" s="20" t="s">
        <v>182</v>
      </c>
      <c r="Y114" s="38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</row>
    <row r="115" spans="9:69" ht="18">
      <c r="Q115" s="28">
        <f>VALUE(RIGHT(INT(ABS(Q101))))</f>
        <v>0</v>
      </c>
      <c r="R115" s="29" t="str">
        <f>IF(Q115=1,"một",IF(Q115=2,"hai",IF(Q115=3,"ba",IF(Q115=4,"bốn",IF(Q115=5,"năm",IF(Q115=6,"sáu",IF(Q115=7,"bẩy",IF(Q115=8,"tám","chín"))))))))</f>
        <v>chín</v>
      </c>
      <c r="S115" s="53"/>
      <c r="T115" s="54"/>
      <c r="U115" s="37"/>
      <c r="V115" s="20" t="s">
        <v>184</v>
      </c>
      <c r="W115" s="20" t="s">
        <v>185</v>
      </c>
      <c r="X115" s="20" t="s">
        <v>186</v>
      </c>
      <c r="Y115" s="38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</row>
    <row r="116" spans="9:69" ht="18">
      <c r="Q116" s="12" t="str">
        <f>"Giá trị sau dấu phẩy"</f>
        <v>Giá trị sau dấu phẩy</v>
      </c>
      <c r="R116" s="37"/>
      <c r="S116" s="37"/>
      <c r="T116" s="37"/>
      <c r="U116" s="37"/>
      <c r="V116" s="20" t="s">
        <v>187</v>
      </c>
      <c r="W116" s="20" t="s">
        <v>188</v>
      </c>
      <c r="X116" s="20" t="s">
        <v>155</v>
      </c>
      <c r="Y116" s="38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</row>
    <row r="117" spans="9:69" ht="18">
      <c r="Q117" s="27">
        <f>VALUE(RIGHT(INT(ABS(T122)/10)))</f>
        <v>0</v>
      </c>
      <c r="R117" s="20" t="str">
        <f>IF(Q117=1,"mười",IF(Q117=2,"hai mươi",IF(Q117=3,"ba mươi",IF(Q117=4,"bốn mươi",IF(Q117=5,"năm mươi",IF(Q117=6,"sáu mươi",IF(Q117=7,"bẩy mươi",IF(Q117=8,"tám mươi","chín mươi"))))))))</f>
        <v>chín mươi</v>
      </c>
      <c r="S117" s="31" t="str">
        <f ca="1">" và "&amp;IF(T122&lt;10,"không ","")&amp;IF(T122=1,"một",IF(AND(Q117=1,Q118=1),"mười một",IF(AND(Q117=1,Q118=2),"mười hai",IF(AND(Q117=1,Q118=6),"mười sáu",IF(AND(Q117=1,Q118=7),"mười bẩy",IF(Q118=0,R117,IF(Q117=0,R118,R117&amp;IF(Q117&gt;1," ","")&amp;R118&amp;""))))))&amp;CELL("contents",W105))</f>
        <v xml:space="preserve"> và không chín mươi xu</v>
      </c>
      <c r="T117" s="43"/>
      <c r="U117" s="37"/>
      <c r="V117" s="20" t="s">
        <v>189</v>
      </c>
      <c r="W117" s="20" t="s">
        <v>190</v>
      </c>
      <c r="X117" s="20" t="s">
        <v>155</v>
      </c>
      <c r="Y117" s="38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</row>
    <row r="118" spans="9:69" ht="18">
      <c r="Q118" s="27">
        <f>VALUE(RIGHT(INT(ABS(T122))))</f>
        <v>0</v>
      </c>
      <c r="R118" s="20" t="str">
        <f>IF(Q118=1,"một",IF(Q118=2,"hai",IF(Q118=3,"ba",IF(Q118=4,"bốn",IF(Q118=5,"năm",IF(Q118=6,"sáu",IF(Q118=7,"bẩy",IF(Q118=8,"tám","chín"))))))))</f>
        <v>chín</v>
      </c>
      <c r="S118" s="45"/>
      <c r="T118" s="46"/>
      <c r="U118" s="37"/>
      <c r="V118" s="20"/>
      <c r="W118" s="20"/>
      <c r="X118" s="20"/>
      <c r="Y118" s="38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</row>
    <row r="119" spans="9:69" ht="18">
      <c r="Q119" s="32" t="str">
        <f>SUBSTITUTE(SUBSTITUTE(SUBSTITUTE(SUBSTITUTE(SUBSTITUTE(SUBSTITUTE(SUBSTITUTE(SUBSTITUTE(Q101,0,"không   "),1,"một   "),2,"hai   "),3,"ba   "),4,"bốn   "),5,"năm   "),6,"sáu   "),7,"bẩy   ")</f>
        <v xml:space="preserve">hai   hai   8một   8ba   hai   không   không   không   </v>
      </c>
      <c r="R119" s="37"/>
      <c r="S119" s="37"/>
      <c r="T119" s="37"/>
      <c r="U119" s="37"/>
      <c r="V119" s="20"/>
      <c r="W119" s="20"/>
      <c r="X119" s="20"/>
      <c r="Y119" s="38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</row>
    <row r="120" spans="9:69" ht="18">
      <c r="P120" s="80"/>
      <c r="Q120" s="37"/>
      <c r="R120" s="37"/>
      <c r="S120" s="37"/>
      <c r="T120" s="37"/>
      <c r="U120" s="37"/>
      <c r="V120" s="20"/>
      <c r="W120" s="20"/>
      <c r="X120" s="20"/>
      <c r="Y120" s="38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</row>
    <row r="121" spans="9:69" ht="18">
      <c r="P121" s="80"/>
      <c r="Q121" s="33">
        <f>ABS(100*(MOD(Q101,1)-(Q101&lt;0)))</f>
        <v>0</v>
      </c>
      <c r="R121" s="37"/>
      <c r="S121" s="37"/>
      <c r="T121" s="34" t="str">
        <f>TEXT(T122,"   00")&amp;"/100"</f>
        <v xml:space="preserve">   00/100</v>
      </c>
      <c r="U121" s="37"/>
      <c r="V121" s="20"/>
      <c r="W121" s="20"/>
      <c r="X121" s="20"/>
      <c r="Y121" s="38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</row>
    <row r="122" spans="9:69" ht="18">
      <c r="P122" s="80"/>
      <c r="Q122" s="35">
        <f>ROUND(100*(ABS(Q101)-INT(ABS(Q101))),0)</f>
        <v>0</v>
      </c>
      <c r="R122" s="37"/>
      <c r="S122" s="37"/>
      <c r="T122" s="36">
        <f>IF(P130=0,0,ROUND(100*(ABS(Q101)-INT(ABS(Q101))),0))</f>
        <v>0</v>
      </c>
      <c r="U122" s="37"/>
      <c r="V122" s="20"/>
      <c r="W122" s="20"/>
      <c r="X122" s="20"/>
      <c r="Y122" s="38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</row>
    <row r="123" spans="9:69" ht="15"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</row>
    <row r="124" spans="9:69" ht="18">
      <c r="P124" s="10" t="str">
        <f>"Đọc giá trị số thành chữ"</f>
        <v>Đọc giá trị số thành chữ</v>
      </c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</row>
    <row r="125" spans="9:69" ht="18">
      <c r="P125" s="12" t="s">
        <v>146</v>
      </c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</row>
    <row r="126" spans="9:69" ht="18.75">
      <c r="P126" s="14"/>
    </row>
    <row r="127" spans="9:69" ht="18">
      <c r="P127" s="37">
        <v>1</v>
      </c>
    </row>
    <row r="128" spans="9:69" ht="18">
      <c r="I128" s="80"/>
      <c r="J128" s="80"/>
      <c r="K128" s="80"/>
      <c r="L128" s="80"/>
      <c r="M128" s="80"/>
      <c r="N128" s="80"/>
      <c r="O128" s="80"/>
      <c r="P128" s="37"/>
    </row>
    <row r="129" spans="9:16" ht="18.75">
      <c r="I129" s="80"/>
      <c r="J129" s="80"/>
      <c r="K129" s="80"/>
      <c r="L129" s="80"/>
      <c r="M129" s="80"/>
      <c r="N129" s="80"/>
      <c r="O129" s="80"/>
      <c r="P129" s="15" t="str">
        <f>"Giá trị số cần đổi:"</f>
        <v>Giá trị số cần đổi:</v>
      </c>
    </row>
    <row r="130" spans="9:16" ht="18">
      <c r="I130" s="80"/>
      <c r="J130" s="80"/>
      <c r="K130" s="80"/>
      <c r="L130" s="80"/>
      <c r="M130" s="80"/>
      <c r="N130" s="80"/>
      <c r="O130" s="80"/>
      <c r="P130" s="40" t="s">
        <v>146</v>
      </c>
    </row>
    <row r="131" spans="9:16" ht="18.75">
      <c r="I131" s="80"/>
      <c r="J131" s="80"/>
      <c r="K131" s="80"/>
      <c r="L131" s="80"/>
      <c r="M131" s="80"/>
      <c r="N131" s="80"/>
      <c r="O131" s="80"/>
      <c r="P131" s="17" t="str">
        <f>"đếm từng chữ một"</f>
        <v>đếm từng chữ một</v>
      </c>
    </row>
    <row r="132" spans="9:16" ht="18.75">
      <c r="I132" s="80"/>
      <c r="J132" s="80"/>
      <c r="K132" s="80"/>
      <c r="L132" s="80"/>
      <c r="M132" s="80"/>
      <c r="N132" s="80"/>
      <c r="O132" s="80"/>
      <c r="P132" s="17" t="str">
        <f>"hàng trăm tỷ"</f>
        <v>hàng trăm tỷ</v>
      </c>
    </row>
    <row r="133" spans="9:16" ht="18.75">
      <c r="I133" s="80"/>
      <c r="J133" s="80"/>
      <c r="K133" s="80"/>
      <c r="L133" s="80"/>
      <c r="M133" s="80"/>
      <c r="N133" s="80"/>
      <c r="O133" s="80"/>
      <c r="P133" s="17" t="str">
        <f>"hàng chục tỷ"</f>
        <v>hàng chục tỷ</v>
      </c>
    </row>
    <row r="134" spans="9:16" ht="18.75">
      <c r="I134" s="80"/>
      <c r="J134" s="80"/>
      <c r="K134" s="80"/>
      <c r="L134" s="80"/>
      <c r="M134" s="80"/>
      <c r="N134" s="80"/>
      <c r="O134" s="80"/>
      <c r="P134" s="17" t="str">
        <f>"hàng tỷ"</f>
        <v>hàng tỷ</v>
      </c>
    </row>
    <row r="135" spans="9:16" ht="18.75">
      <c r="I135" s="80"/>
      <c r="J135" s="80"/>
      <c r="K135" s="80"/>
      <c r="L135" s="80"/>
      <c r="M135" s="80"/>
      <c r="N135" s="80"/>
      <c r="O135" s="80"/>
      <c r="P135" s="17" t="str">
        <f>"hàng trăm triệu"</f>
        <v>hàng trăm triệu</v>
      </c>
    </row>
    <row r="136" spans="9:16" ht="18.75">
      <c r="I136" s="80"/>
      <c r="J136" s="80"/>
      <c r="K136" s="80"/>
      <c r="L136" s="80"/>
      <c r="M136" s="80"/>
      <c r="N136" s="80"/>
      <c r="O136" s="80"/>
      <c r="P136" s="17" t="str">
        <f>"hàng chục triệu"</f>
        <v>hàng chục triệu</v>
      </c>
    </row>
    <row r="137" spans="9:16" ht="18.75">
      <c r="I137" s="80"/>
      <c r="J137" s="80"/>
      <c r="K137" s="80"/>
      <c r="L137" s="80"/>
      <c r="M137" s="80"/>
      <c r="N137" s="80"/>
      <c r="O137" s="80"/>
      <c r="P137" s="17" t="str">
        <f>"hàng triệu"</f>
        <v>hàng triệu</v>
      </c>
    </row>
    <row r="138" spans="9:16" ht="18.75">
      <c r="I138" s="80"/>
      <c r="J138" s="80"/>
      <c r="K138" s="80"/>
      <c r="L138" s="80"/>
      <c r="M138" s="80"/>
      <c r="N138" s="80"/>
      <c r="O138" s="80"/>
      <c r="P138" s="17" t="str">
        <f>"hàng trăm nghìn"</f>
        <v>hàng trăm nghìn</v>
      </c>
    </row>
    <row r="139" spans="9:16" ht="18.75">
      <c r="I139" s="80"/>
      <c r="J139" s="80"/>
      <c r="K139" s="80"/>
      <c r="L139" s="80"/>
      <c r="M139" s="80"/>
      <c r="N139" s="80"/>
      <c r="O139" s="80"/>
      <c r="P139" s="17" t="str">
        <f>"hàng chục nghìn"</f>
        <v>hàng chục nghìn</v>
      </c>
    </row>
    <row r="140" spans="9:16" ht="18.75">
      <c r="I140" s="80"/>
      <c r="J140" s="80"/>
      <c r="K140" s="80"/>
      <c r="L140" s="80"/>
      <c r="M140" s="80"/>
      <c r="N140" s="80"/>
      <c r="O140" s="80"/>
      <c r="P140" s="17" t="str">
        <f>"hàng nghìn"</f>
        <v>hàng nghìn</v>
      </c>
    </row>
    <row r="141" spans="9:16" ht="18.75">
      <c r="I141" s="80"/>
      <c r="J141" s="80"/>
      <c r="K141" s="80"/>
      <c r="L141" s="80"/>
      <c r="M141" s="80"/>
      <c r="N141" s="80"/>
      <c r="O141" s="80"/>
      <c r="P141" s="17" t="str">
        <f>"hàng trăm"</f>
        <v>hàng trăm</v>
      </c>
    </row>
    <row r="142" spans="9:16" ht="18.75">
      <c r="I142" s="80"/>
      <c r="J142" s="80"/>
      <c r="K142" s="80"/>
      <c r="L142" s="80"/>
      <c r="M142" s="80"/>
      <c r="N142" s="80"/>
      <c r="O142" s="80"/>
      <c r="P142" s="17" t="str">
        <f>"hàng chục"</f>
        <v>hàng chục</v>
      </c>
    </row>
    <row r="143" spans="9:16" ht="18.75">
      <c r="I143" s="80"/>
      <c r="J143" s="80"/>
      <c r="K143" s="80"/>
      <c r="L143" s="80"/>
      <c r="M143" s="80"/>
      <c r="N143" s="80"/>
      <c r="O143" s="80"/>
      <c r="P143" s="17" t="str">
        <f>"hàng đơn vị"</f>
        <v>hàng đơn vị</v>
      </c>
    </row>
    <row r="144" spans="9:16" ht="18.75">
      <c r="I144" s="80"/>
      <c r="J144" s="80"/>
      <c r="K144" s="80"/>
      <c r="L144" s="80"/>
      <c r="M144" s="80"/>
      <c r="N144" s="80"/>
      <c r="O144" s="80"/>
      <c r="P144" s="17"/>
    </row>
    <row r="145" spans="9:16" ht="18.75">
      <c r="I145" s="80"/>
      <c r="J145" s="80"/>
      <c r="K145" s="80"/>
      <c r="L145" s="80"/>
      <c r="M145" s="80"/>
      <c r="N145" s="80"/>
      <c r="O145" s="80"/>
      <c r="P145" s="17" t="str">
        <f>"hàng chục"</f>
        <v>hàng chục</v>
      </c>
    </row>
    <row r="146" spans="9:16" ht="18.75">
      <c r="I146" s="80"/>
      <c r="J146" s="80"/>
      <c r="K146" s="80"/>
      <c r="L146" s="80"/>
      <c r="M146" s="80"/>
      <c r="N146" s="80"/>
      <c r="O146" s="80"/>
      <c r="P146" s="17" t="str">
        <f>"hàng đơn vị"</f>
        <v>hàng đơn vị</v>
      </c>
    </row>
    <row r="147" spans="9:16" ht="18">
      <c r="I147" s="80"/>
      <c r="J147" s="80"/>
      <c r="K147" s="80"/>
      <c r="L147" s="80"/>
      <c r="M147" s="80"/>
      <c r="N147" s="80"/>
      <c r="O147" s="80"/>
      <c r="P147" s="37"/>
    </row>
    <row r="148" spans="9:16" ht="18">
      <c r="I148" s="80"/>
      <c r="J148" s="80"/>
      <c r="K148" s="80"/>
      <c r="L148" s="80"/>
      <c r="M148" s="80"/>
      <c r="N148" s="80"/>
      <c r="O148" s="80"/>
      <c r="P148" s="37"/>
    </row>
    <row r="149" spans="9:16" ht="18">
      <c r="I149" s="80"/>
      <c r="J149" s="80"/>
      <c r="K149" s="80"/>
      <c r="L149" s="80"/>
      <c r="M149" s="80"/>
      <c r="N149" s="80"/>
      <c r="O149" s="80"/>
      <c r="P149" s="37"/>
    </row>
    <row r="150" spans="9:16" ht="18">
      <c r="I150" s="80"/>
      <c r="J150" s="80"/>
      <c r="K150" s="80"/>
      <c r="L150" s="80"/>
      <c r="M150" s="80"/>
      <c r="N150" s="80"/>
      <c r="O150" s="80"/>
      <c r="P150" s="37"/>
    </row>
    <row r="151" spans="9:16" ht="15">
      <c r="I151" s="80"/>
      <c r="J151" s="80"/>
      <c r="K151" s="80"/>
      <c r="L151" s="80"/>
      <c r="M151" s="80"/>
      <c r="N151" s="80"/>
      <c r="O151" s="80"/>
      <c r="P151" s="80"/>
    </row>
    <row r="152" spans="9:16" ht="15">
      <c r="I152" s="80"/>
      <c r="J152" s="80"/>
      <c r="K152" s="80"/>
      <c r="L152" s="80"/>
      <c r="M152" s="80"/>
      <c r="N152" s="80"/>
      <c r="O152" s="80"/>
      <c r="P152" s="80"/>
    </row>
    <row r="153" spans="9:16" ht="15">
      <c r="I153" s="80"/>
      <c r="J153" s="80"/>
      <c r="K153" s="80"/>
      <c r="L153" s="80"/>
      <c r="M153" s="80"/>
      <c r="N153" s="80"/>
      <c r="O153" s="80"/>
      <c r="P153" s="80"/>
    </row>
    <row r="154" spans="9:16" ht="15">
      <c r="I154" s="80"/>
      <c r="J154" s="80"/>
      <c r="K154" s="80"/>
      <c r="L154" s="80"/>
      <c r="M154" s="80"/>
      <c r="N154" s="80"/>
      <c r="O154" s="80"/>
    </row>
    <row r="155" spans="9:16" ht="15">
      <c r="I155" s="80"/>
      <c r="J155" s="80"/>
      <c r="K155" s="80"/>
      <c r="L155" s="80"/>
      <c r="M155" s="80"/>
      <c r="N155" s="80"/>
      <c r="O155" s="80"/>
    </row>
    <row r="156" spans="9:16" ht="15">
      <c r="I156" s="80"/>
      <c r="J156" s="80"/>
      <c r="K156" s="80"/>
      <c r="L156" s="80"/>
      <c r="M156" s="80"/>
      <c r="N156" s="80"/>
      <c r="O156" s="80"/>
    </row>
    <row r="157" spans="9:16" ht="15">
      <c r="I157" s="80"/>
      <c r="J157" s="80"/>
      <c r="K157" s="80"/>
      <c r="L157" s="80"/>
      <c r="M157" s="80"/>
      <c r="N157" s="80"/>
      <c r="O157" s="80"/>
    </row>
    <row r="158" spans="9:16" ht="15">
      <c r="I158" s="80"/>
      <c r="J158" s="80"/>
      <c r="K158" s="80"/>
      <c r="L158" s="80"/>
      <c r="M158" s="80"/>
      <c r="N158" s="80"/>
      <c r="O158" s="80"/>
    </row>
    <row r="159" spans="9:16" ht="15">
      <c r="I159" s="80"/>
      <c r="J159" s="80"/>
      <c r="K159" s="80"/>
      <c r="L159" s="80"/>
      <c r="M159" s="80"/>
      <c r="N159" s="80"/>
      <c r="O159" s="80"/>
    </row>
    <row r="160" spans="9:16" ht="15">
      <c r="I160" s="80"/>
      <c r="J160" s="80"/>
      <c r="K160" s="80"/>
      <c r="L160" s="80"/>
      <c r="M160" s="80"/>
      <c r="N160" s="80"/>
      <c r="O160" s="80"/>
    </row>
    <row r="161" spans="9:15" ht="15">
      <c r="I161" s="80"/>
      <c r="J161" s="80"/>
      <c r="K161" s="80"/>
      <c r="L161" s="80"/>
      <c r="M161" s="80"/>
      <c r="N161" s="80"/>
      <c r="O161" s="80"/>
    </row>
  </sheetData>
  <mergeCells count="21">
    <mergeCell ref="A11:G11"/>
    <mergeCell ref="A2:G3"/>
    <mergeCell ref="A4:G4"/>
    <mergeCell ref="A5:B5"/>
    <mergeCell ref="A9:G9"/>
    <mergeCell ref="A10:G10"/>
    <mergeCell ref="A18:A19"/>
    <mergeCell ref="B18:B19"/>
    <mergeCell ref="C18:C19"/>
    <mergeCell ref="F18:F19"/>
    <mergeCell ref="G18:G19"/>
    <mergeCell ref="A12:G12"/>
    <mergeCell ref="A13:G13"/>
    <mergeCell ref="A15:G15"/>
    <mergeCell ref="C16:C17"/>
    <mergeCell ref="E16:F17"/>
    <mergeCell ref="E48:G48"/>
    <mergeCell ref="E49:G49"/>
    <mergeCell ref="E50:G50"/>
    <mergeCell ref="E57:F57"/>
    <mergeCell ref="E58:G58"/>
  </mergeCells>
  <pageMargins left="0.7" right="0.7" top="0.75" bottom="0.75" header="0.3" footer="0.3"/>
  <pageSetup paperSize="9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BQ159"/>
  <sheetViews>
    <sheetView workbookViewId="0">
      <selection activeCell="E41" sqref="E41:G41"/>
    </sheetView>
  </sheetViews>
  <sheetFormatPr defaultColWidth="8.85546875" defaultRowHeight="12.75"/>
  <cols>
    <col min="1" max="1" width="3.85546875" customWidth="1"/>
    <col min="2" max="2" width="31.42578125" customWidth="1"/>
    <col min="3" max="3" width="14" customWidth="1"/>
    <col min="4" max="4" width="11.7109375" customWidth="1"/>
    <col min="5" max="5" width="14.42578125" customWidth="1"/>
    <col min="6" max="6" width="14.85546875" customWidth="1"/>
    <col min="7" max="7" width="16.7109375" customWidth="1"/>
    <col min="9" max="9" width="5.28515625" customWidth="1"/>
    <col min="10" max="10" width="12" customWidth="1"/>
    <col min="11" max="11" width="27.28515625" customWidth="1"/>
    <col min="12" max="12" width="23.140625" customWidth="1"/>
    <col min="13" max="13" width="10.28515625" customWidth="1"/>
    <col min="14" max="14" width="10" customWidth="1"/>
    <col min="15" max="15" width="11.42578125" customWidth="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20.25" thickTop="1" thickBot="1">
      <c r="A2" s="704" t="s">
        <v>50</v>
      </c>
      <c r="B2" s="704"/>
      <c r="C2" s="704"/>
      <c r="D2" s="704"/>
      <c r="E2" s="704"/>
      <c r="F2" s="704"/>
      <c r="G2" s="704"/>
      <c r="H2" s="1"/>
      <c r="I2" s="88"/>
      <c r="J2" s="383"/>
      <c r="K2" s="388"/>
      <c r="L2" s="407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17.25" thickTop="1">
      <c r="A3" s="715" t="s">
        <v>247</v>
      </c>
      <c r="B3" s="715"/>
      <c r="C3" s="715"/>
      <c r="D3" s="715"/>
      <c r="E3" s="715"/>
      <c r="F3" s="715"/>
      <c r="G3" s="715"/>
      <c r="H3" s="1"/>
      <c r="I3" s="88"/>
      <c r="J3" s="383"/>
      <c r="K3" s="389"/>
      <c r="L3" s="387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6.5">
      <c r="A4" s="706" t="s">
        <v>52</v>
      </c>
      <c r="B4" s="706"/>
      <c r="C4" s="476">
        <v>60000</v>
      </c>
      <c r="D4" s="61" t="s">
        <v>192</v>
      </c>
      <c r="E4" s="114"/>
      <c r="F4" s="114" t="s">
        <v>54</v>
      </c>
      <c r="G4" s="115">
        <v>10000</v>
      </c>
      <c r="H4" s="1"/>
      <c r="I4" s="88"/>
      <c r="J4" s="382"/>
      <c r="K4" s="390"/>
      <c r="L4" s="382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6.5">
      <c r="A5" s="114"/>
      <c r="B5" s="114" t="s">
        <v>248</v>
      </c>
      <c r="C5" s="480" t="s">
        <v>249</v>
      </c>
      <c r="D5" s="61"/>
      <c r="E5" s="114"/>
      <c r="F5" s="476" t="s">
        <v>250</v>
      </c>
      <c r="G5" s="477">
        <f>IF(C5="Khu kinh tế, khu công nghệ cao",1.2,(IF(C5="Cụm công nghiệp, tiểu thủ công nghiệp",0.55,1)))</f>
        <v>1</v>
      </c>
      <c r="H5" s="1"/>
      <c r="I5" s="88"/>
      <c r="J5" s="382"/>
      <c r="K5" s="390"/>
      <c r="L5" s="382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8.95" customHeight="1">
      <c r="A6" s="193" t="s">
        <v>58</v>
      </c>
      <c r="B6" s="194"/>
      <c r="C6" s="194"/>
      <c r="D6" s="195"/>
      <c r="E6" s="195"/>
      <c r="F6" s="195"/>
      <c r="G6" s="195"/>
      <c r="H6" s="1"/>
      <c r="I6" s="88"/>
      <c r="J6" s="382"/>
      <c r="K6" s="390" t="s">
        <v>249</v>
      </c>
      <c r="L6" s="382"/>
      <c r="M6" s="88"/>
      <c r="N6" s="88"/>
      <c r="O6" s="88">
        <v>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5" customHeight="1">
      <c r="A7" s="263" t="s">
        <v>201</v>
      </c>
      <c r="B7" s="198"/>
      <c r="C7" s="199"/>
      <c r="D7" s="199"/>
      <c r="E7" s="199"/>
      <c r="F7" s="199"/>
      <c r="G7" s="199"/>
      <c r="H7" s="1"/>
      <c r="I7" s="88"/>
      <c r="J7" s="382"/>
      <c r="K7" s="390" t="s">
        <v>251</v>
      </c>
      <c r="L7" s="382"/>
      <c r="M7" s="88"/>
      <c r="N7" s="88"/>
      <c r="O7" s="88">
        <v>1.2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5" customHeight="1">
      <c r="A8" s="263" t="s">
        <v>230</v>
      </c>
      <c r="B8" s="198"/>
      <c r="C8" s="199"/>
      <c r="D8" s="199"/>
      <c r="E8" s="199"/>
      <c r="F8" s="199"/>
      <c r="G8" s="199"/>
      <c r="H8" s="1"/>
      <c r="I8" s="88"/>
      <c r="J8" s="382"/>
      <c r="K8" s="390" t="s">
        <v>252</v>
      </c>
      <c r="L8" s="382"/>
      <c r="M8" s="88"/>
      <c r="N8" s="88"/>
      <c r="O8" s="88">
        <v>0.55000000000000004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ht="16.5">
      <c r="A9" s="688" t="s">
        <v>61</v>
      </c>
      <c r="B9" s="688"/>
      <c r="C9" s="688"/>
      <c r="D9" s="688"/>
      <c r="E9" s="688"/>
      <c r="F9" s="688"/>
      <c r="G9" s="688"/>
      <c r="H9" s="1"/>
      <c r="I9" s="88"/>
      <c r="J9" s="382"/>
      <c r="K9" s="382"/>
      <c r="L9" s="382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s="111" customFormat="1" ht="18.75" customHeight="1">
      <c r="A10" s="693" t="s">
        <v>62</v>
      </c>
      <c r="B10" s="693"/>
      <c r="C10" s="693"/>
      <c r="D10" s="693"/>
      <c r="E10" s="693"/>
      <c r="F10" s="693"/>
      <c r="G10" s="693"/>
      <c r="I10" s="281"/>
      <c r="J10" s="384"/>
      <c r="K10" s="385"/>
      <c r="L10" s="386"/>
      <c r="M10" s="285"/>
      <c r="N10" s="285"/>
      <c r="O10" s="285"/>
    </row>
    <row r="11" spans="1:69" ht="15" customHeight="1">
      <c r="A11" s="695" t="s">
        <v>205</v>
      </c>
      <c r="B11" s="695"/>
      <c r="C11" s="695"/>
      <c r="D11" s="695"/>
      <c r="E11" s="695"/>
      <c r="F11" s="695"/>
      <c r="G11" s="695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30" customHeight="1">
      <c r="A12" s="695" t="s">
        <v>63</v>
      </c>
      <c r="B12" s="695"/>
      <c r="C12" s="695"/>
      <c r="D12" s="695"/>
      <c r="E12" s="695"/>
      <c r="F12" s="695"/>
      <c r="G12" s="695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30" customHeight="1">
      <c r="A13" s="707" t="s">
        <v>64</v>
      </c>
      <c r="B13" s="707"/>
      <c r="C13" s="707"/>
      <c r="D13" s="707"/>
      <c r="E13" s="707"/>
      <c r="F13" s="707"/>
      <c r="G13" s="707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6.5">
      <c r="A14" s="688" t="s">
        <v>65</v>
      </c>
      <c r="B14" s="688"/>
      <c r="C14" s="688"/>
      <c r="D14" s="688"/>
      <c r="E14" s="688"/>
      <c r="F14" s="688"/>
      <c r="G14" s="688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15" customHeight="1">
      <c r="A15" s="200"/>
      <c r="B15" s="201" t="s">
        <v>66</v>
      </c>
      <c r="C15" s="227">
        <f>C4</f>
        <v>60000</v>
      </c>
      <c r="D15" s="225" t="str">
        <f>D4</f>
        <v>ha</v>
      </c>
      <c r="E15" s="201"/>
      <c r="F15" s="202"/>
      <c r="G15" s="203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47.25" customHeight="1">
      <c r="A16" s="689" t="s">
        <v>253</v>
      </c>
      <c r="B16" s="690"/>
      <c r="C16" s="690"/>
      <c r="D16" s="690"/>
      <c r="E16" s="690"/>
      <c r="F16" s="690"/>
      <c r="G16" s="690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19.5" customHeight="1">
      <c r="A17" s="204"/>
      <c r="B17" s="205" t="s">
        <v>68</v>
      </c>
      <c r="C17" s="691" t="s">
        <v>69</v>
      </c>
      <c r="D17" s="206" t="s">
        <v>70</v>
      </c>
      <c r="E17" s="692" t="s">
        <v>71</v>
      </c>
      <c r="F17" s="692"/>
      <c r="G17" s="203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17.25" thickBot="1">
      <c r="A18" s="204"/>
      <c r="B18" s="200"/>
      <c r="C18" s="691"/>
      <c r="D18" s="210" t="s">
        <v>72</v>
      </c>
      <c r="E18" s="692"/>
      <c r="F18" s="692"/>
      <c r="G18" s="203"/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42.75">
      <c r="A19" s="698" t="s">
        <v>26</v>
      </c>
      <c r="B19" s="696" t="s">
        <v>73</v>
      </c>
      <c r="C19" s="696" t="s">
        <v>74</v>
      </c>
      <c r="D19" s="314" t="s">
        <v>75</v>
      </c>
      <c r="E19" s="314" t="s">
        <v>76</v>
      </c>
      <c r="F19" s="696" t="s">
        <v>77</v>
      </c>
      <c r="G19" s="701" t="s">
        <v>78</v>
      </c>
      <c r="H19" s="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7.25" thickBot="1">
      <c r="A20" s="699"/>
      <c r="B20" s="697"/>
      <c r="C20" s="697"/>
      <c r="D20" s="317" t="s">
        <v>79</v>
      </c>
      <c r="E20" s="317" t="s">
        <v>79</v>
      </c>
      <c r="F20" s="697"/>
      <c r="G20" s="702"/>
      <c r="H20" s="1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96">
        <v>1</v>
      </c>
      <c r="B21" s="320" t="s">
        <v>81</v>
      </c>
      <c r="C21" s="321" t="s">
        <v>82</v>
      </c>
      <c r="D21" s="408">
        <f>IF(D26&lt;500,1410,IF(D26&gt;60000,"Vượt quy mô",((D22-D23)/(D24-D25)*(D26-D25)+D23)))</f>
        <v>7200</v>
      </c>
      <c r="E21" s="408">
        <f>IF(E26&lt;200,100.41,IF(E26&gt;60000,"Vượt quy mô",ROUND(((E22-E23)/(E24-E25)*(E26-E25)+E23),3)))</f>
        <v>242.88</v>
      </c>
      <c r="F21" s="403">
        <f>IF(F26&lt;200,12.3,IF(F26&gt;10000,2.8,ROUND(((F22-F23)/(F24-F25)*(F26-F25)+F23),3)))</f>
        <v>3.173</v>
      </c>
      <c r="G21" s="591">
        <f>IF(G26&lt;200,10.6,IF(G26&gt;10000,2.6,ROUND(((G22-G23)/(G24-G25)*(G26-G25)+G23),3)))</f>
        <v>2.9729999999999999</v>
      </c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2</v>
      </c>
      <c r="B22" s="303" t="s">
        <v>240</v>
      </c>
      <c r="C22" s="304" t="s">
        <v>84</v>
      </c>
      <c r="D22" s="446">
        <f>LOOKUP(D24, 'Dinh muc'!$C$39:$M$40)</f>
        <v>7200</v>
      </c>
      <c r="E22" s="446">
        <f>LOOKUP(E24, 'Dinh muc'!$C$39:$M$41)</f>
        <v>242.88</v>
      </c>
      <c r="F22" s="279">
        <f>LOOKUP(F24,  'Dinh muc'!$C$75:$J$76)+0.00000000001</f>
        <v>3.2000000000100002</v>
      </c>
      <c r="G22" s="596">
        <f>LOOKUP(G24, 'Dinh muc'!$C$75:$J$77)+0.000000000001</f>
        <v>3.0000000000010001</v>
      </c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02">
        <v>3</v>
      </c>
      <c r="B23" s="303" t="s">
        <v>85</v>
      </c>
      <c r="C23" s="304" t="s">
        <v>86</v>
      </c>
      <c r="D23" s="446">
        <f>LOOKUP(D25,'Dinh muc'!$D$39:$M$40)</f>
        <v>7200</v>
      </c>
      <c r="E23" s="446">
        <f>LOOKUP(E25,'Dinh muc'!$D$39:$M$41)</f>
        <v>242.88</v>
      </c>
      <c r="F23" s="279">
        <f>LOOKUP(F25, 'Dinh muc'!$C$75:$J$76)+0.000000000001</f>
        <v>2.8000000000009999</v>
      </c>
      <c r="G23" s="596">
        <f>LOOKUP(G25, 'Dinh muc'!$C$75:$J$77)+0.000000000000001</f>
        <v>2.600000000000001</v>
      </c>
      <c r="H23" s="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302">
        <v>4</v>
      </c>
      <c r="B24" s="303" t="s">
        <v>87</v>
      </c>
      <c r="C24" s="304" t="s">
        <v>88</v>
      </c>
      <c r="D24" s="595">
        <f>IF(D26&lt;500,500,SMALL('Dinh muc'!$D$39:$M$39,COUNTIF('Dinh muc'!$D$39:$M$39,"&lt;="&amp;$D$26)))+0.0000000001</f>
        <v>60000.000000000102</v>
      </c>
      <c r="E24" s="595">
        <f>D24</f>
        <v>60000.000000000102</v>
      </c>
      <c r="F24" s="163">
        <f>IF(F26&lt;200,200,(SMALL('Dinh muc'!$C$75:$J$76,COUNTIF('Dinh muc'!$C$75:$J$76,"&lt;="&amp;$F$26))))+0.000000001</f>
        <v>7000.0000000010004</v>
      </c>
      <c r="G24" s="592">
        <f>F24</f>
        <v>7000.0000000010004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>
      <c r="A25" s="302">
        <v>5</v>
      </c>
      <c r="B25" s="303" t="s">
        <v>89</v>
      </c>
      <c r="C25" s="304" t="s">
        <v>90</v>
      </c>
      <c r="D25" s="595">
        <f>IF(D26&gt;60000,60000,LARGE('Dinh muc'!$D$39:$M$39,COUNTIF('Dinh muc'!$D$39:$M$39,"&gt;="&amp;$D$26)))+0.000000000001</f>
        <v>60000</v>
      </c>
      <c r="E25" s="595">
        <f>D25</f>
        <v>60000</v>
      </c>
      <c r="F25" s="163">
        <f>IF(F26&gt;=10000,10000,LARGE('Dinh muc'!$C$75:$J$76,COUNTIF('Dinh muc'!$C$75:$J$76,"&gt;="&amp; $F$26)))+0.000000000001</f>
        <v>10000.000000000002</v>
      </c>
      <c r="G25" s="592">
        <f>F25</f>
        <v>10000.000000000002</v>
      </c>
      <c r="H25" s="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ht="15" customHeight="1" thickBot="1">
      <c r="A26" s="305">
        <v>6</v>
      </c>
      <c r="B26" s="306" t="s">
        <v>91</v>
      </c>
      <c r="C26" s="307" t="s">
        <v>92</v>
      </c>
      <c r="D26" s="610">
        <f>C4</f>
        <v>60000</v>
      </c>
      <c r="E26" s="610">
        <f>D26</f>
        <v>60000</v>
      </c>
      <c r="F26" s="593">
        <f>E33/1000000</f>
        <v>7200</v>
      </c>
      <c r="G26" s="594">
        <f>F26</f>
        <v>7200</v>
      </c>
      <c r="H26" s="1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</row>
    <row r="27" spans="1:69" s="490" customFormat="1" ht="15" customHeight="1">
      <c r="A27" s="352"/>
      <c r="B27" s="207" t="s">
        <v>210</v>
      </c>
      <c r="C27" s="487">
        <f>E21*1000000</f>
        <v>242880000</v>
      </c>
      <c r="D27" s="242" t="s">
        <v>94</v>
      </c>
      <c r="E27" s="208"/>
      <c r="F27" s="209"/>
      <c r="G27" s="242"/>
      <c r="H27" s="60"/>
      <c r="I27" s="489"/>
      <c r="J27" s="489"/>
      <c r="K27" s="489"/>
      <c r="L27" s="489"/>
      <c r="M27" s="489"/>
      <c r="N27" s="489"/>
      <c r="O27" s="489"/>
      <c r="P27" s="489"/>
    </row>
    <row r="28" spans="1:69" s="490" customFormat="1" ht="15" customHeight="1" thickBot="1">
      <c r="A28" s="352"/>
      <c r="B28" s="207" t="s">
        <v>211</v>
      </c>
      <c r="C28" s="487">
        <f>D21*1000000</f>
        <v>7200000000</v>
      </c>
      <c r="D28" s="242" t="s">
        <v>94</v>
      </c>
      <c r="E28" s="208"/>
      <c r="F28" s="209"/>
      <c r="G28" s="242"/>
      <c r="H28" s="60"/>
      <c r="I28" s="489"/>
      <c r="J28" s="489"/>
      <c r="K28" s="489"/>
      <c r="L28" s="489"/>
      <c r="M28" s="489"/>
      <c r="N28" s="489"/>
      <c r="O28" s="489"/>
      <c r="P28" s="489"/>
    </row>
    <row r="29" spans="1:69" ht="48" customHeight="1">
      <c r="A29" s="170" t="s">
        <v>26</v>
      </c>
      <c r="B29" s="171" t="s">
        <v>96</v>
      </c>
      <c r="C29" s="171" t="s">
        <v>97</v>
      </c>
      <c r="D29" s="171" t="s">
        <v>98</v>
      </c>
      <c r="E29" s="171" t="s">
        <v>99</v>
      </c>
      <c r="F29" s="171" t="s">
        <v>100</v>
      </c>
      <c r="G29" s="172" t="s">
        <v>101</v>
      </c>
      <c r="I29" s="88"/>
      <c r="J29" s="88"/>
      <c r="K29" s="88"/>
      <c r="L29" s="88"/>
      <c r="M29" s="88"/>
      <c r="N29" s="88"/>
      <c r="O29" s="88"/>
    </row>
    <row r="30" spans="1:69" ht="17.25" thickBot="1">
      <c r="A30" s="244">
        <v>1</v>
      </c>
      <c r="B30" s="245">
        <v>2</v>
      </c>
      <c r="C30" s="245">
        <v>3</v>
      </c>
      <c r="D30" s="245">
        <v>4</v>
      </c>
      <c r="E30" s="245" t="s">
        <v>102</v>
      </c>
      <c r="F30" s="245" t="s">
        <v>103</v>
      </c>
      <c r="G30" s="246" t="s">
        <v>104</v>
      </c>
      <c r="I30" s="88"/>
      <c r="J30" s="88"/>
      <c r="K30" s="88"/>
      <c r="L30" s="88"/>
      <c r="M30" s="88"/>
      <c r="N30" s="88"/>
      <c r="O30" s="88"/>
    </row>
    <row r="31" spans="1:69" ht="16.5">
      <c r="A31" s="251">
        <v>1</v>
      </c>
      <c r="B31" s="252" t="s">
        <v>105</v>
      </c>
      <c r="C31" s="253"/>
      <c r="D31" s="253"/>
      <c r="E31" s="253"/>
      <c r="F31" s="253"/>
      <c r="G31" s="254"/>
      <c r="I31" s="88"/>
      <c r="J31" s="88"/>
      <c r="K31" s="88"/>
      <c r="L31" s="88"/>
      <c r="M31" s="88"/>
      <c r="N31" s="88"/>
      <c r="O31" s="88"/>
    </row>
    <row r="32" spans="1:69" ht="30">
      <c r="A32" s="177" t="s">
        <v>106</v>
      </c>
      <c r="B32" s="69" t="s">
        <v>254</v>
      </c>
      <c r="C32" s="450">
        <f>C27</f>
        <v>242880000</v>
      </c>
      <c r="D32" s="444">
        <f>G5</f>
        <v>1</v>
      </c>
      <c r="E32" s="78">
        <f>D32*C32</f>
        <v>242880000</v>
      </c>
      <c r="F32" s="78">
        <f>E32*10%</f>
        <v>24288000</v>
      </c>
      <c r="G32" s="179">
        <f>F32+E32</f>
        <v>267168000</v>
      </c>
      <c r="I32" s="639">
        <f>485000000</f>
        <v>485000000</v>
      </c>
      <c r="J32" s="639">
        <f>G32*92%</f>
        <v>245794560</v>
      </c>
      <c r="K32" s="88"/>
      <c r="L32" s="88"/>
      <c r="M32" s="88"/>
      <c r="N32" s="88"/>
      <c r="O32" s="88"/>
      <c r="P32" s="88"/>
    </row>
    <row r="33" spans="1:16" ht="30">
      <c r="A33" s="177" t="s">
        <v>108</v>
      </c>
      <c r="B33" s="69" t="s">
        <v>255</v>
      </c>
      <c r="C33" s="450">
        <f>C28</f>
        <v>7200000000</v>
      </c>
      <c r="D33" s="444">
        <f>D32</f>
        <v>1</v>
      </c>
      <c r="E33" s="78">
        <f>C33*D33</f>
        <v>7200000000</v>
      </c>
      <c r="F33" s="78">
        <f>E33*10%</f>
        <v>720000000</v>
      </c>
      <c r="G33" s="179">
        <f>F33+E33</f>
        <v>7920000000</v>
      </c>
      <c r="I33" s="88"/>
      <c r="J33" s="88"/>
      <c r="K33" s="88"/>
      <c r="L33" s="88"/>
      <c r="M33" s="88"/>
      <c r="N33" s="88"/>
      <c r="O33" s="88"/>
      <c r="P33" s="88"/>
    </row>
    <row r="34" spans="1:16" ht="30">
      <c r="A34" s="461" t="s">
        <v>110</v>
      </c>
      <c r="B34" s="462" t="s">
        <v>111</v>
      </c>
      <c r="C34" s="463">
        <f>E33</f>
        <v>7200000000</v>
      </c>
      <c r="D34" s="459">
        <v>0.1</v>
      </c>
      <c r="E34" s="458">
        <f>C34*D34</f>
        <v>720000000</v>
      </c>
      <c r="F34" s="458">
        <f>E34*10%</f>
        <v>72000000</v>
      </c>
      <c r="G34" s="460">
        <f>F34+E34</f>
        <v>792000000</v>
      </c>
      <c r="I34" s="88"/>
      <c r="J34" s="88"/>
      <c r="K34" s="88"/>
      <c r="L34" s="88"/>
      <c r="M34" s="88"/>
      <c r="N34" s="88"/>
      <c r="O34" s="88"/>
      <c r="P34" s="88"/>
    </row>
    <row r="35" spans="1:16" ht="16.5">
      <c r="A35" s="177"/>
      <c r="B35" s="63" t="s">
        <v>112</v>
      </c>
      <c r="C35" s="318"/>
      <c r="D35" s="310"/>
      <c r="E35" s="70"/>
      <c r="F35" s="71">
        <f>SUM(F31:F34)</f>
        <v>816288000</v>
      </c>
      <c r="G35" s="71">
        <f>SUM(G31:G34)</f>
        <v>8979168000</v>
      </c>
      <c r="H35" s="58"/>
      <c r="I35" s="88"/>
      <c r="J35" s="88"/>
      <c r="K35" s="88"/>
      <c r="L35" s="88"/>
      <c r="M35" s="88"/>
      <c r="N35" s="88"/>
      <c r="O35" s="88"/>
    </row>
    <row r="36" spans="1:16" ht="16.5">
      <c r="A36" s="222">
        <v>2</v>
      </c>
      <c r="B36" s="378" t="s">
        <v>113</v>
      </c>
      <c r="C36" s="350">
        <f>E33</f>
        <v>7200000000</v>
      </c>
      <c r="D36" s="377">
        <v>0.2</v>
      </c>
      <c r="E36" s="78">
        <f>D36*C36</f>
        <v>1440000000</v>
      </c>
      <c r="F36" s="73"/>
      <c r="G36" s="179">
        <f>SUM(E36:F36)</f>
        <v>1440000000</v>
      </c>
      <c r="H36" s="58"/>
      <c r="I36" s="88"/>
      <c r="J36" s="88"/>
      <c r="K36" s="88"/>
      <c r="L36" s="88"/>
      <c r="M36" s="88"/>
      <c r="N36" s="88"/>
      <c r="O36" s="88"/>
    </row>
    <row r="37" spans="1:16" ht="16.5">
      <c r="A37" s="187">
        <v>3</v>
      </c>
      <c r="B37" s="224" t="s">
        <v>256</v>
      </c>
      <c r="C37" s="319">
        <f>C33</f>
        <v>7200000000</v>
      </c>
      <c r="D37" s="165">
        <v>0.02</v>
      </c>
      <c r="E37" s="78">
        <f>D37*C37</f>
        <v>144000000</v>
      </c>
      <c r="F37" s="79">
        <f>E37*10%</f>
        <v>14400000</v>
      </c>
      <c r="G37" s="179">
        <f>SUM(E37:F37)</f>
        <v>158400000</v>
      </c>
      <c r="H37" s="97"/>
      <c r="I37" s="88"/>
      <c r="J37" s="88"/>
      <c r="K37" s="88"/>
      <c r="L37" s="88"/>
      <c r="M37" s="88"/>
      <c r="N37" s="88"/>
      <c r="O37" s="88"/>
      <c r="P37" s="1"/>
    </row>
    <row r="38" spans="1:16" ht="16.5">
      <c r="A38" s="222">
        <v>4</v>
      </c>
      <c r="B38" s="378" t="s">
        <v>114</v>
      </c>
      <c r="C38" s="350">
        <f>C33</f>
        <v>7200000000</v>
      </c>
      <c r="D38" s="351">
        <f>F21/100</f>
        <v>3.1730000000000001E-2</v>
      </c>
      <c r="E38" s="78">
        <f t="shared" ref="E38:E39" si="0">D38*C38</f>
        <v>228456000</v>
      </c>
      <c r="F38" s="79"/>
      <c r="G38" s="179">
        <f t="shared" ref="G38:G40" si="1">SUM(E38:F38)</f>
        <v>228456000</v>
      </c>
      <c r="H38" s="59"/>
      <c r="I38" s="88"/>
      <c r="J38" s="88"/>
      <c r="K38" s="88"/>
      <c r="L38" s="88"/>
      <c r="M38" s="88"/>
      <c r="N38" s="88"/>
      <c r="O38" s="88"/>
    </row>
    <row r="39" spans="1:16" ht="16.5">
      <c r="A39" s="187">
        <v>5</v>
      </c>
      <c r="B39" s="224" t="s">
        <v>234</v>
      </c>
      <c r="C39" s="319">
        <f>C33</f>
        <v>7200000000</v>
      </c>
      <c r="D39" s="310">
        <f>G21/100</f>
        <v>2.9729999999999999E-2</v>
      </c>
      <c r="E39" s="78">
        <f t="shared" si="0"/>
        <v>214056000</v>
      </c>
      <c r="F39" s="79"/>
      <c r="G39" s="179">
        <f t="shared" si="1"/>
        <v>214056000</v>
      </c>
      <c r="H39" s="97"/>
      <c r="I39" s="88"/>
      <c r="J39" s="88"/>
      <c r="K39" s="88"/>
      <c r="L39" s="88"/>
      <c r="M39" s="88"/>
      <c r="N39" s="88"/>
      <c r="O39" s="88"/>
      <c r="P39" s="1"/>
    </row>
    <row r="40" spans="1:16" ht="34.5" customHeight="1">
      <c r="A40" s="187">
        <v>6</v>
      </c>
      <c r="B40" s="224" t="s">
        <v>235</v>
      </c>
      <c r="C40" s="319">
        <f>C39</f>
        <v>7200000000</v>
      </c>
      <c r="D40" s="165">
        <v>0.03</v>
      </c>
      <c r="E40" s="78">
        <f>D40*C40</f>
        <v>216000000</v>
      </c>
      <c r="F40" s="79">
        <f>E40*10%</f>
        <v>21600000</v>
      </c>
      <c r="G40" s="179">
        <f t="shared" si="1"/>
        <v>237600000</v>
      </c>
      <c r="H40" s="59"/>
      <c r="I40" s="88"/>
      <c r="J40" s="88"/>
      <c r="K40" s="88"/>
      <c r="L40" s="88"/>
      <c r="M40" s="88"/>
      <c r="N40" s="88"/>
      <c r="O40" s="88"/>
      <c r="P40" s="1"/>
    </row>
    <row r="41" spans="1:16" ht="28.5">
      <c r="A41" s="187">
        <v>7</v>
      </c>
      <c r="B41" s="224" t="s">
        <v>244</v>
      </c>
      <c r="C41" s="79"/>
      <c r="D41" s="77"/>
      <c r="E41" s="78"/>
      <c r="F41" s="79"/>
      <c r="G41" s="179">
        <f>SUM(G42:G45)</f>
        <v>49725461.268882848</v>
      </c>
      <c r="H41" s="100"/>
      <c r="I41" s="88"/>
      <c r="J41" s="88"/>
      <c r="K41" s="88"/>
      <c r="L41" s="88"/>
      <c r="M41" s="88"/>
      <c r="N41" s="88"/>
      <c r="O41" s="88"/>
    </row>
    <row r="42" spans="1:16" ht="30">
      <c r="A42" s="415" t="s">
        <v>216</v>
      </c>
      <c r="B42" s="416" t="s">
        <v>119</v>
      </c>
      <c r="C42" s="273">
        <f>SUM(G33:G34)</f>
        <v>8712000000</v>
      </c>
      <c r="D42" s="77">
        <f>L70/100*45%</f>
        <v>1.8849671895606146E-3</v>
      </c>
      <c r="E42" s="79">
        <f>D42*C42</f>
        <v>16421834.155452074</v>
      </c>
      <c r="F42" s="79">
        <f>E42*10%</f>
        <v>1642183.4155452074</v>
      </c>
      <c r="G42" s="179">
        <f>IF(SUM(E42:F42)&lt;1000000, 1000000,SUM(E42:F42))</f>
        <v>18064017.570997283</v>
      </c>
      <c r="H42" s="100"/>
      <c r="I42" s="88"/>
      <c r="J42" s="88"/>
      <c r="K42" s="88"/>
      <c r="L42" s="88"/>
      <c r="M42" s="88"/>
      <c r="N42" s="88"/>
      <c r="O42" s="88"/>
    </row>
    <row r="43" spans="1:16" ht="30">
      <c r="A43" s="415" t="s">
        <v>217</v>
      </c>
      <c r="B43" s="416" t="s">
        <v>121</v>
      </c>
      <c r="C43" s="273">
        <f>C42</f>
        <v>8712000000</v>
      </c>
      <c r="D43" s="77">
        <f>L70/100*55%</f>
        <v>2.3038487872407512E-3</v>
      </c>
      <c r="E43" s="79">
        <f>D43*C43</f>
        <v>20071130.634441424</v>
      </c>
      <c r="F43" s="79">
        <f>E43*10%</f>
        <v>2007113.0634441425</v>
      </c>
      <c r="G43" s="179">
        <f>IF(SUM(E43:F43)&lt;1000000, 1000000,SUM(E43:F43))</f>
        <v>22078243.697885565</v>
      </c>
      <c r="H43" s="100"/>
      <c r="I43" s="88"/>
      <c r="J43" s="88"/>
      <c r="K43" s="88"/>
      <c r="L43" s="88"/>
      <c r="M43" s="88"/>
      <c r="N43" s="88"/>
      <c r="O43" s="88"/>
    </row>
    <row r="44" spans="1:16" ht="30">
      <c r="A44" s="415" t="s">
        <v>218</v>
      </c>
      <c r="B44" s="416" t="s">
        <v>123</v>
      </c>
      <c r="C44" s="273">
        <f>C43</f>
        <v>8712000000</v>
      </c>
      <c r="D44" s="77">
        <v>5.0000000000000001E-4</v>
      </c>
      <c r="E44" s="79">
        <f>D44*C44</f>
        <v>4356000</v>
      </c>
      <c r="F44" s="79">
        <f>E44*10%</f>
        <v>435600</v>
      </c>
      <c r="G44" s="179">
        <f>IF(SUM(E44:F44)&lt;1000000, 1000000,SUM(E44:F44))</f>
        <v>4791600</v>
      </c>
      <c r="H44" s="100"/>
      <c r="I44" s="88"/>
      <c r="J44" s="88"/>
      <c r="K44" s="88"/>
      <c r="L44" s="88"/>
      <c r="M44" s="88"/>
      <c r="N44" s="88"/>
      <c r="O44" s="88"/>
    </row>
    <row r="45" spans="1:16" ht="45">
      <c r="A45" s="415" t="s">
        <v>219</v>
      </c>
      <c r="B45" s="416" t="s">
        <v>125</v>
      </c>
      <c r="C45" s="273">
        <f>C44</f>
        <v>8712000000</v>
      </c>
      <c r="D45" s="77">
        <v>5.0000000000000001E-4</v>
      </c>
      <c r="E45" s="79">
        <f>D45*C45</f>
        <v>4356000</v>
      </c>
      <c r="F45" s="79">
        <f>E45*10%</f>
        <v>435600</v>
      </c>
      <c r="G45" s="179">
        <f>IF(SUM(E45:F45)&lt;1000000, 1000000,SUM(E45:F45))</f>
        <v>4791600</v>
      </c>
      <c r="H45" s="100"/>
      <c r="I45" s="88"/>
      <c r="J45" s="88"/>
      <c r="K45" s="88"/>
      <c r="L45" s="88"/>
      <c r="M45" s="88"/>
      <c r="N45" s="88"/>
      <c r="O45" s="88"/>
    </row>
    <row r="46" spans="1:16" ht="17.25" thickBot="1">
      <c r="A46" s="269"/>
      <c r="B46" s="266" t="s">
        <v>220</v>
      </c>
      <c r="C46" s="267"/>
      <c r="D46" s="267"/>
      <c r="E46" s="267"/>
      <c r="F46" s="267"/>
      <c r="G46" s="268">
        <f>SUM(G36:G41)</f>
        <v>2328237461.2688828</v>
      </c>
      <c r="H46" s="62"/>
      <c r="I46" s="88"/>
      <c r="J46" s="88"/>
      <c r="K46" s="88"/>
      <c r="L46" s="88"/>
      <c r="M46" s="88"/>
      <c r="N46" s="88"/>
      <c r="O46" s="88"/>
      <c r="P46" s="1"/>
    </row>
    <row r="47" spans="1:16" ht="17.25" thickBot="1">
      <c r="A47" s="270"/>
      <c r="B47" s="248" t="s">
        <v>245</v>
      </c>
      <c r="C47" s="248"/>
      <c r="D47" s="248"/>
      <c r="E47" s="248"/>
      <c r="F47" s="264"/>
      <c r="G47" s="265">
        <f>ROUND(G46+G35,-3)</f>
        <v>11307405000</v>
      </c>
      <c r="H47" s="60"/>
      <c r="I47" s="88"/>
      <c r="J47" s="88"/>
      <c r="K47" s="88"/>
      <c r="L47" s="88"/>
      <c r="M47" s="88"/>
      <c r="N47" s="88"/>
      <c r="O47" s="88"/>
      <c r="P47" s="1"/>
    </row>
    <row r="48" spans="1:16" ht="16.5">
      <c r="A48" s="228" t="str">
        <f ca="1">CONCATENATE("Bằng chữ :  ",UPPER(LEFT(Q104))&amp;RIGHT(Q104,LEN(Q104)-1))</f>
        <v>Bằng chữ :  Mười một tỷ, ba trăm linh bẩy triệu, bốn trăm linh năm nghìn  đồng chẵn</v>
      </c>
      <c r="B48" s="229"/>
      <c r="C48" s="229"/>
      <c r="D48" s="229"/>
      <c r="E48" s="229"/>
      <c r="F48" s="229"/>
      <c r="G48" s="229"/>
      <c r="I48" s="88"/>
      <c r="J48" s="88"/>
      <c r="K48" s="88"/>
      <c r="L48" s="88"/>
      <c r="M48" s="88"/>
      <c r="N48" s="88"/>
      <c r="O48" s="88"/>
      <c r="P48" s="1"/>
    </row>
    <row r="49" spans="2:69" ht="12.75" customHeight="1">
      <c r="H49" s="98"/>
      <c r="I49" s="88"/>
      <c r="J49" s="88"/>
      <c r="K49" s="88"/>
      <c r="L49" s="88"/>
      <c r="M49" s="88"/>
      <c r="N49" s="88"/>
      <c r="O49" s="8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69" ht="16.5">
      <c r="E50" s="694" t="s">
        <v>128</v>
      </c>
      <c r="F50" s="694"/>
      <c r="G50" s="694"/>
      <c r="H50" s="98"/>
      <c r="I50" s="88"/>
      <c r="J50" s="88"/>
      <c r="K50" s="88"/>
      <c r="L50" s="88"/>
      <c r="M50" s="88"/>
      <c r="N50" s="88"/>
      <c r="O50" s="8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2:69" ht="13.5" customHeight="1">
      <c r="E51" s="700" t="s">
        <v>129</v>
      </c>
      <c r="F51" s="700"/>
      <c r="G51" s="700"/>
      <c r="H51" s="99"/>
      <c r="I51" s="88"/>
      <c r="J51" s="88"/>
      <c r="K51" s="88"/>
      <c r="L51" s="88"/>
      <c r="M51" s="88"/>
      <c r="N51" s="88"/>
      <c r="O51" s="8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2:69" ht="16.5">
      <c r="B52" s="339"/>
      <c r="E52" s="686" t="s">
        <v>130</v>
      </c>
      <c r="F52" s="686"/>
      <c r="G52" s="686"/>
      <c r="H52" s="100"/>
      <c r="I52" s="88"/>
      <c r="J52" s="88"/>
      <c r="K52" s="88"/>
      <c r="L52" s="88"/>
      <c r="M52" s="88"/>
      <c r="N52" s="88"/>
      <c r="O52" s="8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2:69" ht="16.5">
      <c r="E53" s="133"/>
      <c r="F53" s="133"/>
      <c r="G53" s="133"/>
      <c r="H53" s="100"/>
      <c r="I53" s="88"/>
      <c r="J53" s="88"/>
      <c r="K53" s="88"/>
      <c r="L53" s="88"/>
      <c r="M53" s="88"/>
      <c r="N53" s="88"/>
      <c r="O53" s="8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2:69" ht="16.5">
      <c r="E54" s="133"/>
      <c r="F54" s="133"/>
      <c r="G54" s="133"/>
      <c r="H54" s="100"/>
      <c r="I54" s="88"/>
      <c r="J54" s="88"/>
      <c r="K54" s="88"/>
      <c r="L54" s="88"/>
      <c r="M54" s="88"/>
      <c r="N54" s="88"/>
      <c r="O54" s="8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2:69" ht="16.5">
      <c r="E55" s="133"/>
      <c r="F55" s="133"/>
      <c r="G55" s="133"/>
      <c r="H55" s="101"/>
      <c r="I55" s="88"/>
      <c r="J55" s="88"/>
      <c r="K55" s="88"/>
      <c r="L55" s="88"/>
      <c r="M55" s="88"/>
      <c r="N55" s="88"/>
      <c r="O55" s="8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2:69" ht="16.5">
      <c r="E56" s="133"/>
      <c r="F56" s="133"/>
      <c r="G56" s="133"/>
      <c r="H56" s="100"/>
      <c r="I56" s="88"/>
      <c r="J56" s="88"/>
      <c r="K56" s="88"/>
      <c r="L56" s="88"/>
      <c r="M56" s="88"/>
      <c r="N56" s="88"/>
      <c r="O56" s="8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2:69" ht="16.5">
      <c r="E57" s="133"/>
      <c r="F57" s="133"/>
      <c r="G57" s="133"/>
      <c r="H57" s="100"/>
      <c r="I57" s="88"/>
      <c r="J57" s="88"/>
      <c r="K57" s="88"/>
      <c r="L57" s="88"/>
      <c r="M57" s="88"/>
      <c r="N57" s="88"/>
      <c r="O57" s="8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2:69" ht="16.5">
      <c r="E58" s="133"/>
      <c r="F58" s="133"/>
      <c r="G58" s="133"/>
      <c r="H58" s="100"/>
      <c r="I58" s="88"/>
      <c r="J58" s="88"/>
      <c r="K58" s="88"/>
      <c r="L58" s="88"/>
      <c r="M58" s="88"/>
      <c r="N58" s="88"/>
      <c r="O58" s="8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2:69" ht="16.5">
      <c r="E59" s="711"/>
      <c r="F59" s="711"/>
      <c r="G59" s="133"/>
      <c r="H59" s="100"/>
      <c r="I59" s="88"/>
      <c r="J59" s="88"/>
      <c r="K59" s="88"/>
      <c r="L59" s="88"/>
      <c r="M59" s="88"/>
      <c r="N59" s="88"/>
      <c r="O59" s="8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2:69" ht="16.5">
      <c r="B60" s="339"/>
      <c r="E60" s="686" t="s">
        <v>131</v>
      </c>
      <c r="F60" s="686"/>
      <c r="G60" s="686"/>
      <c r="H60" s="102"/>
      <c r="I60" s="88"/>
      <c r="J60" s="88"/>
      <c r="K60" s="88"/>
      <c r="L60" s="88"/>
      <c r="M60" s="88"/>
      <c r="N60" s="88"/>
      <c r="O60" s="88"/>
      <c r="P60" s="1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</row>
    <row r="61" spans="2:69" ht="16.5">
      <c r="B61" s="339"/>
      <c r="H61" s="104"/>
      <c r="I61" s="88"/>
      <c r="J61" s="88"/>
      <c r="K61" s="88"/>
      <c r="L61" s="88"/>
      <c r="M61" s="88"/>
      <c r="N61" s="88"/>
      <c r="O61" s="88"/>
      <c r="P61" s="1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</row>
    <row r="62" spans="2:69" ht="16.5">
      <c r="H62" s="105"/>
      <c r="I62" s="88"/>
      <c r="J62" s="88"/>
      <c r="K62" s="88"/>
      <c r="L62" s="88"/>
      <c r="M62" s="88"/>
      <c r="N62" s="88"/>
      <c r="O62" s="88"/>
      <c r="P62" s="1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</row>
    <row r="63" spans="2:69" ht="16.5">
      <c r="I63" s="88"/>
      <c r="J63" s="88"/>
      <c r="K63" s="88"/>
      <c r="L63" s="88"/>
      <c r="M63" s="88"/>
      <c r="N63" s="88"/>
      <c r="O63" s="88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</row>
    <row r="64" spans="2:69" ht="16.5">
      <c r="H64" s="57"/>
      <c r="I64" s="88"/>
      <c r="J64" s="88"/>
      <c r="K64" s="88"/>
      <c r="L64" s="88"/>
      <c r="M64" s="88"/>
      <c r="N64" s="88"/>
      <c r="O64" s="88"/>
    </row>
    <row r="65" spans="9:15" ht="16.5">
      <c r="I65" s="88"/>
      <c r="J65" s="88"/>
      <c r="K65" s="88"/>
      <c r="L65" s="88"/>
      <c r="M65" s="88"/>
      <c r="N65" s="88"/>
      <c r="O65" s="88"/>
    </row>
    <row r="66" spans="9:15" ht="16.5">
      <c r="I66" s="88"/>
      <c r="J66" s="88"/>
      <c r="K66" s="88"/>
      <c r="L66" s="88"/>
      <c r="M66" s="88"/>
      <c r="N66" s="88"/>
      <c r="O66" s="88"/>
    </row>
    <row r="67" spans="9:15" ht="16.5">
      <c r="I67" s="88"/>
      <c r="J67" s="88"/>
      <c r="K67" s="88"/>
      <c r="L67" s="88"/>
      <c r="M67" s="88"/>
      <c r="N67" s="88"/>
      <c r="O67" s="88"/>
    </row>
    <row r="68" spans="9:15" ht="16.5">
      <c r="I68" s="88"/>
      <c r="J68" s="88"/>
      <c r="K68" s="88"/>
      <c r="L68" s="88"/>
      <c r="M68" s="88"/>
      <c r="N68" s="88"/>
      <c r="O68" s="88"/>
    </row>
    <row r="69" spans="9:15">
      <c r="I69" s="91" t="s">
        <v>132</v>
      </c>
      <c r="J69" s="92" t="s">
        <v>73</v>
      </c>
      <c r="K69" s="91" t="s">
        <v>74</v>
      </c>
      <c r="L69" s="240" t="s">
        <v>133</v>
      </c>
      <c r="M69" s="240"/>
      <c r="N69" s="240"/>
      <c r="O69" s="240"/>
    </row>
    <row r="70" spans="9:15" ht="38.25">
      <c r="I70" s="93">
        <v>1</v>
      </c>
      <c r="J70" s="94" t="s">
        <v>236</v>
      </c>
      <c r="K70" s="95" t="s">
        <v>82</v>
      </c>
      <c r="L70" s="597">
        <f>IF(L75&lt;1,0.8168,IF(L75&gt;100,0.114,(L71-L72)/(L73-L74)*(L75-L74)+L72))</f>
        <v>0.41888159768013661</v>
      </c>
      <c r="M70" s="278"/>
      <c r="N70" s="278"/>
      <c r="O70" s="278"/>
    </row>
    <row r="71" spans="9:15" ht="51">
      <c r="I71" s="3">
        <v>2</v>
      </c>
      <c r="J71" s="120" t="s">
        <v>237</v>
      </c>
      <c r="K71" s="5" t="s">
        <v>84</v>
      </c>
      <c r="L71" s="598">
        <f>IF(L75&lt;1,0.816,LOOKUP(L73,'Dinh muc'!$C$88:$I$89))+0.00000000000001</f>
        <v>0.50500000000001</v>
      </c>
      <c r="M71" s="108"/>
      <c r="N71" s="163"/>
      <c r="O71" s="163"/>
    </row>
    <row r="72" spans="9:15" ht="51">
      <c r="I72" s="3">
        <v>3</v>
      </c>
      <c r="J72" s="4" t="s">
        <v>238</v>
      </c>
      <c r="K72" s="5" t="s">
        <v>86</v>
      </c>
      <c r="L72" s="598">
        <f>LOOKUP(L74,'Dinh muc'!$C$88:$I$89)+0.0000000000001</f>
        <v>0.38900000000009999</v>
      </c>
      <c r="M72" s="108"/>
      <c r="N72" s="163"/>
      <c r="O72" s="163"/>
    </row>
    <row r="73" spans="9:15" ht="25.5">
      <c r="I73" s="3">
        <v>4</v>
      </c>
      <c r="J73" s="4" t="s">
        <v>225</v>
      </c>
      <c r="K73" s="5" t="s">
        <v>88</v>
      </c>
      <c r="L73" s="599">
        <f>IF((L75&lt;1),1,(SMALL('Dinh muc'!$C$88:$I$88,COUNTIF('Dinh muc'!$C$88:$I$88,"&lt;="&amp;$L$75))))+0.00000000001</f>
        <v>5.00000000001</v>
      </c>
      <c r="M73" s="108"/>
      <c r="N73" s="163"/>
      <c r="O73" s="163"/>
    </row>
    <row r="74" spans="9:15" ht="25.5">
      <c r="I74" s="3">
        <v>5</v>
      </c>
      <c r="J74" s="4" t="s">
        <v>226</v>
      </c>
      <c r="K74" s="5" t="s">
        <v>90</v>
      </c>
      <c r="L74" s="599">
        <f>IF(L75&gt;100,100,(LARGE('Dinh muc'!$C$88:$I$88,COUNTIF('Dinh muc'!$C$88:$I$88,"&gt;="&amp;$L$75))))+0.0000000000000001</f>
        <v>10</v>
      </c>
      <c r="M74" s="108"/>
      <c r="N74" s="163"/>
      <c r="O74" s="163"/>
    </row>
    <row r="75" spans="9:15" ht="25.5">
      <c r="I75" s="6">
        <v>6</v>
      </c>
      <c r="J75" s="7" t="s">
        <v>227</v>
      </c>
      <c r="K75" s="8" t="s">
        <v>92</v>
      </c>
      <c r="L75" s="600">
        <f>C42/1000000000+0.0000001</f>
        <v>8.7120000999999991</v>
      </c>
      <c r="M75" s="406"/>
      <c r="N75" s="406"/>
      <c r="O75" s="406"/>
    </row>
    <row r="76" spans="9:15" ht="15">
      <c r="I76" s="1"/>
      <c r="J76" s="2"/>
      <c r="K76" s="1"/>
      <c r="L76" s="1"/>
      <c r="M76" s="1"/>
      <c r="N76" s="1"/>
      <c r="O76" s="1"/>
    </row>
    <row r="77" spans="9:15" ht="15">
      <c r="I77" s="1"/>
      <c r="J77" s="56"/>
      <c r="K77" s="1"/>
      <c r="L77" s="1"/>
      <c r="M77" s="1"/>
      <c r="N77" s="1"/>
      <c r="O77" s="1"/>
    </row>
    <row r="78" spans="9:15" ht="15">
      <c r="I78" s="1"/>
      <c r="J78" s="1"/>
      <c r="K78" s="1"/>
      <c r="L78" s="1"/>
      <c r="M78" s="1"/>
      <c r="N78" s="1"/>
      <c r="O78" s="1"/>
    </row>
    <row r="79" spans="9:15" ht="15">
      <c r="I79" s="1"/>
      <c r="J79" s="1"/>
      <c r="K79" s="1"/>
      <c r="L79" s="1"/>
      <c r="M79" s="1"/>
      <c r="N79" s="1"/>
      <c r="O79" s="1"/>
    </row>
    <row r="80" spans="9:15" ht="15">
      <c r="I80" s="1"/>
      <c r="J80" s="1"/>
      <c r="K80" s="1"/>
      <c r="L80" s="1"/>
      <c r="M80" s="1"/>
      <c r="N80" s="1"/>
      <c r="O80" s="1"/>
    </row>
    <row r="81" spans="9:69" ht="15">
      <c r="I81" s="1"/>
      <c r="J81" s="1"/>
      <c r="K81" s="1"/>
      <c r="L81" s="1"/>
      <c r="M81" s="1"/>
      <c r="N81" s="1"/>
      <c r="O81" s="1"/>
    </row>
    <row r="82" spans="9:69" ht="15">
      <c r="I82" s="1"/>
      <c r="J82" s="1"/>
      <c r="K82" s="1"/>
      <c r="L82" s="1"/>
      <c r="M82" s="1"/>
      <c r="N82" s="1"/>
      <c r="O82" s="1"/>
    </row>
    <row r="83" spans="9:69" ht="15">
      <c r="I83" s="1"/>
      <c r="J83" s="1"/>
      <c r="K83" s="1"/>
      <c r="L83" s="1"/>
      <c r="M83" s="1"/>
      <c r="N83" s="1"/>
      <c r="O83" s="1"/>
    </row>
    <row r="84" spans="9:69" ht="15">
      <c r="I84" s="1"/>
      <c r="J84" s="1"/>
      <c r="K84" s="1"/>
      <c r="L84" s="1"/>
      <c r="M84" s="1"/>
      <c r="N84" s="1"/>
      <c r="O84" s="1"/>
    </row>
    <row r="85" spans="9:69" ht="15">
      <c r="I85" s="1"/>
      <c r="J85" s="1"/>
      <c r="K85" s="1"/>
      <c r="L85" s="1"/>
      <c r="M85" s="1"/>
      <c r="N85" s="1"/>
      <c r="O85" s="1"/>
    </row>
    <row r="86" spans="9:69" ht="15">
      <c r="I86" s="1"/>
      <c r="J86" s="1"/>
      <c r="K86" s="1"/>
      <c r="L86" s="1"/>
      <c r="M86" s="1"/>
      <c r="N86" s="1"/>
      <c r="O86" s="1"/>
    </row>
    <row r="87" spans="9:69" ht="15">
      <c r="I87" s="1"/>
      <c r="J87" s="1"/>
      <c r="K87" s="1"/>
      <c r="L87" s="1"/>
      <c r="M87" s="1"/>
      <c r="N87" s="1"/>
      <c r="O87" s="1"/>
    </row>
    <row r="88" spans="9:69" ht="15">
      <c r="I88" s="1"/>
      <c r="J88" s="1"/>
      <c r="K88" s="1"/>
      <c r="L88" s="1"/>
      <c r="M88" s="1">
        <f>66197</f>
        <v>66197</v>
      </c>
      <c r="N88" s="1">
        <v>0.15</v>
      </c>
      <c r="O88" s="1">
        <f>N88*M88</f>
        <v>9929.5499999999993</v>
      </c>
    </row>
    <row r="89" spans="9:69" ht="15">
      <c r="I89" s="1"/>
      <c r="J89" s="55"/>
      <c r="K89" s="1"/>
      <c r="L89" s="1"/>
      <c r="M89" s="1"/>
      <c r="N89" s="1"/>
      <c r="O89" s="1"/>
    </row>
    <row r="90" spans="9:69" ht="15">
      <c r="I90" s="1"/>
      <c r="J90" s="1"/>
      <c r="K90" s="1"/>
      <c r="L90" s="1"/>
      <c r="M90" s="1"/>
      <c r="N90" s="1"/>
      <c r="O90" s="1"/>
    </row>
    <row r="91" spans="9:69" ht="15">
      <c r="I91" s="1"/>
      <c r="J91" s="1"/>
      <c r="K91" s="1"/>
      <c r="L91" s="1"/>
      <c r="M91" s="1"/>
      <c r="N91" s="1"/>
      <c r="O91" s="1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</row>
    <row r="92" spans="9:69" ht="15">
      <c r="I92" s="1"/>
      <c r="J92" s="1"/>
      <c r="K92" s="1"/>
      <c r="L92" s="1"/>
      <c r="M92" s="1"/>
      <c r="N92" s="1"/>
      <c r="O92" s="1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</row>
    <row r="93" spans="9:69" ht="15">
      <c r="I93" s="1"/>
      <c r="J93" s="1"/>
      <c r="K93" s="1"/>
      <c r="L93" s="1"/>
      <c r="M93" s="1"/>
      <c r="N93" s="1"/>
      <c r="O93" s="1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</row>
    <row r="94" spans="9:69" ht="15">
      <c r="I94" s="1"/>
      <c r="J94" s="1"/>
      <c r="K94" s="1"/>
      <c r="L94" s="1"/>
      <c r="M94" s="1"/>
      <c r="N94" s="1"/>
      <c r="O94" s="1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</row>
    <row r="95" spans="9:69" ht="15">
      <c r="I95" s="1"/>
      <c r="J95" s="1"/>
      <c r="K95" s="1"/>
      <c r="L95" s="1"/>
      <c r="M95" s="1"/>
      <c r="N95" s="1"/>
      <c r="O95" s="1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</row>
    <row r="96" spans="9:69" ht="15.75">
      <c r="I96" s="106"/>
      <c r="J96" s="106"/>
      <c r="K96" s="106"/>
      <c r="L96" s="106"/>
      <c r="M96" s="106"/>
      <c r="N96" s="106"/>
      <c r="O96" s="106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</row>
    <row r="97" spans="10:69" ht="15"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</row>
    <row r="98" spans="10:69" ht="18">
      <c r="P98" s="10" t="str">
        <f>"Đọc giá trị số thành chữ"</f>
        <v>Đọc giá trị số thành chữ</v>
      </c>
      <c r="Q98" s="37"/>
      <c r="R98" s="37"/>
      <c r="S98" s="11"/>
      <c r="T98" s="37"/>
      <c r="U98" s="37"/>
      <c r="V98" s="37"/>
      <c r="W98" s="37"/>
      <c r="X98" s="37"/>
      <c r="Y98" s="38"/>
    </row>
    <row r="99" spans="10:69" ht="18.75">
      <c r="P99" s="12" t="s">
        <v>146</v>
      </c>
      <c r="Q99" s="37"/>
      <c r="R99" s="37"/>
      <c r="S99" s="13" t="str">
        <f>"© VVC, modify by Tuan dt"</f>
        <v>© VVC, modify by Tuan dt</v>
      </c>
      <c r="T99" s="37"/>
      <c r="U99" s="37"/>
      <c r="V99" s="37"/>
      <c r="W99" s="37"/>
      <c r="X99" s="37"/>
      <c r="Y99" s="38"/>
    </row>
    <row r="100" spans="10:69" ht="18.75">
      <c r="P100" s="14"/>
      <c r="Q100" s="37"/>
      <c r="R100" s="37"/>
      <c r="S100" s="11" t="s">
        <v>146</v>
      </c>
      <c r="T100" s="37"/>
      <c r="U100" s="37"/>
      <c r="V100" s="37"/>
      <c r="W100" s="37" t="s">
        <v>146</v>
      </c>
      <c r="X100" s="37"/>
      <c r="Y100" s="38"/>
    </row>
    <row r="101" spans="10:69" ht="18">
      <c r="P101" s="37">
        <v>1</v>
      </c>
      <c r="Q101" s="37">
        <v>6</v>
      </c>
      <c r="R101" s="37"/>
      <c r="S101" s="11"/>
      <c r="T101" s="37"/>
      <c r="U101" s="37"/>
      <c r="V101" s="37"/>
      <c r="W101" s="37"/>
      <c r="X101" s="37"/>
      <c r="Y101" s="38"/>
    </row>
    <row r="102" spans="10:69" ht="18.75" thickBot="1">
      <c r="J102" s="55"/>
      <c r="P102" s="37"/>
      <c r="Q102" s="37"/>
      <c r="R102" s="37"/>
      <c r="S102" s="37"/>
      <c r="T102" s="37"/>
      <c r="U102" s="37"/>
      <c r="V102" s="37"/>
      <c r="W102" s="37"/>
      <c r="X102" s="37"/>
      <c r="Y102" s="38"/>
    </row>
    <row r="103" spans="10:69" ht="19.5" thickBot="1">
      <c r="P103" s="15" t="str">
        <f>"Giá trị số cần đổi:"</f>
        <v>Giá trị số cần đổi:</v>
      </c>
      <c r="Q103" s="39">
        <f>G47</f>
        <v>11307405000</v>
      </c>
      <c r="R103" s="379" t="str">
        <f>IF(ROUND(VALUE(10*(100*Q103-INT(100*Q103))),0)&gt;0,"Chỉ có 2 chữ số sau dấu phẩy","")</f>
        <v/>
      </c>
      <c r="S103" s="37"/>
      <c r="T103" s="37"/>
      <c r="U103" s="37"/>
      <c r="V103" s="37"/>
      <c r="W103" s="37"/>
      <c r="X103" s="37"/>
      <c r="Y103" s="38"/>
    </row>
    <row r="104" spans="10:69" ht="18.75">
      <c r="P104" s="40" t="s">
        <v>146</v>
      </c>
      <c r="Q104" s="16" t="str">
        <f ca="1">IF(Q103&gt;=1000000000000,"Công thức này chỉ có thể đếm thành chữ dưới 1000 tỷ",IF(ABS(Q103)&lt;1,"không",IF(Q103&lt;0,"âm ","")&amp;IF(Q106=0,"",R106)&amp;IF(AND(Q107=0,Q108=0),"",S107)&amp;IF(Q109=0,"",R109)&amp;IF(AND(Q110=0,Q111=0),"",S110)&amp;IF(Q112=0,"",R112)&amp;IF(AND(Q113=0,Q114=0),"",S113)&amp;IF(Q115=0,"",R115)&amp;IF(AND(Q116=0,Q117=0),"",IF(AND(Q116=0,Q117=1),"một",S116)))&amp;CELL("contents",V107))&amp;IF(T124=0,"",IF(P104=1,T123,S119))</f>
        <v>mười một tỷ, ba trăm linh bẩy triệu, bốn trăm linh năm nghìn  đồng chẵn</v>
      </c>
      <c r="R104" s="41"/>
      <c r="S104" s="41"/>
      <c r="T104" s="41"/>
      <c r="U104" s="41"/>
      <c r="V104" s="41"/>
      <c r="W104" s="41"/>
      <c r="X104" s="41"/>
      <c r="Y104" s="38"/>
    </row>
    <row r="105" spans="10:69" ht="18.75">
      <c r="P105" s="17" t="str">
        <f>"đếm từng chữ một"</f>
        <v>đếm từng chữ một</v>
      </c>
      <c r="Q105" s="18" t="str">
        <f>IF(Q103&lt;0,"minus   ","")&amp;SUBSTITUTE(SUBSTITUTE(SUBSTITUTE(SUBSTITUTE(Q121,8,"tám   "),9,"chín   "),",","phẩy   "),"-","")</f>
        <v xml:space="preserve">một   một   ba   không   bẩy   bốn   không   năm   không   không   không   </v>
      </c>
      <c r="R105" s="42"/>
      <c r="S105" s="37"/>
      <c r="T105" s="37"/>
      <c r="U105" s="37"/>
      <c r="V105" s="37" t="s">
        <v>147</v>
      </c>
      <c r="W105" s="37"/>
      <c r="X105" s="37"/>
      <c r="Y105" s="38"/>
    </row>
    <row r="106" spans="10:69" ht="18.75">
      <c r="P106" s="17" t="str">
        <f>"hàng trăm tỷ"</f>
        <v>hàng trăm tỷ</v>
      </c>
      <c r="Q106" s="19">
        <f>VALUE(RIGHT(INT(ABS(Q103)/100000000000)))</f>
        <v>0</v>
      </c>
      <c r="R106" s="20" t="str">
        <f>IF(Q106=1,"một",IF(Q106=2,"hai",IF(Q106=3,"ba",IF(Q106=4,"bốn",IF(Q106=5,"năm",IF(Q106=6,"sáu",IF(Q106=7,"bẩy",IF(Q106=8,"tám","chín"))))))))&amp;" trăm "&amp;IF(AND(Q107=0,Q108=0),"tỷ","")</f>
        <v xml:space="preserve">chín trăm </v>
      </c>
      <c r="S106" s="31"/>
      <c r="T106" s="43"/>
      <c r="U106" s="37"/>
      <c r="V106" s="37">
        <v>1</v>
      </c>
      <c r="W106" s="37">
        <v>2</v>
      </c>
      <c r="X106" s="37">
        <v>3</v>
      </c>
      <c r="Y106" s="38"/>
    </row>
    <row r="107" spans="10:69" ht="18.75">
      <c r="P107" s="17" t="str">
        <f>"hàng chục tỷ"</f>
        <v>hàng chục tỷ</v>
      </c>
      <c r="Q107" s="19">
        <f>VALUE(RIGHT(INT(ABS(Q103)/10000000000)))</f>
        <v>1</v>
      </c>
      <c r="R107" s="20" t="str">
        <f>IF(Q107=1,"mười",IF(Q107=2," hai mươi",IF(Q107=3,"ba mươi",IF(Q107=4,"bốn mươi",IF(Q107=5,"năm mươi",IF(Q107=6,"sáu mươi",IF(Q107=7,"bẩy mươi",IF(Q107=8,"tám mươi","chín mươi"))))))))</f>
        <v>mười</v>
      </c>
      <c r="S107" s="21" t="str">
        <f>IF(AND(Q107=0,Q108=1),"một tỷ ",IF(AND(Q107=1,Q108=1),"mười một",IF(AND(Q107=1,Q108=2),"mười hai",IF(AND(Q107=1,Q108=6),"mười sáu",IF(AND(Q107=1,Q108=7),"mười bẩy",IF(Q108=0,R107,IF(Q107=0,R108,R107&amp;IF(Q107&gt;1," ","")&amp;R108))))))&amp;" tỷ, ")</f>
        <v xml:space="preserve">mười một tỷ, </v>
      </c>
      <c r="T107" s="44"/>
      <c r="U107" s="37"/>
      <c r="V107" s="22" t="str">
        <f>INDEX(V108:X124,P101,2)</f>
        <v xml:space="preserve"> đồng chẵn</v>
      </c>
      <c r="W107" s="22" t="str">
        <f>INDEX(V108:X124,P101,3)</f>
        <v xml:space="preserve"> xu</v>
      </c>
      <c r="X107" s="37"/>
      <c r="Y107" s="38"/>
    </row>
    <row r="108" spans="10:69" ht="18.75">
      <c r="P108" s="17" t="str">
        <f>"hàng tỷ"</f>
        <v>hàng tỷ</v>
      </c>
      <c r="Q108" s="23">
        <f>VALUE(RIGHT(INT(ABS(Q103)/1000000000)))</f>
        <v>1</v>
      </c>
      <c r="R108" s="20" t="str">
        <f>IF(Q108=1,"một",IF(Q108=2,"hai",IF(Q108=3,"ba",IF(Q108=4,"bốn",IF(Q108=5,"năm",IF(Q108=6,"sáu",IF(Q108=7,"bẩy",IF(Q108=8,"tám","chín"))))))))</f>
        <v>một</v>
      </c>
      <c r="S108" s="45"/>
      <c r="T108" s="46"/>
      <c r="U108" s="37"/>
      <c r="V108" s="20" t="s">
        <v>149</v>
      </c>
      <c r="W108" s="20" t="s">
        <v>150</v>
      </c>
      <c r="X108" s="20" t="s">
        <v>151</v>
      </c>
      <c r="Y108" s="38"/>
    </row>
    <row r="109" spans="10:69" ht="18.75">
      <c r="P109" s="17" t="str">
        <f>"hàng trăm triệu"</f>
        <v>hàng trăm triệu</v>
      </c>
      <c r="Q109" s="24">
        <f>VALUE(RIGHT(INT(ABS(Q103)/100000000)))</f>
        <v>3</v>
      </c>
      <c r="R109" s="25" t="str">
        <f>IF(Q109=1,"một",IF(Q109=2,"hai",IF(Q109=3,"ba",IF(Q109=4,"bốn",IF(Q109=5,"năm",IF(Q109=6,"sáu",IF(Q109=7,"bẩy",IF(Q109=8,"tám","chín"))))))))&amp;" trăm "&amp;IF(AND(Q110=0,Q111=0),"triệu","")</f>
        <v xml:space="preserve">ba trăm </v>
      </c>
      <c r="S109" s="47"/>
      <c r="T109" s="48"/>
      <c r="U109" s="37"/>
      <c r="V109" s="20" t="s">
        <v>153</v>
      </c>
      <c r="W109" s="20" t="s">
        <v>154</v>
      </c>
      <c r="X109" s="20" t="s">
        <v>155</v>
      </c>
      <c r="Y109" s="38"/>
    </row>
    <row r="110" spans="10:69" ht="18.75">
      <c r="P110" s="17" t="str">
        <f>"hàng chục triệu"</f>
        <v>hàng chục triệu</v>
      </c>
      <c r="Q110" s="24">
        <f>VALUE(RIGHT(INT(ABS(Q103)/10000000)))</f>
        <v>0</v>
      </c>
      <c r="R110" s="25" t="str">
        <f>IF(Q110=1,"mười ",IF(Q110=2,"hai mươi",IF(Q110=3,"ba mươi",IF(Q110=4,"bốn mươi",IF(Q110=5,"năm mươi",IF(Q110=6,"sáu mươi",IF(Q110=7,"bẩy mươi",IF(Q110=8,"tám mươi","chín mươi"))))))))</f>
        <v>chín mươi</v>
      </c>
      <c r="S110" s="26" t="str">
        <f>IF(AND(Q110=0,Q111=1),"một triệu",IF(AND(Q110=1,Q111=1),"mười một",IF(AND(Q110=1,Q111=2),"mười hai",IF(AND(Q110=1,Q111=6),"mười sáu",IF(AND(Q110=1,Q111=7),"mười bẩy",IF(Q111=0,R110,IF(Q110=0,"linh "&amp;R111,R110&amp;IF(Q110&gt;1," ","")&amp;R111))))))&amp;" triệu,")</f>
        <v>linh bẩy triệu,</v>
      </c>
      <c r="T110" s="49"/>
      <c r="U110" s="37"/>
      <c r="V110" s="20" t="s">
        <v>157</v>
      </c>
      <c r="W110" s="20" t="s">
        <v>158</v>
      </c>
      <c r="X110" s="20" t="s">
        <v>159</v>
      </c>
      <c r="Y110" s="38"/>
    </row>
    <row r="111" spans="10:69" ht="18.75">
      <c r="P111" s="17" t="str">
        <f>"hàng triệu"</f>
        <v>hàng triệu</v>
      </c>
      <c r="Q111" s="24">
        <f>VALUE(RIGHT(INT(ABS(Q103)/1000000)))</f>
        <v>7</v>
      </c>
      <c r="R111" s="25" t="str">
        <f>IF(Q111=1,"một",IF(Q111=2,"hai",IF(Q111=3,"ba",IF(Q111=4,"bốn",IF(Q111=5,"năm",IF(Q111=6,"sáu",IF(Q111=7,"bẩy",IF(Q111=8,"tám","chín"))))))))</f>
        <v>bẩy</v>
      </c>
      <c r="S111" s="26"/>
      <c r="T111" s="49"/>
      <c r="U111" s="37"/>
      <c r="V111" s="20" t="s">
        <v>161</v>
      </c>
      <c r="W111" s="20" t="s">
        <v>162</v>
      </c>
      <c r="X111" s="20" t="s">
        <v>163</v>
      </c>
      <c r="Y111" s="38"/>
    </row>
    <row r="112" spans="10:69" ht="18.75">
      <c r="P112" s="17" t="str">
        <f>"hàng trăm nghìn"</f>
        <v>hàng trăm nghìn</v>
      </c>
      <c r="Q112" s="27">
        <f>VALUE(RIGHT(INT(ABS(Q103)/100000)))</f>
        <v>4</v>
      </c>
      <c r="R112" s="20" t="str">
        <f>IF(Q112=1," một",IF(Q112=2," hai",IF(Q112=3," ba",IF(Q112=4," bốn",IF(Q112=5," năm",IF(Q112=6," sáu",IF(Q112=7," bẩy",IF(Q112=8," tám"," chín"))))))))&amp;" trăm "&amp;IF(AND(Q113=0,Q114=0)," nghìn","")</f>
        <v xml:space="preserve"> bốn trăm </v>
      </c>
      <c r="S112" s="31"/>
      <c r="T112" s="43"/>
      <c r="U112" s="37"/>
      <c r="V112" s="20" t="s">
        <v>165</v>
      </c>
      <c r="W112" s="20" t="s">
        <v>166</v>
      </c>
      <c r="X112" s="20" t="s">
        <v>167</v>
      </c>
      <c r="Y112" s="38"/>
    </row>
    <row r="113" spans="9:69" ht="18.75">
      <c r="P113" s="17" t="str">
        <f>"hàng chục nghìn"</f>
        <v>hàng chục nghìn</v>
      </c>
      <c r="Q113" s="27">
        <f>VALUE(RIGHT(INT(ABS(Q103)/10000)))</f>
        <v>0</v>
      </c>
      <c r="R113" s="20" t="str">
        <f>IF(Q113=1,"mười ",IF(Q113=2," hai mươi ",IF(Q113=3," ba mươi ",IF(Q113=4," bốn mươi ",IF(Q113=5," năm mươi ",IF(Q113=6," sáu mươi ",IF(Q113=7," bẩy mươi ",IF(Q113=8," tám mươi "," chín mươi "))))))))</f>
        <v xml:space="preserve"> chín mươi </v>
      </c>
      <c r="S113" s="21" t="str">
        <f>IF(AND(Q113=1,Q114=1)," mười một",IF(AND(Q113=1,Q114=2)," mười hai",IF(AND(Q113=1,Q114=6)," mười sáu",IF(AND(Q113=1,Q114=7)," mười bẩy",IF(Q114=0,R113,IF(Q113=0,"linh"&amp;R114,R113&amp;IF(Q113&gt;1,"","")&amp;R114))))))&amp;" nghìn "</f>
        <v xml:space="preserve">linh năm nghìn </v>
      </c>
      <c r="T113" s="44"/>
      <c r="U113" s="37"/>
      <c r="V113" s="20" t="s">
        <v>169</v>
      </c>
      <c r="W113" s="20" t="s">
        <v>170</v>
      </c>
      <c r="X113" s="20" t="s">
        <v>171</v>
      </c>
      <c r="Y113" s="38"/>
    </row>
    <row r="114" spans="9:69" ht="18.75">
      <c r="P114" s="17" t="str">
        <f>"hàng nghìn"</f>
        <v>hàng nghìn</v>
      </c>
      <c r="Q114" s="27">
        <f>VALUE(RIGHT(INT(ABS(Q103)/1000)))</f>
        <v>5</v>
      </c>
      <c r="R114" s="20" t="str">
        <f>IF(Q114=1," một",IF(Q114=2," hai",IF(Q114=3," ba",IF(Q114=4," bốn",IF(Q114=5," năm",IF(Q114=6," sáu",IF(Q114=7," bẩy",IF(Q114=8," tám"," chín"))))))))</f>
        <v xml:space="preserve"> năm</v>
      </c>
      <c r="S114" s="21"/>
      <c r="T114" s="44"/>
      <c r="U114" s="37"/>
      <c r="V114" s="20" t="s">
        <v>173</v>
      </c>
      <c r="W114" s="20" t="s">
        <v>174</v>
      </c>
      <c r="X114" s="20" t="s">
        <v>175</v>
      </c>
      <c r="Y114" s="38"/>
    </row>
    <row r="115" spans="9:69" ht="18.75">
      <c r="P115" s="17" t="str">
        <f>"hàng trăm"</f>
        <v>hàng trăm</v>
      </c>
      <c r="Q115" s="28">
        <f>VALUE(RIGHT(INT(ABS(Q103)/100)))</f>
        <v>0</v>
      </c>
      <c r="R115" s="29" t="str">
        <f>IF(Q115=1,"một",IF(Q115=2,"hai",IF(Q115=3,"ba",IF(Q115=4,"bốn",IF(Q115=5,"năm",IF(Q115=6,"sáu",IF(Q115=7,"bẩy",IF(Q115=8,"tám","chín"))))))))&amp;" trăm "</f>
        <v xml:space="preserve">chín trăm </v>
      </c>
      <c r="S115" s="50"/>
      <c r="T115" s="51"/>
      <c r="U115" s="37"/>
      <c r="V115" s="20" t="s">
        <v>177</v>
      </c>
      <c r="W115" s="20" t="s">
        <v>178</v>
      </c>
      <c r="X115" s="20" t="s">
        <v>155</v>
      </c>
      <c r="Y115" s="38"/>
    </row>
    <row r="116" spans="9:69" ht="18.75">
      <c r="P116" s="17" t="str">
        <f>"hàng chục"</f>
        <v>hàng chục</v>
      </c>
      <c r="Q116" s="28">
        <f>VALUE(RIGHT(INT(ABS(Q103)/10)))</f>
        <v>0</v>
      </c>
      <c r="R116" s="29" t="str">
        <f>IF(Q116=1,",mười ",IF(Q116=2,"hai mươi ",IF(Q116=3,"ba mươi ",IF(Q116=4,"bốn mươi ",IF(Q116=5,"năm mươi ",IF(Q116=6,"sáu mươi ",IF(Q116=7,"bẩy mươi ",IF(Q116=8,"tám mươi ","chín mươi "))))))))</f>
        <v xml:space="preserve">chín mươi </v>
      </c>
      <c r="S116" s="30" t="str">
        <f>IF(AND(Q116=1,Q117=1),"mười một",IF(AND(Q116=1,Q117=2),"mười hai",IF(AND(Q116=1,Q117=6),"mười sáu",IF(AND(Q116=1,Q117=7),"mười bẩy",IF(Q117=0,R116,IF(Q116=0,R117,IF(Q116&gt;1,"","")&amp;R116&amp;R117))))))</f>
        <v xml:space="preserve">chín mươi </v>
      </c>
      <c r="T116" s="52"/>
      <c r="U116" s="37"/>
      <c r="V116" s="20" t="s">
        <v>180</v>
      </c>
      <c r="W116" s="20" t="s">
        <v>181</v>
      </c>
      <c r="X116" s="20" t="s">
        <v>182</v>
      </c>
      <c r="Y116" s="38"/>
    </row>
    <row r="117" spans="9:69" ht="18.75">
      <c r="P117" s="17" t="str">
        <f>"hàng đơn vị"</f>
        <v>hàng đơn vị</v>
      </c>
      <c r="Q117" s="28">
        <f>VALUE(RIGHT(INT(ABS(Q103))))</f>
        <v>0</v>
      </c>
      <c r="R117" s="29" t="str">
        <f>IF(Q117=1,"một",IF(Q117=2,"hai",IF(Q117=3,"ba",IF(Q117=4,"bốn",IF(Q117=5,"năm",IF(Q117=6,"sáu",IF(Q117=7,"bẩy",IF(Q117=8,"tám","chín"))))))))</f>
        <v>chín</v>
      </c>
      <c r="S117" s="53"/>
      <c r="T117" s="54"/>
      <c r="U117" s="37"/>
      <c r="V117" s="20" t="s">
        <v>184</v>
      </c>
      <c r="W117" s="20" t="s">
        <v>185</v>
      </c>
      <c r="X117" s="20" t="s">
        <v>186</v>
      </c>
      <c r="Y117" s="38"/>
    </row>
    <row r="118" spans="9:69" ht="18.75">
      <c r="P118" s="17"/>
      <c r="Q118" s="12" t="str">
        <f>"Giá trị sau dấu phẩy"</f>
        <v>Giá trị sau dấu phẩy</v>
      </c>
      <c r="R118" s="37"/>
      <c r="S118" s="37"/>
      <c r="T118" s="37"/>
      <c r="U118" s="37"/>
      <c r="V118" s="20" t="s">
        <v>187</v>
      </c>
      <c r="W118" s="20" t="s">
        <v>188</v>
      </c>
      <c r="X118" s="20" t="s">
        <v>155</v>
      </c>
      <c r="Y118" s="38"/>
    </row>
    <row r="119" spans="9:69" ht="18.75">
      <c r="P119" s="17" t="str">
        <f>"hàng chục"</f>
        <v>hàng chục</v>
      </c>
      <c r="Q119" s="27">
        <f>VALUE(RIGHT(INT(ABS(T124)/10)))</f>
        <v>0</v>
      </c>
      <c r="R119" s="20" t="str">
        <f>IF(Q119=1,"mười",IF(Q119=2,"hai mươi",IF(Q119=3,"ba mươi",IF(Q119=4,"bốn mươi",IF(Q119=5,"năm mươi",IF(Q119=6,"sáu mươi",IF(Q119=7,"bẩy mươi",IF(Q119=8,"tám mươi","chín mươi"))))))))</f>
        <v>chín mươi</v>
      </c>
      <c r="S119" s="31" t="str">
        <f ca="1">" và "&amp;IF(T124&lt;10,"không ","")&amp;IF(T124=1,"một",IF(AND(Q119=1,Q120=1),"mười một",IF(AND(Q119=1,Q120=2),"mười hai",IF(AND(Q119=1,Q120=6),"mười sáu",IF(AND(Q119=1,Q120=7),"mười bẩy",IF(Q120=0,R119,IF(Q119=0,R120,R119&amp;IF(Q119&gt;1," ","")&amp;R120&amp;""))))))&amp;CELL("contents",W107))</f>
        <v xml:space="preserve"> và không chín mươi xu</v>
      </c>
      <c r="T119" s="43"/>
      <c r="U119" s="37"/>
      <c r="V119" s="20" t="s">
        <v>189</v>
      </c>
      <c r="W119" s="20" t="s">
        <v>190</v>
      </c>
      <c r="X119" s="20" t="s">
        <v>155</v>
      </c>
      <c r="Y119" s="38"/>
    </row>
    <row r="120" spans="9:69" ht="18.75">
      <c r="P120" s="17" t="str">
        <f>"hàng đơn vị"</f>
        <v>hàng đơn vị</v>
      </c>
      <c r="Q120" s="27">
        <f>VALUE(RIGHT(INT(ABS(T124))))</f>
        <v>0</v>
      </c>
      <c r="R120" s="20" t="str">
        <f>IF(Q120=1,"một",IF(Q120=2,"hai",IF(Q120=3,"ba",IF(Q120=4,"bốn",IF(Q120=5,"năm",IF(Q120=6,"sáu",IF(Q120=7,"bẩy",IF(Q120=8,"tám","chín"))))))))</f>
        <v>chín</v>
      </c>
      <c r="S120" s="45"/>
      <c r="T120" s="46"/>
      <c r="U120" s="37"/>
      <c r="V120" s="20"/>
      <c r="W120" s="20"/>
      <c r="X120" s="20"/>
      <c r="Y120" s="38"/>
    </row>
    <row r="121" spans="9:69" ht="18">
      <c r="P121" s="37"/>
      <c r="Q121" s="32" t="str">
        <f>SUBSTITUTE(SUBSTITUTE(SUBSTITUTE(SUBSTITUTE(SUBSTITUTE(SUBSTITUTE(SUBSTITUTE(SUBSTITUTE(Q103,0,"không   "),1,"một   "),2,"hai   "),3,"ba   "),4,"bốn   "),5,"năm   "),6,"sáu   "),7,"bẩy   ")</f>
        <v xml:space="preserve">một   một   ba   không   bẩy   bốn   không   năm   không   không   không   </v>
      </c>
      <c r="R121" s="37"/>
      <c r="S121" s="37"/>
      <c r="T121" s="37"/>
      <c r="U121" s="37"/>
      <c r="V121" s="20"/>
      <c r="W121" s="20"/>
      <c r="X121" s="20"/>
      <c r="Y121" s="38"/>
    </row>
    <row r="122" spans="9:69" ht="18">
      <c r="P122" s="37"/>
      <c r="Q122" s="37"/>
      <c r="R122" s="37"/>
      <c r="S122" s="37"/>
      <c r="T122" s="37"/>
      <c r="U122" s="37"/>
      <c r="V122" s="20"/>
      <c r="W122" s="20"/>
      <c r="X122" s="20"/>
      <c r="Y122" s="38"/>
    </row>
    <row r="123" spans="9:69" ht="18">
      <c r="P123" s="37"/>
      <c r="Q123" s="33">
        <f>ABS(100*(MOD(Q103,1)-(Q103&lt;0)))</f>
        <v>0</v>
      </c>
      <c r="R123" s="37"/>
      <c r="S123" s="37"/>
      <c r="T123" s="34" t="str">
        <f>TEXT(T124,"   00")&amp;"/100"</f>
        <v xml:space="preserve">   00/100</v>
      </c>
      <c r="U123" s="37"/>
      <c r="V123" s="20"/>
      <c r="W123" s="20"/>
      <c r="X123" s="20"/>
      <c r="Y123" s="38"/>
    </row>
    <row r="124" spans="9:69" ht="18">
      <c r="I124" s="80"/>
      <c r="J124" s="80"/>
      <c r="K124" s="80"/>
      <c r="L124" s="80"/>
      <c r="M124" s="80"/>
      <c r="N124" s="80"/>
      <c r="O124" s="80"/>
      <c r="P124" s="37"/>
      <c r="Q124" s="35">
        <f>ROUND(100*(ABS(Q103)-INT(ABS(Q103))),0)</f>
        <v>0</v>
      </c>
      <c r="R124" s="37"/>
      <c r="S124" s="37"/>
      <c r="T124" s="36">
        <f>IF(P104=0,0,ROUND(100*(ABS(Q103)-INT(ABS(Q103))),0))</f>
        <v>0</v>
      </c>
      <c r="U124" s="37"/>
      <c r="V124" s="20"/>
      <c r="W124" s="20"/>
      <c r="X124" s="20"/>
      <c r="Y124" s="38"/>
    </row>
    <row r="125" spans="9:69" ht="15"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</row>
    <row r="126" spans="9:69" ht="15"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</row>
    <row r="127" spans="9:69" ht="15">
      <c r="I127" s="80"/>
      <c r="J127" s="80"/>
      <c r="K127" s="80"/>
      <c r="L127" s="80"/>
      <c r="M127" s="80"/>
      <c r="N127" s="80"/>
      <c r="O127" s="80"/>
    </row>
    <row r="128" spans="9:69" ht="15">
      <c r="I128" s="80"/>
      <c r="J128" s="80"/>
      <c r="K128" s="80"/>
      <c r="L128" s="80"/>
      <c r="M128" s="80"/>
      <c r="N128" s="80"/>
      <c r="O128" s="80"/>
    </row>
    <row r="129" spans="9:15" ht="15">
      <c r="I129" s="80"/>
      <c r="J129" s="80"/>
      <c r="K129" s="80"/>
      <c r="L129" s="80"/>
      <c r="M129" s="80"/>
      <c r="N129" s="80"/>
      <c r="O129" s="80"/>
    </row>
    <row r="130" spans="9:15" ht="15">
      <c r="I130" s="80"/>
      <c r="J130" s="80"/>
      <c r="K130" s="80"/>
      <c r="L130" s="80"/>
      <c r="M130" s="80"/>
      <c r="N130" s="80"/>
      <c r="O130" s="80"/>
    </row>
    <row r="158" spans="9:15" ht="15">
      <c r="I158" s="80"/>
      <c r="J158" s="80"/>
      <c r="K158" s="80"/>
      <c r="L158" s="80"/>
      <c r="M158" s="80"/>
      <c r="N158" s="80"/>
      <c r="O158" s="80"/>
    </row>
    <row r="159" spans="9:15" ht="15">
      <c r="I159" s="80"/>
      <c r="J159" s="80"/>
      <c r="K159" s="80"/>
      <c r="L159" s="80"/>
      <c r="M159" s="80"/>
      <c r="N159" s="80"/>
      <c r="O159" s="80"/>
    </row>
  </sheetData>
  <mergeCells count="22">
    <mergeCell ref="A13:G13"/>
    <mergeCell ref="E51:G51"/>
    <mergeCell ref="E50:G50"/>
    <mergeCell ref="E52:G52"/>
    <mergeCell ref="E59:F59"/>
    <mergeCell ref="E60:G60"/>
    <mergeCell ref="A14:G14"/>
    <mergeCell ref="A16:G16"/>
    <mergeCell ref="C17:C18"/>
    <mergeCell ref="E17:F18"/>
    <mergeCell ref="A19:A20"/>
    <mergeCell ref="B19:B20"/>
    <mergeCell ref="C19:C20"/>
    <mergeCell ref="F19:F20"/>
    <mergeCell ref="G19:G20"/>
    <mergeCell ref="A12:G12"/>
    <mergeCell ref="A10:G10"/>
    <mergeCell ref="A2:G2"/>
    <mergeCell ref="A3:G3"/>
    <mergeCell ref="A4:B4"/>
    <mergeCell ref="A9:G9"/>
    <mergeCell ref="A11:G11"/>
  </mergeCells>
  <dataValidations count="1">
    <dataValidation type="list" allowBlank="1" showInputMessage="1" showErrorMessage="1" sqref="K3 C5" xr:uid="{00000000-0002-0000-0500-000000000000}">
      <formula1>$K$6:$K$8</formula1>
    </dataValidation>
  </dataValidations>
  <pageMargins left="0.8" right="0" top="0.05" bottom="0.05" header="0.5" footer="0.5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BQ158"/>
  <sheetViews>
    <sheetView topLeftCell="A34" workbookViewId="0">
      <selection activeCell="E41" sqref="E41:G41"/>
    </sheetView>
  </sheetViews>
  <sheetFormatPr defaultColWidth="8.85546875" defaultRowHeight="12.75"/>
  <cols>
    <col min="1" max="1" width="4.42578125" customWidth="1"/>
    <col min="2" max="2" width="32.140625" customWidth="1"/>
    <col min="3" max="3" width="14" customWidth="1"/>
    <col min="4" max="4" width="11.7109375" customWidth="1"/>
    <col min="5" max="5" width="14.42578125" customWidth="1"/>
    <col min="6" max="6" width="14.85546875" customWidth="1"/>
    <col min="7" max="7" width="16" customWidth="1"/>
    <col min="9" max="9" width="5.28515625" customWidth="1"/>
    <col min="10" max="10" width="38.28515625" customWidth="1"/>
    <col min="13" max="13" width="10.28515625" customWidth="1"/>
    <col min="14" max="14" width="10.7109375" customWidth="1"/>
    <col min="15" max="15" width="17.140625" customWidth="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20.25" thickTop="1" thickBot="1">
      <c r="A2" s="704" t="s">
        <v>50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34.5" customHeight="1" thickTop="1">
      <c r="A3" s="715" t="s">
        <v>257</v>
      </c>
      <c r="B3" s="715"/>
      <c r="C3" s="715"/>
      <c r="D3" s="715"/>
      <c r="E3" s="715"/>
      <c r="F3" s="715"/>
      <c r="G3" s="71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6.5">
      <c r="A4" s="706" t="s">
        <v>52</v>
      </c>
      <c r="B4" s="706"/>
      <c r="C4" s="113">
        <v>500</v>
      </c>
      <c r="D4" s="61" t="s">
        <v>192</v>
      </c>
      <c r="E4" s="114" t="s">
        <v>54</v>
      </c>
      <c r="F4" s="115">
        <v>2000</v>
      </c>
      <c r="G4" s="111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8.95" customHeight="1">
      <c r="A5" s="193" t="s">
        <v>58</v>
      </c>
      <c r="B5" s="194"/>
      <c r="C5" s="194"/>
      <c r="D5" s="195"/>
      <c r="E5" s="195"/>
      <c r="F5" s="195"/>
      <c r="G5" s="195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5" customHeight="1">
      <c r="A6" s="263" t="s">
        <v>201</v>
      </c>
      <c r="B6" s="198"/>
      <c r="C6" s="199"/>
      <c r="D6" s="199"/>
      <c r="E6" s="199"/>
      <c r="F6" s="199"/>
      <c r="G6" s="199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5" customHeight="1">
      <c r="A7" s="263" t="s">
        <v>258</v>
      </c>
      <c r="B7" s="198"/>
      <c r="C7" s="199"/>
      <c r="D7" s="199"/>
      <c r="E7" s="199"/>
      <c r="F7" s="199"/>
      <c r="G7" s="199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6.5">
      <c r="A8" s="688" t="s">
        <v>61</v>
      </c>
      <c r="B8" s="688"/>
      <c r="C8" s="688"/>
      <c r="D8" s="688"/>
      <c r="E8" s="688"/>
      <c r="F8" s="688"/>
      <c r="G8" s="688"/>
      <c r="H8" s="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s="111" customFormat="1" ht="18.75" customHeight="1">
      <c r="A9" s="693" t="s">
        <v>62</v>
      </c>
      <c r="B9" s="693"/>
      <c r="C9" s="693"/>
      <c r="D9" s="693"/>
      <c r="E9" s="693"/>
      <c r="F9" s="693"/>
      <c r="G9" s="693"/>
      <c r="I9" s="281"/>
      <c r="J9" s="384"/>
      <c r="K9" s="385"/>
      <c r="L9" s="386"/>
      <c r="M9" s="285"/>
      <c r="N9" s="285"/>
      <c r="O9" s="285"/>
    </row>
    <row r="10" spans="1:69" ht="15" customHeight="1">
      <c r="A10" s="695" t="s">
        <v>205</v>
      </c>
      <c r="B10" s="695"/>
      <c r="C10" s="695"/>
      <c r="D10" s="695"/>
      <c r="E10" s="695"/>
      <c r="F10" s="695"/>
      <c r="G10" s="695"/>
      <c r="H10" s="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30" customHeight="1">
      <c r="A11" s="695" t="s">
        <v>63</v>
      </c>
      <c r="B11" s="695"/>
      <c r="C11" s="695"/>
      <c r="D11" s="695"/>
      <c r="E11" s="695"/>
      <c r="F11" s="695"/>
      <c r="G11" s="695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30" customHeight="1">
      <c r="A12" s="707" t="s">
        <v>64</v>
      </c>
      <c r="B12" s="707"/>
      <c r="C12" s="707"/>
      <c r="D12" s="707"/>
      <c r="E12" s="707"/>
      <c r="F12" s="707"/>
      <c r="G12" s="707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16.5">
      <c r="A13" s="688" t="s">
        <v>65</v>
      </c>
      <c r="B13" s="688"/>
      <c r="C13" s="688"/>
      <c r="D13" s="688"/>
      <c r="E13" s="688"/>
      <c r="F13" s="688"/>
      <c r="G13" s="688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5" customHeight="1">
      <c r="A14" s="200"/>
      <c r="B14" s="201" t="s">
        <v>66</v>
      </c>
      <c r="C14" s="227">
        <f>C4</f>
        <v>500</v>
      </c>
      <c r="D14" s="225" t="str">
        <f>D4</f>
        <v>ha</v>
      </c>
      <c r="E14" s="201"/>
      <c r="F14" s="202"/>
      <c r="G14" s="203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50.25" customHeight="1">
      <c r="A15" s="689" t="s">
        <v>259</v>
      </c>
      <c r="B15" s="690"/>
      <c r="C15" s="690"/>
      <c r="D15" s="690"/>
      <c r="E15" s="690"/>
      <c r="F15" s="690"/>
      <c r="G15" s="690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9.5" customHeight="1">
      <c r="A16" s="204"/>
      <c r="B16" s="205" t="s">
        <v>68</v>
      </c>
      <c r="C16" s="691" t="s">
        <v>69</v>
      </c>
      <c r="D16" s="206" t="s">
        <v>70</v>
      </c>
      <c r="E16" s="692" t="s">
        <v>71</v>
      </c>
      <c r="F16" s="692"/>
      <c r="G16" s="203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17.25" thickBot="1">
      <c r="A17" s="204"/>
      <c r="B17" s="200"/>
      <c r="C17" s="691"/>
      <c r="D17" s="210" t="s">
        <v>72</v>
      </c>
      <c r="E17" s="692"/>
      <c r="F17" s="692"/>
      <c r="G17" s="203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42.75">
      <c r="A18" s="698" t="s">
        <v>26</v>
      </c>
      <c r="B18" s="696" t="s">
        <v>73</v>
      </c>
      <c r="C18" s="696" t="s">
        <v>74</v>
      </c>
      <c r="D18" s="314" t="s">
        <v>75</v>
      </c>
      <c r="E18" s="314" t="s">
        <v>76</v>
      </c>
      <c r="F18" s="696" t="s">
        <v>77</v>
      </c>
      <c r="G18" s="701" t="s">
        <v>78</v>
      </c>
      <c r="H18" s="1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26.25" customHeight="1" thickBot="1">
      <c r="A19" s="699"/>
      <c r="B19" s="697"/>
      <c r="C19" s="697"/>
      <c r="D19" s="317" t="s">
        <v>79</v>
      </c>
      <c r="E19" s="317" t="s">
        <v>79</v>
      </c>
      <c r="F19" s="697"/>
      <c r="G19" s="702"/>
      <c r="H19" s="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396">
        <v>1</v>
      </c>
      <c r="B20" s="320" t="s">
        <v>81</v>
      </c>
      <c r="C20" s="321" t="s">
        <v>82</v>
      </c>
      <c r="D20" s="464">
        <f>IF(D25&lt;75,731.25,IF(D25&gt;500,"Vượt quy mô",((D21-D22)/(D23-D24)*(D25-D24)+D22)))</f>
        <v>1525</v>
      </c>
      <c r="E20" s="464">
        <f>IF(E25&lt;200,63.66,IF(E25&gt;500,"Vượt quy mô",ROUND(((E21-E22)/(E23-E24)*(E25-E24)+E22),3)))</f>
        <v>105.26</v>
      </c>
      <c r="F20" s="278">
        <f>IF(F25&lt;200,12.3,IF(F25&gt;10000,2.8,ROUND(((F21-F22)/(F23-F24)*(F25-F24)+F22),3)))</f>
        <v>6.45</v>
      </c>
      <c r="G20" s="606">
        <f>IF(G25&lt;200,10.6,IF(G25&gt;10000,2.6,ROUND(((G21-G22)/(G23-G24)*(G25-G24)+G22),3)))</f>
        <v>6.05</v>
      </c>
      <c r="H20" s="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02">
        <v>2</v>
      </c>
      <c r="B21" s="303" t="s">
        <v>240</v>
      </c>
      <c r="C21" s="304" t="s">
        <v>84</v>
      </c>
      <c r="D21" s="82">
        <f>LOOKUP(D23,'Dinh muc'!$C$47:$G$48)</f>
        <v>1525</v>
      </c>
      <c r="E21" s="82">
        <f>LOOKUP(E23,'Dinh muc'!$C$47:$G$49)</f>
        <v>105.26</v>
      </c>
      <c r="F21" s="279">
        <f>LOOKUP(F23,  'Dinh muc'!$C$75:$J$76)+0.00000000001</f>
        <v>7.50000000001</v>
      </c>
      <c r="G21" s="596">
        <f>LOOKUP(G23, 'Dinh muc'!$C$75:$J$77)+0.000000000001</f>
        <v>7.1000000000009997</v>
      </c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3</v>
      </c>
      <c r="B22" s="303" t="s">
        <v>85</v>
      </c>
      <c r="C22" s="304" t="s">
        <v>86</v>
      </c>
      <c r="D22" s="82">
        <f>LOOKUP(D24,'Dinh muc'!$C$47:$G$48)</f>
        <v>1525</v>
      </c>
      <c r="E22" s="82">
        <f>LOOKUP(E24,'Dinh muc'!$C$47:$G$49)</f>
        <v>105.26</v>
      </c>
      <c r="F22" s="279">
        <f>LOOKUP(F24, 'Dinh muc'!$C$75:$J$76)+0.000000000001</f>
        <v>5.5000000000010001</v>
      </c>
      <c r="G22" s="596">
        <f>LOOKUP(G24, 'Dinh muc'!$C$75:$J$77)+0.000000000000001</f>
        <v>5.1000000000000005</v>
      </c>
      <c r="H22" s="1"/>
      <c r="I22" s="88"/>
      <c r="J22" s="88"/>
      <c r="K22" s="88"/>
      <c r="L22" s="88"/>
      <c r="M22" s="88"/>
      <c r="N22" s="88"/>
      <c r="O22" s="639">
        <v>1711679000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02">
        <v>4</v>
      </c>
      <c r="B23" s="303" t="s">
        <v>87</v>
      </c>
      <c r="C23" s="304" t="s">
        <v>88</v>
      </c>
      <c r="D23" s="589">
        <f>IF(D25&lt;75,75,SMALL('Dinh muc'!$C$47:$G$47,COUNTIF('Dinh muc'!$C$47:$G$47,"&lt;="&amp;$D$25)))+0.00000000001</f>
        <v>500.00000000001</v>
      </c>
      <c r="E23" s="601">
        <f>D23</f>
        <v>500.00000000001</v>
      </c>
      <c r="F23" s="602">
        <f>IF(F25&lt;200,200,(SMALL('Dinh muc'!$C$75:$J$76,COUNTIF('Dinh muc'!$C$75:$J$76,"&lt;="&amp;$F$25))))+0.00000000001</f>
        <v>1000.00000000001</v>
      </c>
      <c r="G23" s="603">
        <f>F23</f>
        <v>1000.00000000001</v>
      </c>
      <c r="H23" s="1"/>
      <c r="I23" s="88"/>
      <c r="J23" s="88"/>
      <c r="K23" s="88"/>
      <c r="L23" s="88"/>
      <c r="M23" s="88"/>
      <c r="N23" s="88"/>
      <c r="O23" s="639">
        <f>O22*86%</f>
        <v>1472043940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302">
        <v>5</v>
      </c>
      <c r="B24" s="303" t="s">
        <v>89</v>
      </c>
      <c r="C24" s="304" t="s">
        <v>90</v>
      </c>
      <c r="D24" s="589">
        <f>IF(D25&gt;500,500,LARGE('Dinh muc'!$C$47:$G$47,COUNTIF('Dinh muc'!$C$47:$G$47,"&gt;="&amp;$D$25)))+0.0000000000001</f>
        <v>500.00000000000011</v>
      </c>
      <c r="E24" s="601">
        <f>D24</f>
        <v>500.00000000000011</v>
      </c>
      <c r="F24" s="602">
        <f>IF(F25&gt;=10000,10000,LARGE('Dinh muc'!$C$75:$J$76,COUNTIF('Dinh muc'!$C$75:$J$76,"&gt;="&amp; $F$25)))+0.00000000001</f>
        <v>2000.00000000001</v>
      </c>
      <c r="G24" s="603">
        <f>F24</f>
        <v>2000.00000000001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 thickBot="1">
      <c r="A25" s="305">
        <v>6</v>
      </c>
      <c r="B25" s="306" t="s">
        <v>91</v>
      </c>
      <c r="C25" s="307" t="s">
        <v>92</v>
      </c>
      <c r="D25" s="588">
        <f>C4</f>
        <v>500</v>
      </c>
      <c r="E25" s="588">
        <f>D25</f>
        <v>500</v>
      </c>
      <c r="F25" s="611">
        <f>E32/1000000+0.000000001</f>
        <v>1525.000000001</v>
      </c>
      <c r="G25" s="605">
        <f>F25</f>
        <v>1525.000000001</v>
      </c>
      <c r="H25" s="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s="111" customFormat="1" ht="15" customHeight="1">
      <c r="A26" s="491"/>
      <c r="B26" s="492" t="s">
        <v>210</v>
      </c>
      <c r="C26" s="485">
        <f>E20*1000000</f>
        <v>105260000</v>
      </c>
      <c r="D26" s="493" t="s">
        <v>94</v>
      </c>
      <c r="E26" s="208"/>
      <c r="F26" s="209"/>
      <c r="G26" s="242"/>
      <c r="H26" s="60"/>
      <c r="I26"/>
      <c r="J26"/>
      <c r="K26"/>
      <c r="L26"/>
      <c r="M26"/>
      <c r="N26"/>
      <c r="O26"/>
      <c r="P26"/>
    </row>
    <row r="27" spans="1:69" s="111" customFormat="1" ht="15" customHeight="1" thickBot="1">
      <c r="A27" s="491"/>
      <c r="B27" s="492" t="s">
        <v>211</v>
      </c>
      <c r="C27" s="485">
        <f>D20*1000000</f>
        <v>1525000000</v>
      </c>
      <c r="D27" s="493" t="s">
        <v>94</v>
      </c>
      <c r="E27" s="208"/>
      <c r="F27" s="209"/>
      <c r="G27" s="242"/>
      <c r="H27" s="60"/>
      <c r="I27"/>
      <c r="J27"/>
      <c r="K27"/>
      <c r="L27"/>
      <c r="M27"/>
      <c r="N27"/>
      <c r="O27"/>
      <c r="P27"/>
    </row>
    <row r="28" spans="1:69" ht="48" customHeight="1">
      <c r="A28" s="170" t="s">
        <v>26</v>
      </c>
      <c r="B28" s="171" t="s">
        <v>96</v>
      </c>
      <c r="C28" s="171" t="s">
        <v>97</v>
      </c>
      <c r="D28" s="171" t="s">
        <v>98</v>
      </c>
      <c r="E28" s="171" t="s">
        <v>99</v>
      </c>
      <c r="F28" s="171" t="s">
        <v>100</v>
      </c>
      <c r="G28" s="172" t="s">
        <v>101</v>
      </c>
      <c r="I28" s="88"/>
      <c r="J28" s="88"/>
      <c r="K28" s="88"/>
      <c r="L28" s="88"/>
      <c r="M28" s="88"/>
      <c r="N28" s="88"/>
      <c r="O28" s="88"/>
    </row>
    <row r="29" spans="1:69" ht="17.25" thickBot="1">
      <c r="A29" s="244">
        <v>1</v>
      </c>
      <c r="B29" s="245">
        <v>2</v>
      </c>
      <c r="C29" s="245">
        <v>3</v>
      </c>
      <c r="D29" s="245">
        <v>4</v>
      </c>
      <c r="E29" s="245" t="s">
        <v>102</v>
      </c>
      <c r="F29" s="245" t="s">
        <v>103</v>
      </c>
      <c r="G29" s="246" t="s">
        <v>104</v>
      </c>
      <c r="I29" s="88"/>
      <c r="J29" s="88"/>
      <c r="K29" s="88"/>
      <c r="L29" s="88"/>
      <c r="M29" s="88"/>
      <c r="N29" s="88"/>
      <c r="O29" s="88"/>
    </row>
    <row r="30" spans="1:69" ht="16.5">
      <c r="A30" s="251">
        <v>1</v>
      </c>
      <c r="B30" s="252" t="s">
        <v>105</v>
      </c>
      <c r="C30" s="253"/>
      <c r="D30" s="253"/>
      <c r="E30" s="253"/>
      <c r="F30" s="253"/>
      <c r="G30" s="254"/>
      <c r="I30" s="88"/>
      <c r="J30" s="88"/>
      <c r="K30" s="88"/>
      <c r="L30" s="88"/>
      <c r="M30" s="88"/>
      <c r="N30" s="88"/>
      <c r="O30" s="88"/>
    </row>
    <row r="31" spans="1:69" ht="16.5">
      <c r="A31" s="177" t="s">
        <v>106</v>
      </c>
      <c r="B31" s="69" t="s">
        <v>242</v>
      </c>
      <c r="C31" s="450">
        <f>C26</f>
        <v>105260000</v>
      </c>
      <c r="D31" s="444">
        <v>1</v>
      </c>
      <c r="E31" s="78">
        <f>D31*C31</f>
        <v>105260000</v>
      </c>
      <c r="F31" s="78">
        <f>E31*10%</f>
        <v>10526000</v>
      </c>
      <c r="G31" s="179">
        <f>F31+E31</f>
        <v>115786000</v>
      </c>
      <c r="I31" s="639">
        <f>485000000</f>
        <v>485000000</v>
      </c>
      <c r="J31" s="639">
        <f>G31*92%</f>
        <v>106523120</v>
      </c>
      <c r="K31" s="88"/>
      <c r="L31" s="88"/>
      <c r="M31" s="88"/>
      <c r="N31" s="88"/>
      <c r="O31" s="88"/>
      <c r="P31" s="88"/>
    </row>
    <row r="32" spans="1:69" ht="16.5">
      <c r="A32" s="177" t="s">
        <v>108</v>
      </c>
      <c r="B32" s="69" t="s">
        <v>260</v>
      </c>
      <c r="C32" s="450">
        <f>C27</f>
        <v>1525000000</v>
      </c>
      <c r="D32" s="444">
        <v>1</v>
      </c>
      <c r="E32" s="78">
        <f>D32*C32</f>
        <v>1525000000</v>
      </c>
      <c r="F32" s="78">
        <f>E32*10%</f>
        <v>152500000</v>
      </c>
      <c r="G32" s="179">
        <f>F32+E32</f>
        <v>1677500000</v>
      </c>
      <c r="I32" s="88"/>
      <c r="J32" s="88"/>
      <c r="K32" s="88"/>
      <c r="L32" s="88"/>
      <c r="M32" s="88"/>
      <c r="N32" s="88"/>
      <c r="O32" s="88"/>
      <c r="P32" s="88"/>
    </row>
    <row r="33" spans="1:69" ht="30">
      <c r="A33" s="461" t="s">
        <v>110</v>
      </c>
      <c r="B33" s="462" t="s">
        <v>111</v>
      </c>
      <c r="C33" s="463">
        <f>E32</f>
        <v>1525000000</v>
      </c>
      <c r="D33" s="465">
        <v>0.1</v>
      </c>
      <c r="E33" s="458">
        <f>C33*D33</f>
        <v>152500000</v>
      </c>
      <c r="F33" s="458">
        <f>E33*10%</f>
        <v>15250000</v>
      </c>
      <c r="G33" s="460">
        <f>F33+E33</f>
        <v>167750000</v>
      </c>
      <c r="I33" s="88"/>
      <c r="J33" s="88"/>
      <c r="K33" s="88"/>
      <c r="L33" s="88"/>
      <c r="M33" s="88"/>
      <c r="N33" s="88"/>
      <c r="O33" s="88"/>
      <c r="P33" s="88"/>
    </row>
    <row r="34" spans="1:69" ht="16.5">
      <c r="A34" s="177"/>
      <c r="B34" s="63" t="s">
        <v>112</v>
      </c>
      <c r="C34" s="318"/>
      <c r="D34" s="310"/>
      <c r="E34" s="70"/>
      <c r="F34" s="71">
        <f>SUM(F30:F33)</f>
        <v>178276000</v>
      </c>
      <c r="G34" s="71">
        <f>SUM(G30:G33)</f>
        <v>1961036000</v>
      </c>
      <c r="H34" s="58"/>
      <c r="I34" s="88"/>
      <c r="J34" s="88"/>
      <c r="K34" s="88"/>
      <c r="L34" s="88"/>
      <c r="M34" s="88"/>
      <c r="N34" s="88"/>
      <c r="O34" s="88"/>
    </row>
    <row r="35" spans="1:69" ht="16.5">
      <c r="A35" s="222">
        <v>2</v>
      </c>
      <c r="B35" s="378" t="s">
        <v>113</v>
      </c>
      <c r="C35" s="350">
        <f>E31</f>
        <v>105260000</v>
      </c>
      <c r="D35" s="377">
        <v>0.2</v>
      </c>
      <c r="E35" s="78">
        <f>D35*C35</f>
        <v>21052000</v>
      </c>
      <c r="F35" s="73"/>
      <c r="G35" s="179">
        <f>SUM(E35:F35)</f>
        <v>21052000</v>
      </c>
      <c r="H35" s="58"/>
      <c r="I35" s="88"/>
      <c r="J35" s="88"/>
      <c r="K35" s="88"/>
      <c r="L35" s="88"/>
      <c r="M35" s="88"/>
      <c r="N35" s="88"/>
      <c r="O35" s="88"/>
    </row>
    <row r="36" spans="1:69" ht="16.5">
      <c r="A36" s="187">
        <v>3</v>
      </c>
      <c r="B36" s="224" t="s">
        <v>256</v>
      </c>
      <c r="C36" s="319">
        <f>C32</f>
        <v>1525000000</v>
      </c>
      <c r="D36" s="165">
        <v>0.02</v>
      </c>
      <c r="E36" s="78">
        <f>D36*C36</f>
        <v>30500000</v>
      </c>
      <c r="F36" s="79">
        <f>E36*10%</f>
        <v>3050000</v>
      </c>
      <c r="G36" s="179">
        <f>SUM(E36:F36)</f>
        <v>33550000</v>
      </c>
      <c r="H36" s="97"/>
      <c r="I36" s="88"/>
      <c r="J36" s="88"/>
      <c r="K36" s="88"/>
      <c r="L36" s="88"/>
      <c r="M36" s="88"/>
      <c r="N36" s="88"/>
      <c r="O36" s="88"/>
      <c r="P36" s="1"/>
    </row>
    <row r="37" spans="1:69" ht="16.5">
      <c r="A37" s="222">
        <v>4</v>
      </c>
      <c r="B37" s="378" t="s">
        <v>114</v>
      </c>
      <c r="C37" s="350">
        <f>C32</f>
        <v>1525000000</v>
      </c>
      <c r="D37" s="351">
        <f>F20/100</f>
        <v>6.4500000000000002E-2</v>
      </c>
      <c r="E37" s="78">
        <f t="shared" ref="E37:E38" si="0">D37*C37</f>
        <v>98362500</v>
      </c>
      <c r="F37" s="79"/>
      <c r="G37" s="179">
        <f t="shared" ref="G37:G39" si="1">SUM(E37:F37)</f>
        <v>98362500</v>
      </c>
      <c r="H37" s="59"/>
      <c r="I37" s="88"/>
      <c r="J37" s="88"/>
      <c r="K37" s="88"/>
      <c r="L37" s="88"/>
      <c r="M37" s="88"/>
      <c r="N37" s="88"/>
      <c r="O37" s="88"/>
    </row>
    <row r="38" spans="1:69" ht="16.5">
      <c r="A38" s="187">
        <v>5</v>
      </c>
      <c r="B38" s="224" t="s">
        <v>234</v>
      </c>
      <c r="C38" s="319">
        <f>C32</f>
        <v>1525000000</v>
      </c>
      <c r="D38" s="310">
        <f>G20/100</f>
        <v>6.0499999999999998E-2</v>
      </c>
      <c r="E38" s="78">
        <f t="shared" si="0"/>
        <v>92262500</v>
      </c>
      <c r="F38" s="79"/>
      <c r="G38" s="179">
        <f t="shared" si="1"/>
        <v>92262500</v>
      </c>
      <c r="H38" s="97"/>
      <c r="I38" s="88"/>
      <c r="J38" s="88"/>
      <c r="K38" s="88"/>
      <c r="L38" s="88"/>
      <c r="M38" s="88"/>
      <c r="N38" s="88"/>
      <c r="O38" s="88"/>
      <c r="P38" s="1"/>
    </row>
    <row r="39" spans="1:69" ht="30">
      <c r="A39" s="187">
        <v>6</v>
      </c>
      <c r="B39" s="76" t="s">
        <v>116</v>
      </c>
      <c r="C39" s="319">
        <f>C38</f>
        <v>1525000000</v>
      </c>
      <c r="D39" s="165">
        <v>0.03</v>
      </c>
      <c r="E39" s="78">
        <f>D39*C39</f>
        <v>45750000</v>
      </c>
      <c r="F39" s="79">
        <f>E39*10%</f>
        <v>4575000</v>
      </c>
      <c r="G39" s="179">
        <f t="shared" si="1"/>
        <v>50325000</v>
      </c>
      <c r="H39" s="59"/>
      <c r="I39" s="88"/>
      <c r="J39" s="88"/>
      <c r="K39" s="88"/>
      <c r="L39" s="88"/>
      <c r="M39" s="88"/>
      <c r="N39" s="88"/>
      <c r="O39" s="88"/>
      <c r="P39" s="1"/>
    </row>
    <row r="40" spans="1:69" ht="28.5">
      <c r="A40" s="187">
        <v>7</v>
      </c>
      <c r="B40" s="224" t="s">
        <v>244</v>
      </c>
      <c r="C40" s="79"/>
      <c r="D40" s="77"/>
      <c r="E40" s="78"/>
      <c r="F40" s="79"/>
      <c r="G40" s="179">
        <f>SUM(G41:G44)</f>
        <v>16593986.337202091</v>
      </c>
      <c r="H40" s="100"/>
      <c r="I40" s="88"/>
      <c r="J40" s="88"/>
      <c r="K40" s="88"/>
      <c r="L40" s="88"/>
      <c r="M40" s="88"/>
      <c r="N40" s="88"/>
      <c r="O40" s="88"/>
    </row>
    <row r="41" spans="1:69" ht="30">
      <c r="A41" s="415" t="s">
        <v>216</v>
      </c>
      <c r="B41" s="416" t="s">
        <v>119</v>
      </c>
      <c r="C41" s="273">
        <f>SUM(G32:G33)</f>
        <v>1845250000</v>
      </c>
      <c r="D41" s="77">
        <f>L69/100*45%</f>
        <v>3.2288776350782428E-3</v>
      </c>
      <c r="E41" s="79">
        <f>D41*C41</f>
        <v>5958086.4561281279</v>
      </c>
      <c r="F41" s="79">
        <f>E41*10%</f>
        <v>595808.64561281283</v>
      </c>
      <c r="G41" s="179">
        <f>IF(SUM(E41:F41)&lt;1000000, 1000000,SUM(E41:F41))</f>
        <v>6553895.1017409405</v>
      </c>
      <c r="H41" s="100"/>
      <c r="I41" s="88"/>
      <c r="J41" s="88"/>
      <c r="K41" s="88"/>
      <c r="L41" s="88"/>
      <c r="M41" s="88"/>
      <c r="N41" s="88"/>
      <c r="O41" s="88"/>
    </row>
    <row r="42" spans="1:69" ht="30">
      <c r="A42" s="415" t="s">
        <v>217</v>
      </c>
      <c r="B42" s="416" t="s">
        <v>121</v>
      </c>
      <c r="C42" s="273">
        <f>C41</f>
        <v>1845250000</v>
      </c>
      <c r="D42" s="77">
        <f>L69/100*55%</f>
        <v>3.9464059984289637E-3</v>
      </c>
      <c r="E42" s="79">
        <f t="shared" ref="E42" si="2">D42*C42</f>
        <v>7282105.6686010454</v>
      </c>
      <c r="F42" s="79">
        <f t="shared" ref="F42" si="3">E42*10%</f>
        <v>728210.56686010456</v>
      </c>
      <c r="G42" s="179">
        <f t="shared" ref="G42" si="4">IF(SUM(E42:F42)&lt;1000000, 1000000,SUM(E42:F42))</f>
        <v>8010316.2354611503</v>
      </c>
      <c r="H42" s="100"/>
      <c r="I42" s="88"/>
      <c r="J42" s="88"/>
      <c r="K42" s="88"/>
      <c r="L42" s="88"/>
      <c r="M42" s="88"/>
      <c r="N42" s="88"/>
      <c r="O42" s="88"/>
    </row>
    <row r="43" spans="1:69" ht="30">
      <c r="A43" s="415" t="s">
        <v>218</v>
      </c>
      <c r="B43" s="416" t="s">
        <v>123</v>
      </c>
      <c r="C43" s="273">
        <f>C42</f>
        <v>1845250000</v>
      </c>
      <c r="D43" s="77">
        <v>5.0000000000000001E-4</v>
      </c>
      <c r="E43" s="79">
        <f>D43*C43</f>
        <v>922625</v>
      </c>
      <c r="F43" s="79">
        <f>E43*10%</f>
        <v>92262.5</v>
      </c>
      <c r="G43" s="179">
        <f>IF(SUM(E43:F43)&lt;1000000, 1000000,SUM(E43:F43))</f>
        <v>1014887.5</v>
      </c>
      <c r="H43" s="100"/>
      <c r="I43" s="88"/>
      <c r="J43" s="88"/>
      <c r="K43" s="88"/>
      <c r="L43" s="88"/>
      <c r="M43" s="88"/>
      <c r="N43" s="88"/>
      <c r="O43" s="88"/>
    </row>
    <row r="44" spans="1:69" ht="45">
      <c r="A44" s="415" t="s">
        <v>219</v>
      </c>
      <c r="B44" s="416" t="s">
        <v>125</v>
      </c>
      <c r="C44" s="273">
        <f>C41</f>
        <v>1845250000</v>
      </c>
      <c r="D44" s="77">
        <v>5.0000000000000001E-4</v>
      </c>
      <c r="E44" s="79">
        <f>D44*C44</f>
        <v>922625</v>
      </c>
      <c r="F44" s="79">
        <f>E44*10%</f>
        <v>92262.5</v>
      </c>
      <c r="G44" s="179">
        <f>IF(SUM(E44:F44)&lt;1000000, 1000000,SUM(E44:F44))</f>
        <v>1014887.5</v>
      </c>
      <c r="H44" s="100"/>
      <c r="I44" s="88"/>
      <c r="J44" s="88"/>
      <c r="K44" s="88"/>
      <c r="L44" s="88"/>
      <c r="M44" s="88"/>
      <c r="N44" s="88"/>
      <c r="O44" s="88"/>
    </row>
    <row r="45" spans="1:69" ht="17.25" thickBot="1">
      <c r="A45" s="269"/>
      <c r="B45" s="266" t="s">
        <v>220</v>
      </c>
      <c r="C45" s="267"/>
      <c r="D45" s="267"/>
      <c r="E45" s="267"/>
      <c r="F45" s="267"/>
      <c r="G45" s="268">
        <f>SUM(G35:G40)</f>
        <v>312145986.33720207</v>
      </c>
      <c r="H45" s="62"/>
      <c r="I45" s="88"/>
      <c r="J45" s="88"/>
      <c r="K45" s="88"/>
      <c r="L45" s="88"/>
      <c r="M45" s="88"/>
      <c r="N45" s="88"/>
      <c r="O45" s="88"/>
      <c r="P45" s="1"/>
    </row>
    <row r="46" spans="1:69" ht="17.25" thickBot="1">
      <c r="A46" s="270"/>
      <c r="B46" s="248" t="s">
        <v>245</v>
      </c>
      <c r="C46" s="248"/>
      <c r="D46" s="248"/>
      <c r="E46" s="248"/>
      <c r="F46" s="264"/>
      <c r="G46" s="265">
        <f>ROUND(G45+G34,-3)</f>
        <v>2273182000</v>
      </c>
      <c r="H46" s="60"/>
      <c r="I46" s="88"/>
      <c r="J46" s="88"/>
      <c r="K46" s="88"/>
      <c r="L46" s="88"/>
      <c r="M46" s="88"/>
      <c r="N46" s="88"/>
      <c r="O46" s="88"/>
      <c r="P46" s="1"/>
    </row>
    <row r="47" spans="1:69" ht="16.5">
      <c r="A47" s="228" t="str">
        <f ca="1">CONCATENATE("Bằng chữ :  ",UPPER(LEFT(Q103))&amp;RIGHT(Q103,LEN(Q103)-1))</f>
        <v>Bằng chữ :  Hai tỷ, hai trăm bẩy mươi ba triệu, một trăm  tám mươi  hai nghìn  đồng chẵn</v>
      </c>
      <c r="B47" s="229"/>
      <c r="C47" s="229"/>
      <c r="D47" s="229"/>
      <c r="E47" s="229"/>
      <c r="F47" s="229"/>
      <c r="G47" s="229"/>
      <c r="I47" s="88"/>
      <c r="J47" s="88"/>
      <c r="K47" s="88"/>
      <c r="L47" s="88"/>
      <c r="M47" s="88"/>
      <c r="N47" s="88"/>
      <c r="O47" s="88"/>
      <c r="P47" s="1"/>
    </row>
    <row r="48" spans="1:69" ht="12.75" customHeight="1">
      <c r="H48" s="98"/>
      <c r="I48" s="88"/>
      <c r="J48" s="88"/>
      <c r="K48" s="88"/>
      <c r="L48" s="88"/>
      <c r="M48" s="88"/>
      <c r="N48" s="88"/>
      <c r="O48" s="8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69" ht="16.5">
      <c r="E49" s="694" t="s">
        <v>128</v>
      </c>
      <c r="F49" s="694"/>
      <c r="G49" s="694"/>
      <c r="H49" s="98"/>
      <c r="I49" s="88"/>
      <c r="J49" s="88"/>
      <c r="K49" s="88"/>
      <c r="L49" s="88"/>
      <c r="M49" s="88"/>
      <c r="N49" s="88"/>
      <c r="O49" s="8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69" ht="13.5" customHeight="1">
      <c r="E50" s="700" t="s">
        <v>129</v>
      </c>
      <c r="F50" s="700"/>
      <c r="G50" s="700"/>
      <c r="H50" s="99"/>
      <c r="I50" s="88"/>
      <c r="J50" s="88"/>
      <c r="K50" s="88"/>
      <c r="L50" s="88"/>
      <c r="M50" s="88"/>
      <c r="N50" s="88"/>
      <c r="O50" s="8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2:69" ht="16.5">
      <c r="B51" s="339"/>
      <c r="E51" s="686" t="s">
        <v>130</v>
      </c>
      <c r="F51" s="686"/>
      <c r="G51" s="686"/>
      <c r="H51" s="100"/>
      <c r="I51" s="88"/>
      <c r="J51" s="88"/>
      <c r="K51" s="88"/>
      <c r="L51" s="88"/>
      <c r="M51" s="88"/>
      <c r="N51" s="88"/>
      <c r="O51" s="8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2:69" ht="16.5">
      <c r="E52" s="133"/>
      <c r="F52" s="133"/>
      <c r="G52" s="133"/>
      <c r="H52" s="100"/>
      <c r="I52" s="88"/>
      <c r="J52" s="88"/>
      <c r="K52" s="88"/>
      <c r="L52" s="88"/>
      <c r="M52" s="88"/>
      <c r="N52" s="88"/>
      <c r="O52" s="8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2:69" ht="16.5">
      <c r="E53" s="133"/>
      <c r="F53" s="133"/>
      <c r="G53" s="133"/>
      <c r="H53" s="100"/>
      <c r="I53" s="88"/>
      <c r="J53" s="88"/>
      <c r="K53" s="88"/>
      <c r="L53" s="88"/>
      <c r="M53" s="88"/>
      <c r="N53" s="88"/>
      <c r="O53" s="8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2:69" ht="16.5">
      <c r="E54" s="133"/>
      <c r="F54" s="133"/>
      <c r="G54" s="133"/>
      <c r="H54" s="101"/>
      <c r="I54" s="88"/>
      <c r="J54" s="88"/>
      <c r="K54" s="88"/>
      <c r="L54" s="88"/>
      <c r="M54" s="88"/>
      <c r="N54" s="88"/>
      <c r="O54" s="8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2:69" ht="16.5">
      <c r="E55" s="133"/>
      <c r="F55" s="133"/>
      <c r="G55" s="133"/>
      <c r="H55" s="100"/>
      <c r="I55" s="88"/>
      <c r="J55" s="88"/>
      <c r="K55" s="88"/>
      <c r="L55" s="88"/>
      <c r="M55" s="88"/>
      <c r="N55" s="88"/>
      <c r="O55" s="8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2:69" ht="16.5">
      <c r="E56" s="133"/>
      <c r="F56" s="133"/>
      <c r="G56" s="133"/>
      <c r="H56" s="100"/>
      <c r="I56" s="88"/>
      <c r="J56" s="88"/>
      <c r="K56" s="88"/>
      <c r="L56" s="88"/>
      <c r="M56" s="88"/>
      <c r="N56" s="88"/>
      <c r="O56" s="8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2:69" ht="16.5">
      <c r="E57" s="133"/>
      <c r="F57" s="133"/>
      <c r="G57" s="133"/>
      <c r="H57" s="100"/>
      <c r="I57" s="88"/>
      <c r="J57" s="88"/>
      <c r="K57" s="88"/>
      <c r="L57" s="88"/>
      <c r="M57" s="88"/>
      <c r="N57" s="88"/>
      <c r="O57" s="8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2:69" ht="16.5">
      <c r="E58" s="711"/>
      <c r="F58" s="711"/>
      <c r="G58" s="133"/>
      <c r="H58" s="100"/>
      <c r="I58" s="88"/>
      <c r="J58" s="88"/>
      <c r="K58" s="88"/>
      <c r="L58" s="88"/>
      <c r="M58" s="88"/>
      <c r="N58" s="88"/>
      <c r="O58" s="8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2:69" ht="16.5">
      <c r="B59" s="339"/>
      <c r="E59" s="686" t="s">
        <v>131</v>
      </c>
      <c r="F59" s="686"/>
      <c r="G59" s="686"/>
      <c r="H59" s="102"/>
      <c r="I59" s="88"/>
      <c r="J59" s="88"/>
      <c r="K59" s="88"/>
      <c r="L59" s="88"/>
      <c r="M59" s="88"/>
      <c r="N59" s="88"/>
      <c r="O59" s="88"/>
      <c r="P59" s="1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</row>
    <row r="60" spans="2:69" ht="16.5">
      <c r="B60" s="339"/>
      <c r="H60" s="104"/>
      <c r="I60" s="88"/>
      <c r="J60" s="88"/>
      <c r="K60" s="88"/>
      <c r="L60" s="88"/>
      <c r="M60" s="88"/>
      <c r="N60" s="88"/>
      <c r="O60" s="88"/>
      <c r="P60" s="1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</row>
    <row r="61" spans="2:69" ht="16.5">
      <c r="H61" s="105"/>
      <c r="I61" s="88"/>
      <c r="J61" s="88"/>
      <c r="K61" s="88"/>
      <c r="L61" s="88"/>
      <c r="M61" s="88"/>
      <c r="N61" s="88"/>
      <c r="O61" s="88"/>
      <c r="P61" s="1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</row>
    <row r="62" spans="2:69" ht="16.5">
      <c r="I62" s="88"/>
      <c r="J62" s="88"/>
      <c r="K62" s="88"/>
      <c r="L62" s="88"/>
      <c r="M62" s="88"/>
      <c r="N62" s="88"/>
      <c r="O62" s="88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</row>
    <row r="63" spans="2:69" ht="16.5">
      <c r="H63" s="57"/>
      <c r="I63" s="88"/>
      <c r="J63" s="88"/>
      <c r="K63" s="88"/>
      <c r="L63" s="88"/>
      <c r="M63" s="88"/>
      <c r="N63" s="88"/>
      <c r="O63" s="88"/>
    </row>
    <row r="64" spans="2:69" ht="16.5">
      <c r="I64" s="88"/>
      <c r="J64" s="88"/>
      <c r="K64" s="88"/>
      <c r="L64" s="88"/>
      <c r="M64" s="88"/>
      <c r="N64" s="88"/>
      <c r="O64" s="88"/>
    </row>
    <row r="65" spans="9:15" ht="16.5">
      <c r="I65" s="88"/>
      <c r="J65" s="88"/>
      <c r="K65" s="88"/>
      <c r="L65" s="88"/>
      <c r="M65" s="88"/>
      <c r="N65" s="88"/>
      <c r="O65" s="88"/>
    </row>
    <row r="66" spans="9:15" ht="16.5">
      <c r="I66" s="88"/>
      <c r="J66" s="88"/>
      <c r="K66" s="88"/>
      <c r="L66" s="88"/>
      <c r="M66" s="88"/>
      <c r="N66" s="88"/>
      <c r="O66" s="88"/>
    </row>
    <row r="67" spans="9:15" ht="16.5">
      <c r="I67" s="88"/>
      <c r="J67" s="88"/>
      <c r="K67" s="88"/>
      <c r="L67" s="88"/>
      <c r="M67" s="88"/>
      <c r="N67" s="88"/>
      <c r="O67" s="88"/>
    </row>
    <row r="68" spans="9:15" ht="51">
      <c r="I68" s="91" t="s">
        <v>132</v>
      </c>
      <c r="J68" s="92" t="s">
        <v>73</v>
      </c>
      <c r="K68" s="91" t="s">
        <v>74</v>
      </c>
      <c r="L68" s="240" t="s">
        <v>133</v>
      </c>
      <c r="M68" s="240"/>
      <c r="N68" s="240"/>
      <c r="O68" s="240"/>
    </row>
    <row r="69" spans="9:15">
      <c r="I69" s="93">
        <v>1</v>
      </c>
      <c r="J69" s="94" t="s">
        <v>236</v>
      </c>
      <c r="K69" s="95" t="s">
        <v>82</v>
      </c>
      <c r="L69" s="597">
        <f>IF(L74&lt;1,0.8168,IF(L74&gt;100,0.114,(L70-L71)/(L72-L73)*(L74-L73)+L71))</f>
        <v>0.71752836335072057</v>
      </c>
      <c r="M69" s="464"/>
      <c r="N69" s="278"/>
      <c r="O69" s="278"/>
    </row>
    <row r="70" spans="9:15">
      <c r="I70" s="3">
        <v>2</v>
      </c>
      <c r="J70" s="120" t="s">
        <v>261</v>
      </c>
      <c r="K70" s="5" t="s">
        <v>84</v>
      </c>
      <c r="L70" s="598">
        <f>IF(L74&lt;1,0.816,LOOKUP(L72,'Dinh muc'!$C$88:$I$89))+0.00000000000001</f>
        <v>0.81600000000000994</v>
      </c>
      <c r="M70" s="108"/>
      <c r="N70" s="163"/>
      <c r="O70" s="163"/>
    </row>
    <row r="71" spans="9:15">
      <c r="I71" s="3">
        <v>3</v>
      </c>
      <c r="J71" s="4" t="s">
        <v>262</v>
      </c>
      <c r="K71" s="5" t="s">
        <v>86</v>
      </c>
      <c r="L71" s="598">
        <f>LOOKUP(L73,'Dinh muc'!$C$88:$I$89)+0.0000000000001</f>
        <v>0.58300000000009999</v>
      </c>
      <c r="M71" s="108"/>
      <c r="N71" s="163"/>
      <c r="O71" s="163"/>
    </row>
    <row r="72" spans="9:15">
      <c r="I72" s="3">
        <v>4</v>
      </c>
      <c r="J72" s="4" t="s">
        <v>225</v>
      </c>
      <c r="K72" s="5" t="s">
        <v>88</v>
      </c>
      <c r="L72" s="599">
        <f>IF((L74&lt;1),1,(SMALL('Dinh muc'!$C$88:$I$88,COUNTIF('Dinh muc'!$C$88:$I$88,"&lt;="&amp;$L$74))))+0.00000000001</f>
        <v>1.00000000001</v>
      </c>
      <c r="M72" s="466"/>
      <c r="N72" s="466"/>
      <c r="O72" s="466"/>
    </row>
    <row r="73" spans="9:15">
      <c r="I73" s="3">
        <v>5</v>
      </c>
      <c r="J73" s="4" t="s">
        <v>226</v>
      </c>
      <c r="K73" s="5" t="s">
        <v>90</v>
      </c>
      <c r="L73" s="599">
        <f>IF(L74&gt;100,100,(LARGE('Dinh muc'!$C$88:$I$88,COUNTIF('Dinh muc'!$C$88:$I$88,"&gt;="&amp;$L$74))))+0.0000000000000001</f>
        <v>3</v>
      </c>
      <c r="M73" s="466"/>
      <c r="N73" s="466"/>
      <c r="O73" s="466"/>
    </row>
    <row r="74" spans="9:15">
      <c r="I74" s="6">
        <v>6</v>
      </c>
      <c r="J74" s="7" t="s">
        <v>227</v>
      </c>
      <c r="K74" s="8" t="s">
        <v>92</v>
      </c>
      <c r="L74" s="600">
        <f>C41/1000000000+0.0000001</f>
        <v>1.8452501000000001</v>
      </c>
      <c r="M74" s="107"/>
      <c r="N74" s="85"/>
      <c r="O74" s="85"/>
    </row>
    <row r="75" spans="9:15" ht="15">
      <c r="I75" s="1"/>
      <c r="J75" s="2"/>
      <c r="K75" s="1"/>
      <c r="L75" s="1"/>
      <c r="M75" s="1"/>
      <c r="N75" s="1"/>
      <c r="O75" s="1"/>
    </row>
    <row r="76" spans="9:15" ht="15">
      <c r="I76" s="1"/>
      <c r="J76" s="56"/>
      <c r="K76" s="1"/>
      <c r="L76" s="1"/>
      <c r="M76" s="1"/>
      <c r="N76" s="1"/>
      <c r="O76" s="1"/>
    </row>
    <row r="77" spans="9:15" ht="15">
      <c r="I77" s="1"/>
      <c r="J77" s="1"/>
      <c r="K77" s="1"/>
      <c r="L77" s="1"/>
      <c r="M77" s="1"/>
      <c r="N77" s="1"/>
      <c r="O77" s="1"/>
    </row>
    <row r="78" spans="9:15" ht="15">
      <c r="I78" s="1"/>
      <c r="J78" s="1"/>
      <c r="K78" s="1"/>
      <c r="L78" s="1"/>
      <c r="M78" s="1"/>
      <c r="N78" s="1"/>
      <c r="O78" s="1"/>
    </row>
    <row r="79" spans="9:15" ht="15">
      <c r="I79" s="1"/>
      <c r="J79" s="1"/>
      <c r="K79" s="1"/>
      <c r="L79" s="1"/>
      <c r="M79" s="1"/>
      <c r="N79" s="1"/>
      <c r="O79" s="1"/>
    </row>
    <row r="80" spans="9:15" ht="15">
      <c r="I80" s="1"/>
      <c r="J80" s="1"/>
      <c r="K80" s="1"/>
      <c r="L80" s="1"/>
      <c r="M80" s="1"/>
      <c r="N80" s="1"/>
      <c r="O80" s="1"/>
    </row>
    <row r="81" spans="9:69" ht="15">
      <c r="I81" s="1"/>
      <c r="J81" s="1"/>
      <c r="K81" s="1"/>
      <c r="L81" s="1"/>
      <c r="M81" s="1"/>
      <c r="N81" s="1"/>
      <c r="O81" s="1"/>
    </row>
    <row r="82" spans="9:69" ht="15">
      <c r="I82" s="1"/>
      <c r="J82" s="1"/>
      <c r="K82" s="1"/>
      <c r="L82" s="1"/>
      <c r="M82" s="1"/>
      <c r="N82" s="1"/>
      <c r="O82" s="1"/>
    </row>
    <row r="83" spans="9:69" ht="15">
      <c r="I83" s="1"/>
      <c r="J83" s="1"/>
      <c r="K83" s="1"/>
      <c r="L83" s="1"/>
      <c r="M83" s="1"/>
      <c r="N83" s="1"/>
      <c r="O83" s="1"/>
    </row>
    <row r="84" spans="9:69" ht="15">
      <c r="I84" s="1"/>
      <c r="J84" s="1"/>
      <c r="K84" s="1"/>
      <c r="L84" s="1"/>
      <c r="M84" s="1"/>
      <c r="N84" s="1"/>
      <c r="O84" s="1"/>
    </row>
    <row r="85" spans="9:69" ht="15">
      <c r="I85" s="1"/>
      <c r="J85" s="1"/>
      <c r="K85" s="1"/>
      <c r="L85" s="1"/>
      <c r="M85" s="1"/>
      <c r="N85" s="1"/>
      <c r="O85" s="1"/>
    </row>
    <row r="86" spans="9:69" ht="15">
      <c r="I86" s="1"/>
      <c r="J86" s="1"/>
      <c r="K86" s="1"/>
      <c r="L86" s="1"/>
      <c r="M86" s="1"/>
      <c r="N86" s="1"/>
      <c r="O86" s="1"/>
    </row>
    <row r="87" spans="9:69" ht="15">
      <c r="I87" s="1"/>
      <c r="J87" s="1"/>
      <c r="K87" s="1"/>
      <c r="L87" s="1"/>
      <c r="M87" s="1">
        <f>66197</f>
        <v>66197</v>
      </c>
      <c r="N87" s="1">
        <v>0.15</v>
      </c>
      <c r="O87" s="1">
        <f>N87*M87</f>
        <v>9929.5499999999993</v>
      </c>
    </row>
    <row r="88" spans="9:69" ht="15">
      <c r="I88" s="1"/>
      <c r="J88" s="55"/>
      <c r="K88" s="1"/>
      <c r="L88" s="1"/>
      <c r="M88" s="1"/>
      <c r="N88" s="1"/>
      <c r="O88" s="1"/>
    </row>
    <row r="89" spans="9:69" ht="15">
      <c r="I89" s="1"/>
      <c r="J89" s="1"/>
      <c r="K89" s="1"/>
      <c r="L89" s="1"/>
      <c r="M89" s="1"/>
      <c r="N89" s="1"/>
      <c r="O89" s="1"/>
    </row>
    <row r="90" spans="9:69" ht="15">
      <c r="I90" s="1"/>
      <c r="J90" s="1"/>
      <c r="K90" s="1"/>
      <c r="L90" s="1"/>
      <c r="M90" s="1"/>
      <c r="N90" s="1"/>
      <c r="O90" s="1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</row>
    <row r="91" spans="9:69" ht="15">
      <c r="I91" s="1"/>
      <c r="J91" s="1"/>
      <c r="K91" s="1"/>
      <c r="L91" s="1"/>
      <c r="M91" s="1"/>
      <c r="N91" s="1"/>
      <c r="O91" s="1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</row>
    <row r="92" spans="9:69" ht="15">
      <c r="I92" s="1"/>
      <c r="J92" s="1"/>
      <c r="K92" s="1"/>
      <c r="L92" s="1"/>
      <c r="M92" s="1"/>
      <c r="N92" s="1"/>
      <c r="O92" s="1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</row>
    <row r="93" spans="9:69" ht="15">
      <c r="I93" s="1"/>
      <c r="J93" s="1"/>
      <c r="K93" s="1"/>
      <c r="L93" s="1"/>
      <c r="M93" s="1"/>
      <c r="N93" s="1"/>
      <c r="O93" s="1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</row>
    <row r="94" spans="9:69" ht="15">
      <c r="I94" s="1"/>
      <c r="J94" s="1"/>
      <c r="K94" s="1"/>
      <c r="L94" s="1"/>
      <c r="M94" s="1"/>
      <c r="N94" s="1"/>
      <c r="O94" s="1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</row>
    <row r="95" spans="9:69" ht="15.75">
      <c r="I95" s="106"/>
      <c r="J95" s="106"/>
      <c r="K95" s="106"/>
      <c r="L95" s="106"/>
      <c r="M95" s="106"/>
      <c r="N95" s="106"/>
      <c r="O95" s="106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</row>
    <row r="96" spans="9:69" ht="15"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</row>
    <row r="97" spans="10:25" ht="18">
      <c r="P97" s="10" t="str">
        <f>"Đọc giá trị số thành chữ"</f>
        <v>Đọc giá trị số thành chữ</v>
      </c>
      <c r="Q97" s="37"/>
      <c r="R97" s="37"/>
      <c r="S97" s="11"/>
      <c r="T97" s="37"/>
      <c r="U97" s="37"/>
      <c r="V97" s="37"/>
      <c r="W97" s="37"/>
      <c r="X97" s="37"/>
      <c r="Y97" s="38"/>
    </row>
    <row r="98" spans="10:25" ht="18.75">
      <c r="P98" s="12" t="s">
        <v>146</v>
      </c>
      <c r="Q98" s="37"/>
      <c r="R98" s="37"/>
      <c r="S98" s="13" t="str">
        <f>"© VVC, modify by Tuan dt"</f>
        <v>© VVC, modify by Tuan dt</v>
      </c>
      <c r="T98" s="37"/>
      <c r="U98" s="37"/>
      <c r="V98" s="37"/>
      <c r="W98" s="37"/>
      <c r="X98" s="37"/>
      <c r="Y98" s="38"/>
    </row>
    <row r="99" spans="10:25" ht="18.75">
      <c r="P99" s="14"/>
      <c r="Q99" s="37"/>
      <c r="R99" s="37"/>
      <c r="S99" s="11" t="s">
        <v>146</v>
      </c>
      <c r="T99" s="37"/>
      <c r="U99" s="37"/>
      <c r="V99" s="37"/>
      <c r="W99" s="37" t="s">
        <v>146</v>
      </c>
      <c r="X99" s="37"/>
      <c r="Y99" s="38"/>
    </row>
    <row r="100" spans="10:25" ht="18">
      <c r="P100" s="37">
        <v>1</v>
      </c>
      <c r="Q100" s="37">
        <v>6</v>
      </c>
      <c r="R100" s="37"/>
      <c r="S100" s="11"/>
      <c r="T100" s="37"/>
      <c r="U100" s="37"/>
      <c r="V100" s="37"/>
      <c r="W100" s="37"/>
      <c r="X100" s="37"/>
      <c r="Y100" s="38"/>
    </row>
    <row r="101" spans="10:25" ht="18.75" thickBot="1">
      <c r="J101" s="55"/>
      <c r="P101" s="37"/>
      <c r="Q101" s="37"/>
      <c r="R101" s="37"/>
      <c r="S101" s="37"/>
      <c r="T101" s="37"/>
      <c r="U101" s="37"/>
      <c r="V101" s="37"/>
      <c r="W101" s="37"/>
      <c r="X101" s="37"/>
      <c r="Y101" s="38"/>
    </row>
    <row r="102" spans="10:25" ht="19.5" thickBot="1">
      <c r="P102" s="15" t="str">
        <f>"Giá trị số cần đổi:"</f>
        <v>Giá trị số cần đổi:</v>
      </c>
      <c r="Q102" s="39">
        <f>G46</f>
        <v>2273182000</v>
      </c>
      <c r="R102" s="379" t="str">
        <f>IF(ROUND(VALUE(10*(100*Q102-INT(100*Q102))),0)&gt;0,"Chỉ có 2 chữ số sau dấu phẩy","")</f>
        <v/>
      </c>
      <c r="S102" s="37"/>
      <c r="T102" s="37"/>
      <c r="U102" s="37"/>
      <c r="V102" s="37"/>
      <c r="W102" s="37"/>
      <c r="X102" s="37"/>
      <c r="Y102" s="38"/>
    </row>
    <row r="103" spans="10:25" ht="18.75">
      <c r="P103" s="40" t="s">
        <v>146</v>
      </c>
      <c r="Q103" s="16" t="str">
        <f ca="1">IF(Q102&gt;=1000000000000,"Công thức này chỉ có thể đếm thành chữ dưới 1000 tỷ",IF(ABS(Q102)&lt;1,"không",IF(Q102&lt;0,"âm ","")&amp;IF(Q105=0,"",R105)&amp;IF(AND(Q106=0,Q107=0),"",S106)&amp;IF(Q108=0,"",R108)&amp;IF(AND(Q109=0,Q110=0),"",S109)&amp;IF(Q111=0,"",R111)&amp;IF(AND(Q112=0,Q113=0),"",S112)&amp;IF(Q114=0,"",R114)&amp;IF(AND(Q115=0,Q116=0),"",IF(AND(Q115=0,Q116=1),"một",S115)))&amp;CELL("contents",V106))&amp;IF(T123=0,"",IF(P103=1,T122,S118))</f>
        <v>hai tỷ, hai trăm bẩy mươi ba triệu, một trăm  tám mươi  hai nghìn  đồng chẵn</v>
      </c>
      <c r="R103" s="41"/>
      <c r="S103" s="41"/>
      <c r="T103" s="41"/>
      <c r="U103" s="41"/>
      <c r="V103" s="41"/>
      <c r="W103" s="41"/>
      <c r="X103" s="41"/>
      <c r="Y103" s="38"/>
    </row>
    <row r="104" spans="10:25" ht="18.75">
      <c r="P104" s="17" t="str">
        <f>"đếm từng chữ một"</f>
        <v>đếm từng chữ một</v>
      </c>
      <c r="Q104" s="18" t="str">
        <f>IF(Q102&lt;0,"minus   ","")&amp;SUBSTITUTE(SUBSTITUTE(SUBSTITUTE(SUBSTITUTE(Q120,8,"tám   "),9,"chín   "),",","phẩy   "),"-","")</f>
        <v xml:space="preserve">hai   hai   bẩy   ba   một   tám   hai   không   không   không   </v>
      </c>
      <c r="R104" s="42"/>
      <c r="S104" s="37"/>
      <c r="T104" s="37"/>
      <c r="U104" s="37"/>
      <c r="V104" s="37" t="s">
        <v>147</v>
      </c>
      <c r="W104" s="37"/>
      <c r="X104" s="37"/>
      <c r="Y104" s="38"/>
    </row>
    <row r="105" spans="10:25" ht="18.75">
      <c r="P105" s="17" t="str">
        <f>"hàng trăm tỷ"</f>
        <v>hàng trăm tỷ</v>
      </c>
      <c r="Q105" s="19">
        <f>VALUE(RIGHT(INT(ABS(Q102)/100000000000)))</f>
        <v>0</v>
      </c>
      <c r="R105" s="20" t="str">
        <f>IF(Q105=1,"một",IF(Q105=2,"hai",IF(Q105=3,"ba",IF(Q105=4,"bốn",IF(Q105=5,"năm",IF(Q105=6,"sáu",IF(Q105=7,"bẩy",IF(Q105=8,"tám","chín"))))))))&amp;" trăm "&amp;IF(AND(Q106=0,Q107=0),"tỷ","")</f>
        <v xml:space="preserve">chín trăm </v>
      </c>
      <c r="S105" s="31"/>
      <c r="T105" s="43"/>
      <c r="U105" s="37"/>
      <c r="V105" s="37">
        <v>1</v>
      </c>
      <c r="W105" s="37">
        <v>2</v>
      </c>
      <c r="X105" s="37">
        <v>3</v>
      </c>
      <c r="Y105" s="38"/>
    </row>
    <row r="106" spans="10:25" ht="18.75">
      <c r="P106" s="17" t="str">
        <f>"hàng chục tỷ"</f>
        <v>hàng chục tỷ</v>
      </c>
      <c r="Q106" s="19">
        <f>VALUE(RIGHT(INT(ABS(Q102)/10000000000)))</f>
        <v>0</v>
      </c>
      <c r="R106" s="20" t="str">
        <f>IF(Q106=1,"mười",IF(Q106=2," hai mươi",IF(Q106=3,"ba mươi",IF(Q106=4,"bốn mươi",IF(Q106=5,"năm mươi",IF(Q106=6,"sáu mươi",IF(Q106=7,"bẩy mươi",IF(Q106=8,"tám mươi","chín mươi"))))))))</f>
        <v>chín mươi</v>
      </c>
      <c r="S106" s="21" t="str">
        <f>IF(AND(Q106=0,Q107=1),"một tỷ ",IF(AND(Q106=1,Q107=1),"mười một",IF(AND(Q106=1,Q107=2),"mười hai",IF(AND(Q106=1,Q107=6),"mười sáu",IF(AND(Q106=1,Q107=7),"mười bẩy",IF(Q107=0,R106,IF(Q106=0,R107,R106&amp;IF(Q106&gt;1," ","")&amp;R107))))))&amp;" tỷ, ")</f>
        <v xml:space="preserve">hai tỷ, </v>
      </c>
      <c r="T106" s="44"/>
      <c r="U106" s="37"/>
      <c r="V106" s="22" t="str">
        <f>INDEX(V107:X123,P100,2)</f>
        <v xml:space="preserve"> đồng chẵn</v>
      </c>
      <c r="W106" s="22" t="str">
        <f>INDEX(V107:X123,P100,3)</f>
        <v xml:space="preserve"> xu</v>
      </c>
      <c r="X106" s="37"/>
      <c r="Y106" s="38"/>
    </row>
    <row r="107" spans="10:25" ht="18.75">
      <c r="P107" s="17" t="str">
        <f>"hàng tỷ"</f>
        <v>hàng tỷ</v>
      </c>
      <c r="Q107" s="23">
        <f>VALUE(RIGHT(INT(ABS(Q102)/1000000000)))</f>
        <v>2</v>
      </c>
      <c r="R107" s="20" t="str">
        <f>IF(Q107=1,"một",IF(Q107=2,"hai",IF(Q107=3,"ba",IF(Q107=4,"bốn",IF(Q107=5,"năm",IF(Q107=6,"sáu",IF(Q107=7,"bẩy",IF(Q107=8,"tám","chín"))))))))</f>
        <v>hai</v>
      </c>
      <c r="S107" s="45"/>
      <c r="T107" s="46"/>
      <c r="U107" s="37"/>
      <c r="V107" s="20" t="s">
        <v>149</v>
      </c>
      <c r="W107" s="20" t="s">
        <v>150</v>
      </c>
      <c r="X107" s="20" t="s">
        <v>151</v>
      </c>
      <c r="Y107" s="38"/>
    </row>
    <row r="108" spans="10:25" ht="18.75">
      <c r="P108" s="17" t="str">
        <f>"hàng trăm triệu"</f>
        <v>hàng trăm triệu</v>
      </c>
      <c r="Q108" s="24">
        <f>VALUE(RIGHT(INT(ABS(Q102)/100000000)))</f>
        <v>2</v>
      </c>
      <c r="R108" s="25" t="str">
        <f>IF(Q108=1,"một",IF(Q108=2,"hai",IF(Q108=3,"ba",IF(Q108=4,"bốn",IF(Q108=5,"năm",IF(Q108=6,"sáu",IF(Q108=7,"bẩy",IF(Q108=8,"tám","chín"))))))))&amp;" trăm "&amp;IF(AND(Q109=0,Q110=0),"triệu","")</f>
        <v xml:space="preserve">hai trăm </v>
      </c>
      <c r="S108" s="47"/>
      <c r="T108" s="48"/>
      <c r="U108" s="37"/>
      <c r="V108" s="20" t="s">
        <v>153</v>
      </c>
      <c r="W108" s="20" t="s">
        <v>154</v>
      </c>
      <c r="X108" s="20" t="s">
        <v>155</v>
      </c>
      <c r="Y108" s="38"/>
    </row>
    <row r="109" spans="10:25" ht="18.75">
      <c r="P109" s="17" t="str">
        <f>"hàng chục triệu"</f>
        <v>hàng chục triệu</v>
      </c>
      <c r="Q109" s="24">
        <f>VALUE(RIGHT(INT(ABS(Q102)/10000000)))</f>
        <v>7</v>
      </c>
      <c r="R109" s="25" t="str">
        <f>IF(Q109=1,"mười ",IF(Q109=2,"hai mươi",IF(Q109=3,"ba mươi",IF(Q109=4,"bốn mươi",IF(Q109=5,"năm mươi",IF(Q109=6,"sáu mươi",IF(Q109=7,"bẩy mươi",IF(Q109=8,"tám mươi","chín mươi"))))))))</f>
        <v>bẩy mươi</v>
      </c>
      <c r="S109" s="26" t="str">
        <f>IF(AND(Q109=0,Q110=1),"một triệu",IF(AND(Q109=1,Q110=1),"mười một",IF(AND(Q109=1,Q110=2),"mười hai",IF(AND(Q109=1,Q110=6),"mười sáu",IF(AND(Q109=1,Q110=7),"mười bẩy",IF(Q110=0,R109,IF(Q109=0,"linh "&amp;R110,R109&amp;IF(Q109&gt;1," ","")&amp;R110))))))&amp;" triệu,")</f>
        <v>bẩy mươi ba triệu,</v>
      </c>
      <c r="T109" s="49"/>
      <c r="U109" s="37"/>
      <c r="V109" s="20" t="s">
        <v>157</v>
      </c>
      <c r="W109" s="20" t="s">
        <v>158</v>
      </c>
      <c r="X109" s="20" t="s">
        <v>159</v>
      </c>
      <c r="Y109" s="38"/>
    </row>
    <row r="110" spans="10:25" ht="18.75">
      <c r="P110" s="17" t="str">
        <f>"hàng triệu"</f>
        <v>hàng triệu</v>
      </c>
      <c r="Q110" s="24">
        <f>VALUE(RIGHT(INT(ABS(Q102)/1000000)))</f>
        <v>3</v>
      </c>
      <c r="R110" s="25" t="str">
        <f>IF(Q110=1,"một",IF(Q110=2,"hai",IF(Q110=3,"ba",IF(Q110=4,"bốn",IF(Q110=5,"năm",IF(Q110=6,"sáu",IF(Q110=7,"bẩy",IF(Q110=8,"tám","chín"))))))))</f>
        <v>ba</v>
      </c>
      <c r="S110" s="26"/>
      <c r="T110" s="49"/>
      <c r="U110" s="37"/>
      <c r="V110" s="20" t="s">
        <v>161</v>
      </c>
      <c r="W110" s="20" t="s">
        <v>162</v>
      </c>
      <c r="X110" s="20" t="s">
        <v>163</v>
      </c>
      <c r="Y110" s="38"/>
    </row>
    <row r="111" spans="10:25" ht="18.75">
      <c r="P111" s="17" t="str">
        <f>"hàng trăm nghìn"</f>
        <v>hàng trăm nghìn</v>
      </c>
      <c r="Q111" s="27">
        <f>VALUE(RIGHT(INT(ABS(Q102)/100000)))</f>
        <v>1</v>
      </c>
      <c r="R111" s="20" t="str">
        <f>IF(Q111=1," một",IF(Q111=2," hai",IF(Q111=3," ba",IF(Q111=4," bốn",IF(Q111=5," năm",IF(Q111=6," sáu",IF(Q111=7," bẩy",IF(Q111=8," tám"," chín"))))))))&amp;" trăm "&amp;IF(AND(Q112=0,Q113=0)," nghìn","")</f>
        <v xml:space="preserve"> một trăm </v>
      </c>
      <c r="S111" s="31"/>
      <c r="T111" s="43"/>
      <c r="U111" s="37"/>
      <c r="V111" s="20" t="s">
        <v>165</v>
      </c>
      <c r="W111" s="20" t="s">
        <v>166</v>
      </c>
      <c r="X111" s="20" t="s">
        <v>167</v>
      </c>
      <c r="Y111" s="38"/>
    </row>
    <row r="112" spans="10:25" ht="18.75">
      <c r="P112" s="17" t="str">
        <f>"hàng chục nghìn"</f>
        <v>hàng chục nghìn</v>
      </c>
      <c r="Q112" s="27">
        <f>VALUE(RIGHT(INT(ABS(Q102)/10000)))</f>
        <v>8</v>
      </c>
      <c r="R112" s="20" t="str">
        <f>IF(Q112=1,"mười ",IF(Q112=2," hai mươi ",IF(Q112=3," ba mươi ",IF(Q112=4," bốn mươi ",IF(Q112=5," năm mươi ",IF(Q112=6," sáu mươi ",IF(Q112=7," bẩy mươi ",IF(Q112=8," tám mươi "," chín mươi "))))))))</f>
        <v xml:space="preserve"> tám mươi </v>
      </c>
      <c r="S112" s="21" t="str">
        <f>IF(AND(Q112=1,Q113=1)," mười một",IF(AND(Q112=1,Q113=2)," mười hai",IF(AND(Q112=1,Q113=6)," mười sáu",IF(AND(Q112=1,Q113=7)," mười bẩy",IF(Q113=0,R112,IF(Q112=0,"linh"&amp;R113,R112&amp;IF(Q112&gt;1,"","")&amp;R113))))))&amp;" nghìn "</f>
        <v xml:space="preserve"> tám mươi  hai nghìn </v>
      </c>
      <c r="T112" s="44"/>
      <c r="U112" s="37"/>
      <c r="V112" s="20" t="s">
        <v>169</v>
      </c>
      <c r="W112" s="20" t="s">
        <v>170</v>
      </c>
      <c r="X112" s="20" t="s">
        <v>171</v>
      </c>
      <c r="Y112" s="38"/>
    </row>
    <row r="113" spans="9:69" ht="18.75">
      <c r="P113" s="17" t="str">
        <f>"hàng nghìn"</f>
        <v>hàng nghìn</v>
      </c>
      <c r="Q113" s="27">
        <f>VALUE(RIGHT(INT(ABS(Q102)/1000)))</f>
        <v>2</v>
      </c>
      <c r="R113" s="20" t="str">
        <f>IF(Q113=1," một",IF(Q113=2," hai",IF(Q113=3," ba",IF(Q113=4," bốn",IF(Q113=5," năm",IF(Q113=6," sáu",IF(Q113=7," bẩy",IF(Q113=8," tám"," chín"))))))))</f>
        <v xml:space="preserve"> hai</v>
      </c>
      <c r="S113" s="21"/>
      <c r="T113" s="44"/>
      <c r="U113" s="37"/>
      <c r="V113" s="20" t="s">
        <v>173</v>
      </c>
      <c r="W113" s="20" t="s">
        <v>174</v>
      </c>
      <c r="X113" s="20" t="s">
        <v>175</v>
      </c>
      <c r="Y113" s="38"/>
    </row>
    <row r="114" spans="9:69" ht="18.75">
      <c r="P114" s="17" t="str">
        <f>"hàng trăm"</f>
        <v>hàng trăm</v>
      </c>
      <c r="Q114" s="28">
        <f>VALUE(RIGHT(INT(ABS(Q102)/100)))</f>
        <v>0</v>
      </c>
      <c r="R114" s="29" t="str">
        <f>IF(Q114=1,"một",IF(Q114=2,"hai",IF(Q114=3,"ba",IF(Q114=4,"bốn",IF(Q114=5,"năm",IF(Q114=6,"sáu",IF(Q114=7,"bẩy",IF(Q114=8,"tám","chín"))))))))&amp;" trăm "</f>
        <v xml:space="preserve">chín trăm </v>
      </c>
      <c r="S114" s="50"/>
      <c r="T114" s="51"/>
      <c r="U114" s="37"/>
      <c r="V114" s="20" t="s">
        <v>177</v>
      </c>
      <c r="W114" s="20" t="s">
        <v>178</v>
      </c>
      <c r="X114" s="20" t="s">
        <v>155</v>
      </c>
      <c r="Y114" s="38"/>
    </row>
    <row r="115" spans="9:69" ht="18.75">
      <c r="P115" s="17" t="str">
        <f>"hàng chục"</f>
        <v>hàng chục</v>
      </c>
      <c r="Q115" s="28">
        <f>VALUE(RIGHT(INT(ABS(Q102)/10)))</f>
        <v>0</v>
      </c>
      <c r="R115" s="29" t="str">
        <f>IF(Q115=1,",mười ",IF(Q115=2,"hai mươi ",IF(Q115=3,"ba mươi ",IF(Q115=4,"bốn mươi ",IF(Q115=5,"năm mươi ",IF(Q115=6,"sáu mươi ",IF(Q115=7,"bẩy mươi ",IF(Q115=8,"tám mươi ","chín mươi "))))))))</f>
        <v xml:space="preserve">chín mươi </v>
      </c>
      <c r="S115" s="30" t="str">
        <f>IF(AND(Q115=1,Q116=1),"mười một",IF(AND(Q115=1,Q116=2),"mười hai",IF(AND(Q115=1,Q116=6),"mười sáu",IF(AND(Q115=1,Q116=7),"mười bẩy",IF(Q116=0,R115,IF(Q115=0,R116,IF(Q115&gt;1,"","")&amp;R115&amp;R116))))))</f>
        <v xml:space="preserve">chín mươi </v>
      </c>
      <c r="T115" s="52"/>
      <c r="U115" s="37"/>
      <c r="V115" s="20" t="s">
        <v>180</v>
      </c>
      <c r="W115" s="20" t="s">
        <v>181</v>
      </c>
      <c r="X115" s="20" t="s">
        <v>182</v>
      </c>
      <c r="Y115" s="38"/>
    </row>
    <row r="116" spans="9:69" ht="18.75">
      <c r="P116" s="17" t="str">
        <f>"hàng đơn vị"</f>
        <v>hàng đơn vị</v>
      </c>
      <c r="Q116" s="28">
        <f>VALUE(RIGHT(INT(ABS(Q102))))</f>
        <v>0</v>
      </c>
      <c r="R116" s="29" t="str">
        <f>IF(Q116=1,"một",IF(Q116=2,"hai",IF(Q116=3,"ba",IF(Q116=4,"bốn",IF(Q116=5,"năm",IF(Q116=6,"sáu",IF(Q116=7,"bẩy",IF(Q116=8,"tám","chín"))))))))</f>
        <v>chín</v>
      </c>
      <c r="S116" s="53"/>
      <c r="T116" s="54"/>
      <c r="U116" s="37"/>
      <c r="V116" s="20" t="s">
        <v>184</v>
      </c>
      <c r="W116" s="20" t="s">
        <v>185</v>
      </c>
      <c r="X116" s="20" t="s">
        <v>186</v>
      </c>
      <c r="Y116" s="38"/>
    </row>
    <row r="117" spans="9:69" ht="18.75">
      <c r="P117" s="17"/>
      <c r="Q117" s="12" t="str">
        <f>"Giá trị sau dấu phẩy"</f>
        <v>Giá trị sau dấu phẩy</v>
      </c>
      <c r="R117" s="37"/>
      <c r="S117" s="37"/>
      <c r="T117" s="37"/>
      <c r="U117" s="37"/>
      <c r="V117" s="20" t="s">
        <v>187</v>
      </c>
      <c r="W117" s="20" t="s">
        <v>188</v>
      </c>
      <c r="X117" s="20" t="s">
        <v>155</v>
      </c>
      <c r="Y117" s="38"/>
    </row>
    <row r="118" spans="9:69" ht="18.75">
      <c r="P118" s="17" t="str">
        <f>"hàng chục"</f>
        <v>hàng chục</v>
      </c>
      <c r="Q118" s="27">
        <f>VALUE(RIGHT(INT(ABS(T123)/10)))</f>
        <v>0</v>
      </c>
      <c r="R118" s="20" t="str">
        <f>IF(Q118=1,"mười",IF(Q118=2,"hai mươi",IF(Q118=3,"ba mươi",IF(Q118=4,"bốn mươi",IF(Q118=5,"năm mươi",IF(Q118=6,"sáu mươi",IF(Q118=7,"bẩy mươi",IF(Q118=8,"tám mươi","chín mươi"))))))))</f>
        <v>chín mươi</v>
      </c>
      <c r="S118" s="31" t="str">
        <f ca="1">" và "&amp;IF(T123&lt;10,"không ","")&amp;IF(T123=1,"một",IF(AND(Q118=1,Q119=1),"mười một",IF(AND(Q118=1,Q119=2),"mười hai",IF(AND(Q118=1,Q119=6),"mười sáu",IF(AND(Q118=1,Q119=7),"mười bẩy",IF(Q119=0,R118,IF(Q118=0,R119,R118&amp;IF(Q118&gt;1," ","")&amp;R119&amp;""))))))&amp;CELL("contents",W106))</f>
        <v xml:space="preserve"> và không chín mươi xu</v>
      </c>
      <c r="T118" s="43"/>
      <c r="U118" s="37"/>
      <c r="V118" s="20" t="s">
        <v>189</v>
      </c>
      <c r="W118" s="20" t="s">
        <v>190</v>
      </c>
      <c r="X118" s="20" t="s">
        <v>155</v>
      </c>
      <c r="Y118" s="38"/>
    </row>
    <row r="119" spans="9:69" ht="18.75">
      <c r="P119" s="17" t="str">
        <f>"hàng đơn vị"</f>
        <v>hàng đơn vị</v>
      </c>
      <c r="Q119" s="27">
        <f>VALUE(RIGHT(INT(ABS(T123))))</f>
        <v>0</v>
      </c>
      <c r="R119" s="20" t="str">
        <f>IF(Q119=1,"một",IF(Q119=2,"hai",IF(Q119=3,"ba",IF(Q119=4,"bốn",IF(Q119=5,"năm",IF(Q119=6,"sáu",IF(Q119=7,"bẩy",IF(Q119=8,"tám","chín"))))))))</f>
        <v>chín</v>
      </c>
      <c r="S119" s="45"/>
      <c r="T119" s="46"/>
      <c r="U119" s="37"/>
      <c r="V119" s="20"/>
      <c r="W119" s="20"/>
      <c r="X119" s="20"/>
      <c r="Y119" s="38"/>
    </row>
    <row r="120" spans="9:69" ht="18">
      <c r="P120" s="37"/>
      <c r="Q120" s="32" t="str">
        <f>SUBSTITUTE(SUBSTITUTE(SUBSTITUTE(SUBSTITUTE(SUBSTITUTE(SUBSTITUTE(SUBSTITUTE(SUBSTITUTE(Q102,0,"không   "),1,"một   "),2,"hai   "),3,"ba   "),4,"bốn   "),5,"năm   "),6,"sáu   "),7,"bẩy   ")</f>
        <v xml:space="preserve">hai   hai   bẩy   ba   một   8hai   không   không   không   </v>
      </c>
      <c r="R120" s="37"/>
      <c r="S120" s="37"/>
      <c r="T120" s="37"/>
      <c r="U120" s="37"/>
      <c r="V120" s="20"/>
      <c r="W120" s="20"/>
      <c r="X120" s="20"/>
      <c r="Y120" s="38"/>
    </row>
    <row r="121" spans="9:69" ht="18">
      <c r="P121" s="37"/>
      <c r="Q121" s="37"/>
      <c r="R121" s="37"/>
      <c r="S121" s="37"/>
      <c r="T121" s="37"/>
      <c r="U121" s="37"/>
      <c r="V121" s="20"/>
      <c r="W121" s="20"/>
      <c r="X121" s="20"/>
      <c r="Y121" s="38"/>
    </row>
    <row r="122" spans="9:69" ht="18">
      <c r="P122" s="37"/>
      <c r="Q122" s="33">
        <f>ABS(100*(MOD(Q102,1)-(Q102&lt;0)))</f>
        <v>0</v>
      </c>
      <c r="R122" s="37"/>
      <c r="S122" s="37"/>
      <c r="T122" s="34" t="str">
        <f>TEXT(T123,"   00")&amp;"/100"</f>
        <v xml:space="preserve">   00/100</v>
      </c>
      <c r="U122" s="37"/>
      <c r="V122" s="20"/>
      <c r="W122" s="20"/>
      <c r="X122" s="20"/>
      <c r="Y122" s="38"/>
    </row>
    <row r="123" spans="9:69" ht="18">
      <c r="I123" s="80"/>
      <c r="J123" s="80"/>
      <c r="K123" s="80"/>
      <c r="L123" s="80"/>
      <c r="M123" s="80"/>
      <c r="N123" s="80"/>
      <c r="O123" s="80"/>
      <c r="P123" s="37"/>
      <c r="Q123" s="35">
        <f>ROUND(100*(ABS(Q102)-INT(ABS(Q102))),0)</f>
        <v>0</v>
      </c>
      <c r="R123" s="37"/>
      <c r="S123" s="37"/>
      <c r="T123" s="36">
        <f>IF(P103=0,0,ROUND(100*(ABS(Q102)-INT(ABS(Q102))),0))</f>
        <v>0</v>
      </c>
      <c r="U123" s="37"/>
      <c r="V123" s="20"/>
      <c r="W123" s="20"/>
      <c r="X123" s="20"/>
      <c r="Y123" s="38"/>
    </row>
    <row r="124" spans="9:69" ht="15"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</row>
    <row r="125" spans="9:69" ht="15"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</row>
    <row r="126" spans="9:69" ht="15">
      <c r="I126" s="80"/>
      <c r="J126" s="80"/>
      <c r="K126" s="80"/>
      <c r="L126" s="80"/>
      <c r="M126" s="80"/>
      <c r="N126" s="80"/>
      <c r="O126" s="80"/>
    </row>
    <row r="127" spans="9:69" ht="15">
      <c r="I127" s="80"/>
      <c r="J127" s="80"/>
      <c r="K127" s="80"/>
      <c r="L127" s="80"/>
      <c r="M127" s="80"/>
      <c r="N127" s="80"/>
      <c r="O127" s="80"/>
    </row>
    <row r="128" spans="9:69" ht="15">
      <c r="I128" s="80"/>
      <c r="J128" s="80"/>
      <c r="K128" s="80"/>
      <c r="L128" s="80"/>
      <c r="M128" s="80"/>
      <c r="N128" s="80"/>
      <c r="O128" s="80"/>
    </row>
    <row r="129" spans="9:15" ht="15">
      <c r="I129" s="80"/>
      <c r="J129" s="80"/>
      <c r="K129" s="80"/>
      <c r="L129" s="80"/>
      <c r="M129" s="80"/>
      <c r="N129" s="80"/>
      <c r="O129" s="80"/>
    </row>
    <row r="157" spans="9:15" ht="15">
      <c r="I157" s="80"/>
      <c r="J157" s="80"/>
      <c r="K157" s="80"/>
      <c r="L157" s="80"/>
      <c r="M157" s="80"/>
      <c r="N157" s="80"/>
      <c r="O157" s="80"/>
    </row>
    <row r="158" spans="9:15" ht="15">
      <c r="I158" s="80"/>
      <c r="J158" s="80"/>
      <c r="K158" s="80"/>
      <c r="L158" s="80"/>
      <c r="M158" s="80"/>
      <c r="N158" s="80"/>
      <c r="O158" s="80"/>
    </row>
  </sheetData>
  <mergeCells count="22">
    <mergeCell ref="E59:G59"/>
    <mergeCell ref="A18:A19"/>
    <mergeCell ref="B18:B19"/>
    <mergeCell ref="C18:C19"/>
    <mergeCell ref="F18:F19"/>
    <mergeCell ref="G18:G19"/>
    <mergeCell ref="E49:G49"/>
    <mergeCell ref="E50:G50"/>
    <mergeCell ref="E51:G51"/>
    <mergeCell ref="E58:F58"/>
    <mergeCell ref="A2:G2"/>
    <mergeCell ref="A3:G3"/>
    <mergeCell ref="A4:B4"/>
    <mergeCell ref="A8:G8"/>
    <mergeCell ref="A9:G9"/>
    <mergeCell ref="A10:G10"/>
    <mergeCell ref="A11:G11"/>
    <mergeCell ref="A13:G13"/>
    <mergeCell ref="A15:G15"/>
    <mergeCell ref="C16:C17"/>
    <mergeCell ref="E16:F17"/>
    <mergeCell ref="A12:G12"/>
  </mergeCells>
  <pageMargins left="0.8" right="0" top="0.15" bottom="0.15" header="0.5" footer="0.5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BQ157"/>
  <sheetViews>
    <sheetView workbookViewId="0">
      <selection activeCell="E41" sqref="E41:G41"/>
    </sheetView>
  </sheetViews>
  <sheetFormatPr defaultColWidth="8.85546875" defaultRowHeight="12.75"/>
  <cols>
    <col min="1" max="1" width="4.42578125" customWidth="1"/>
    <col min="2" max="2" width="31.85546875" customWidth="1"/>
    <col min="3" max="3" width="14" customWidth="1"/>
    <col min="4" max="4" width="11.7109375" customWidth="1"/>
    <col min="5" max="5" width="14.42578125" customWidth="1"/>
    <col min="6" max="6" width="14.85546875" customWidth="1"/>
    <col min="7" max="7" width="16" customWidth="1"/>
    <col min="9" max="9" width="5.28515625" customWidth="1"/>
    <col min="10" max="10" width="38.28515625" customWidth="1"/>
    <col min="12" max="12" width="10.7109375" customWidth="1"/>
    <col min="13" max="13" width="10.28515625" customWidth="1"/>
    <col min="14" max="14" width="10" customWidth="1"/>
    <col min="15" max="15" width="11.42578125" customWidth="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20.25" thickTop="1" thickBot="1">
      <c r="A2" s="704" t="s">
        <v>50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34.5" customHeight="1" thickTop="1">
      <c r="A3" s="715" t="s">
        <v>263</v>
      </c>
      <c r="B3" s="715"/>
      <c r="C3" s="715"/>
      <c r="D3" s="715"/>
      <c r="E3" s="715"/>
      <c r="F3" s="715"/>
      <c r="G3" s="71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6.5">
      <c r="A4" s="706" t="s">
        <v>52</v>
      </c>
      <c r="B4" s="706"/>
      <c r="C4" s="275">
        <v>200</v>
      </c>
      <c r="D4" s="61" t="s">
        <v>192</v>
      </c>
      <c r="E4" s="114" t="s">
        <v>54</v>
      </c>
      <c r="F4" s="115">
        <v>500</v>
      </c>
      <c r="G4" s="111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8.95" customHeight="1">
      <c r="A5" s="193" t="s">
        <v>58</v>
      </c>
      <c r="B5" s="194"/>
      <c r="C5" s="194"/>
      <c r="D5" s="195"/>
      <c r="E5" s="195"/>
      <c r="F5" s="195"/>
      <c r="G5" s="195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5" customHeight="1">
      <c r="A6" s="263" t="s">
        <v>201</v>
      </c>
      <c r="B6" s="198"/>
      <c r="C6" s="199"/>
      <c r="D6" s="199"/>
      <c r="E6" s="199"/>
      <c r="F6" s="199"/>
      <c r="G6" s="199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5" customHeight="1">
      <c r="A7" s="263" t="s">
        <v>258</v>
      </c>
      <c r="B7" s="198"/>
      <c r="C7" s="199"/>
      <c r="D7" s="199"/>
      <c r="E7" s="199"/>
      <c r="F7" s="199"/>
      <c r="G7" s="199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6.5">
      <c r="A8" s="688" t="s">
        <v>61</v>
      </c>
      <c r="B8" s="688"/>
      <c r="C8" s="688"/>
      <c r="D8" s="688"/>
      <c r="E8" s="688"/>
      <c r="F8" s="688"/>
      <c r="G8" s="688"/>
      <c r="H8" s="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s="111" customFormat="1" ht="18.75" customHeight="1">
      <c r="A9" s="693" t="s">
        <v>62</v>
      </c>
      <c r="B9" s="693"/>
      <c r="C9" s="693"/>
      <c r="D9" s="693"/>
      <c r="E9" s="693"/>
      <c r="F9" s="693"/>
      <c r="G9" s="693"/>
      <c r="I9" s="281"/>
      <c r="J9" s="282"/>
      <c r="K9" s="283"/>
      <c r="L9" s="285"/>
      <c r="M9" s="285"/>
      <c r="N9" s="285"/>
      <c r="O9" s="285"/>
    </row>
    <row r="10" spans="1:69" ht="15" customHeight="1">
      <c r="A10" s="695" t="s">
        <v>205</v>
      </c>
      <c r="B10" s="695"/>
      <c r="C10" s="695"/>
      <c r="D10" s="695"/>
      <c r="E10" s="695"/>
      <c r="F10" s="695"/>
      <c r="G10" s="695"/>
      <c r="H10" s="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30" customHeight="1">
      <c r="A11" s="695" t="s">
        <v>63</v>
      </c>
      <c r="B11" s="695"/>
      <c r="C11" s="695"/>
      <c r="D11" s="695"/>
      <c r="E11" s="695"/>
      <c r="F11" s="695"/>
      <c r="G11" s="695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30" customHeight="1">
      <c r="A12" s="707" t="s">
        <v>64</v>
      </c>
      <c r="B12" s="707"/>
      <c r="C12" s="707"/>
      <c r="D12" s="707"/>
      <c r="E12" s="707"/>
      <c r="F12" s="707"/>
      <c r="G12" s="707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16.5">
      <c r="A13" s="688" t="s">
        <v>65</v>
      </c>
      <c r="B13" s="688"/>
      <c r="C13" s="688"/>
      <c r="D13" s="688"/>
      <c r="E13" s="688"/>
      <c r="F13" s="688"/>
      <c r="G13" s="688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5" customHeight="1">
      <c r="A14" s="200"/>
      <c r="B14" s="201" t="s">
        <v>66</v>
      </c>
      <c r="C14" s="276">
        <f>C4</f>
        <v>200</v>
      </c>
      <c r="D14" s="225" t="str">
        <f>D4</f>
        <v>ha</v>
      </c>
      <c r="E14" s="201"/>
      <c r="F14" s="202"/>
      <c r="G14" s="203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57" customHeight="1">
      <c r="A15" s="689" t="s">
        <v>264</v>
      </c>
      <c r="B15" s="690"/>
      <c r="C15" s="690"/>
      <c r="D15" s="690"/>
      <c r="E15" s="690"/>
      <c r="F15" s="690"/>
      <c r="G15" s="690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9.5" customHeight="1">
      <c r="A16" s="204"/>
      <c r="B16" s="205" t="s">
        <v>68</v>
      </c>
      <c r="C16" s="691" t="s">
        <v>69</v>
      </c>
      <c r="D16" s="206" t="s">
        <v>70</v>
      </c>
      <c r="E16" s="692" t="s">
        <v>71</v>
      </c>
      <c r="F16" s="692"/>
      <c r="G16" s="203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17.25" thickBot="1">
      <c r="A17" s="204"/>
      <c r="B17" s="200"/>
      <c r="C17" s="691"/>
      <c r="D17" s="210" t="s">
        <v>72</v>
      </c>
      <c r="E17" s="692"/>
      <c r="F17" s="692"/>
      <c r="G17" s="203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42.75">
      <c r="A18" s="698" t="s">
        <v>26</v>
      </c>
      <c r="B18" s="696" t="s">
        <v>73</v>
      </c>
      <c r="C18" s="696" t="s">
        <v>74</v>
      </c>
      <c r="D18" s="314" t="s">
        <v>75</v>
      </c>
      <c r="E18" s="314" t="s">
        <v>76</v>
      </c>
      <c r="F18" s="696" t="s">
        <v>77</v>
      </c>
      <c r="G18" s="701" t="s">
        <v>78</v>
      </c>
      <c r="H18" s="1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26.25" customHeight="1" thickBot="1">
      <c r="A19" s="699"/>
      <c r="B19" s="697"/>
      <c r="C19" s="697"/>
      <c r="D19" s="317" t="s">
        <v>79</v>
      </c>
      <c r="E19" s="317" t="s">
        <v>79</v>
      </c>
      <c r="F19" s="697"/>
      <c r="G19" s="702"/>
      <c r="H19" s="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396">
        <v>1</v>
      </c>
      <c r="B20" s="320" t="s">
        <v>81</v>
      </c>
      <c r="C20" s="321" t="s">
        <v>82</v>
      </c>
      <c r="D20" s="608">
        <f>IF(D25&lt;5,281.45,IF(D25&gt;200,"Vượt quy mô",((D21-D22)/(D23-D24)*(D25-D24)+D22)))</f>
        <v>1840</v>
      </c>
      <c r="E20" s="608">
        <f>IF(E25&lt;5,37.01,IF(E25&gt;200,"Vượt quy mô",ROUND(((E21-E22)/(E23-E24)*(E25-E24)+E22),3)))</f>
        <v>115.99</v>
      </c>
      <c r="F20" s="403">
        <f>IF(F25&lt;200,12.3,IF(F25&gt;10000,2.8,ROUND(((F21-F22)/(F23-F24)*(F25-F24)+F22),3)))</f>
        <v>5.82</v>
      </c>
      <c r="G20" s="591">
        <f>IF(G25&lt;200,10.6,IF(G25&gt;10000,2.6,ROUND(((G21-G22)/(G23-G24)*(G25-G24)+G22),3)))</f>
        <v>5.42</v>
      </c>
      <c r="H20" s="1"/>
      <c r="I20" s="88"/>
      <c r="J20" s="88" t="s">
        <v>265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02">
        <v>2</v>
      </c>
      <c r="B21" s="303" t="s">
        <v>240</v>
      </c>
      <c r="C21" s="304" t="s">
        <v>84</v>
      </c>
      <c r="D21" s="84">
        <f>LOOKUP(D23,'Dinh muc'!$C$53:$J$54)</f>
        <v>1840</v>
      </c>
      <c r="E21" s="82">
        <f>LOOKUP(E23,'Dinh muc'!$C$53:$J$55)</f>
        <v>115.99</v>
      </c>
      <c r="F21" s="279">
        <f>LOOKUP(F23,  'Dinh muc'!$C$75:$J$76)+0.00000000001</f>
        <v>7.50000000001</v>
      </c>
      <c r="G21" s="596">
        <f>LOOKUP(G23, 'Dinh muc'!$C$75:$J$77)+0.000000000001</f>
        <v>7.1000000000009997</v>
      </c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3</v>
      </c>
      <c r="B22" s="303" t="s">
        <v>85</v>
      </c>
      <c r="C22" s="304" t="s">
        <v>86</v>
      </c>
      <c r="D22" s="84">
        <f>LOOKUP(D24,'Dinh muc'!$C$53:$J$54)</f>
        <v>1840</v>
      </c>
      <c r="E22" s="82">
        <f>LOOKUP(E24,'Dinh muc'!$C$53:$J$55)</f>
        <v>115.99</v>
      </c>
      <c r="F22" s="279">
        <f>LOOKUP(F24, 'Dinh muc'!$C$75:$J$76)+0.000000000001</f>
        <v>5.5000000000010001</v>
      </c>
      <c r="G22" s="596">
        <f>LOOKUP(G24, 'Dinh muc'!$C$75:$J$77)+0.000000000000001</f>
        <v>5.1000000000000005</v>
      </c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02">
        <v>4</v>
      </c>
      <c r="B23" s="303" t="s">
        <v>87</v>
      </c>
      <c r="C23" s="304" t="s">
        <v>88</v>
      </c>
      <c r="D23" s="589">
        <f>IF(D25&lt;75,75,SMALL('Dinh muc'!$C$53:$J$53,COUNTIF('Dinh muc'!$C$53:$J$53,"&lt;="&amp;$D$25)))+0.0000000001</f>
        <v>200.00000000009999</v>
      </c>
      <c r="E23" s="589">
        <f>D23</f>
        <v>200.00000000009999</v>
      </c>
      <c r="F23" s="602">
        <f>IF(F25&lt;200,200,(SMALL('Dinh muc'!$C$75:$J$76,COUNTIF('Dinh muc'!$C$75:$J$76,"&lt;="&amp;$F$25))))+0.000000000001</f>
        <v>1000.000000000001</v>
      </c>
      <c r="G23" s="603">
        <f>F23</f>
        <v>1000.000000000001</v>
      </c>
      <c r="H23" s="1"/>
      <c r="I23" s="88"/>
      <c r="J23" s="421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302">
        <v>5</v>
      </c>
      <c r="B24" s="303" t="s">
        <v>89</v>
      </c>
      <c r="C24" s="304" t="s">
        <v>90</v>
      </c>
      <c r="D24" s="589">
        <f>IF(D25&gt;500,500,LARGE('Dinh muc'!$C$53:$J$53,COUNTIF('Dinh muc'!$C$53:$J$53,"&gt;="&amp;$D$25)))+0.00000000001</f>
        <v>200.00000000001</v>
      </c>
      <c r="E24" s="589">
        <f>D24</f>
        <v>200.00000000001</v>
      </c>
      <c r="F24" s="602">
        <f>IF(F25&gt;=10000,10000,LARGE('Dinh muc'!$C$75:$J$76,COUNTIF('Dinh muc'!$C$75:$J$76,"&gt;="&amp; $F$25)))+0.000000000001</f>
        <v>2000.0000000000009</v>
      </c>
      <c r="G24" s="603">
        <f>F24</f>
        <v>2000.0000000000009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 thickBot="1">
      <c r="A25" s="305">
        <v>6</v>
      </c>
      <c r="B25" s="306" t="s">
        <v>91</v>
      </c>
      <c r="C25" s="307" t="s">
        <v>92</v>
      </c>
      <c r="D25" s="588">
        <f>C4</f>
        <v>200</v>
      </c>
      <c r="E25" s="588">
        <f>D25</f>
        <v>200</v>
      </c>
      <c r="F25" s="604">
        <f>E32/1000000</f>
        <v>1840</v>
      </c>
      <c r="G25" s="605">
        <f>F25</f>
        <v>1840</v>
      </c>
      <c r="H25" s="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s="111" customFormat="1" ht="15" customHeight="1">
      <c r="A26" s="352"/>
      <c r="B26" s="207" t="s">
        <v>210</v>
      </c>
      <c r="C26" s="226">
        <f>E20*1000000</f>
        <v>115990000</v>
      </c>
      <c r="D26" s="242" t="s">
        <v>94</v>
      </c>
      <c r="E26" s="208"/>
      <c r="F26" s="209"/>
      <c r="G26" s="242"/>
      <c r="H26" s="60"/>
      <c r="I26"/>
      <c r="J26"/>
      <c r="K26"/>
      <c r="L26"/>
      <c r="M26"/>
      <c r="N26"/>
      <c r="O26"/>
      <c r="P26"/>
    </row>
    <row r="27" spans="1:69" s="111" customFormat="1" ht="15" customHeight="1" thickBot="1">
      <c r="A27" s="352"/>
      <c r="B27" s="207" t="s">
        <v>211</v>
      </c>
      <c r="C27" s="226">
        <f>D20*1000000</f>
        <v>1840000000</v>
      </c>
      <c r="D27" s="242" t="s">
        <v>94</v>
      </c>
      <c r="E27" s="208"/>
      <c r="F27" s="209"/>
      <c r="G27" s="242"/>
      <c r="H27" s="60"/>
      <c r="I27"/>
      <c r="J27"/>
      <c r="K27"/>
      <c r="L27"/>
      <c r="M27"/>
      <c r="N27"/>
      <c r="O27"/>
      <c r="P27"/>
    </row>
    <row r="28" spans="1:69" ht="48" customHeight="1">
      <c r="A28" s="170" t="s">
        <v>26</v>
      </c>
      <c r="B28" s="171" t="s">
        <v>96</v>
      </c>
      <c r="C28" s="171" t="s">
        <v>97</v>
      </c>
      <c r="D28" s="171" t="s">
        <v>98</v>
      </c>
      <c r="E28" s="171" t="s">
        <v>99</v>
      </c>
      <c r="F28" s="171" t="s">
        <v>100</v>
      </c>
      <c r="G28" s="172" t="s">
        <v>101</v>
      </c>
      <c r="I28" s="88"/>
      <c r="J28" s="88"/>
      <c r="K28" s="88"/>
      <c r="L28" s="88"/>
      <c r="M28" s="88"/>
      <c r="N28" s="88"/>
      <c r="O28" s="88"/>
    </row>
    <row r="29" spans="1:69" ht="17.25" thickBot="1">
      <c r="A29" s="244">
        <v>1</v>
      </c>
      <c r="B29" s="245">
        <v>2</v>
      </c>
      <c r="C29" s="245">
        <v>3</v>
      </c>
      <c r="D29" s="245">
        <v>4</v>
      </c>
      <c r="E29" s="245" t="s">
        <v>102</v>
      </c>
      <c r="F29" s="245" t="s">
        <v>103</v>
      </c>
      <c r="G29" s="246" t="s">
        <v>104</v>
      </c>
      <c r="I29" s="88"/>
      <c r="J29" s="88"/>
      <c r="K29" s="88"/>
      <c r="L29" s="88"/>
      <c r="M29" s="88"/>
      <c r="N29" s="88"/>
      <c r="O29" s="88"/>
    </row>
    <row r="30" spans="1:69" ht="16.5">
      <c r="A30" s="251">
        <v>1</v>
      </c>
      <c r="B30" s="252" t="s">
        <v>105</v>
      </c>
      <c r="C30" s="253"/>
      <c r="D30" s="253"/>
      <c r="E30" s="253"/>
      <c r="F30" s="253"/>
      <c r="G30" s="254"/>
      <c r="I30" s="88"/>
      <c r="J30" s="88"/>
      <c r="K30" s="88"/>
      <c r="L30" s="88"/>
      <c r="M30" s="88"/>
      <c r="N30" s="88"/>
      <c r="O30" s="88"/>
    </row>
    <row r="31" spans="1:69" ht="16.5">
      <c r="A31" s="177" t="s">
        <v>106</v>
      </c>
      <c r="B31" s="69" t="s">
        <v>242</v>
      </c>
      <c r="C31" s="450">
        <f>C26</f>
        <v>115990000</v>
      </c>
      <c r="D31" s="444">
        <v>1</v>
      </c>
      <c r="E31" s="78">
        <f>D31*C31</f>
        <v>115990000</v>
      </c>
      <c r="F31" s="78">
        <f>E31*10%</f>
        <v>11599000</v>
      </c>
      <c r="G31" s="179">
        <f>F31+E31</f>
        <v>127589000</v>
      </c>
      <c r="I31" s="639"/>
      <c r="J31" s="639">
        <f>G31*92%</f>
        <v>117381880</v>
      </c>
      <c r="K31" s="88"/>
      <c r="L31" s="88"/>
      <c r="M31" s="88"/>
      <c r="N31" s="88"/>
      <c r="O31" s="88"/>
      <c r="P31" s="88"/>
    </row>
    <row r="32" spans="1:69" ht="16.5">
      <c r="A32" s="177" t="s">
        <v>108</v>
      </c>
      <c r="B32" s="69" t="s">
        <v>260</v>
      </c>
      <c r="C32" s="450">
        <f>C27</f>
        <v>1840000000</v>
      </c>
      <c r="D32" s="444">
        <v>1</v>
      </c>
      <c r="E32" s="78">
        <f>D32*C32</f>
        <v>1840000000</v>
      </c>
      <c r="F32" s="78">
        <f>E32*10%</f>
        <v>184000000</v>
      </c>
      <c r="G32" s="179">
        <f>F32+E32</f>
        <v>2024000000</v>
      </c>
      <c r="I32" s="88"/>
      <c r="J32" s="88"/>
      <c r="K32" s="88"/>
      <c r="L32" s="88"/>
      <c r="M32" s="88"/>
      <c r="N32" s="88"/>
      <c r="O32" s="88"/>
      <c r="P32" s="88"/>
    </row>
    <row r="33" spans="1:69" ht="30">
      <c r="A33" s="461" t="s">
        <v>110</v>
      </c>
      <c r="B33" s="462" t="s">
        <v>111</v>
      </c>
      <c r="C33" s="463">
        <f>E32</f>
        <v>1840000000</v>
      </c>
      <c r="D33" s="465">
        <v>0.1</v>
      </c>
      <c r="E33" s="458">
        <f>C33*D33</f>
        <v>184000000</v>
      </c>
      <c r="F33" s="458">
        <f>E33*10%</f>
        <v>18400000</v>
      </c>
      <c r="G33" s="460">
        <f>F33+E33</f>
        <v>202400000</v>
      </c>
      <c r="I33" s="88"/>
      <c r="J33" s="88"/>
      <c r="K33" s="88"/>
      <c r="L33" s="88"/>
      <c r="M33" s="88"/>
      <c r="N33" s="88"/>
      <c r="O33" s="88"/>
      <c r="P33" s="88"/>
    </row>
    <row r="34" spans="1:69" ht="16.5">
      <c r="A34" s="177"/>
      <c r="B34" s="63" t="s">
        <v>112</v>
      </c>
      <c r="C34" s="318"/>
      <c r="D34" s="310"/>
      <c r="E34" s="70"/>
      <c r="F34" s="71">
        <f>SUM(F30:F33)</f>
        <v>213999000</v>
      </c>
      <c r="G34" s="71">
        <f>SUM(G30:G33)</f>
        <v>2353989000</v>
      </c>
      <c r="H34" s="58"/>
      <c r="I34" s="88"/>
      <c r="J34" s="88"/>
      <c r="K34" s="88"/>
      <c r="L34" s="88"/>
      <c r="M34" s="88"/>
      <c r="N34" s="88"/>
      <c r="O34" s="88"/>
    </row>
    <row r="35" spans="1:69" ht="16.5">
      <c r="A35" s="222">
        <v>2</v>
      </c>
      <c r="B35" s="378" t="s">
        <v>113</v>
      </c>
      <c r="C35" s="350">
        <f>E31</f>
        <v>115990000</v>
      </c>
      <c r="D35" s="377">
        <v>0.2</v>
      </c>
      <c r="E35" s="78">
        <f>D35*C35</f>
        <v>23198000</v>
      </c>
      <c r="F35" s="73"/>
      <c r="G35" s="179">
        <f>SUM(E35:F35)</f>
        <v>23198000</v>
      </c>
      <c r="H35" s="58"/>
      <c r="I35" s="88"/>
      <c r="J35" s="88"/>
      <c r="K35" s="88"/>
      <c r="L35" s="88"/>
      <c r="M35" s="88"/>
      <c r="N35" s="88"/>
      <c r="O35" s="88"/>
    </row>
    <row r="36" spans="1:69" ht="16.5">
      <c r="A36" s="187">
        <v>3</v>
      </c>
      <c r="B36" s="224" t="s">
        <v>256</v>
      </c>
      <c r="C36" s="319">
        <f>E32</f>
        <v>1840000000</v>
      </c>
      <c r="D36" s="165">
        <v>0.02</v>
      </c>
      <c r="E36" s="78">
        <f>D36*C36</f>
        <v>36800000</v>
      </c>
      <c r="F36" s="79">
        <f>E36*10%</f>
        <v>3680000</v>
      </c>
      <c r="G36" s="179">
        <f>SUM(E36:F36)</f>
        <v>40480000</v>
      </c>
      <c r="H36" s="97"/>
      <c r="I36" s="88"/>
      <c r="J36" s="88"/>
      <c r="K36" s="88"/>
      <c r="L36" s="88"/>
      <c r="M36" s="88"/>
      <c r="N36" s="88"/>
      <c r="O36" s="88"/>
      <c r="P36" s="1"/>
    </row>
    <row r="37" spans="1:69" ht="16.5">
      <c r="A37" s="222">
        <v>4</v>
      </c>
      <c r="B37" s="378" t="s">
        <v>114</v>
      </c>
      <c r="C37" s="350">
        <f>C36</f>
        <v>1840000000</v>
      </c>
      <c r="D37" s="351">
        <f>F20/100</f>
        <v>5.8200000000000002E-2</v>
      </c>
      <c r="E37" s="78">
        <f t="shared" ref="E37:E38" si="0">D37*C37</f>
        <v>107088000</v>
      </c>
      <c r="F37" s="79"/>
      <c r="G37" s="179">
        <f t="shared" ref="G37:G39" si="1">SUM(E37:F37)</f>
        <v>107088000</v>
      </c>
      <c r="H37" s="59"/>
      <c r="I37" s="88"/>
      <c r="J37" s="88"/>
      <c r="K37" s="88"/>
      <c r="L37" s="88"/>
      <c r="M37" s="88"/>
      <c r="N37" s="88"/>
      <c r="O37" s="88"/>
    </row>
    <row r="38" spans="1:69" ht="16.5">
      <c r="A38" s="187">
        <v>5</v>
      </c>
      <c r="B38" s="224" t="s">
        <v>234</v>
      </c>
      <c r="C38" s="319">
        <f>C37</f>
        <v>1840000000</v>
      </c>
      <c r="D38" s="310">
        <f>G20/100</f>
        <v>5.4199999999999998E-2</v>
      </c>
      <c r="E38" s="78">
        <f t="shared" si="0"/>
        <v>99728000</v>
      </c>
      <c r="F38" s="79"/>
      <c r="G38" s="179">
        <f t="shared" si="1"/>
        <v>99728000</v>
      </c>
      <c r="H38" s="97"/>
      <c r="I38" s="88"/>
      <c r="J38" s="88"/>
      <c r="K38" s="88"/>
      <c r="L38" s="88"/>
      <c r="M38" s="88"/>
      <c r="N38" s="88"/>
      <c r="O38" s="88"/>
      <c r="P38" s="1"/>
    </row>
    <row r="39" spans="1:69" ht="30">
      <c r="A39" s="187">
        <v>6</v>
      </c>
      <c r="B39" s="76" t="s">
        <v>116</v>
      </c>
      <c r="C39" s="319">
        <f>C38</f>
        <v>1840000000</v>
      </c>
      <c r="D39" s="165">
        <v>0.03</v>
      </c>
      <c r="E39" s="78">
        <f>D39*C39</f>
        <v>55200000</v>
      </c>
      <c r="F39" s="79">
        <f>E39*10%</f>
        <v>5520000</v>
      </c>
      <c r="G39" s="179">
        <f t="shared" si="1"/>
        <v>60720000</v>
      </c>
      <c r="H39" s="59"/>
      <c r="I39" s="88"/>
      <c r="J39" s="88"/>
      <c r="K39" s="88"/>
      <c r="L39" s="88"/>
      <c r="M39" s="88"/>
      <c r="N39" s="88"/>
      <c r="O39" s="88"/>
      <c r="P39" s="1"/>
    </row>
    <row r="40" spans="1:69" ht="28.5">
      <c r="A40" s="187">
        <v>7</v>
      </c>
      <c r="B40" s="224" t="s">
        <v>244</v>
      </c>
      <c r="C40" s="79"/>
      <c r="D40" s="77"/>
      <c r="E40" s="78"/>
      <c r="F40" s="79"/>
      <c r="G40" s="179">
        <f>SUM(G41:G44)</f>
        <v>18934125.805772632</v>
      </c>
      <c r="H40" s="100"/>
      <c r="I40" s="88"/>
      <c r="J40" s="88"/>
      <c r="K40" s="88"/>
      <c r="L40" s="88"/>
      <c r="M40" s="88"/>
      <c r="N40" s="88"/>
      <c r="O40" s="88"/>
    </row>
    <row r="41" spans="1:69" ht="30">
      <c r="A41" s="415" t="s">
        <v>216</v>
      </c>
      <c r="B41" s="416" t="s">
        <v>119</v>
      </c>
      <c r="C41" s="273">
        <f>SUM(G32:G33)</f>
        <v>2226400000</v>
      </c>
      <c r="D41" s="612">
        <f>L68/100*45%</f>
        <v>3.0290598000023206E-3</v>
      </c>
      <c r="E41" s="79">
        <f>D41*C41</f>
        <v>6743898.7387251668</v>
      </c>
      <c r="F41" s="79">
        <f>E41*10%</f>
        <v>674389.87387251668</v>
      </c>
      <c r="G41" s="179">
        <f>IF(SUM(E41:F41)&lt;1000000, 1000000,SUM(E41:F41))</f>
        <v>7418288.6125976834</v>
      </c>
      <c r="H41" s="100"/>
      <c r="I41" s="88"/>
      <c r="J41" s="88"/>
      <c r="K41" s="88"/>
      <c r="L41" s="88"/>
      <c r="M41" s="88"/>
      <c r="N41" s="88"/>
      <c r="O41" s="88"/>
    </row>
    <row r="42" spans="1:69" ht="30">
      <c r="A42" s="415" t="s">
        <v>217</v>
      </c>
      <c r="B42" s="416" t="s">
        <v>121</v>
      </c>
      <c r="C42" s="273">
        <f>C41</f>
        <v>2226400000</v>
      </c>
      <c r="D42" s="612">
        <f>L68/100*55%</f>
        <v>3.7021842000028366E-3</v>
      </c>
      <c r="E42" s="79">
        <f t="shared" ref="E42:E43" si="2">D42*C42</f>
        <v>8242542.9028863152</v>
      </c>
      <c r="F42" s="79">
        <f t="shared" ref="F42:F43" si="3">E42*10%</f>
        <v>824254.29028863157</v>
      </c>
      <c r="G42" s="179">
        <f t="shared" ref="G42:G43" si="4">IF(SUM(E42:F42)&lt;1000000, 1000000,SUM(E42:F42))</f>
        <v>9066797.1931749471</v>
      </c>
      <c r="H42" s="100"/>
      <c r="I42" s="88"/>
      <c r="J42" s="88"/>
      <c r="K42" s="88"/>
      <c r="L42" s="88"/>
      <c r="M42" s="88"/>
      <c r="N42" s="88"/>
      <c r="O42" s="88"/>
    </row>
    <row r="43" spans="1:69" ht="30">
      <c r="A43" s="415" t="s">
        <v>218</v>
      </c>
      <c r="B43" s="416" t="s">
        <v>123</v>
      </c>
      <c r="C43" s="273">
        <f>C42</f>
        <v>2226400000</v>
      </c>
      <c r="D43" s="77">
        <v>5.0000000000000001E-4</v>
      </c>
      <c r="E43" s="79">
        <f t="shared" si="2"/>
        <v>1113200</v>
      </c>
      <c r="F43" s="79">
        <f t="shared" si="3"/>
        <v>111320</v>
      </c>
      <c r="G43" s="179">
        <f t="shared" si="4"/>
        <v>1224520</v>
      </c>
      <c r="H43" s="100"/>
      <c r="I43" s="88"/>
      <c r="J43" s="88"/>
      <c r="K43" s="88"/>
      <c r="L43" s="88"/>
      <c r="M43" s="88"/>
      <c r="N43" s="88"/>
      <c r="O43" s="88"/>
    </row>
    <row r="44" spans="1:69" ht="45">
      <c r="A44" s="415" t="s">
        <v>219</v>
      </c>
      <c r="B44" s="416" t="s">
        <v>125</v>
      </c>
      <c r="C44" s="273">
        <f>C41</f>
        <v>2226400000</v>
      </c>
      <c r="D44" s="77">
        <v>5.0000000000000001E-4</v>
      </c>
      <c r="E44" s="79">
        <f>D44*C44</f>
        <v>1113200</v>
      </c>
      <c r="F44" s="79">
        <f>E44*10%</f>
        <v>111320</v>
      </c>
      <c r="G44" s="179">
        <f>IF(SUM(E44:F44)&lt;1000000, 1000000,SUM(E44:F44))</f>
        <v>1224520</v>
      </c>
      <c r="H44" s="100"/>
      <c r="I44" s="88"/>
      <c r="J44" s="88"/>
      <c r="K44" s="88"/>
      <c r="L44" s="88"/>
      <c r="M44" s="88"/>
      <c r="N44" s="88"/>
      <c r="O44" s="88"/>
    </row>
    <row r="45" spans="1:69" ht="17.25" thickBot="1">
      <c r="A45" s="269"/>
      <c r="B45" s="266" t="s">
        <v>220</v>
      </c>
      <c r="C45" s="267"/>
      <c r="D45" s="267"/>
      <c r="E45" s="267"/>
      <c r="F45" s="267"/>
      <c r="G45" s="467">
        <f>SUM(G35:G40)</f>
        <v>350148125.80577266</v>
      </c>
      <c r="H45" s="62"/>
      <c r="I45" s="88"/>
      <c r="J45" s="88"/>
      <c r="K45" s="88"/>
      <c r="L45" s="88"/>
      <c r="M45" s="88"/>
      <c r="N45" s="88"/>
      <c r="O45" s="88"/>
      <c r="P45" s="1"/>
    </row>
    <row r="46" spans="1:69" ht="17.25" thickBot="1">
      <c r="A46" s="270"/>
      <c r="B46" s="248" t="s">
        <v>245</v>
      </c>
      <c r="C46" s="248"/>
      <c r="D46" s="248"/>
      <c r="E46" s="248"/>
      <c r="F46" s="264"/>
      <c r="G46" s="468">
        <f>ROUND(G45+G34,-3)</f>
        <v>2704137000</v>
      </c>
      <c r="H46" s="60"/>
      <c r="I46" s="88"/>
      <c r="J46" s="88"/>
      <c r="K46" s="88"/>
      <c r="L46" s="88"/>
      <c r="M46" s="88"/>
      <c r="N46" s="88"/>
      <c r="O46" s="88"/>
      <c r="P46" s="1"/>
    </row>
    <row r="47" spans="1:69" ht="16.5">
      <c r="A47" s="228" t="str">
        <f ca="1">CONCATENATE("Bằng chữ :  ",UPPER(LEFT(Q102))&amp;RIGHT(Q102,LEN(Q102)-1))</f>
        <v>Bằng chữ :  Hai tỷ, bẩy trăm linh bốn triệu, một trăm  ba mươi  bẩy nghìn  đồng chẵn</v>
      </c>
      <c r="B47" s="229"/>
      <c r="C47" s="229"/>
      <c r="D47" s="229"/>
      <c r="E47" s="229"/>
      <c r="F47" s="229"/>
      <c r="G47" s="229"/>
      <c r="I47" s="88"/>
      <c r="J47" s="88"/>
      <c r="K47" s="88"/>
      <c r="L47" s="88"/>
      <c r="M47" s="88"/>
      <c r="N47" s="88"/>
      <c r="O47" s="88"/>
      <c r="P47" s="1"/>
    </row>
    <row r="48" spans="1:69" ht="12.75" customHeight="1">
      <c r="H48" s="98"/>
      <c r="I48" s="88"/>
      <c r="J48" s="88"/>
      <c r="K48" s="88"/>
      <c r="L48" s="88"/>
      <c r="M48" s="88"/>
      <c r="N48" s="88"/>
      <c r="O48" s="8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69" ht="16.5">
      <c r="E49" s="694" t="s">
        <v>128</v>
      </c>
      <c r="F49" s="694"/>
      <c r="G49" s="694"/>
      <c r="H49" s="98"/>
      <c r="I49" s="88"/>
      <c r="J49" s="88"/>
      <c r="K49" s="88"/>
      <c r="L49" s="88"/>
      <c r="M49" s="88"/>
      <c r="N49" s="88"/>
      <c r="O49" s="8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69" ht="13.5" customHeight="1">
      <c r="E50" s="700" t="s">
        <v>129</v>
      </c>
      <c r="F50" s="700"/>
      <c r="G50" s="700"/>
      <c r="H50" s="99"/>
      <c r="I50" s="88"/>
      <c r="J50" s="88"/>
      <c r="K50" s="88"/>
      <c r="L50" s="88"/>
      <c r="M50" s="88"/>
      <c r="N50" s="88"/>
      <c r="O50" s="8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2:69" ht="16.5">
      <c r="B51" s="339"/>
      <c r="E51" s="686" t="s">
        <v>130</v>
      </c>
      <c r="F51" s="686"/>
      <c r="G51" s="686"/>
      <c r="H51" s="100"/>
      <c r="I51" s="88"/>
      <c r="J51" s="88"/>
      <c r="K51" s="88"/>
      <c r="L51" s="88"/>
      <c r="M51" s="88"/>
      <c r="N51" s="88"/>
      <c r="O51" s="8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2:69" ht="16.5">
      <c r="E52" s="133"/>
      <c r="F52" s="133"/>
      <c r="G52" s="133"/>
      <c r="H52" s="100"/>
      <c r="I52" s="88"/>
      <c r="J52" s="88"/>
      <c r="K52" s="88"/>
      <c r="L52" s="88"/>
      <c r="M52" s="88"/>
      <c r="N52" s="88"/>
      <c r="O52" s="8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2:69" ht="16.5">
      <c r="E53" s="133"/>
      <c r="F53" s="133"/>
      <c r="G53" s="133"/>
      <c r="H53" s="100"/>
      <c r="I53" s="88"/>
      <c r="J53" s="88"/>
      <c r="K53" s="88"/>
      <c r="L53" s="88"/>
      <c r="M53" s="88"/>
      <c r="N53" s="88"/>
      <c r="O53" s="8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2:69" ht="16.5">
      <c r="E54" s="133"/>
      <c r="F54" s="133"/>
      <c r="G54" s="133"/>
      <c r="H54" s="101"/>
      <c r="I54" s="88"/>
      <c r="J54" s="88"/>
      <c r="K54" s="88"/>
      <c r="L54" s="88"/>
      <c r="M54" s="88"/>
      <c r="N54" s="88"/>
      <c r="O54" s="8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2:69" ht="16.5">
      <c r="E55" s="133"/>
      <c r="F55" s="133"/>
      <c r="G55" s="133"/>
      <c r="H55" s="100"/>
      <c r="I55" s="88"/>
      <c r="J55" s="88"/>
      <c r="K55" s="88"/>
      <c r="L55" s="88"/>
      <c r="M55" s="88"/>
      <c r="N55" s="88"/>
      <c r="O55" s="8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2:69" ht="16.5">
      <c r="E56" s="133"/>
      <c r="F56" s="133"/>
      <c r="G56" s="133"/>
      <c r="H56" s="100"/>
      <c r="I56" s="88"/>
      <c r="J56" s="88"/>
      <c r="K56" s="88"/>
      <c r="L56" s="88"/>
      <c r="M56" s="88"/>
      <c r="N56" s="88"/>
      <c r="O56" s="8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2:69" ht="16.5">
      <c r="E57" s="133"/>
      <c r="F57" s="133"/>
      <c r="G57" s="133"/>
      <c r="H57" s="100"/>
      <c r="I57" s="88"/>
      <c r="J57" s="88"/>
      <c r="K57" s="88"/>
      <c r="L57" s="88"/>
      <c r="M57" s="88"/>
      <c r="N57" s="88"/>
      <c r="O57" s="8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2:69" ht="16.5">
      <c r="B58" s="339"/>
      <c r="E58" s="686" t="s">
        <v>131</v>
      </c>
      <c r="F58" s="686"/>
      <c r="G58" s="686"/>
      <c r="H58" s="102"/>
      <c r="I58" s="88"/>
      <c r="J58" s="88"/>
      <c r="K58" s="88"/>
      <c r="L58" s="88"/>
      <c r="M58" s="88"/>
      <c r="N58" s="88"/>
      <c r="O58" s="88"/>
      <c r="P58" s="1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</row>
    <row r="59" spans="2:69" ht="16.5">
      <c r="B59" s="339"/>
      <c r="H59" s="104"/>
      <c r="I59" s="88"/>
      <c r="J59" s="88"/>
      <c r="K59" s="88"/>
      <c r="L59" s="88"/>
      <c r="M59" s="88"/>
      <c r="N59" s="88"/>
      <c r="O59" s="88"/>
      <c r="P59" s="1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</row>
    <row r="60" spans="2:69" ht="16.5">
      <c r="H60" s="105"/>
      <c r="I60" s="88"/>
      <c r="J60" s="88"/>
      <c r="K60" s="88"/>
      <c r="L60" s="88"/>
      <c r="M60" s="88"/>
      <c r="N60" s="88"/>
      <c r="O60" s="88"/>
      <c r="P60" s="1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</row>
    <row r="61" spans="2:69" ht="16.5">
      <c r="I61" s="88"/>
      <c r="J61" s="88"/>
      <c r="K61" s="88"/>
      <c r="L61" s="88"/>
      <c r="M61" s="88"/>
      <c r="N61" s="88"/>
      <c r="O61" s="88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</row>
    <row r="62" spans="2:69" ht="16.5">
      <c r="H62" s="57"/>
      <c r="I62" s="88"/>
      <c r="J62" s="88"/>
      <c r="K62" s="88"/>
      <c r="L62" s="88"/>
      <c r="M62" s="88"/>
      <c r="N62" s="88"/>
      <c r="O62" s="88"/>
    </row>
    <row r="63" spans="2:69" ht="16.5">
      <c r="I63" s="88"/>
      <c r="J63" s="88"/>
      <c r="K63" s="88"/>
      <c r="L63" s="88"/>
      <c r="M63" s="88"/>
      <c r="N63" s="88"/>
      <c r="O63" s="88"/>
    </row>
    <row r="64" spans="2:69" ht="16.5">
      <c r="I64" s="88"/>
      <c r="J64" s="88"/>
      <c r="K64" s="88"/>
      <c r="L64" s="88"/>
      <c r="M64" s="88"/>
      <c r="N64" s="88"/>
      <c r="O64" s="88"/>
    </row>
    <row r="65" spans="9:15" ht="16.5">
      <c r="I65" s="88"/>
      <c r="J65" s="88"/>
      <c r="K65" s="88"/>
      <c r="L65" s="88"/>
      <c r="M65" s="88"/>
      <c r="N65" s="88"/>
      <c r="O65" s="88"/>
    </row>
    <row r="66" spans="9:15" ht="16.5">
      <c r="I66" s="88"/>
      <c r="J66" s="88"/>
      <c r="K66" s="88"/>
      <c r="L66" s="88"/>
      <c r="M66" s="88"/>
      <c r="N66" s="88"/>
      <c r="O66" s="88"/>
    </row>
    <row r="67" spans="9:15" ht="38.25">
      <c r="I67" s="91" t="s">
        <v>132</v>
      </c>
      <c r="J67" s="92" t="s">
        <v>73</v>
      </c>
      <c r="K67" s="91" t="s">
        <v>74</v>
      </c>
      <c r="L67" s="240" t="s">
        <v>133</v>
      </c>
      <c r="M67" s="240"/>
      <c r="N67" s="240"/>
      <c r="O67" s="240"/>
    </row>
    <row r="68" spans="9:15">
      <c r="I68" s="93">
        <v>1</v>
      </c>
      <c r="J68" s="94" t="s">
        <v>236</v>
      </c>
      <c r="K68" s="95" t="s">
        <v>82</v>
      </c>
      <c r="L68" s="597">
        <f>IF(L73&lt;1,0.8168,IF(L73&gt;100,0.114,(L69-L70)/(L71-L72)*(L73-L72)+L70))</f>
        <v>0.67312440000051577</v>
      </c>
      <c r="M68" s="464"/>
      <c r="N68" s="278"/>
      <c r="O68" s="278"/>
    </row>
    <row r="69" spans="9:15">
      <c r="I69" s="3">
        <v>2</v>
      </c>
      <c r="J69" s="120" t="s">
        <v>261</v>
      </c>
      <c r="K69" s="5" t="s">
        <v>84</v>
      </c>
      <c r="L69" s="598">
        <f>IF(L73&lt;1,0.816,LOOKUP(L71,'Dinh muc'!$C$88:$I$89))+0.00000000000001</f>
        <v>0.81600000000000994</v>
      </c>
      <c r="M69" s="108"/>
      <c r="N69" s="163"/>
      <c r="O69" s="163"/>
    </row>
    <row r="70" spans="9:15">
      <c r="I70" s="3">
        <v>3</v>
      </c>
      <c r="J70" s="4" t="s">
        <v>262</v>
      </c>
      <c r="K70" s="5" t="s">
        <v>86</v>
      </c>
      <c r="L70" s="598">
        <f>LOOKUP(L72,'Dinh muc'!$C$88:$I$89)+0.0000000000001</f>
        <v>0.58300000000009999</v>
      </c>
      <c r="M70" s="108"/>
      <c r="N70" s="163"/>
      <c r="O70" s="163"/>
    </row>
    <row r="71" spans="9:15">
      <c r="I71" s="3">
        <v>4</v>
      </c>
      <c r="J71" s="4" t="s">
        <v>225</v>
      </c>
      <c r="K71" s="5" t="s">
        <v>88</v>
      </c>
      <c r="L71" s="599">
        <f>IF((L73&lt;1),1,(SMALL('Dinh muc'!$C$88:$I$88,COUNTIF('Dinh muc'!$C$88:$I$88,"&lt;="&amp;$L$73))))+0.00000000001</f>
        <v>1.00000000001</v>
      </c>
      <c r="M71" s="466"/>
      <c r="N71" s="466"/>
      <c r="O71" s="466"/>
    </row>
    <row r="72" spans="9:15">
      <c r="I72" s="3">
        <v>5</v>
      </c>
      <c r="J72" s="4" t="s">
        <v>226</v>
      </c>
      <c r="K72" s="5" t="s">
        <v>90</v>
      </c>
      <c r="L72" s="599">
        <f>IF(L73&gt;100,100,(LARGE('Dinh muc'!$C$88:$I$88,COUNTIF('Dinh muc'!$C$88:$I$88,"&gt;="&amp;$L$73))))+0.0000000000000001</f>
        <v>3</v>
      </c>
      <c r="M72" s="466"/>
      <c r="N72" s="466"/>
      <c r="O72" s="466"/>
    </row>
    <row r="73" spans="9:15">
      <c r="I73" s="6">
        <v>6</v>
      </c>
      <c r="J73" s="7" t="s">
        <v>227</v>
      </c>
      <c r="K73" s="8" t="s">
        <v>92</v>
      </c>
      <c r="L73" s="600">
        <f>C41/1000000000</f>
        <v>2.2263999999999999</v>
      </c>
      <c r="M73" s="107"/>
      <c r="N73" s="85"/>
      <c r="O73" s="85"/>
    </row>
    <row r="74" spans="9:15" ht="15">
      <c r="I74" s="1"/>
      <c r="J74" s="2"/>
      <c r="K74" s="1"/>
      <c r="L74" s="1"/>
      <c r="M74" s="1"/>
      <c r="N74" s="1"/>
      <c r="O74" s="1"/>
    </row>
    <row r="75" spans="9:15" ht="15">
      <c r="I75" s="1"/>
      <c r="J75" s="56"/>
      <c r="K75" s="1"/>
      <c r="L75" s="1"/>
      <c r="M75" s="1"/>
      <c r="N75" s="1"/>
      <c r="O75" s="1"/>
    </row>
    <row r="76" spans="9:15" ht="15">
      <c r="I76" s="1"/>
      <c r="J76" s="1"/>
      <c r="K76" s="1"/>
      <c r="L76" s="1"/>
      <c r="M76" s="1"/>
      <c r="N76" s="1"/>
      <c r="O76" s="1"/>
    </row>
    <row r="77" spans="9:15" ht="15">
      <c r="I77" s="1"/>
      <c r="J77" s="1"/>
      <c r="K77" s="1"/>
      <c r="L77" s="1"/>
      <c r="M77" s="1"/>
      <c r="N77" s="1"/>
      <c r="O77" s="1"/>
    </row>
    <row r="78" spans="9:15" ht="15">
      <c r="I78" s="1"/>
      <c r="J78" s="1"/>
      <c r="K78" s="1"/>
      <c r="L78" s="1"/>
      <c r="M78" s="1"/>
      <c r="N78" s="1"/>
      <c r="O78" s="1"/>
    </row>
    <row r="79" spans="9:15" ht="15">
      <c r="I79" s="1"/>
      <c r="J79" s="1"/>
      <c r="K79" s="1"/>
      <c r="L79" s="1"/>
      <c r="M79" s="1"/>
      <c r="N79" s="1"/>
      <c r="O79" s="1"/>
    </row>
    <row r="80" spans="9:15" ht="15">
      <c r="I80" s="1"/>
      <c r="J80" s="1"/>
      <c r="K80" s="1"/>
      <c r="L80" s="1"/>
      <c r="M80" s="1"/>
      <c r="N80" s="1"/>
      <c r="O80" s="1"/>
    </row>
    <row r="81" spans="9:69" ht="15">
      <c r="I81" s="1"/>
      <c r="J81" s="1"/>
      <c r="K81" s="1"/>
      <c r="L81" s="1"/>
      <c r="M81" s="1"/>
      <c r="N81" s="1"/>
      <c r="O81" s="1"/>
    </row>
    <row r="82" spans="9:69" ht="15">
      <c r="I82" s="1"/>
      <c r="J82" s="1"/>
      <c r="K82" s="1"/>
      <c r="L82" s="1"/>
      <c r="M82" s="1"/>
      <c r="N82" s="1"/>
      <c r="O82" s="1"/>
    </row>
    <row r="83" spans="9:69" ht="15">
      <c r="I83" s="1"/>
      <c r="J83" s="1"/>
      <c r="K83" s="1"/>
      <c r="L83" s="1"/>
      <c r="M83" s="1"/>
      <c r="N83" s="1"/>
      <c r="O83" s="1"/>
    </row>
    <row r="84" spans="9:69" ht="15">
      <c r="I84" s="1"/>
      <c r="J84" s="1"/>
      <c r="K84" s="1"/>
      <c r="L84" s="1"/>
      <c r="M84" s="1"/>
      <c r="N84" s="1"/>
      <c r="O84" s="1"/>
    </row>
    <row r="85" spans="9:69" ht="15">
      <c r="I85" s="1"/>
      <c r="J85" s="1"/>
      <c r="K85" s="1"/>
      <c r="L85" s="1"/>
      <c r="M85" s="1"/>
      <c r="N85" s="1"/>
      <c r="O85" s="1"/>
    </row>
    <row r="86" spans="9:69" ht="15">
      <c r="I86" s="1"/>
      <c r="J86" s="1"/>
      <c r="K86" s="1"/>
      <c r="L86" s="1"/>
      <c r="M86" s="1">
        <f>66197</f>
        <v>66197</v>
      </c>
      <c r="N86" s="1">
        <v>0.15</v>
      </c>
      <c r="O86" s="1">
        <f>N86*M86</f>
        <v>9929.5499999999993</v>
      </c>
    </row>
    <row r="87" spans="9:69" ht="15">
      <c r="I87" s="1"/>
      <c r="J87" s="55"/>
      <c r="K87" s="1"/>
      <c r="L87" s="1"/>
      <c r="M87" s="1"/>
      <c r="N87" s="1"/>
      <c r="O87" s="1"/>
    </row>
    <row r="88" spans="9:69" ht="15">
      <c r="I88" s="1"/>
      <c r="J88" s="1"/>
      <c r="K88" s="1"/>
      <c r="L88" s="1"/>
      <c r="M88" s="1"/>
      <c r="N88" s="1"/>
      <c r="O88" s="1"/>
    </row>
    <row r="89" spans="9:69" ht="15">
      <c r="I89" s="1"/>
      <c r="J89" s="1"/>
      <c r="K89" s="1"/>
      <c r="L89" s="1"/>
      <c r="M89" s="1"/>
      <c r="N89" s="1"/>
      <c r="O89" s="1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</row>
    <row r="90" spans="9:69" ht="15">
      <c r="I90" s="1"/>
      <c r="J90" s="1"/>
      <c r="K90" s="1"/>
      <c r="L90" s="1"/>
      <c r="M90" s="1"/>
      <c r="N90" s="1"/>
      <c r="O90" s="1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</row>
    <row r="91" spans="9:69" ht="15">
      <c r="I91" s="1"/>
      <c r="J91" s="1"/>
      <c r="K91" s="1"/>
      <c r="L91" s="1"/>
      <c r="M91" s="1"/>
      <c r="N91" s="1"/>
      <c r="O91" s="1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</row>
    <row r="92" spans="9:69" ht="15">
      <c r="I92" s="1"/>
      <c r="J92" s="1"/>
      <c r="K92" s="1"/>
      <c r="L92" s="1"/>
      <c r="M92" s="1"/>
      <c r="N92" s="1"/>
      <c r="O92" s="1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</row>
    <row r="93" spans="9:69" ht="15">
      <c r="I93" s="1"/>
      <c r="J93" s="1"/>
      <c r="K93" s="1"/>
      <c r="L93" s="1"/>
      <c r="M93" s="1"/>
      <c r="N93" s="1"/>
      <c r="O93" s="1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</row>
    <row r="94" spans="9:69" ht="15.75">
      <c r="I94" s="106"/>
      <c r="J94" s="106"/>
      <c r="K94" s="106"/>
      <c r="L94" s="106"/>
      <c r="M94" s="106"/>
      <c r="N94" s="106"/>
      <c r="O94" s="106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</row>
    <row r="95" spans="9:69" ht="15"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</row>
    <row r="96" spans="9:69" ht="18">
      <c r="P96" s="10" t="str">
        <f>"Đọc giá trị số thành chữ"</f>
        <v>Đọc giá trị số thành chữ</v>
      </c>
      <c r="Q96" s="37"/>
      <c r="R96" s="37"/>
      <c r="S96" s="11"/>
      <c r="T96" s="37"/>
      <c r="U96" s="37"/>
      <c r="V96" s="37"/>
      <c r="W96" s="37"/>
      <c r="X96" s="37"/>
      <c r="Y96" s="38"/>
    </row>
    <row r="97" spans="10:25" ht="18.75">
      <c r="P97" s="12" t="s">
        <v>146</v>
      </c>
      <c r="Q97" s="37"/>
      <c r="R97" s="37"/>
      <c r="S97" s="13" t="str">
        <f>"© VVC, modify by Tuan dt"</f>
        <v>© VVC, modify by Tuan dt</v>
      </c>
      <c r="T97" s="37"/>
      <c r="U97" s="37"/>
      <c r="V97" s="37"/>
      <c r="W97" s="37"/>
      <c r="X97" s="37"/>
      <c r="Y97" s="38"/>
    </row>
    <row r="98" spans="10:25" ht="18.75">
      <c r="P98" s="14"/>
      <c r="Q98" s="37"/>
      <c r="R98" s="37"/>
      <c r="S98" s="11" t="s">
        <v>146</v>
      </c>
      <c r="T98" s="37"/>
      <c r="U98" s="37"/>
      <c r="V98" s="37"/>
      <c r="W98" s="37" t="s">
        <v>146</v>
      </c>
      <c r="X98" s="37"/>
      <c r="Y98" s="38"/>
    </row>
    <row r="99" spans="10:25" ht="18">
      <c r="P99" s="37">
        <v>1</v>
      </c>
      <c r="Q99" s="37">
        <v>6</v>
      </c>
      <c r="R99" s="37"/>
      <c r="S99" s="11"/>
      <c r="T99" s="37"/>
      <c r="U99" s="37"/>
      <c r="V99" s="37"/>
      <c r="W99" s="37"/>
      <c r="X99" s="37"/>
      <c r="Y99" s="38"/>
    </row>
    <row r="100" spans="10:25" ht="18.75" thickBot="1">
      <c r="J100" s="55"/>
      <c r="P100" s="37"/>
      <c r="Q100" s="37"/>
      <c r="R100" s="37"/>
      <c r="S100" s="37"/>
      <c r="T100" s="37"/>
      <c r="U100" s="37"/>
      <c r="V100" s="37"/>
      <c r="W100" s="37"/>
      <c r="X100" s="37"/>
      <c r="Y100" s="38"/>
    </row>
    <row r="101" spans="10:25" ht="19.5" thickBot="1">
      <c r="P101" s="15" t="str">
        <f>"Giá trị số cần đổi:"</f>
        <v>Giá trị số cần đổi:</v>
      </c>
      <c r="Q101" s="39">
        <f>G46</f>
        <v>2704137000</v>
      </c>
      <c r="R101" s="379" t="str">
        <f>IF(ROUND(VALUE(10*(100*Q101-INT(100*Q101))),0)&gt;0,"Chỉ có 2 chữ số sau dấu phẩy","")</f>
        <v/>
      </c>
      <c r="S101" s="37"/>
      <c r="T101" s="37"/>
      <c r="U101" s="37"/>
      <c r="V101" s="37"/>
      <c r="W101" s="37"/>
      <c r="X101" s="37"/>
      <c r="Y101" s="38"/>
    </row>
    <row r="102" spans="10:25" ht="18.75">
      <c r="P102" s="40" t="s">
        <v>146</v>
      </c>
      <c r="Q102" s="16" t="str">
        <f ca="1">IF(Q101&gt;=1000000000000,"Công thức này chỉ có thể đếm thành chữ dưới 1000 tỷ",IF(ABS(Q101)&lt;1,"không",IF(Q101&lt;0,"âm ","")&amp;IF(Q104=0,"",R104)&amp;IF(AND(Q105=0,Q106=0),"",S105)&amp;IF(Q107=0,"",R107)&amp;IF(AND(Q108=0,Q109=0),"",S108)&amp;IF(Q110=0,"",R110)&amp;IF(AND(Q111=0,Q112=0),"",S111)&amp;IF(Q113=0,"",R113)&amp;IF(AND(Q114=0,Q115=0),"",IF(AND(Q114=0,Q115=1),"một",S114)))&amp;CELL("contents",V105))&amp;IF(T122=0,"",IF(P102=1,T121,S117))</f>
        <v>hai tỷ, bẩy trăm linh bốn triệu, một trăm  ba mươi  bẩy nghìn  đồng chẵn</v>
      </c>
      <c r="R102" s="41"/>
      <c r="S102" s="41"/>
      <c r="T102" s="41"/>
      <c r="U102" s="41"/>
      <c r="V102" s="41"/>
      <c r="W102" s="41"/>
      <c r="X102" s="41"/>
      <c r="Y102" s="38"/>
    </row>
    <row r="103" spans="10:25" ht="18.75">
      <c r="P103" s="17" t="str">
        <f>"đếm từng chữ một"</f>
        <v>đếm từng chữ một</v>
      </c>
      <c r="Q103" s="18" t="str">
        <f>IF(Q101&lt;0,"minus   ","")&amp;SUBSTITUTE(SUBSTITUTE(SUBSTITUTE(SUBSTITUTE(Q119,8,"tám   "),9,"chín   "),",","phẩy   "),"-","")</f>
        <v xml:space="preserve">hai   bẩy   không   bốn   một   ba   bẩy   không   không   không   </v>
      </c>
      <c r="R103" s="42"/>
      <c r="S103" s="37"/>
      <c r="T103" s="37"/>
      <c r="U103" s="37"/>
      <c r="V103" s="37" t="s">
        <v>147</v>
      </c>
      <c r="W103" s="37"/>
      <c r="X103" s="37"/>
      <c r="Y103" s="38"/>
    </row>
    <row r="104" spans="10:25" ht="18.75">
      <c r="P104" s="17" t="str">
        <f>"hàng trăm tỷ"</f>
        <v>hàng trăm tỷ</v>
      </c>
      <c r="Q104" s="19">
        <f>VALUE(RIGHT(INT(ABS(Q101)/100000000000)))</f>
        <v>0</v>
      </c>
      <c r="R104" s="20" t="str">
        <f>IF(Q104=1,"một",IF(Q104=2,"hai",IF(Q104=3,"ba",IF(Q104=4,"bốn",IF(Q104=5,"năm",IF(Q104=6,"sáu",IF(Q104=7,"bẩy",IF(Q104=8,"tám","chín"))))))))&amp;" trăm "&amp;IF(AND(Q105=0,Q106=0),"tỷ","")</f>
        <v xml:space="preserve">chín trăm </v>
      </c>
      <c r="S104" s="31"/>
      <c r="T104" s="43"/>
      <c r="U104" s="37"/>
      <c r="V104" s="37">
        <v>1</v>
      </c>
      <c r="W104" s="37">
        <v>2</v>
      </c>
      <c r="X104" s="37">
        <v>3</v>
      </c>
      <c r="Y104" s="38"/>
    </row>
    <row r="105" spans="10:25" ht="18.75">
      <c r="P105" s="17" t="str">
        <f>"hàng chục tỷ"</f>
        <v>hàng chục tỷ</v>
      </c>
      <c r="Q105" s="19">
        <f>VALUE(RIGHT(INT(ABS(Q101)/10000000000)))</f>
        <v>0</v>
      </c>
      <c r="R105" s="20" t="str">
        <f>IF(Q105=1,"mười",IF(Q105=2," hai mươi",IF(Q105=3,"ba mươi",IF(Q105=4,"bốn mươi",IF(Q105=5,"năm mươi",IF(Q105=6,"sáu mươi",IF(Q105=7,"bẩy mươi",IF(Q105=8,"tám mươi","chín mươi"))))))))</f>
        <v>chín mươi</v>
      </c>
      <c r="S105" s="21" t="str">
        <f>IF(AND(Q105=0,Q106=1),"một tỷ ",IF(AND(Q105=1,Q106=1),"mười một",IF(AND(Q105=1,Q106=2),"mười hai",IF(AND(Q105=1,Q106=6),"mười sáu",IF(AND(Q105=1,Q106=7),"mười bẩy",IF(Q106=0,R105,IF(Q105=0,R106,R105&amp;IF(Q105&gt;1," ","")&amp;R106))))))&amp;" tỷ, ")</f>
        <v xml:space="preserve">hai tỷ, </v>
      </c>
      <c r="T105" s="44"/>
      <c r="U105" s="37"/>
      <c r="V105" s="22" t="str">
        <f>INDEX(V106:X122,P99,2)</f>
        <v xml:space="preserve"> đồng chẵn</v>
      </c>
      <c r="W105" s="22" t="str">
        <f>INDEX(V106:X122,P99,3)</f>
        <v xml:space="preserve"> xu</v>
      </c>
      <c r="X105" s="37"/>
      <c r="Y105" s="38"/>
    </row>
    <row r="106" spans="10:25" ht="18.75">
      <c r="P106" s="17" t="str">
        <f>"hàng tỷ"</f>
        <v>hàng tỷ</v>
      </c>
      <c r="Q106" s="23">
        <f>VALUE(RIGHT(INT(ABS(Q101)/1000000000)))</f>
        <v>2</v>
      </c>
      <c r="R106" s="20" t="str">
        <f>IF(Q106=1,"một",IF(Q106=2,"hai",IF(Q106=3,"ba",IF(Q106=4,"bốn",IF(Q106=5,"năm",IF(Q106=6,"sáu",IF(Q106=7,"bẩy",IF(Q106=8,"tám","chín"))))))))</f>
        <v>hai</v>
      </c>
      <c r="S106" s="45"/>
      <c r="T106" s="46"/>
      <c r="U106" s="37"/>
      <c r="V106" s="20" t="s">
        <v>149</v>
      </c>
      <c r="W106" s="20" t="s">
        <v>150</v>
      </c>
      <c r="X106" s="20" t="s">
        <v>151</v>
      </c>
      <c r="Y106" s="38"/>
    </row>
    <row r="107" spans="10:25" ht="18.75">
      <c r="P107" s="17" t="str">
        <f>"hàng trăm triệu"</f>
        <v>hàng trăm triệu</v>
      </c>
      <c r="Q107" s="24">
        <f>VALUE(RIGHT(INT(ABS(Q101)/100000000)))</f>
        <v>7</v>
      </c>
      <c r="R107" s="25" t="str">
        <f>IF(Q107=1,"một",IF(Q107=2,"hai",IF(Q107=3,"ba",IF(Q107=4,"bốn",IF(Q107=5,"năm",IF(Q107=6,"sáu",IF(Q107=7,"bẩy",IF(Q107=8,"tám","chín"))))))))&amp;" trăm "&amp;IF(AND(Q108=0,Q109=0),"triệu","")</f>
        <v xml:space="preserve">bẩy trăm </v>
      </c>
      <c r="S107" s="47"/>
      <c r="T107" s="48"/>
      <c r="U107" s="37"/>
      <c r="V107" s="20" t="s">
        <v>153</v>
      </c>
      <c r="W107" s="20" t="s">
        <v>154</v>
      </c>
      <c r="X107" s="20" t="s">
        <v>155</v>
      </c>
      <c r="Y107" s="38"/>
    </row>
    <row r="108" spans="10:25" ht="18.75">
      <c r="P108" s="17" t="str">
        <f>"hàng chục triệu"</f>
        <v>hàng chục triệu</v>
      </c>
      <c r="Q108" s="24">
        <f>VALUE(RIGHT(INT(ABS(Q101)/10000000)))</f>
        <v>0</v>
      </c>
      <c r="R108" s="25" t="str">
        <f>IF(Q108=1,"mười ",IF(Q108=2,"hai mươi",IF(Q108=3,"ba mươi",IF(Q108=4,"bốn mươi",IF(Q108=5,"năm mươi",IF(Q108=6,"sáu mươi",IF(Q108=7,"bẩy mươi",IF(Q108=8,"tám mươi","chín mươi"))))))))</f>
        <v>chín mươi</v>
      </c>
      <c r="S108" s="26" t="str">
        <f>IF(AND(Q108=0,Q109=1),"một triệu",IF(AND(Q108=1,Q109=1),"mười một",IF(AND(Q108=1,Q109=2),"mười hai",IF(AND(Q108=1,Q109=6),"mười sáu",IF(AND(Q108=1,Q109=7),"mười bẩy",IF(Q109=0,R108,IF(Q108=0,"linh "&amp;R109,R108&amp;IF(Q108&gt;1," ","")&amp;R109))))))&amp;" triệu,")</f>
        <v>linh bốn triệu,</v>
      </c>
      <c r="T108" s="49"/>
      <c r="U108" s="37"/>
      <c r="V108" s="20" t="s">
        <v>157</v>
      </c>
      <c r="W108" s="20" t="s">
        <v>158</v>
      </c>
      <c r="X108" s="20" t="s">
        <v>159</v>
      </c>
      <c r="Y108" s="38"/>
    </row>
    <row r="109" spans="10:25" ht="18.75">
      <c r="P109" s="17" t="str">
        <f>"hàng triệu"</f>
        <v>hàng triệu</v>
      </c>
      <c r="Q109" s="24">
        <f>VALUE(RIGHT(INT(ABS(Q101)/1000000)))</f>
        <v>4</v>
      </c>
      <c r="R109" s="25" t="str">
        <f>IF(Q109=1,"một",IF(Q109=2,"hai",IF(Q109=3,"ba",IF(Q109=4,"bốn",IF(Q109=5,"năm",IF(Q109=6,"sáu",IF(Q109=7,"bẩy",IF(Q109=8,"tám","chín"))))))))</f>
        <v>bốn</v>
      </c>
      <c r="S109" s="26"/>
      <c r="T109" s="49"/>
      <c r="U109" s="37"/>
      <c r="V109" s="20" t="s">
        <v>161</v>
      </c>
      <c r="W109" s="20" t="s">
        <v>162</v>
      </c>
      <c r="X109" s="20" t="s">
        <v>163</v>
      </c>
      <c r="Y109" s="38"/>
    </row>
    <row r="110" spans="10:25" ht="18.75">
      <c r="P110" s="17" t="str">
        <f>"hàng trăm nghìn"</f>
        <v>hàng trăm nghìn</v>
      </c>
      <c r="Q110" s="27">
        <f>VALUE(RIGHT(INT(ABS(Q101)/100000)))</f>
        <v>1</v>
      </c>
      <c r="R110" s="20" t="str">
        <f>IF(Q110=1," một",IF(Q110=2," hai",IF(Q110=3," ba",IF(Q110=4," bốn",IF(Q110=5," năm",IF(Q110=6," sáu",IF(Q110=7," bẩy",IF(Q110=8," tám"," chín"))))))))&amp;" trăm "&amp;IF(AND(Q111=0,Q112=0)," nghìn","")</f>
        <v xml:space="preserve"> một trăm </v>
      </c>
      <c r="S110" s="31"/>
      <c r="T110" s="43"/>
      <c r="U110" s="37"/>
      <c r="V110" s="20" t="s">
        <v>165</v>
      </c>
      <c r="W110" s="20" t="s">
        <v>166</v>
      </c>
      <c r="X110" s="20" t="s">
        <v>167</v>
      </c>
      <c r="Y110" s="38"/>
    </row>
    <row r="111" spans="10:25" ht="18.75">
      <c r="P111" s="17" t="str">
        <f>"hàng chục nghìn"</f>
        <v>hàng chục nghìn</v>
      </c>
      <c r="Q111" s="27">
        <f>VALUE(RIGHT(INT(ABS(Q101)/10000)))</f>
        <v>3</v>
      </c>
      <c r="R111" s="20" t="str">
        <f>IF(Q111=1,"mười ",IF(Q111=2," hai mươi ",IF(Q111=3," ba mươi ",IF(Q111=4," bốn mươi ",IF(Q111=5," năm mươi ",IF(Q111=6," sáu mươi ",IF(Q111=7," bẩy mươi ",IF(Q111=8," tám mươi "," chín mươi "))))))))</f>
        <v xml:space="preserve"> ba mươi </v>
      </c>
      <c r="S111" s="21" t="str">
        <f>IF(AND(Q111=1,Q112=1)," mười một",IF(AND(Q111=1,Q112=2)," mười hai",IF(AND(Q111=1,Q112=6)," mười sáu",IF(AND(Q111=1,Q112=7)," mười bẩy",IF(Q112=0,R111,IF(Q111=0,"linh"&amp;R112,R111&amp;IF(Q111&gt;1,"","")&amp;R112))))))&amp;" nghìn "</f>
        <v xml:space="preserve"> ba mươi  bẩy nghìn </v>
      </c>
      <c r="T111" s="44"/>
      <c r="U111" s="37"/>
      <c r="V111" s="20" t="s">
        <v>169</v>
      </c>
      <c r="W111" s="20" t="s">
        <v>170</v>
      </c>
      <c r="X111" s="20" t="s">
        <v>171</v>
      </c>
      <c r="Y111" s="38"/>
    </row>
    <row r="112" spans="10:25" ht="18.75">
      <c r="P112" s="17" t="str">
        <f>"hàng nghìn"</f>
        <v>hàng nghìn</v>
      </c>
      <c r="Q112" s="27">
        <f>VALUE(RIGHT(INT(ABS(Q101)/1000)))</f>
        <v>7</v>
      </c>
      <c r="R112" s="20" t="str">
        <f>IF(Q112=1," một",IF(Q112=2," hai",IF(Q112=3," ba",IF(Q112=4," bốn",IF(Q112=5," năm",IF(Q112=6," sáu",IF(Q112=7," bẩy",IF(Q112=8," tám"," chín"))))))))</f>
        <v xml:space="preserve"> bẩy</v>
      </c>
      <c r="S112" s="21"/>
      <c r="T112" s="44"/>
      <c r="U112" s="37"/>
      <c r="V112" s="20" t="s">
        <v>173</v>
      </c>
      <c r="W112" s="20" t="s">
        <v>174</v>
      </c>
      <c r="X112" s="20" t="s">
        <v>175</v>
      </c>
      <c r="Y112" s="38"/>
    </row>
    <row r="113" spans="9:69" ht="18.75">
      <c r="P113" s="17" t="str">
        <f>"hàng trăm"</f>
        <v>hàng trăm</v>
      </c>
      <c r="Q113" s="28">
        <f>VALUE(RIGHT(INT(ABS(Q101)/100)))</f>
        <v>0</v>
      </c>
      <c r="R113" s="29" t="str">
        <f>IF(Q113=1,"một",IF(Q113=2,"hai",IF(Q113=3,"ba",IF(Q113=4,"bốn",IF(Q113=5,"năm",IF(Q113=6,"sáu",IF(Q113=7,"bẩy",IF(Q113=8,"tám","chín"))))))))&amp;" trăm "</f>
        <v xml:space="preserve">chín trăm </v>
      </c>
      <c r="S113" s="50"/>
      <c r="T113" s="51"/>
      <c r="U113" s="37"/>
      <c r="V113" s="20" t="s">
        <v>177</v>
      </c>
      <c r="W113" s="20" t="s">
        <v>178</v>
      </c>
      <c r="X113" s="20" t="s">
        <v>155</v>
      </c>
      <c r="Y113" s="38"/>
    </row>
    <row r="114" spans="9:69" ht="18.75">
      <c r="P114" s="17" t="str">
        <f>"hàng chục"</f>
        <v>hàng chục</v>
      </c>
      <c r="Q114" s="28">
        <f>VALUE(RIGHT(INT(ABS(Q101)/10)))</f>
        <v>0</v>
      </c>
      <c r="R114" s="29" t="str">
        <f>IF(Q114=1,",mười ",IF(Q114=2,"hai mươi ",IF(Q114=3,"ba mươi ",IF(Q114=4,"bốn mươi ",IF(Q114=5,"năm mươi ",IF(Q114=6,"sáu mươi ",IF(Q114=7,"bẩy mươi ",IF(Q114=8,"tám mươi ","chín mươi "))))))))</f>
        <v xml:space="preserve">chín mươi </v>
      </c>
      <c r="S114" s="30" t="str">
        <f>IF(AND(Q114=1,Q115=1),"mười một",IF(AND(Q114=1,Q115=2),"mười hai",IF(AND(Q114=1,Q115=6),"mười sáu",IF(AND(Q114=1,Q115=7),"mười bẩy",IF(Q115=0,R114,IF(Q114=0,R115,IF(Q114&gt;1,"","")&amp;R114&amp;R115))))))</f>
        <v xml:space="preserve">chín mươi </v>
      </c>
      <c r="T114" s="52"/>
      <c r="U114" s="37"/>
      <c r="V114" s="20" t="s">
        <v>180</v>
      </c>
      <c r="W114" s="20" t="s">
        <v>181</v>
      </c>
      <c r="X114" s="20" t="s">
        <v>182</v>
      </c>
      <c r="Y114" s="38"/>
    </row>
    <row r="115" spans="9:69" ht="18.75">
      <c r="P115" s="17" t="str">
        <f>"hàng đơn vị"</f>
        <v>hàng đơn vị</v>
      </c>
      <c r="Q115" s="28">
        <f>VALUE(RIGHT(INT(ABS(Q101))))</f>
        <v>0</v>
      </c>
      <c r="R115" s="29" t="str">
        <f>IF(Q115=1,"một",IF(Q115=2,"hai",IF(Q115=3,"ba",IF(Q115=4,"bốn",IF(Q115=5,"năm",IF(Q115=6,"sáu",IF(Q115=7,"bẩy",IF(Q115=8,"tám","chín"))))))))</f>
        <v>chín</v>
      </c>
      <c r="S115" s="53"/>
      <c r="T115" s="54"/>
      <c r="U115" s="37"/>
      <c r="V115" s="20" t="s">
        <v>184</v>
      </c>
      <c r="W115" s="20" t="s">
        <v>185</v>
      </c>
      <c r="X115" s="20" t="s">
        <v>186</v>
      </c>
      <c r="Y115" s="38"/>
    </row>
    <row r="116" spans="9:69" ht="18.75">
      <c r="P116" s="17"/>
      <c r="Q116" s="12" t="str">
        <f>"Giá trị sau dấu phẩy"</f>
        <v>Giá trị sau dấu phẩy</v>
      </c>
      <c r="R116" s="37"/>
      <c r="S116" s="37"/>
      <c r="T116" s="37"/>
      <c r="U116" s="37"/>
      <c r="V116" s="20" t="s">
        <v>187</v>
      </c>
      <c r="W116" s="20" t="s">
        <v>188</v>
      </c>
      <c r="X116" s="20" t="s">
        <v>155</v>
      </c>
      <c r="Y116" s="38"/>
    </row>
    <row r="117" spans="9:69" ht="18.75">
      <c r="P117" s="17" t="str">
        <f>"hàng chục"</f>
        <v>hàng chục</v>
      </c>
      <c r="Q117" s="27">
        <f>VALUE(RIGHT(INT(ABS(T122)/10)))</f>
        <v>0</v>
      </c>
      <c r="R117" s="20" t="str">
        <f>IF(Q117=1,"mười",IF(Q117=2,"hai mươi",IF(Q117=3,"ba mươi",IF(Q117=4,"bốn mươi",IF(Q117=5,"năm mươi",IF(Q117=6,"sáu mươi",IF(Q117=7,"bẩy mươi",IF(Q117=8,"tám mươi","chín mươi"))))))))</f>
        <v>chín mươi</v>
      </c>
      <c r="S117" s="31" t="str">
        <f ca="1">" và "&amp;IF(T122&lt;10,"không ","")&amp;IF(T122=1,"một",IF(AND(Q117=1,Q118=1),"mười một",IF(AND(Q117=1,Q118=2),"mười hai",IF(AND(Q117=1,Q118=6),"mười sáu",IF(AND(Q117=1,Q118=7),"mười bẩy",IF(Q118=0,R117,IF(Q117=0,R118,R117&amp;IF(Q117&gt;1," ","")&amp;R118&amp;""))))))&amp;CELL("contents",W105))</f>
        <v xml:space="preserve"> và không chín mươi xu</v>
      </c>
      <c r="T117" s="43"/>
      <c r="U117" s="37"/>
      <c r="V117" s="20" t="s">
        <v>189</v>
      </c>
      <c r="W117" s="20" t="s">
        <v>190</v>
      </c>
      <c r="X117" s="20" t="s">
        <v>155</v>
      </c>
      <c r="Y117" s="38"/>
    </row>
    <row r="118" spans="9:69" ht="18.75">
      <c r="P118" s="17" t="str">
        <f>"hàng đơn vị"</f>
        <v>hàng đơn vị</v>
      </c>
      <c r="Q118" s="27">
        <f>VALUE(RIGHT(INT(ABS(T122))))</f>
        <v>0</v>
      </c>
      <c r="R118" s="20" t="str">
        <f>IF(Q118=1,"một",IF(Q118=2,"hai",IF(Q118=3,"ba",IF(Q118=4,"bốn",IF(Q118=5,"năm",IF(Q118=6,"sáu",IF(Q118=7,"bẩy",IF(Q118=8,"tám","chín"))))))))</f>
        <v>chín</v>
      </c>
      <c r="S118" s="45"/>
      <c r="T118" s="46"/>
      <c r="U118" s="37"/>
      <c r="V118" s="20"/>
      <c r="W118" s="20"/>
      <c r="X118" s="20"/>
      <c r="Y118" s="38"/>
    </row>
    <row r="119" spans="9:69" ht="18">
      <c r="P119" s="37"/>
      <c r="Q119" s="32" t="str">
        <f>SUBSTITUTE(SUBSTITUTE(SUBSTITUTE(SUBSTITUTE(SUBSTITUTE(SUBSTITUTE(SUBSTITUTE(SUBSTITUTE(Q101,0,"không   "),1,"một   "),2,"hai   "),3,"ba   "),4,"bốn   "),5,"năm   "),6,"sáu   "),7,"bẩy   ")</f>
        <v xml:space="preserve">hai   bẩy   không   bốn   một   ba   bẩy   không   không   không   </v>
      </c>
      <c r="R119" s="37"/>
      <c r="S119" s="37"/>
      <c r="T119" s="37"/>
      <c r="U119" s="37"/>
      <c r="V119" s="20"/>
      <c r="W119" s="20"/>
      <c r="X119" s="20"/>
      <c r="Y119" s="38"/>
    </row>
    <row r="120" spans="9:69" ht="18">
      <c r="P120" s="37"/>
      <c r="Q120" s="37"/>
      <c r="R120" s="37"/>
      <c r="S120" s="37"/>
      <c r="T120" s="37"/>
      <c r="U120" s="37"/>
      <c r="V120" s="20"/>
      <c r="W120" s="20"/>
      <c r="X120" s="20"/>
      <c r="Y120" s="38"/>
    </row>
    <row r="121" spans="9:69" ht="18">
      <c r="P121" s="37"/>
      <c r="Q121" s="33">
        <f>ABS(100*(MOD(Q101,1)-(Q101&lt;0)))</f>
        <v>0</v>
      </c>
      <c r="R121" s="37"/>
      <c r="S121" s="37"/>
      <c r="T121" s="34" t="str">
        <f>TEXT(T122,"   00")&amp;"/100"</f>
        <v xml:space="preserve">   00/100</v>
      </c>
      <c r="U121" s="37"/>
      <c r="V121" s="20"/>
      <c r="W121" s="20"/>
      <c r="X121" s="20"/>
      <c r="Y121" s="38"/>
    </row>
    <row r="122" spans="9:69" ht="18">
      <c r="I122" s="80"/>
      <c r="J122" s="80"/>
      <c r="K122" s="80"/>
      <c r="L122" s="80"/>
      <c r="M122" s="80"/>
      <c r="N122" s="80"/>
      <c r="O122" s="80"/>
      <c r="P122" s="37"/>
      <c r="Q122" s="35">
        <f>ROUND(100*(ABS(Q101)-INT(ABS(Q101))),0)</f>
        <v>0</v>
      </c>
      <c r="R122" s="37"/>
      <c r="S122" s="37"/>
      <c r="T122" s="36">
        <f>IF(P102=0,0,ROUND(100*(ABS(Q101)-INT(ABS(Q101))),0))</f>
        <v>0</v>
      </c>
      <c r="U122" s="37"/>
      <c r="V122" s="20"/>
      <c r="W122" s="20"/>
      <c r="X122" s="20"/>
      <c r="Y122" s="38"/>
    </row>
    <row r="123" spans="9:69" ht="15"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</row>
    <row r="124" spans="9:69" ht="15"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</row>
    <row r="125" spans="9:69" ht="15">
      <c r="I125" s="80"/>
      <c r="J125" s="80"/>
      <c r="K125" s="80"/>
      <c r="L125" s="80"/>
      <c r="M125" s="80"/>
      <c r="N125" s="80"/>
      <c r="O125" s="80"/>
    </row>
    <row r="126" spans="9:69" ht="15">
      <c r="I126" s="80"/>
      <c r="J126" s="80"/>
      <c r="K126" s="80"/>
      <c r="L126" s="80"/>
      <c r="M126" s="80"/>
      <c r="N126" s="80"/>
      <c r="O126" s="80"/>
    </row>
    <row r="127" spans="9:69" ht="15">
      <c r="I127" s="80"/>
      <c r="J127" s="80"/>
      <c r="K127" s="80"/>
      <c r="L127" s="80"/>
      <c r="M127" s="80"/>
      <c r="N127" s="80"/>
      <c r="O127" s="80"/>
    </row>
    <row r="128" spans="9:69" ht="15">
      <c r="I128" s="80"/>
      <c r="J128" s="80"/>
      <c r="K128" s="80"/>
      <c r="L128" s="80"/>
      <c r="M128" s="80"/>
      <c r="N128" s="80"/>
      <c r="O128" s="80"/>
    </row>
    <row r="156" spans="9:15" ht="15">
      <c r="I156" s="80"/>
      <c r="J156" s="80"/>
      <c r="K156" s="80"/>
      <c r="L156" s="80"/>
      <c r="M156" s="80"/>
      <c r="N156" s="80"/>
      <c r="O156" s="80"/>
    </row>
    <row r="157" spans="9:15" ht="15">
      <c r="I157" s="80"/>
      <c r="J157" s="80"/>
      <c r="K157" s="80"/>
      <c r="L157" s="80"/>
      <c r="M157" s="80"/>
      <c r="N157" s="80"/>
      <c r="O157" s="80"/>
    </row>
  </sheetData>
  <mergeCells count="21">
    <mergeCell ref="A10:G10"/>
    <mergeCell ref="A2:G2"/>
    <mergeCell ref="A3:G3"/>
    <mergeCell ref="A4:B4"/>
    <mergeCell ref="A8:G8"/>
    <mergeCell ref="A9:G9"/>
    <mergeCell ref="E49:G49"/>
    <mergeCell ref="E50:G50"/>
    <mergeCell ref="E51:G51"/>
    <mergeCell ref="E58:G58"/>
    <mergeCell ref="A11:G11"/>
    <mergeCell ref="A13:G13"/>
    <mergeCell ref="A15:G15"/>
    <mergeCell ref="C16:C17"/>
    <mergeCell ref="E16:F17"/>
    <mergeCell ref="A18:A19"/>
    <mergeCell ref="B18:B19"/>
    <mergeCell ref="C18:C19"/>
    <mergeCell ref="F18:F19"/>
    <mergeCell ref="G18:G19"/>
    <mergeCell ref="A12:G12"/>
  </mergeCells>
  <pageMargins left="0.8" right="0" top="0.15" bottom="0.15" header="0.5" footer="0.5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</sheetPr>
  <dimension ref="A1:BQ151"/>
  <sheetViews>
    <sheetView topLeftCell="A25" zoomScaleNormal="100" workbookViewId="0">
      <selection activeCell="E41" sqref="E41:G41"/>
    </sheetView>
  </sheetViews>
  <sheetFormatPr defaultColWidth="8.85546875" defaultRowHeight="12.75"/>
  <cols>
    <col min="1" max="1" width="4.42578125" customWidth="1"/>
    <col min="2" max="2" width="31.7109375" customWidth="1"/>
    <col min="3" max="3" width="14.85546875" customWidth="1"/>
    <col min="4" max="4" width="11.42578125" customWidth="1"/>
    <col min="5" max="5" width="14.140625" customWidth="1"/>
    <col min="6" max="6" width="12.140625" customWidth="1"/>
    <col min="7" max="7" width="17" customWidth="1"/>
    <col min="10" max="10" width="32.7109375" customWidth="1"/>
    <col min="12" max="12" width="17.7109375" customWidth="1"/>
    <col min="13" max="13" width="10.28515625" customWidth="1"/>
    <col min="14" max="14" width="12.140625" customWidth="1"/>
    <col min="15" max="15" width="11.28515625" customWidth="1"/>
    <col min="17" max="17" width="19" customWidth="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17.25" thickTop="1">
      <c r="A2" s="704" t="s">
        <v>50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17.25" thickBot="1">
      <c r="A3" s="705"/>
      <c r="B3" s="705"/>
      <c r="C3" s="705"/>
      <c r="D3" s="705"/>
      <c r="E3" s="705"/>
      <c r="F3" s="705"/>
      <c r="G3" s="70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40.5" customHeight="1" thickTop="1">
      <c r="A4" s="687" t="s">
        <v>266</v>
      </c>
      <c r="B4" s="710"/>
      <c r="C4" s="710"/>
      <c r="D4" s="710"/>
      <c r="E4" s="710"/>
      <c r="F4" s="710"/>
      <c r="G4" s="710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6.5">
      <c r="A5" s="706" t="s">
        <v>52</v>
      </c>
      <c r="B5" s="706"/>
      <c r="C5" s="439">
        <v>30000</v>
      </c>
      <c r="D5" s="61" t="s">
        <v>267</v>
      </c>
      <c r="E5" s="114"/>
      <c r="F5" s="114" t="s">
        <v>54</v>
      </c>
      <c r="G5" s="371">
        <v>10000</v>
      </c>
      <c r="H5" s="373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6.5">
      <c r="A6" s="114"/>
      <c r="B6" s="114" t="s">
        <v>268</v>
      </c>
      <c r="C6" s="481" t="s">
        <v>269</v>
      </c>
      <c r="D6" s="61"/>
      <c r="E6" s="476"/>
      <c r="F6" s="476" t="s">
        <v>250</v>
      </c>
      <c r="G6" s="477">
        <f>IF(C6="xã có làng cổ",1.2,(IF(C6="xã có làng nghề sản xuất",1.3,1)))</f>
        <v>1.3</v>
      </c>
      <c r="H6" s="1"/>
      <c r="I6" s="88"/>
      <c r="J6" s="382"/>
      <c r="K6" s="390"/>
      <c r="L6" s="382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8.95" customHeight="1">
      <c r="A7" s="193" t="s">
        <v>58</v>
      </c>
      <c r="B7" s="194"/>
      <c r="C7" s="194"/>
      <c r="D7" s="195"/>
      <c r="E7" s="195"/>
      <c r="F7" s="195"/>
      <c r="G7" s="195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5" customHeight="1">
      <c r="A8" s="263" t="s">
        <v>201</v>
      </c>
      <c r="B8" s="198"/>
      <c r="C8" s="199"/>
      <c r="D8" s="199"/>
      <c r="E8" s="199"/>
      <c r="F8" s="199"/>
      <c r="G8" s="199"/>
      <c r="H8" s="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ht="15" customHeight="1">
      <c r="A9" s="263" t="s">
        <v>202</v>
      </c>
      <c r="B9" s="198"/>
      <c r="C9" s="199"/>
      <c r="D9" s="199"/>
      <c r="E9" s="199"/>
      <c r="F9" s="199"/>
      <c r="G9" s="199"/>
      <c r="H9" s="1"/>
      <c r="I9" s="88"/>
      <c r="J9" s="390" t="s">
        <v>270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16.5">
      <c r="A10" s="688" t="s">
        <v>61</v>
      </c>
      <c r="B10" s="688"/>
      <c r="C10" s="688"/>
      <c r="D10" s="688"/>
      <c r="E10" s="688"/>
      <c r="F10" s="688"/>
      <c r="G10" s="688"/>
      <c r="H10" s="1"/>
      <c r="I10" s="88"/>
      <c r="J10" s="390" t="s">
        <v>269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15" customHeight="1">
      <c r="A11" s="693" t="s">
        <v>62</v>
      </c>
      <c r="B11" s="693"/>
      <c r="C11" s="693"/>
      <c r="D11" s="693"/>
      <c r="E11" s="693"/>
      <c r="F11" s="693"/>
      <c r="G11" s="693"/>
      <c r="H11" s="1"/>
      <c r="I11" s="88"/>
      <c r="J11" s="390" t="s">
        <v>271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s="111" customFormat="1" ht="31.5" customHeight="1">
      <c r="A12" s="695" t="s">
        <v>63</v>
      </c>
      <c r="B12" s="695"/>
      <c r="C12" s="695"/>
      <c r="D12" s="695"/>
      <c r="E12" s="695"/>
      <c r="F12" s="695"/>
      <c r="G12" s="695"/>
      <c r="H12" s="167"/>
      <c r="I12" s="281"/>
      <c r="J12" s="390"/>
      <c r="K12" s="283"/>
      <c r="L12" s="285"/>
      <c r="M12" s="285"/>
      <c r="N12" s="285"/>
      <c r="O12" s="285"/>
    </row>
    <row r="13" spans="1:69" s="111" customFormat="1" ht="31.5" customHeight="1">
      <c r="A13" s="707" t="s">
        <v>64</v>
      </c>
      <c r="B13" s="707"/>
      <c r="C13" s="707"/>
      <c r="D13" s="707"/>
      <c r="E13" s="707"/>
      <c r="F13" s="707"/>
      <c r="G13" s="707"/>
      <c r="H13" s="167"/>
      <c r="I13" s="281"/>
      <c r="J13" s="390"/>
      <c r="K13" s="283"/>
      <c r="L13" s="285"/>
      <c r="M13" s="285"/>
      <c r="N13" s="285"/>
      <c r="O13" s="285"/>
    </row>
    <row r="14" spans="1:69" ht="16.5">
      <c r="A14" s="688" t="s">
        <v>65</v>
      </c>
      <c r="B14" s="688"/>
      <c r="C14" s="688"/>
      <c r="D14" s="688"/>
      <c r="E14" s="688"/>
      <c r="F14" s="688"/>
      <c r="G14" s="688"/>
      <c r="H14" s="1"/>
      <c r="I14" s="88"/>
      <c r="J14" s="39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15" customHeight="1">
      <c r="A15" s="200"/>
      <c r="B15" s="201" t="s">
        <v>66</v>
      </c>
      <c r="C15" s="227">
        <f>C5</f>
        <v>30000</v>
      </c>
      <c r="D15" s="225" t="str">
        <f>D5</f>
        <v>người</v>
      </c>
      <c r="E15" s="201"/>
      <c r="F15" s="202"/>
      <c r="G15" s="203"/>
      <c r="H15" s="1"/>
      <c r="I15" s="88"/>
      <c r="J15" s="39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44.25" customHeight="1">
      <c r="A16" s="689" t="s">
        <v>272</v>
      </c>
      <c r="B16" s="690"/>
      <c r="C16" s="690"/>
      <c r="D16" s="690"/>
      <c r="E16" s="690"/>
      <c r="F16" s="690"/>
      <c r="G16" s="690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16.5">
      <c r="A17" s="204"/>
      <c r="B17" s="205" t="s">
        <v>68</v>
      </c>
      <c r="C17" s="691" t="s">
        <v>69</v>
      </c>
      <c r="D17" s="206" t="s">
        <v>70</v>
      </c>
      <c r="E17" s="692" t="s">
        <v>71</v>
      </c>
      <c r="F17" s="692"/>
      <c r="G17" s="203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17.25" thickBot="1">
      <c r="A18" s="204"/>
      <c r="B18" s="200"/>
      <c r="C18" s="691"/>
      <c r="D18" s="210" t="s">
        <v>72</v>
      </c>
      <c r="E18" s="692"/>
      <c r="F18" s="692"/>
      <c r="G18" s="203"/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42.75">
      <c r="A19" s="698" t="s">
        <v>26</v>
      </c>
      <c r="B19" s="696" t="s">
        <v>73</v>
      </c>
      <c r="C19" s="696" t="s">
        <v>74</v>
      </c>
      <c r="D19" s="314" t="s">
        <v>75</v>
      </c>
      <c r="E19" s="314" t="s">
        <v>76</v>
      </c>
      <c r="F19" s="696" t="s">
        <v>77</v>
      </c>
      <c r="G19" s="701" t="s">
        <v>78</v>
      </c>
      <c r="H19" s="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7.25" thickBot="1">
      <c r="A20" s="699"/>
      <c r="B20" s="697"/>
      <c r="C20" s="697"/>
      <c r="D20" s="317" t="s">
        <v>79</v>
      </c>
      <c r="E20" s="317" t="s">
        <v>79</v>
      </c>
      <c r="F20" s="697"/>
      <c r="G20" s="702"/>
      <c r="H20" s="1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96">
        <v>1</v>
      </c>
      <c r="B21" s="320" t="s">
        <v>81</v>
      </c>
      <c r="C21" s="321" t="s">
        <v>82</v>
      </c>
      <c r="D21" s="408">
        <f>IF(D26&lt;5,155.52,IF(D26&gt;30,"Vượt quy mô",((D22-D23)/(D24-D25)*(D26-D25)+D23)))</f>
        <v>324</v>
      </c>
      <c r="E21" s="408">
        <f>IF(E26&lt;5,21.93,IF(E26&gt;30,"Vượt quy mô",((E22-E23)/(E24-E25)*(E26-E25)+E23)))</f>
        <v>41</v>
      </c>
      <c r="F21" s="494">
        <f>IF(F26&lt;200,12.3,IF(F26&gt;10000,2.8,ROUND(((F22-F23)/(F24-F25)*(F26-F25)+F23),3)))</f>
        <v>10.382999999999999</v>
      </c>
      <c r="G21" s="617">
        <f>IF(G26&lt;200,10.6,IF(G26&gt;10000,2.6,ROUND(((G22-G23)/(G24-G25)*(G26-G25)+G23),3)))</f>
        <v>9.2729999999999997</v>
      </c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2</v>
      </c>
      <c r="B22" s="303" t="s">
        <v>240</v>
      </c>
      <c r="C22" s="304" t="s">
        <v>84</v>
      </c>
      <c r="D22" s="446">
        <f>LOOKUP(D24,'Dinh muc'!$C$60:$G$61)</f>
        <v>324</v>
      </c>
      <c r="E22" s="446">
        <f>LOOKUP(E24,'Dinh muc'!$C$60:$G$62)</f>
        <v>41</v>
      </c>
      <c r="F22" s="163">
        <f>LOOKUP(F24,  'Dinh muc'!$C$75:$J$76)+0.00000000001</f>
        <v>12.30000000001</v>
      </c>
      <c r="G22" s="592">
        <f>LOOKUP(G24, 'Dinh muc'!$C$75:$J$77)+0.000000000001</f>
        <v>10.600000000001</v>
      </c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02">
        <v>3</v>
      </c>
      <c r="B23" s="303" t="s">
        <v>85</v>
      </c>
      <c r="C23" s="304" t="s">
        <v>86</v>
      </c>
      <c r="D23" s="446">
        <f>LOOKUP(D25,'Dinh muc'!$C$60:$G$61)</f>
        <v>324</v>
      </c>
      <c r="E23" s="446">
        <f>LOOKUP(E25,'Dinh muc'!$C$60:$G$62)</f>
        <v>41</v>
      </c>
      <c r="F23" s="163">
        <f>LOOKUP(F25, 'Dinh muc'!$C$75:$J$76)+0.000000000001</f>
        <v>9.7000000000009994</v>
      </c>
      <c r="G23" s="592">
        <f>LOOKUP(G25, 'Dinh muc'!$C$75:$J$77)+0.000000000000001</f>
        <v>8.8000000000000025</v>
      </c>
      <c r="H23" s="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302">
        <v>4</v>
      </c>
      <c r="B24" s="303" t="s">
        <v>87</v>
      </c>
      <c r="C24" s="304" t="s">
        <v>88</v>
      </c>
      <c r="D24" s="613">
        <f>IF(D26&lt;5,5,SMALL('Dinh muc'!$C$60:$G$60,COUNTIF('Dinh muc'!$C$60:$G$60,"&lt;="&amp;$D$26)))+0.00000001</f>
        <v>30.000000010000001</v>
      </c>
      <c r="E24" s="613">
        <f>D24</f>
        <v>30.000000010000001</v>
      </c>
      <c r="F24" s="602">
        <f>IF(F26&lt;200,200,(SMALL('Dinh muc'!$C$75:$J$76,COUNTIF('Dinh muc'!$C$75:$J$76,"&lt;="&amp;$F$26))))+0.00000000001</f>
        <v>200.00000000001</v>
      </c>
      <c r="G24" s="603">
        <f>F24</f>
        <v>200.00000000001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>
      <c r="A25" s="302">
        <v>5</v>
      </c>
      <c r="B25" s="303" t="s">
        <v>89</v>
      </c>
      <c r="C25" s="304" t="s">
        <v>90</v>
      </c>
      <c r="D25" s="613">
        <f>IF(D26&gt;30,30,LARGE('Dinh muc'!$C$60:$G$60,COUNTIF('Dinh muc'!$C$60:$G$60,"&gt;="&amp;$D$26)))+0.000000001</f>
        <v>30.000000001</v>
      </c>
      <c r="E25" s="613">
        <f>D25</f>
        <v>30.000000001</v>
      </c>
      <c r="F25" s="602">
        <f>IF(F26&gt;=10000,10000,LARGE('Dinh muc'!$C$75:$J$76,COUNTIF('Dinh muc'!$C$75:$J$76,"&gt;="&amp; $F$26)))+0.00000000001</f>
        <v>500.00000000001</v>
      </c>
      <c r="G25" s="603">
        <f>F25</f>
        <v>500.00000000001</v>
      </c>
      <c r="H25" s="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ht="15" customHeight="1" thickBot="1">
      <c r="A26" s="305">
        <v>6</v>
      </c>
      <c r="B26" s="306" t="s">
        <v>91</v>
      </c>
      <c r="C26" s="307" t="s">
        <v>92</v>
      </c>
      <c r="D26" s="614">
        <f>C5/1000</f>
        <v>30</v>
      </c>
      <c r="E26" s="615">
        <f>D26</f>
        <v>30</v>
      </c>
      <c r="F26" s="604">
        <f>E33/1000000</f>
        <v>421.2</v>
      </c>
      <c r="G26" s="605">
        <f>F26</f>
        <v>421.2</v>
      </c>
      <c r="H26" s="1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</row>
    <row r="27" spans="1:69" s="111" customFormat="1" ht="15" customHeight="1">
      <c r="A27" s="352"/>
      <c r="B27" s="207" t="s">
        <v>210</v>
      </c>
      <c r="C27" s="226"/>
      <c r="D27" s="271"/>
      <c r="E27" s="208"/>
      <c r="F27" s="209">
        <f>E21*1000000</f>
        <v>41000000</v>
      </c>
      <c r="G27" s="242" t="s">
        <v>94</v>
      </c>
      <c r="H27" s="60"/>
      <c r="I27"/>
      <c r="J27"/>
      <c r="K27"/>
      <c r="L27"/>
      <c r="M27"/>
      <c r="N27"/>
      <c r="O27"/>
      <c r="P27"/>
    </row>
    <row r="28" spans="1:69" s="111" customFormat="1" ht="15" customHeight="1" thickBot="1">
      <c r="A28" s="352"/>
      <c r="B28" s="207" t="s">
        <v>211</v>
      </c>
      <c r="C28" s="226"/>
      <c r="D28" s="271"/>
      <c r="E28" s="208"/>
      <c r="F28" s="209">
        <f>D21*1000000</f>
        <v>324000000</v>
      </c>
      <c r="G28" s="242" t="s">
        <v>94</v>
      </c>
      <c r="H28" s="60"/>
      <c r="I28"/>
      <c r="J28"/>
      <c r="K28"/>
      <c r="L28"/>
      <c r="M28"/>
      <c r="N28"/>
      <c r="O28"/>
      <c r="P28"/>
    </row>
    <row r="29" spans="1:69" ht="42.75">
      <c r="A29" s="170" t="s">
        <v>26</v>
      </c>
      <c r="B29" s="171" t="s">
        <v>96</v>
      </c>
      <c r="C29" s="171" t="s">
        <v>97</v>
      </c>
      <c r="D29" s="171" t="s">
        <v>98</v>
      </c>
      <c r="E29" s="171" t="s">
        <v>99</v>
      </c>
      <c r="F29" s="171" t="s">
        <v>100</v>
      </c>
      <c r="G29" s="172" t="s">
        <v>101</v>
      </c>
      <c r="H29" s="9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</row>
    <row r="30" spans="1:69" ht="17.25" thickBot="1">
      <c r="A30" s="184">
        <v>1</v>
      </c>
      <c r="B30" s="185">
        <v>2</v>
      </c>
      <c r="C30" s="185">
        <v>3</v>
      </c>
      <c r="D30" s="185">
        <v>4</v>
      </c>
      <c r="E30" s="185" t="s">
        <v>102</v>
      </c>
      <c r="F30" s="185" t="s">
        <v>103</v>
      </c>
      <c r="G30" s="186" t="s">
        <v>104</v>
      </c>
      <c r="H30" s="9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</row>
    <row r="31" spans="1:69" ht="15.75" customHeight="1">
      <c r="A31" s="231">
        <v>1</v>
      </c>
      <c r="B31" s="237" t="s">
        <v>105</v>
      </c>
      <c r="C31" s="238"/>
      <c r="D31" s="238"/>
      <c r="E31" s="238"/>
      <c r="F31" s="238"/>
      <c r="G31" s="239"/>
      <c r="H31" s="99"/>
      <c r="I31" s="88"/>
      <c r="J31" s="88"/>
      <c r="K31" s="88"/>
      <c r="L31" s="88"/>
      <c r="M31" s="88"/>
      <c r="N31" s="88"/>
      <c r="O31" s="88"/>
    </row>
    <row r="32" spans="1:69" ht="30">
      <c r="A32" s="177" t="s">
        <v>106</v>
      </c>
      <c r="B32" s="69" t="s">
        <v>273</v>
      </c>
      <c r="C32" s="450">
        <f>F27</f>
        <v>41000000</v>
      </c>
      <c r="D32" s="475">
        <f>G6</f>
        <v>1.3</v>
      </c>
      <c r="E32" s="78">
        <f>D32*C32</f>
        <v>53300000</v>
      </c>
      <c r="F32" s="78">
        <f>E32*10%</f>
        <v>5330000</v>
      </c>
      <c r="G32" s="179">
        <f>F32+E32</f>
        <v>58630000</v>
      </c>
      <c r="I32" s="639"/>
      <c r="J32" s="639">
        <f>G32*92%</f>
        <v>53939600</v>
      </c>
      <c r="K32" s="88"/>
      <c r="L32" s="88"/>
      <c r="M32" s="88"/>
      <c r="N32" s="88"/>
      <c r="O32" s="88"/>
      <c r="P32" s="88"/>
    </row>
    <row r="33" spans="1:16" ht="30">
      <c r="A33" s="177" t="s">
        <v>108</v>
      </c>
      <c r="B33" s="69" t="s">
        <v>274</v>
      </c>
      <c r="C33" s="450">
        <f>F28</f>
        <v>324000000</v>
      </c>
      <c r="D33" s="475">
        <f>D32</f>
        <v>1.3</v>
      </c>
      <c r="E33" s="78">
        <f>D33*C33</f>
        <v>421200000</v>
      </c>
      <c r="F33" s="78">
        <f>E33*10%</f>
        <v>42120000</v>
      </c>
      <c r="G33" s="179">
        <f>F33+E33</f>
        <v>463320000</v>
      </c>
      <c r="I33" s="88"/>
      <c r="J33" s="88"/>
      <c r="K33" s="88"/>
      <c r="L33" s="88"/>
      <c r="M33" s="88"/>
      <c r="N33" s="88"/>
      <c r="O33" s="88"/>
      <c r="P33" s="88"/>
    </row>
    <row r="34" spans="1:16" ht="30">
      <c r="A34" s="461" t="s">
        <v>110</v>
      </c>
      <c r="B34" s="462" t="s">
        <v>111</v>
      </c>
      <c r="C34" s="463">
        <f>E33</f>
        <v>421200000</v>
      </c>
      <c r="D34" s="465">
        <v>0.1</v>
      </c>
      <c r="E34" s="458">
        <f>C34*D34</f>
        <v>42120000</v>
      </c>
      <c r="F34" s="458">
        <f>E34*10%</f>
        <v>4212000</v>
      </c>
      <c r="G34" s="460">
        <f>F34+E34</f>
        <v>46332000</v>
      </c>
      <c r="I34" s="88"/>
      <c r="J34" s="88"/>
      <c r="K34" s="88"/>
      <c r="L34" s="88"/>
      <c r="M34" s="88"/>
      <c r="N34" s="88"/>
      <c r="O34" s="88"/>
      <c r="P34" s="88"/>
    </row>
    <row r="35" spans="1:16" ht="16.5">
      <c r="A35" s="177"/>
      <c r="B35" s="63" t="s">
        <v>112</v>
      </c>
      <c r="C35" s="318"/>
      <c r="D35" s="310"/>
      <c r="E35" s="70"/>
      <c r="F35" s="71">
        <f>SUM(F31:F34)</f>
        <v>51662000</v>
      </c>
      <c r="G35" s="469">
        <f>SUM(G31:G34)</f>
        <v>568282000</v>
      </c>
      <c r="H35" s="58"/>
      <c r="I35" s="88"/>
      <c r="J35" s="88"/>
      <c r="K35" s="88"/>
      <c r="L35" s="88"/>
      <c r="M35" s="88"/>
      <c r="N35" s="88"/>
      <c r="O35" s="88"/>
    </row>
    <row r="36" spans="1:16" ht="15.75" customHeight="1">
      <c r="A36" s="187">
        <v>2</v>
      </c>
      <c r="B36" s="224" t="s">
        <v>113</v>
      </c>
      <c r="C36" s="79">
        <f>E34</f>
        <v>42120000</v>
      </c>
      <c r="D36" s="165">
        <v>0.2</v>
      </c>
      <c r="E36" s="78">
        <f>D36*C36</f>
        <v>8424000</v>
      </c>
      <c r="F36" s="73"/>
      <c r="G36" s="179">
        <f>SUM(E36:F36)</f>
        <v>8424000</v>
      </c>
      <c r="H36" s="101"/>
      <c r="I36" s="88"/>
      <c r="J36" s="88"/>
      <c r="K36" s="88"/>
      <c r="L36" s="88"/>
      <c r="M36" s="88"/>
      <c r="N36" s="88"/>
      <c r="O36" s="88"/>
    </row>
    <row r="37" spans="1:16" ht="16.5">
      <c r="A37" s="187">
        <v>3</v>
      </c>
      <c r="B37" s="224" t="s">
        <v>214</v>
      </c>
      <c r="C37" s="79">
        <f>C$34</f>
        <v>421200000</v>
      </c>
      <c r="D37" s="165">
        <v>0.02</v>
      </c>
      <c r="E37" s="78">
        <f>D37*C37</f>
        <v>8424000</v>
      </c>
      <c r="F37" s="79">
        <f>E37*10%</f>
        <v>842400</v>
      </c>
      <c r="G37" s="179">
        <f>SUM(E37:F37)</f>
        <v>9266400</v>
      </c>
      <c r="H37" s="100"/>
      <c r="I37" s="88"/>
      <c r="J37" s="88"/>
      <c r="K37" s="88"/>
      <c r="L37" s="88"/>
      <c r="M37" s="88"/>
      <c r="N37" s="88"/>
      <c r="O37" s="88"/>
    </row>
    <row r="38" spans="1:16" ht="16.5">
      <c r="A38" s="187">
        <v>4</v>
      </c>
      <c r="B38" s="224" t="s">
        <v>114</v>
      </c>
      <c r="C38" s="79">
        <f>C$34</f>
        <v>421200000</v>
      </c>
      <c r="D38" s="310">
        <f>F21/100</f>
        <v>0.10382999999999999</v>
      </c>
      <c r="E38" s="78">
        <f t="shared" ref="E38:E39" si="0">D38*C38</f>
        <v>43733196</v>
      </c>
      <c r="F38" s="79"/>
      <c r="G38" s="179">
        <f t="shared" ref="G38:G40" si="1">SUM(E38:F38)</f>
        <v>43733196</v>
      </c>
      <c r="H38" s="100"/>
      <c r="I38" s="88"/>
      <c r="J38" s="88"/>
      <c r="K38" s="88"/>
      <c r="L38" s="88"/>
      <c r="M38" s="88"/>
      <c r="N38" s="88"/>
      <c r="O38" s="88"/>
    </row>
    <row r="39" spans="1:16" ht="16.5">
      <c r="A39" s="187">
        <v>5</v>
      </c>
      <c r="B39" s="223" t="s">
        <v>234</v>
      </c>
      <c r="C39" s="79">
        <f>C$34</f>
        <v>421200000</v>
      </c>
      <c r="D39" s="310">
        <f>G21/100</f>
        <v>9.2729999999999993E-2</v>
      </c>
      <c r="E39" s="78">
        <f t="shared" si="0"/>
        <v>39057876</v>
      </c>
      <c r="F39" s="79"/>
      <c r="G39" s="179">
        <f t="shared" si="1"/>
        <v>39057876</v>
      </c>
      <c r="H39" s="100"/>
      <c r="I39" s="88"/>
      <c r="J39" s="88"/>
      <c r="K39" s="88"/>
      <c r="L39" s="88"/>
      <c r="M39" s="88"/>
      <c r="N39" s="88"/>
      <c r="O39" s="88"/>
    </row>
    <row r="40" spans="1:16" ht="30">
      <c r="A40" s="187">
        <v>6</v>
      </c>
      <c r="B40" s="76" t="s">
        <v>116</v>
      </c>
      <c r="C40" s="79">
        <f>C$34</f>
        <v>421200000</v>
      </c>
      <c r="D40" s="77">
        <v>0.03</v>
      </c>
      <c r="E40" s="78">
        <f>D40*C40</f>
        <v>12636000</v>
      </c>
      <c r="F40" s="79">
        <f>E40*10%</f>
        <v>1263600</v>
      </c>
      <c r="G40" s="179">
        <f t="shared" si="1"/>
        <v>13899600</v>
      </c>
      <c r="H40" s="100"/>
      <c r="I40" s="88"/>
      <c r="J40" s="88"/>
      <c r="K40" s="88"/>
      <c r="L40" s="88"/>
      <c r="M40" s="88"/>
      <c r="N40" s="88"/>
      <c r="O40" s="88"/>
    </row>
    <row r="41" spans="1:16" ht="28.5">
      <c r="A41" s="187">
        <v>7</v>
      </c>
      <c r="B41" s="224" t="s">
        <v>244</v>
      </c>
      <c r="C41" s="79"/>
      <c r="D41" s="77"/>
      <c r="E41" s="78"/>
      <c r="F41" s="79"/>
      <c r="G41" s="179">
        <f>SUM(G42:G45)</f>
        <v>6579121.2896000007</v>
      </c>
      <c r="H41" s="100"/>
      <c r="I41" s="88"/>
      <c r="J41" s="88"/>
      <c r="K41" s="88"/>
      <c r="L41" s="88"/>
      <c r="M41" s="88"/>
      <c r="N41" s="88"/>
      <c r="O41" s="88"/>
    </row>
    <row r="42" spans="1:16" ht="30">
      <c r="A42" s="415" t="s">
        <v>216</v>
      </c>
      <c r="B42" s="416" t="s">
        <v>119</v>
      </c>
      <c r="C42" s="273">
        <f>SUM(G33:G34)</f>
        <v>509652000</v>
      </c>
      <c r="D42" s="77">
        <f>L84/100*45%</f>
        <v>3.6756000000000002E-3</v>
      </c>
      <c r="E42" s="79">
        <f>D42*C42</f>
        <v>1873276.8912000002</v>
      </c>
      <c r="F42" s="79">
        <f>E42*10%</f>
        <v>187327.68912000002</v>
      </c>
      <c r="G42" s="179">
        <f>IF(SUM(E42:F42)&lt;1000000, 1000000,SUM(E42:F42))</f>
        <v>2060604.5803200002</v>
      </c>
      <c r="H42" s="100"/>
      <c r="I42" s="88"/>
      <c r="J42" s="88"/>
      <c r="K42" s="88"/>
      <c r="L42" s="88"/>
      <c r="M42" s="88"/>
      <c r="N42" s="88"/>
      <c r="O42" s="88"/>
    </row>
    <row r="43" spans="1:16" ht="30">
      <c r="A43" s="415" t="s">
        <v>217</v>
      </c>
      <c r="B43" s="416" t="s">
        <v>121</v>
      </c>
      <c r="C43" s="273">
        <f>C42</f>
        <v>509652000</v>
      </c>
      <c r="D43" s="77">
        <f>L84/100*55%</f>
        <v>4.4924000000000006E-3</v>
      </c>
      <c r="E43" s="79">
        <f t="shared" ref="E43:E44" si="2">D43*C43</f>
        <v>2289560.6448000004</v>
      </c>
      <c r="F43" s="79">
        <f t="shared" ref="F43:F44" si="3">E43*10%</f>
        <v>228956.06448000006</v>
      </c>
      <c r="G43" s="179">
        <f t="shared" ref="G43:G44" si="4">IF(SUM(E43:F43)&lt;1000000, 1000000,SUM(E43:F43))</f>
        <v>2518516.7092800005</v>
      </c>
      <c r="H43" s="100"/>
      <c r="I43" s="88"/>
      <c r="J43" s="88"/>
      <c r="K43" s="88"/>
      <c r="L43" s="88"/>
      <c r="M43" s="88"/>
      <c r="N43" s="88"/>
      <c r="O43" s="88"/>
    </row>
    <row r="44" spans="1:16" ht="30">
      <c r="A44" s="415" t="s">
        <v>218</v>
      </c>
      <c r="B44" s="416" t="s">
        <v>123</v>
      </c>
      <c r="C44" s="273">
        <f>C43</f>
        <v>509652000</v>
      </c>
      <c r="D44" s="77">
        <v>5.0000000000000001E-4</v>
      </c>
      <c r="E44" s="79">
        <f t="shared" si="2"/>
        <v>254826</v>
      </c>
      <c r="F44" s="79">
        <f t="shared" si="3"/>
        <v>25482.600000000002</v>
      </c>
      <c r="G44" s="179">
        <f t="shared" si="4"/>
        <v>1000000</v>
      </c>
      <c r="H44" s="100"/>
      <c r="I44" s="88"/>
      <c r="J44" s="88"/>
      <c r="K44" s="88"/>
      <c r="L44" s="88"/>
      <c r="M44" s="88"/>
      <c r="N44" s="88"/>
      <c r="O44" s="88"/>
    </row>
    <row r="45" spans="1:16" ht="45">
      <c r="A45" s="415" t="s">
        <v>219</v>
      </c>
      <c r="B45" s="416" t="s">
        <v>125</v>
      </c>
      <c r="C45" s="273">
        <f>C42</f>
        <v>509652000</v>
      </c>
      <c r="D45" s="77">
        <v>5.0000000000000001E-4</v>
      </c>
      <c r="E45" s="79">
        <f>D45*C45</f>
        <v>254826</v>
      </c>
      <c r="F45" s="79">
        <f>E45*10%</f>
        <v>25482.600000000002</v>
      </c>
      <c r="G45" s="179">
        <f>IF(SUM(E45:F45)&lt;1000000, 1000000,SUM(E45:F45))</f>
        <v>1000000</v>
      </c>
      <c r="H45" s="100"/>
      <c r="I45" s="88"/>
      <c r="J45" s="88"/>
      <c r="K45" s="88"/>
      <c r="L45" s="88"/>
      <c r="M45" s="88"/>
      <c r="N45" s="88"/>
      <c r="O45" s="88"/>
    </row>
    <row r="46" spans="1:16" ht="16.5">
      <c r="A46" s="244"/>
      <c r="B46" s="417"/>
      <c r="C46" s="273"/>
      <c r="D46" s="418"/>
      <c r="E46" s="419"/>
      <c r="F46" s="273"/>
      <c r="G46" s="420"/>
      <c r="H46" s="100"/>
      <c r="I46" s="88"/>
      <c r="J46" s="88"/>
      <c r="K46" s="88"/>
      <c r="L46" s="88"/>
      <c r="M46" s="88"/>
      <c r="N46" s="88"/>
      <c r="O46" s="88"/>
    </row>
    <row r="47" spans="1:16" ht="17.25" thickBot="1">
      <c r="A47" s="232"/>
      <c r="B47" s="233" t="s">
        <v>126</v>
      </c>
      <c r="C47" s="234"/>
      <c r="D47" s="234"/>
      <c r="E47" s="234"/>
      <c r="F47" s="216"/>
      <c r="G47" s="235">
        <f>SUM(G36:G41)</f>
        <v>120960193.2896</v>
      </c>
      <c r="H47" s="102"/>
      <c r="I47" s="88"/>
      <c r="J47" s="88"/>
      <c r="K47" s="88"/>
      <c r="L47" s="88"/>
      <c r="M47" s="88"/>
      <c r="N47" s="88"/>
      <c r="O47" s="88"/>
    </row>
    <row r="48" spans="1:16" ht="17.25" thickBot="1">
      <c r="A48" s="218"/>
      <c r="B48" s="219" t="s">
        <v>127</v>
      </c>
      <c r="C48" s="219"/>
      <c r="D48" s="219"/>
      <c r="E48" s="219"/>
      <c r="F48" s="220"/>
      <c r="G48" s="236">
        <f>ROUND(G47+G35,-3)</f>
        <v>689242000</v>
      </c>
      <c r="H48" s="104"/>
      <c r="I48" s="88"/>
      <c r="J48" s="88"/>
      <c r="K48" s="88"/>
      <c r="L48" s="88"/>
      <c r="M48" s="88"/>
      <c r="N48" s="88"/>
      <c r="O48" s="88"/>
    </row>
    <row r="49" spans="1:69" ht="16.5">
      <c r="A49" s="228" t="str">
        <f ca="1">CONCATENATE("Bằng chữ :  ",UPPER(LEFT(Q103))&amp;RIGHT(Q103,LEN(Q103)-1))</f>
        <v>Bằng chữ :  Sáu trăm tám mươi chín triệu, hai trăm  bốn mươi  hai nghìn  đồng chẵn</v>
      </c>
      <c r="B49" s="229"/>
      <c r="C49" s="229"/>
      <c r="D49" s="229"/>
      <c r="E49" s="229"/>
      <c r="F49" s="229"/>
      <c r="G49" s="229"/>
      <c r="H49" s="105"/>
      <c r="I49" s="88"/>
      <c r="J49" s="88"/>
      <c r="K49" s="88"/>
      <c r="L49" s="88"/>
      <c r="M49" s="88"/>
      <c r="N49" s="88"/>
      <c r="O49" s="88"/>
      <c r="P49" s="1"/>
    </row>
    <row r="50" spans="1:69" ht="16.5">
      <c r="E50" s="694" t="s">
        <v>128</v>
      </c>
      <c r="F50" s="694"/>
      <c r="G50" s="694"/>
      <c r="I50" s="88"/>
      <c r="J50" s="88"/>
      <c r="K50" s="88"/>
      <c r="L50" s="88"/>
      <c r="M50" s="88"/>
      <c r="N50" s="88"/>
      <c r="O50" s="88"/>
      <c r="P50" s="1"/>
    </row>
    <row r="51" spans="1:69" ht="16.5">
      <c r="E51" s="700" t="s">
        <v>129</v>
      </c>
      <c r="F51" s="700"/>
      <c r="G51" s="700"/>
      <c r="H51" s="57"/>
      <c r="I51" s="88"/>
      <c r="J51" s="88"/>
      <c r="K51" s="88"/>
      <c r="L51" s="88"/>
      <c r="M51" s="88"/>
      <c r="N51" s="88"/>
      <c r="O51" s="88"/>
      <c r="P51" s="1"/>
    </row>
    <row r="52" spans="1:69" ht="16.5">
      <c r="B52" s="339"/>
      <c r="E52" s="686" t="s">
        <v>130</v>
      </c>
      <c r="F52" s="686"/>
      <c r="G52" s="686"/>
      <c r="I52" s="88"/>
      <c r="J52" s="88"/>
      <c r="K52" s="88"/>
      <c r="L52" s="88"/>
      <c r="M52" s="88"/>
      <c r="N52" s="88"/>
      <c r="O52" s="88"/>
      <c r="P52" s="1"/>
    </row>
    <row r="53" spans="1:69" ht="16.5">
      <c r="E53" s="133"/>
      <c r="F53" s="133"/>
      <c r="G53" s="133"/>
      <c r="I53" s="88"/>
      <c r="J53" s="88"/>
      <c r="K53" s="88"/>
      <c r="L53" s="88"/>
      <c r="M53" s="88"/>
      <c r="N53" s="88"/>
      <c r="O53" s="88"/>
      <c r="P53" s="1"/>
    </row>
    <row r="54" spans="1:69" ht="16.5">
      <c r="E54" s="133"/>
      <c r="F54" s="133"/>
      <c r="G54" s="133"/>
      <c r="I54" s="88"/>
      <c r="J54" s="88"/>
      <c r="K54" s="88"/>
      <c r="L54" s="88"/>
      <c r="M54" s="88"/>
      <c r="N54" s="88"/>
      <c r="O54" s="8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ht="16.5">
      <c r="E55" s="133"/>
      <c r="F55" s="133"/>
      <c r="G55" s="133"/>
      <c r="I55" s="88"/>
      <c r="J55" s="88"/>
      <c r="K55" s="88"/>
      <c r="L55" s="88"/>
      <c r="M55" s="88"/>
      <c r="N55" s="88"/>
      <c r="O55" s="8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ht="16.5">
      <c r="E56" s="133"/>
      <c r="F56" s="133"/>
      <c r="G56" s="133"/>
      <c r="I56" s="88"/>
      <c r="J56" s="88"/>
      <c r="K56" s="88"/>
      <c r="L56" s="88"/>
      <c r="M56" s="88"/>
      <c r="N56" s="88"/>
      <c r="O56" s="8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ht="16.5">
      <c r="E57" s="133"/>
      <c r="F57" s="133"/>
      <c r="G57" s="133"/>
      <c r="I57" s="88"/>
      <c r="J57" s="88"/>
      <c r="K57" s="88"/>
      <c r="L57" s="88"/>
      <c r="M57" s="88"/>
      <c r="N57" s="88"/>
      <c r="O57" s="8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ht="16.5">
      <c r="E58" s="133"/>
      <c r="F58" s="133"/>
      <c r="G58" s="133"/>
      <c r="I58" s="88"/>
      <c r="J58" s="88"/>
      <c r="K58" s="88"/>
      <c r="L58" s="88"/>
      <c r="M58" s="88"/>
      <c r="N58" s="88"/>
      <c r="O58" s="8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ht="16.5">
      <c r="B59" s="339"/>
      <c r="E59" s="711"/>
      <c r="F59" s="711"/>
      <c r="G59" s="133"/>
      <c r="I59" s="88"/>
      <c r="J59" s="88"/>
      <c r="K59" s="88"/>
      <c r="L59" s="88"/>
      <c r="M59" s="88"/>
      <c r="N59" s="88"/>
      <c r="O59" s="8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ht="16.5">
      <c r="E60" s="686" t="s">
        <v>131</v>
      </c>
      <c r="F60" s="686"/>
      <c r="G60" s="686"/>
      <c r="I60" s="88"/>
      <c r="J60" s="88"/>
      <c r="K60" s="88"/>
      <c r="L60" s="88"/>
      <c r="M60" s="88"/>
      <c r="N60" s="88"/>
      <c r="O60" s="8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ht="16.5">
      <c r="I61" s="88"/>
      <c r="J61" s="88"/>
      <c r="K61" s="88"/>
      <c r="L61" s="88"/>
      <c r="M61" s="88"/>
      <c r="N61" s="88"/>
      <c r="O61" s="8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ht="16.5">
      <c r="I62" s="88"/>
      <c r="J62" s="88"/>
      <c r="K62" s="88"/>
      <c r="L62" s="88"/>
      <c r="M62" s="88"/>
      <c r="N62" s="88"/>
      <c r="O62" s="8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ht="16.5">
      <c r="I63" s="88"/>
      <c r="J63" s="88"/>
      <c r="K63" s="88"/>
      <c r="L63" s="88"/>
      <c r="M63" s="88"/>
      <c r="N63" s="88"/>
      <c r="O63" s="8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ht="16.5">
      <c r="I64" s="88"/>
      <c r="J64" s="88"/>
      <c r="K64" s="88"/>
      <c r="L64" s="88"/>
      <c r="M64" s="88"/>
      <c r="N64" s="88"/>
      <c r="O64" s="8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9:69" ht="16.5">
      <c r="I65" s="88"/>
      <c r="J65" s="88"/>
      <c r="K65" s="88"/>
      <c r="L65" s="88"/>
      <c r="M65" s="88"/>
      <c r="N65" s="88"/>
      <c r="O65" s="8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9:69" ht="16.5">
      <c r="I66" s="88"/>
      <c r="J66" s="88"/>
      <c r="K66" s="88"/>
      <c r="L66" s="88"/>
      <c r="M66" s="88"/>
      <c r="N66" s="88"/>
      <c r="O66" s="8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9:69" ht="16.5">
      <c r="I67" s="88"/>
      <c r="J67" s="88"/>
      <c r="K67" s="88"/>
      <c r="L67" s="88"/>
      <c r="M67" s="88"/>
      <c r="N67" s="88"/>
      <c r="O67" s="8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9:69" ht="16.5">
      <c r="I68" s="88"/>
      <c r="J68" s="88"/>
      <c r="K68" s="88"/>
      <c r="L68" s="88"/>
      <c r="M68" s="88"/>
      <c r="N68" s="88"/>
      <c r="O68" s="8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9:69" ht="16.5">
      <c r="I69" s="88"/>
      <c r="J69" s="88"/>
      <c r="K69" s="88"/>
      <c r="L69" s="88"/>
      <c r="M69" s="88"/>
      <c r="N69" s="88"/>
      <c r="O69" s="8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9:69" ht="16.5">
      <c r="I70" s="88"/>
      <c r="J70" s="88"/>
      <c r="K70" s="88"/>
      <c r="L70" s="88"/>
      <c r="M70" s="88"/>
      <c r="N70" s="88"/>
      <c r="O70" s="8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9:69" ht="16.5">
      <c r="I71" s="88"/>
      <c r="J71" s="88"/>
      <c r="K71" s="88"/>
      <c r="L71" s="88"/>
      <c r="M71" s="88"/>
      <c r="N71" s="88"/>
      <c r="O71" s="8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9:69" ht="16.5">
      <c r="I72" s="88"/>
      <c r="J72" s="88"/>
      <c r="K72" s="88"/>
      <c r="L72" s="88"/>
      <c r="M72" s="88"/>
      <c r="N72" s="88"/>
      <c r="O72" s="8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9:69" ht="16.5">
      <c r="I73" s="88"/>
      <c r="J73" s="88"/>
      <c r="K73" s="88"/>
      <c r="L73" s="88"/>
      <c r="M73" s="88"/>
      <c r="N73" s="88"/>
      <c r="O73" s="8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9:69" ht="16.5">
      <c r="I74" s="88"/>
      <c r="J74" s="88"/>
      <c r="K74" s="88"/>
      <c r="L74" s="88"/>
      <c r="M74" s="88"/>
      <c r="N74" s="88"/>
      <c r="O74" s="8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9:69" ht="16.5">
      <c r="I75" s="88"/>
      <c r="J75" s="88"/>
      <c r="K75" s="88"/>
      <c r="L75" s="88"/>
      <c r="M75" s="88"/>
      <c r="N75" s="88"/>
      <c r="O75" s="8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9:69" ht="16.5">
      <c r="I76" s="88"/>
      <c r="J76" s="88"/>
      <c r="K76" s="88"/>
      <c r="L76" s="88"/>
      <c r="M76" s="88"/>
      <c r="N76" s="88"/>
      <c r="O76" s="8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9:69" ht="16.5">
      <c r="I77" s="88"/>
      <c r="J77" s="88"/>
      <c r="K77" s="88"/>
      <c r="L77" s="88"/>
      <c r="M77" s="88"/>
      <c r="N77" s="88"/>
      <c r="O77" s="8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9:69" ht="16.5">
      <c r="I78" s="88"/>
      <c r="J78" s="88"/>
      <c r="K78" s="88"/>
      <c r="L78" s="88"/>
      <c r="M78" s="88"/>
      <c r="N78" s="88"/>
      <c r="O78" s="8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9:69" ht="16.5">
      <c r="I79" s="88"/>
      <c r="J79" s="88"/>
      <c r="K79" s="88"/>
      <c r="L79" s="88"/>
      <c r="M79" s="88"/>
      <c r="N79" s="88"/>
      <c r="O79" s="88"/>
      <c r="P79" s="1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</row>
    <row r="80" spans="9:69" ht="16.5">
      <c r="I80" s="88"/>
      <c r="J80" s="88"/>
      <c r="K80" s="88"/>
      <c r="L80" s="88"/>
      <c r="M80" s="88"/>
      <c r="N80" s="88"/>
      <c r="O80" s="88"/>
      <c r="P80" s="1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</row>
    <row r="81" spans="9:69" ht="15.75">
      <c r="P81" s="1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</row>
    <row r="82" spans="9:69" ht="16.5">
      <c r="I82" s="90"/>
      <c r="J82" s="9"/>
      <c r="K82" s="88"/>
      <c r="L82" s="88"/>
      <c r="M82" s="88"/>
      <c r="N82" s="88"/>
      <c r="O82" s="88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</row>
    <row r="83" spans="9:69" ht="26.25" thickBot="1">
      <c r="I83" s="91" t="s">
        <v>132</v>
      </c>
      <c r="J83" s="92" t="s">
        <v>73</v>
      </c>
      <c r="K83" s="91" t="s">
        <v>74</v>
      </c>
      <c r="L83" s="240" t="s">
        <v>133</v>
      </c>
      <c r="M83" s="240"/>
      <c r="N83" s="240"/>
      <c r="O83" s="240"/>
      <c r="P83" s="240"/>
      <c r="Q83" s="240"/>
    </row>
    <row r="84" spans="9:69">
      <c r="I84" s="93">
        <v>1</v>
      </c>
      <c r="J84" s="94" t="s">
        <v>222</v>
      </c>
      <c r="K84" s="95" t="s">
        <v>82</v>
      </c>
      <c r="L84" s="597">
        <f>IF(L89&lt;1,0.8168,IF(L89&gt;100,0.114,(L85-L86)/(L87-L88)*(L89-L88)+L86))</f>
        <v>0.81679999999999997</v>
      </c>
      <c r="M84" s="408"/>
      <c r="N84" s="278"/>
      <c r="O84" s="278"/>
    </row>
    <row r="85" spans="9:69">
      <c r="I85" s="3">
        <v>2</v>
      </c>
      <c r="J85" s="4" t="s">
        <v>223</v>
      </c>
      <c r="K85" s="5" t="s">
        <v>84</v>
      </c>
      <c r="L85" s="598">
        <f>IF(L89&lt;1,0.816,LOOKUP(L87,'Dinh muc'!$C$88:$I$89))+0.00000000000001</f>
        <v>0.81600000000000994</v>
      </c>
      <c r="M85" s="84"/>
      <c r="N85" s="163"/>
      <c r="O85" s="163"/>
    </row>
    <row r="86" spans="9:69">
      <c r="I86" s="3">
        <v>3</v>
      </c>
      <c r="J86" s="4" t="s">
        <v>224</v>
      </c>
      <c r="K86" s="5" t="s">
        <v>86</v>
      </c>
      <c r="L86" s="598">
        <f>LOOKUP(L88,'Dinh muc'!$C$88:$I$89)+0.0000000000001</f>
        <v>0.81600000000009998</v>
      </c>
      <c r="M86" s="84"/>
      <c r="N86" s="163"/>
      <c r="O86" s="163"/>
    </row>
    <row r="87" spans="9:69">
      <c r="I87" s="3">
        <v>4</v>
      </c>
      <c r="J87" s="4" t="s">
        <v>275</v>
      </c>
      <c r="K87" s="5" t="s">
        <v>88</v>
      </c>
      <c r="L87" s="599">
        <f>IF((L89&lt;1),1,(SMALL('Dinh muc'!$C$88:$I$88,COUNTIF('Dinh muc'!$C$88:$I$88,"&lt;="&amp;$L$89))))+0.00000000001</f>
        <v>1.00000000001</v>
      </c>
      <c r="M87" s="82"/>
      <c r="N87" s="466"/>
      <c r="O87" s="466"/>
    </row>
    <row r="88" spans="9:69">
      <c r="I88" s="3">
        <v>5</v>
      </c>
      <c r="J88" s="4" t="s">
        <v>276</v>
      </c>
      <c r="K88" s="5" t="s">
        <v>90</v>
      </c>
      <c r="L88" s="599">
        <f>IF(L89&gt;100,100,(LARGE('Dinh muc'!$C$88:$I$88,COUNTIF('Dinh muc'!$C$88:$I$88,"&gt;="&amp;$L$89))))+0.0000000000000001</f>
        <v>1</v>
      </c>
      <c r="M88" s="82"/>
      <c r="N88" s="466"/>
      <c r="O88" s="466"/>
    </row>
    <row r="89" spans="9:69">
      <c r="I89" s="6">
        <v>6</v>
      </c>
      <c r="J89" s="7" t="s">
        <v>277</v>
      </c>
      <c r="K89" s="8" t="s">
        <v>92</v>
      </c>
      <c r="L89" s="600">
        <f>C42/1000000000</f>
        <v>0.50965199999999999</v>
      </c>
      <c r="M89" s="412"/>
      <c r="N89" s="406"/>
      <c r="O89" s="406"/>
    </row>
    <row r="90" spans="9:69" ht="15">
      <c r="I90" s="1"/>
      <c r="J90" s="2"/>
      <c r="K90" s="1"/>
      <c r="L90" s="1"/>
      <c r="M90" s="1"/>
      <c r="N90" s="1"/>
      <c r="O90" s="1"/>
    </row>
    <row r="91" spans="9:69" ht="15">
      <c r="I91" s="1"/>
      <c r="J91" s="56"/>
      <c r="K91" s="1"/>
      <c r="L91" s="1"/>
      <c r="M91" s="1"/>
      <c r="N91" s="1"/>
      <c r="O91" s="1"/>
    </row>
    <row r="92" spans="9:69" ht="15">
      <c r="I92" s="1"/>
      <c r="J92" s="1"/>
      <c r="K92" s="1"/>
      <c r="L92" s="1"/>
      <c r="M92" s="1"/>
      <c r="N92" s="1"/>
      <c r="O92" s="1"/>
    </row>
    <row r="95" spans="9:69" ht="15">
      <c r="J95" s="55"/>
    </row>
    <row r="96" spans="9:69" ht="15"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</row>
    <row r="97" spans="16:25" ht="18">
      <c r="P97" s="10" t="str">
        <f>"Đọc giá trị số thành chữ"</f>
        <v>Đọc giá trị số thành chữ</v>
      </c>
      <c r="Q97" s="37"/>
      <c r="R97" s="37"/>
      <c r="S97" s="11"/>
      <c r="T97" s="37"/>
      <c r="U97" s="37"/>
      <c r="V97" s="37"/>
      <c r="W97" s="37"/>
      <c r="X97" s="37"/>
      <c r="Y97" s="38"/>
    </row>
    <row r="98" spans="16:25" ht="18.75">
      <c r="P98" s="12" t="s">
        <v>146</v>
      </c>
      <c r="Q98" s="37"/>
      <c r="R98" s="37"/>
      <c r="S98" s="13" t="str">
        <f>"© VVC, modify by Tuan dt"</f>
        <v>© VVC, modify by Tuan dt</v>
      </c>
      <c r="T98" s="37"/>
      <c r="U98" s="37"/>
      <c r="V98" s="37"/>
      <c r="W98" s="37"/>
      <c r="X98" s="37"/>
      <c r="Y98" s="38"/>
    </row>
    <row r="99" spans="16:25" ht="18.75">
      <c r="P99" s="14"/>
      <c r="Q99" s="37"/>
      <c r="R99" s="37"/>
      <c r="S99" s="11" t="s">
        <v>146</v>
      </c>
      <c r="T99" s="37"/>
      <c r="U99" s="37"/>
      <c r="V99" s="37"/>
      <c r="W99" s="37" t="s">
        <v>146</v>
      </c>
      <c r="X99" s="37"/>
      <c r="Y99" s="38"/>
    </row>
    <row r="100" spans="16:25" ht="18">
      <c r="P100" s="37">
        <v>1</v>
      </c>
      <c r="Q100" s="37">
        <v>6</v>
      </c>
      <c r="R100" s="37"/>
      <c r="S100" s="11"/>
      <c r="T100" s="37"/>
      <c r="U100" s="37"/>
      <c r="V100" s="37"/>
      <c r="W100" s="37"/>
      <c r="X100" s="37"/>
      <c r="Y100" s="38"/>
    </row>
    <row r="101" spans="16:25" ht="18.75" thickBot="1">
      <c r="P101" s="37"/>
      <c r="Q101" s="37"/>
      <c r="R101" s="37"/>
      <c r="S101" s="37"/>
      <c r="T101" s="37"/>
      <c r="U101" s="37"/>
      <c r="V101" s="37"/>
      <c r="W101" s="37"/>
      <c r="X101" s="37"/>
      <c r="Y101" s="38"/>
    </row>
    <row r="102" spans="16:25" ht="19.5" thickBot="1">
      <c r="P102" s="15" t="str">
        <f>"Giá trị số cần đổi:"</f>
        <v>Giá trị số cần đổi:</v>
      </c>
      <c r="Q102" s="325">
        <f>G48</f>
        <v>689242000</v>
      </c>
      <c r="R102" s="379" t="str">
        <f>IF(ROUND(VALUE(10*(100*Q102-INT(100*Q102))),0)&gt;0,"Chỉ có 2 chữ số sau dấu phẩy","")</f>
        <v/>
      </c>
      <c r="S102" s="37"/>
      <c r="T102" s="37"/>
      <c r="U102" s="37"/>
      <c r="V102" s="37"/>
      <c r="W102" s="37"/>
      <c r="X102" s="37"/>
      <c r="Y102" s="38"/>
    </row>
    <row r="103" spans="16:25" ht="18.75">
      <c r="P103" s="40" t="s">
        <v>146</v>
      </c>
      <c r="Q103" s="16" t="str">
        <f ca="1">IF(Q102&gt;=1000000000000,"Công thức này chỉ có thể đếm thành chữ dưới 1000 tỷ",IF(ABS(Q102)&lt;1,"không",IF(Q102&lt;0,"âm ","")&amp;IF(Q105=0,"",R105)&amp;IF(AND(Q106=0,Q107=0),"",S106)&amp;IF(Q108=0,"",R108)&amp;IF(AND(Q109=0,Q110=0),"",S109)&amp;IF(Q111=0,"",R111)&amp;IF(AND(Q112=0,Q113=0),"",S112)&amp;IF(Q114=0,"",R114)&amp;IF(AND(Q115=0,Q116=0),"",IF(AND(Q115=0,Q116=1),"một",S115)))&amp;CELL("contents",V106))&amp;IF(T123=0,"",IF(P103=1,T122,S118))</f>
        <v>sáu trăm tám mươi chín triệu, hai trăm  bốn mươi  hai nghìn  đồng chẵn</v>
      </c>
      <c r="R103" s="41"/>
      <c r="S103" s="41"/>
      <c r="T103" s="41"/>
      <c r="U103" s="41"/>
      <c r="V103" s="41"/>
      <c r="W103" s="41"/>
      <c r="X103" s="41"/>
      <c r="Y103" s="38"/>
    </row>
    <row r="104" spans="16:25" ht="18.75">
      <c r="P104" s="17" t="str">
        <f>"đếm từng chữ một"</f>
        <v>đếm từng chữ một</v>
      </c>
      <c r="Q104" s="18" t="str">
        <f>IF(Q102&lt;0,"minus   ","")&amp;SUBSTITUTE(SUBSTITUTE(SUBSTITUTE(SUBSTITUTE(Q120,8,"tám   "),9,"chín   "),",","phẩy   "),"-","")</f>
        <v xml:space="preserve">sáu   tám   chín   hai   bốn   hai   không   không   không   </v>
      </c>
      <c r="R104" s="42"/>
      <c r="S104" s="37"/>
      <c r="T104" s="37"/>
      <c r="U104" s="37"/>
      <c r="V104" s="37" t="s">
        <v>147</v>
      </c>
      <c r="W104" s="37"/>
      <c r="X104" s="37"/>
      <c r="Y104" s="38"/>
    </row>
    <row r="105" spans="16:25" ht="18.75">
      <c r="P105" s="17" t="str">
        <f>"hàng trăm tỷ"</f>
        <v>hàng trăm tỷ</v>
      </c>
      <c r="Q105" s="19">
        <f>VALUE(RIGHT(INT(ABS(Q102)/100000000000)))</f>
        <v>0</v>
      </c>
      <c r="R105" s="20" t="str">
        <f>IF(Q105=1,"một",IF(Q105=2,"hai",IF(Q105=3,"ba",IF(Q105=4,"bốn",IF(Q105=5,"năm",IF(Q105=6,"sáu",IF(Q105=7,"bẩy",IF(Q105=8,"tám","chín"))))))))&amp;" trăm "&amp;IF(AND(Q106=0,Q107=0),"tỷ","")</f>
        <v>chín trăm tỷ</v>
      </c>
      <c r="S105" s="31"/>
      <c r="T105" s="43"/>
      <c r="U105" s="37"/>
      <c r="V105" s="37">
        <v>1</v>
      </c>
      <c r="W105" s="37">
        <v>2</v>
      </c>
      <c r="X105" s="37">
        <v>3</v>
      </c>
      <c r="Y105" s="38"/>
    </row>
    <row r="106" spans="16:25" ht="18.75">
      <c r="P106" s="17" t="str">
        <f>"hàng chục tỷ"</f>
        <v>hàng chục tỷ</v>
      </c>
      <c r="Q106" s="19">
        <f>VALUE(RIGHT(INT(ABS(Q102)/10000000000)))</f>
        <v>0</v>
      </c>
      <c r="R106" s="20" t="str">
        <f>IF(Q106=1,"mười",IF(Q106=2," hai mươi",IF(Q106=3,"ba mươi",IF(Q106=4,"bốn mươi",IF(Q106=5,"năm mươi",IF(Q106=6,"sáu mươi",IF(Q106=7,"bẩy mươi",IF(Q106=8,"tám mươi","chín mươi"))))))))</f>
        <v>chín mươi</v>
      </c>
      <c r="S106" s="21" t="str">
        <f>IF(AND(Q106=0,Q107=1),"một tỷ ",IF(AND(Q106=1,Q107=1),"mười một",IF(AND(Q106=1,Q107=2),"mười hai",IF(AND(Q106=1,Q107=6),"mười sáu",IF(AND(Q106=1,Q107=7),"mười bẩy",IF(Q107=0,R106,IF(Q106=0,R107,R106&amp;IF(Q106&gt;1," ","")&amp;R107))))))&amp;" tỷ, ")</f>
        <v xml:space="preserve">chín mươi tỷ, </v>
      </c>
      <c r="T106" s="44"/>
      <c r="U106" s="37"/>
      <c r="V106" s="22" t="str">
        <f>INDEX(V107:X123,P100,2)</f>
        <v xml:space="preserve"> đồng chẵn</v>
      </c>
      <c r="W106" s="22" t="str">
        <f>INDEX(V107:X123,P100,3)</f>
        <v xml:space="preserve"> xu</v>
      </c>
      <c r="X106" s="37"/>
      <c r="Y106" s="38"/>
    </row>
    <row r="107" spans="16:25" ht="18.75">
      <c r="P107" s="17" t="str">
        <f>"hàng tỷ"</f>
        <v>hàng tỷ</v>
      </c>
      <c r="Q107" s="23">
        <f>VALUE(RIGHT(INT(ABS(Q102)/1000000000)))</f>
        <v>0</v>
      </c>
      <c r="R107" s="20" t="str">
        <f>IF(Q107=1,"một",IF(Q107=2,"hai",IF(Q107=3,"ba",IF(Q107=4,"bốn",IF(Q107=5,"năm",IF(Q107=6,"sáu",IF(Q107=7,"bẩy",IF(Q107=8,"tám","chín"))))))))</f>
        <v>chín</v>
      </c>
      <c r="S107" s="45"/>
      <c r="T107" s="46"/>
      <c r="U107" s="37"/>
      <c r="V107" s="20" t="s">
        <v>149</v>
      </c>
      <c r="W107" s="20" t="s">
        <v>150</v>
      </c>
      <c r="X107" s="20" t="s">
        <v>151</v>
      </c>
      <c r="Y107" s="38"/>
    </row>
    <row r="108" spans="16:25" ht="18.75">
      <c r="P108" s="17" t="str">
        <f>"hàng trăm triệu"</f>
        <v>hàng trăm triệu</v>
      </c>
      <c r="Q108" s="24">
        <f>VALUE(RIGHT(INT(ABS(Q102)/100000000)))</f>
        <v>6</v>
      </c>
      <c r="R108" s="25" t="str">
        <f>IF(Q108=1,"một",IF(Q108=2,"hai",IF(Q108=3,"ba",IF(Q108=4,"bốn",IF(Q108=5,"năm",IF(Q108=6,"sáu",IF(Q108=7,"bẩy",IF(Q108=8,"tám","chín"))))))))&amp;" trăm "&amp;IF(AND(Q109=0,Q110=0),"triệu","")</f>
        <v xml:space="preserve">sáu trăm </v>
      </c>
      <c r="S108" s="47"/>
      <c r="T108" s="48"/>
      <c r="U108" s="37"/>
      <c r="V108" s="20" t="s">
        <v>153</v>
      </c>
      <c r="W108" s="20" t="s">
        <v>154</v>
      </c>
      <c r="X108" s="20" t="s">
        <v>155</v>
      </c>
      <c r="Y108" s="38"/>
    </row>
    <row r="109" spans="16:25" ht="18.75">
      <c r="P109" s="17" t="str">
        <f>"hàng chục triệu"</f>
        <v>hàng chục triệu</v>
      </c>
      <c r="Q109" s="24">
        <f>VALUE(RIGHT(INT(ABS(Q102)/10000000)))</f>
        <v>8</v>
      </c>
      <c r="R109" s="25" t="str">
        <f>IF(Q109=1,"mười ",IF(Q109=2,"hai mươi",IF(Q109=3,"ba mươi",IF(Q109=4,"bốn mươi",IF(Q109=5,"năm mươi",IF(Q109=6,"sáu mươi",IF(Q109=7,"bẩy mươi",IF(Q109=8,"tám mươi","chín mươi"))))))))</f>
        <v>tám mươi</v>
      </c>
      <c r="S109" s="26" t="str">
        <f>IF(AND(Q109=0,Q110=1),"linh một triệu",IF(AND(Q109=1,Q110=1),"mười một",IF(AND(Q109=1,Q110=2),"mười hai",IF(AND(Q109=1,Q110=6),"mười sáu",IF(AND(Q109=1,Q110=7),"mười bẩy",IF(Q110=0,R109,IF(Q109=0,"linh "&amp;R110,R109&amp;IF(Q109&gt;1," ","")&amp;R110))))))&amp;" triệu,")</f>
        <v>tám mươi chín triệu,</v>
      </c>
      <c r="T109" s="49"/>
      <c r="U109" s="37"/>
      <c r="V109" s="20" t="s">
        <v>157</v>
      </c>
      <c r="W109" s="20" t="s">
        <v>158</v>
      </c>
      <c r="X109" s="20" t="s">
        <v>159</v>
      </c>
      <c r="Y109" s="38"/>
    </row>
    <row r="110" spans="16:25" ht="18.75">
      <c r="P110" s="17" t="str">
        <f>"hàng triệu"</f>
        <v>hàng triệu</v>
      </c>
      <c r="Q110" s="24">
        <f>VALUE(RIGHT(INT(ABS(Q102)/1000000)))</f>
        <v>9</v>
      </c>
      <c r="R110" s="25" t="str">
        <f>IF(Q110=1,"một",IF(Q110=2,"hai",IF(Q110=3,"ba",IF(Q110=4,"bốn",IF(Q110=5,"năm",IF(Q110=6,"sáu",IF(Q110=7,"bẩy",IF(Q110=8,"tám","chín"))))))))</f>
        <v>chín</v>
      </c>
      <c r="S110" s="26"/>
      <c r="T110" s="49"/>
      <c r="U110" s="37"/>
      <c r="V110" s="20" t="s">
        <v>161</v>
      </c>
      <c r="W110" s="20" t="s">
        <v>162</v>
      </c>
      <c r="X110" s="20" t="s">
        <v>163</v>
      </c>
      <c r="Y110" s="38"/>
    </row>
    <row r="111" spans="16:25" ht="18.75">
      <c r="P111" s="17" t="str">
        <f>"hàng trăm nghìn"</f>
        <v>hàng trăm nghìn</v>
      </c>
      <c r="Q111" s="27">
        <f>VALUE(RIGHT(INT(ABS(Q102)/100000)))</f>
        <v>2</v>
      </c>
      <c r="R111" s="20" t="str">
        <f>IF(Q111=1," một",IF(Q111=2," hai",IF(Q111=3," ba",IF(Q111=4," bốn",IF(Q111=5," năm",IF(Q111=6," sáu",IF(Q111=7," bẩy",IF(Q111=8," tám"," chín"))))))))&amp;" trăm "&amp;IF(AND(Q112=0,Q113=0)," nghìn","")</f>
        <v xml:space="preserve"> hai trăm </v>
      </c>
      <c r="S111" s="31"/>
      <c r="T111" s="43"/>
      <c r="U111" s="37"/>
      <c r="V111" s="20" t="s">
        <v>165</v>
      </c>
      <c r="W111" s="20" t="s">
        <v>166</v>
      </c>
      <c r="X111" s="20" t="s">
        <v>167</v>
      </c>
      <c r="Y111" s="38"/>
    </row>
    <row r="112" spans="16:25" ht="18.75">
      <c r="P112" s="17" t="str">
        <f>"hàng chục nghìn"</f>
        <v>hàng chục nghìn</v>
      </c>
      <c r="Q112" s="27">
        <f>VALUE(RIGHT(INT(ABS(Q102)/10000)))</f>
        <v>4</v>
      </c>
      <c r="R112" s="20" t="str">
        <f>IF(Q112=1,"mười ",IF(Q112=2," hai mươi ",IF(Q112=3," ba mươi ",IF(Q112=4," bốn mươi ",IF(Q112=5," năm mươi ",IF(Q112=6," sáu mươi ",IF(Q112=7," bẩy mươi ",IF(Q112=8," tám mươi "," chín mươi "))))))))</f>
        <v xml:space="preserve"> bốn mươi </v>
      </c>
      <c r="S112" s="21" t="str">
        <f>IF(AND(Q112=1,Q113=1)," mười một",IF(AND(Q112=1,Q113=2)," mười hai",IF(AND(Q112=1,Q113=6)," mười sáu",IF(AND(Q112=1,Q113=7)," mười bẩy",IF(Q113=0,R112,IF(Q112=0,"linh"&amp;R113,R112&amp;IF(Q112&gt;1,"","")&amp;R113))))))&amp;" nghìn "</f>
        <v xml:space="preserve"> bốn mươi  hai nghìn </v>
      </c>
      <c r="T112" s="44"/>
      <c r="U112" s="37"/>
      <c r="V112" s="20" t="s">
        <v>169</v>
      </c>
      <c r="W112" s="20" t="s">
        <v>170</v>
      </c>
      <c r="X112" s="20" t="s">
        <v>171</v>
      </c>
      <c r="Y112" s="38"/>
    </row>
    <row r="113" spans="9:69" ht="18.75">
      <c r="P113" s="17" t="str">
        <f>"hàng nghìn"</f>
        <v>hàng nghìn</v>
      </c>
      <c r="Q113" s="27">
        <f>VALUE(RIGHT(INT(ABS(Q102)/1000)))</f>
        <v>2</v>
      </c>
      <c r="R113" s="20" t="str">
        <f>IF(Q113=1," một",IF(Q113=2," hai",IF(Q113=3," ba",IF(Q113=4," bốn",IF(Q113=5," năm",IF(Q113=6," sáu",IF(Q113=7," bẩy",IF(Q113=8," tám"," chín"))))))))</f>
        <v xml:space="preserve"> hai</v>
      </c>
      <c r="S113" s="21"/>
      <c r="T113" s="44"/>
      <c r="U113" s="37"/>
      <c r="V113" s="20" t="s">
        <v>173</v>
      </c>
      <c r="W113" s="20" t="s">
        <v>174</v>
      </c>
      <c r="X113" s="20" t="s">
        <v>175</v>
      </c>
      <c r="Y113" s="38"/>
    </row>
    <row r="114" spans="9:69" ht="18.75">
      <c r="P114" s="17" t="str">
        <f>"hàng trăm"</f>
        <v>hàng trăm</v>
      </c>
      <c r="Q114" s="28">
        <f>VALUE(RIGHT(INT(ABS(Q102)/100)))</f>
        <v>0</v>
      </c>
      <c r="R114" s="29" t="str">
        <f>IF(Q114=1,"một",IF(Q114=2,"hai",IF(Q114=3,"ba",IF(Q114=4,"bốn",IF(Q114=5,"năm",IF(Q114=6,"sáu",IF(Q114=7,"bẩy",IF(Q114=8,"tám","chín"))))))))&amp;" trăm "</f>
        <v xml:space="preserve">chín trăm </v>
      </c>
      <c r="S114" s="50"/>
      <c r="T114" s="51"/>
      <c r="U114" s="37"/>
      <c r="V114" s="20" t="s">
        <v>177</v>
      </c>
      <c r="W114" s="20" t="s">
        <v>178</v>
      </c>
      <c r="X114" s="20" t="s">
        <v>155</v>
      </c>
      <c r="Y114" s="38"/>
    </row>
    <row r="115" spans="9:69" ht="18.75">
      <c r="P115" s="17" t="str">
        <f>"hàng chục"</f>
        <v>hàng chục</v>
      </c>
      <c r="Q115" s="28">
        <f>VALUE(RIGHT(INT(ABS(Q102)/10)))</f>
        <v>0</v>
      </c>
      <c r="R115" s="29" t="str">
        <f>IF(Q115=1,",mười ",IF(Q115=2,"hai mươi ",IF(Q115=3,"ba mươi ",IF(Q115=4,"bốn mươi ",IF(Q115=5,"năm mươi ",IF(Q115=6,"sáu mươi ",IF(Q115=7,"bẩy mươi ",IF(Q115=8,"tám mươi ","chín mươi "))))))))</f>
        <v xml:space="preserve">chín mươi </v>
      </c>
      <c r="S115" s="30" t="str">
        <f>IF(AND(Q115=1,Q116=1),"mười một",IF(AND(Q115=1,Q116=2),"mười hai",IF(AND(Q115=1,Q116=6),"mười sáu",IF(AND(Q115=1,Q116=7),"mười bẩy",IF(Q116=0,R115,IF(Q115=0,R116,IF(Q115&gt;1,"","")&amp;R115&amp;R116))))))</f>
        <v xml:space="preserve">chín mươi </v>
      </c>
      <c r="T115" s="52"/>
      <c r="U115" s="37"/>
      <c r="V115" s="20" t="s">
        <v>180</v>
      </c>
      <c r="W115" s="20" t="s">
        <v>181</v>
      </c>
      <c r="X115" s="20" t="s">
        <v>182</v>
      </c>
      <c r="Y115" s="38"/>
    </row>
    <row r="116" spans="9:69" ht="18.75">
      <c r="P116" s="17" t="str">
        <f>"hàng đơn vị"</f>
        <v>hàng đơn vị</v>
      </c>
      <c r="Q116" s="28">
        <f>VALUE(RIGHT(INT(ABS(Q102))))</f>
        <v>0</v>
      </c>
      <c r="R116" s="29" t="str">
        <f>IF(Q116=1,"một",IF(Q116=2,"hai",IF(Q116=3,"ba",IF(Q116=4,"bốn",IF(Q116=5,"năm",IF(Q116=6,"sáu",IF(Q116=7,"bẩy",IF(Q116=8,"tám","chín"))))))))</f>
        <v>chín</v>
      </c>
      <c r="S116" s="53"/>
      <c r="T116" s="54"/>
      <c r="U116" s="37"/>
      <c r="V116" s="20" t="s">
        <v>184</v>
      </c>
      <c r="W116" s="20" t="s">
        <v>185</v>
      </c>
      <c r="X116" s="20" t="s">
        <v>186</v>
      </c>
      <c r="Y116" s="38"/>
    </row>
    <row r="117" spans="9:69" ht="18.75">
      <c r="P117" s="17"/>
      <c r="Q117" s="12" t="str">
        <f>"Giá trị sau dấu phẩy"</f>
        <v>Giá trị sau dấu phẩy</v>
      </c>
      <c r="R117" s="37"/>
      <c r="S117" s="37"/>
      <c r="T117" s="37"/>
      <c r="U117" s="37"/>
      <c r="V117" s="20" t="s">
        <v>187</v>
      </c>
      <c r="W117" s="20" t="s">
        <v>188</v>
      </c>
      <c r="X117" s="20" t="s">
        <v>155</v>
      </c>
      <c r="Y117" s="38"/>
    </row>
    <row r="118" spans="9:69" ht="18.75">
      <c r="P118" s="17" t="str">
        <f>"hàng chục"</f>
        <v>hàng chục</v>
      </c>
      <c r="Q118" s="27">
        <f>VALUE(RIGHT(INT(ABS(T123)/10)))</f>
        <v>0</v>
      </c>
      <c r="R118" s="20" t="str">
        <f>IF(Q118=1,"mười",IF(Q118=2,"hai mươi",IF(Q118=3,"ba mươi",IF(Q118=4,"bốn mươi",IF(Q118=5,"năm mươi",IF(Q118=6,"sáu mươi",IF(Q118=7,"bẩy mươi",IF(Q118=8,"tám mươi","chín mươi"))))))))</f>
        <v>chín mươi</v>
      </c>
      <c r="S118" s="31" t="str">
        <f ca="1">" và "&amp;IF(T123&lt;10,"không ","")&amp;IF(T123=1,"một",IF(AND(Q118=1,Q119=1),"mười một",IF(AND(Q118=1,Q119=2),"mười hai",IF(AND(Q118=1,Q119=6),"mười sáu",IF(AND(Q118=1,Q119=7),"mười bẩy",IF(Q119=0,R118,IF(Q118=0,R119,R118&amp;IF(Q118&gt;1," ","")&amp;R119&amp;""))))))&amp;CELL("contents",W106))</f>
        <v xml:space="preserve"> và không chín mươi xu</v>
      </c>
      <c r="T118" s="43"/>
      <c r="U118" s="37"/>
      <c r="V118" s="20" t="s">
        <v>189</v>
      </c>
      <c r="W118" s="20" t="s">
        <v>190</v>
      </c>
      <c r="X118" s="20" t="s">
        <v>155</v>
      </c>
      <c r="Y118" s="38"/>
    </row>
    <row r="119" spans="9:69" ht="18.75">
      <c r="P119" s="17" t="str">
        <f>"hàng đơn vị"</f>
        <v>hàng đơn vị</v>
      </c>
      <c r="Q119" s="27">
        <f>VALUE(RIGHT(INT(ABS(T123))))</f>
        <v>0</v>
      </c>
      <c r="R119" s="20" t="str">
        <f>IF(Q119=1,"một",IF(Q119=2,"hai",IF(Q119=3,"ba",IF(Q119=4,"bốn",IF(Q119=5,"năm",IF(Q119=6,"sáu",IF(Q119=7,"bẩy",IF(Q119=8,"tám","chín"))))))))</f>
        <v>chín</v>
      </c>
      <c r="S119" s="45"/>
      <c r="T119" s="46"/>
      <c r="U119" s="37"/>
      <c r="V119" s="20"/>
      <c r="W119" s="20"/>
      <c r="X119" s="20"/>
      <c r="Y119" s="38"/>
    </row>
    <row r="120" spans="9:69" ht="18">
      <c r="P120" s="37"/>
      <c r="Q120" s="32" t="str">
        <f>SUBSTITUTE(SUBSTITUTE(SUBSTITUTE(SUBSTITUTE(SUBSTITUTE(SUBSTITUTE(SUBSTITUTE(SUBSTITUTE(Q102,0,"không   "),1,"một   "),2,"hai   "),3,"ba   "),4,"bốn   "),5,"năm   "),6,"sáu   "),7,"bẩy   ")</f>
        <v xml:space="preserve">sáu   89hai   bốn   hai   không   không   không   </v>
      </c>
      <c r="R120" s="37"/>
      <c r="S120" s="37"/>
      <c r="T120" s="37"/>
      <c r="U120" s="37"/>
      <c r="V120" s="20"/>
      <c r="W120" s="20"/>
      <c r="X120" s="20"/>
      <c r="Y120" s="38"/>
    </row>
    <row r="121" spans="9:69" ht="18">
      <c r="P121" s="37"/>
      <c r="Q121" s="37"/>
      <c r="R121" s="37"/>
      <c r="S121" s="37"/>
      <c r="T121" s="37"/>
      <c r="U121" s="37"/>
      <c r="V121" s="20"/>
      <c r="W121" s="20"/>
      <c r="X121" s="20"/>
      <c r="Y121" s="38"/>
    </row>
    <row r="122" spans="9:69" ht="18">
      <c r="P122" s="37"/>
      <c r="Q122" s="33">
        <f>ABS(100*(MOD(Q102,1)-(Q102&lt;0)))</f>
        <v>0</v>
      </c>
      <c r="R122" s="37"/>
      <c r="S122" s="37"/>
      <c r="T122" s="34" t="str">
        <f>TEXT(T123,"   00")&amp;"/100"</f>
        <v xml:space="preserve">   00/100</v>
      </c>
      <c r="U122" s="37"/>
      <c r="V122" s="20"/>
      <c r="W122" s="20"/>
      <c r="X122" s="20"/>
      <c r="Y122" s="38"/>
    </row>
    <row r="123" spans="9:69" ht="18">
      <c r="I123" s="80"/>
      <c r="J123" s="80"/>
      <c r="K123" s="80"/>
      <c r="L123" s="80"/>
      <c r="M123" s="80"/>
      <c r="N123" s="80"/>
      <c r="O123" s="80"/>
      <c r="P123" s="37"/>
      <c r="Q123" s="35">
        <f>ROUND(100*(ABS(Q102)-INT(ABS(Q102))),0)</f>
        <v>0</v>
      </c>
      <c r="R123" s="37"/>
      <c r="S123" s="37"/>
      <c r="T123" s="36">
        <f>IF(P103=0,0,ROUND(100*(ABS(Q102)-INT(ABS(Q102))),0))</f>
        <v>0</v>
      </c>
      <c r="U123" s="37"/>
      <c r="V123" s="20"/>
      <c r="W123" s="20"/>
      <c r="X123" s="20"/>
      <c r="Y123" s="38"/>
    </row>
    <row r="124" spans="9:69" ht="15"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</row>
    <row r="151" spans="9:15" ht="15">
      <c r="I151" s="80"/>
      <c r="J151" s="80"/>
      <c r="K151" s="80"/>
      <c r="L151" s="80"/>
      <c r="M151" s="80"/>
      <c r="N151" s="80"/>
      <c r="O151" s="80"/>
    </row>
  </sheetData>
  <mergeCells count="21">
    <mergeCell ref="B19:B20"/>
    <mergeCell ref="C19:C20"/>
    <mergeCell ref="A2:G3"/>
    <mergeCell ref="A4:G4"/>
    <mergeCell ref="A5:B5"/>
    <mergeCell ref="A10:G10"/>
    <mergeCell ref="A11:G11"/>
    <mergeCell ref="A12:G12"/>
    <mergeCell ref="A14:G14"/>
    <mergeCell ref="A16:G16"/>
    <mergeCell ref="C17:C18"/>
    <mergeCell ref="E17:F18"/>
    <mergeCell ref="A19:A20"/>
    <mergeCell ref="F19:F20"/>
    <mergeCell ref="G19:G20"/>
    <mergeCell ref="A13:G13"/>
    <mergeCell ref="E50:G50"/>
    <mergeCell ref="E51:G51"/>
    <mergeCell ref="E52:G52"/>
    <mergeCell ref="E59:F59"/>
    <mergeCell ref="E60:G60"/>
  </mergeCells>
  <dataValidations disablePrompts="1" count="1">
    <dataValidation type="list" allowBlank="1" showInputMessage="1" showErrorMessage="1" sqref="C6" xr:uid="{00000000-0002-0000-0800-000000000000}">
      <formula1>$J$9:$J$11</formula1>
    </dataValidation>
  </dataValidations>
  <pageMargins left="0.8" right="0" top="0.15" bottom="0.15" header="0.5" footer="0.5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00"/>
  </sheetPr>
  <dimension ref="A1:BQ176"/>
  <sheetViews>
    <sheetView topLeftCell="A33" workbookViewId="0">
      <selection activeCell="E41" sqref="E41:G41"/>
    </sheetView>
  </sheetViews>
  <sheetFormatPr defaultColWidth="8.85546875" defaultRowHeight="12.75"/>
  <cols>
    <col min="1" max="1" width="4.42578125" customWidth="1"/>
    <col min="2" max="2" width="31.85546875" customWidth="1"/>
    <col min="3" max="3" width="14" customWidth="1"/>
    <col min="4" max="4" width="11.7109375" customWidth="1"/>
    <col min="5" max="5" width="14.42578125" customWidth="1"/>
    <col min="6" max="6" width="14.85546875" customWidth="1"/>
    <col min="7" max="7" width="16" customWidth="1"/>
    <col min="9" max="9" width="5.28515625" customWidth="1"/>
    <col min="10" max="10" width="38.28515625" customWidth="1"/>
    <col min="12" max="12" width="12.28515625" customWidth="1"/>
    <col min="13" max="13" width="10.28515625" customWidth="1"/>
    <col min="14" max="14" width="10" customWidth="1"/>
    <col min="15" max="15" width="11.42578125" customWidth="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20.25" thickTop="1" thickBot="1">
      <c r="A2" s="704" t="s">
        <v>50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34.5" customHeight="1" thickTop="1">
      <c r="A3" s="715" t="s">
        <v>278</v>
      </c>
      <c r="B3" s="715"/>
      <c r="C3" s="715"/>
      <c r="D3" s="715"/>
      <c r="E3" s="715"/>
      <c r="F3" s="715"/>
      <c r="G3" s="71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6.5">
      <c r="A4" s="706" t="s">
        <v>52</v>
      </c>
      <c r="B4" s="706"/>
      <c r="C4" s="275">
        <v>50</v>
      </c>
      <c r="D4" s="61" t="s">
        <v>192</v>
      </c>
      <c r="E4" s="114" t="s">
        <v>54</v>
      </c>
      <c r="F4" s="115">
        <v>500</v>
      </c>
      <c r="G4" s="111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8.95" customHeight="1">
      <c r="A5" s="193" t="s">
        <v>58</v>
      </c>
      <c r="B5" s="194"/>
      <c r="C5" s="194"/>
      <c r="D5" s="195"/>
      <c r="E5" s="195"/>
      <c r="F5" s="195"/>
      <c r="G5" s="195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5" customHeight="1">
      <c r="A6" s="263" t="s">
        <v>201</v>
      </c>
      <c r="B6" s="198"/>
      <c r="C6" s="199"/>
      <c r="D6" s="199"/>
      <c r="E6" s="199"/>
      <c r="F6" s="199"/>
      <c r="G6" s="199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5" customHeight="1">
      <c r="A7" s="263" t="s">
        <v>258</v>
      </c>
      <c r="B7" s="198"/>
      <c r="C7" s="199"/>
      <c r="D7" s="199"/>
      <c r="E7" s="199"/>
      <c r="F7" s="199"/>
      <c r="G7" s="199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6.5">
      <c r="A8" s="688" t="s">
        <v>61</v>
      </c>
      <c r="B8" s="688"/>
      <c r="C8" s="688"/>
      <c r="D8" s="688"/>
      <c r="E8" s="688"/>
      <c r="F8" s="688"/>
      <c r="G8" s="688"/>
      <c r="H8" s="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s="111" customFormat="1" ht="18.75" customHeight="1">
      <c r="A9" s="693" t="s">
        <v>62</v>
      </c>
      <c r="B9" s="693"/>
      <c r="C9" s="693"/>
      <c r="D9" s="693"/>
      <c r="E9" s="693"/>
      <c r="F9" s="693"/>
      <c r="G9" s="693"/>
      <c r="I9" s="281"/>
      <c r="J9" s="282"/>
      <c r="K9" s="283"/>
      <c r="L9" s="285"/>
      <c r="M9" s="285"/>
      <c r="N9" s="285"/>
      <c r="O9" s="285"/>
    </row>
    <row r="10" spans="1:69" ht="30" customHeight="1">
      <c r="A10" s="695" t="s">
        <v>63</v>
      </c>
      <c r="B10" s="695"/>
      <c r="C10" s="695"/>
      <c r="D10" s="695"/>
      <c r="E10" s="695"/>
      <c r="F10" s="695"/>
      <c r="G10" s="695"/>
      <c r="H10" s="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30" customHeight="1">
      <c r="A11" s="707" t="s">
        <v>64</v>
      </c>
      <c r="B11" s="707"/>
      <c r="C11" s="707"/>
      <c r="D11" s="707"/>
      <c r="E11" s="707"/>
      <c r="F11" s="707"/>
      <c r="G11" s="707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16.5">
      <c r="A12" s="688" t="s">
        <v>65</v>
      </c>
      <c r="B12" s="688"/>
      <c r="C12" s="688"/>
      <c r="D12" s="688"/>
      <c r="E12" s="688"/>
      <c r="F12" s="688"/>
      <c r="G12" s="688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15" customHeight="1">
      <c r="A13" s="200"/>
      <c r="B13" s="201" t="s">
        <v>66</v>
      </c>
      <c r="C13" s="276">
        <f>C4</f>
        <v>50</v>
      </c>
      <c r="D13" s="225" t="str">
        <f>D4</f>
        <v>ha</v>
      </c>
      <c r="E13" s="201"/>
      <c r="F13" s="202"/>
      <c r="G13" s="203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48" customHeight="1">
      <c r="A14" s="689" t="s">
        <v>279</v>
      </c>
      <c r="B14" s="690"/>
      <c r="C14" s="690"/>
      <c r="D14" s="690"/>
      <c r="E14" s="690"/>
      <c r="F14" s="690"/>
      <c r="G14" s="690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19.5" customHeight="1">
      <c r="A15" s="204"/>
      <c r="B15" s="205" t="s">
        <v>68</v>
      </c>
      <c r="C15" s="691" t="s">
        <v>69</v>
      </c>
      <c r="D15" s="206" t="s">
        <v>70</v>
      </c>
      <c r="E15" s="692" t="s">
        <v>71</v>
      </c>
      <c r="F15" s="692"/>
      <c r="G15" s="203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7.25" thickBot="1">
      <c r="A16" s="204"/>
      <c r="B16" s="200"/>
      <c r="C16" s="691"/>
      <c r="D16" s="210" t="s">
        <v>72</v>
      </c>
      <c r="E16" s="692"/>
      <c r="F16" s="692"/>
      <c r="G16" s="203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42.75">
      <c r="A17" s="698" t="s">
        <v>26</v>
      </c>
      <c r="B17" s="696" t="s">
        <v>73</v>
      </c>
      <c r="C17" s="696" t="s">
        <v>74</v>
      </c>
      <c r="D17" s="314" t="s">
        <v>75</v>
      </c>
      <c r="E17" s="314" t="s">
        <v>76</v>
      </c>
      <c r="F17" s="696" t="s">
        <v>77</v>
      </c>
      <c r="G17" s="701" t="s">
        <v>78</v>
      </c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17.25" thickBot="1">
      <c r="A18" s="699"/>
      <c r="B18" s="697"/>
      <c r="C18" s="697"/>
      <c r="D18" s="317" t="s">
        <v>79</v>
      </c>
      <c r="E18" s="317" t="s">
        <v>79</v>
      </c>
      <c r="F18" s="697"/>
      <c r="G18" s="702"/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15" customHeight="1">
      <c r="A19" s="396">
        <v>1</v>
      </c>
      <c r="B19" s="320" t="s">
        <v>81</v>
      </c>
      <c r="C19" s="321" t="s">
        <v>82</v>
      </c>
      <c r="D19" s="408">
        <f>IF(D24&lt;10,148.8,IF(D24&gt;100,"Vượt quy mô",((D20-D21)/(D22-D23)*(D24-D23)+D21)))</f>
        <v>375</v>
      </c>
      <c r="E19" s="408">
        <f>IF(E24&lt;10,20.98,IF(E24&gt;100,"Vượt quy mô",((E20-E21)/(E22-E23)*(E24-E23)+E21)))</f>
        <v>45.22</v>
      </c>
      <c r="F19" s="397">
        <f>IF(F24&lt;200,12.3,IF(F24&gt;10000,2.8,ROUND(((F20-F21)/(F22-F23)*(F24-F23)+F21),3)))</f>
        <v>10.782999999999999</v>
      </c>
      <c r="G19" s="398">
        <f>IF(G24&lt;200,10.6,IF(G24&gt;10000,2.6,ROUND(((G20-G21)/(G22-G23)*(G24-G23)+G21),3)))</f>
        <v>9.5500000000000007</v>
      </c>
      <c r="H19" s="1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302">
        <v>2</v>
      </c>
      <c r="B20" s="303" t="s">
        <v>240</v>
      </c>
      <c r="C20" s="304" t="s">
        <v>84</v>
      </c>
      <c r="D20" s="84">
        <f>LOOKUP(D22,'Dinh muc'!$C$67:$G$68)</f>
        <v>375</v>
      </c>
      <c r="E20" s="446">
        <f>LOOKUP(E22,'Dinh muc'!$C$67:$G$69)</f>
        <v>45.22</v>
      </c>
      <c r="F20" s="616">
        <f>LOOKUP(F22, 'Dinh muc'!$C$75:$J$76)</f>
        <v>12.3</v>
      </c>
      <c r="G20" s="616">
        <f>LOOKUP(G22, 'Dinh muc'!$C$75:$J$77)</f>
        <v>10.6</v>
      </c>
      <c r="H20" s="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02">
        <v>3</v>
      </c>
      <c r="B21" s="303" t="s">
        <v>85</v>
      </c>
      <c r="C21" s="304" t="s">
        <v>86</v>
      </c>
      <c r="D21" s="84">
        <f>LOOKUP(D23,'Dinh muc'!$C$67:$G$68)</f>
        <v>375</v>
      </c>
      <c r="E21" s="446">
        <f>LOOKUP(E23,'Dinh muc'!$C$67:$G$69)</f>
        <v>45.22</v>
      </c>
      <c r="F21" s="616">
        <f>LOOKUP(F23, 'Dinh muc'!$C$75:$J$76)</f>
        <v>9.6999999999999993</v>
      </c>
      <c r="G21" s="616">
        <f>LOOKUP(G23, 'Dinh muc'!$C$75:$J$77)</f>
        <v>8.8000000000000007</v>
      </c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4</v>
      </c>
      <c r="B22" s="303" t="s">
        <v>87</v>
      </c>
      <c r="C22" s="304" t="s">
        <v>88</v>
      </c>
      <c r="D22" s="410">
        <f>IF(D24&lt;10,10,SMALL('Dinh muc'!$C$67:$G$67,COUNTIF('Dinh muc'!$C$67:$G$67,"&lt;="&amp;$D$24)))+0.00000001</f>
        <v>50.000000010000001</v>
      </c>
      <c r="E22" s="410">
        <f>D22</f>
        <v>50.000000010000001</v>
      </c>
      <c r="F22" s="399">
        <f>IF(F24&lt;200,200,(SMALL('Dinh muc'!$C$75:$J$76,COUNTIF('Dinh muc'!$C$75:$J$76,"&lt;="&amp;$F$24))))+0.00000000001</f>
        <v>200.00000000001</v>
      </c>
      <c r="G22" s="399">
        <f>F22</f>
        <v>200.00000000001</v>
      </c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02">
        <v>5</v>
      </c>
      <c r="B23" s="303" t="s">
        <v>89</v>
      </c>
      <c r="C23" s="304" t="s">
        <v>90</v>
      </c>
      <c r="D23" s="410">
        <f>IF(D24&gt;100,100,LARGE('Dinh muc'!$C$67:$G$67,COUNTIF('Dinh muc'!$C$67:$G$67,"&gt;="&amp;$D$24)))+0.000000001</f>
        <v>50.000000000999997</v>
      </c>
      <c r="E23" s="410">
        <f>D23</f>
        <v>50.000000000999997</v>
      </c>
      <c r="F23" s="399">
        <f>IF(F24&gt;=10000,10000,LARGE('Dinh muc'!$C$75:$J$76,COUNTIF('Dinh muc'!$C$75:$J$76,"&gt;="&amp; $F$24)))+0.00000000001</f>
        <v>500.00000000001</v>
      </c>
      <c r="G23" s="399">
        <f>F23</f>
        <v>500.00000000001</v>
      </c>
      <c r="H23" s="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 thickBot="1">
      <c r="A24" s="305">
        <v>6</v>
      </c>
      <c r="B24" s="306" t="s">
        <v>91</v>
      </c>
      <c r="C24" s="307" t="s">
        <v>92</v>
      </c>
      <c r="D24" s="411">
        <f>C4</f>
        <v>50</v>
      </c>
      <c r="E24" s="411">
        <f t="shared" ref="E24" si="0">D24</f>
        <v>50</v>
      </c>
      <c r="F24" s="401">
        <f>E31/1000000</f>
        <v>375</v>
      </c>
      <c r="G24" s="401">
        <f>F24</f>
        <v>375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s="111" customFormat="1" ht="15" customHeight="1">
      <c r="A25" s="352"/>
      <c r="B25" s="207" t="s">
        <v>210</v>
      </c>
      <c r="C25" s="226">
        <f>E19*1000000</f>
        <v>45220000</v>
      </c>
      <c r="D25" s="242" t="s">
        <v>94</v>
      </c>
      <c r="E25" s="208"/>
      <c r="F25" s="209"/>
      <c r="G25" s="242"/>
      <c r="H25" s="60"/>
      <c r="I25"/>
      <c r="J25"/>
      <c r="K25"/>
      <c r="L25"/>
      <c r="M25"/>
      <c r="N25"/>
      <c r="O25"/>
      <c r="P25"/>
    </row>
    <row r="26" spans="1:69" s="111" customFormat="1" ht="15" customHeight="1" thickBot="1">
      <c r="A26" s="352"/>
      <c r="B26" s="207" t="s">
        <v>211</v>
      </c>
      <c r="C26" s="226">
        <f>D19*1000000</f>
        <v>375000000</v>
      </c>
      <c r="D26" s="242" t="s">
        <v>94</v>
      </c>
      <c r="E26" s="208"/>
      <c r="F26" s="209"/>
      <c r="G26" s="242"/>
      <c r="H26" s="60"/>
      <c r="I26"/>
      <c r="J26"/>
      <c r="K26"/>
      <c r="L26"/>
      <c r="M26"/>
      <c r="N26"/>
      <c r="O26"/>
      <c r="P26"/>
    </row>
    <row r="27" spans="1:69" ht="48" customHeight="1">
      <c r="A27" s="170" t="s">
        <v>26</v>
      </c>
      <c r="B27" s="171" t="s">
        <v>96</v>
      </c>
      <c r="C27" s="171" t="s">
        <v>97</v>
      </c>
      <c r="D27" s="171" t="s">
        <v>98</v>
      </c>
      <c r="E27" s="171" t="s">
        <v>99</v>
      </c>
      <c r="F27" s="171" t="s">
        <v>100</v>
      </c>
      <c r="G27" s="172" t="s">
        <v>101</v>
      </c>
      <c r="I27" s="88"/>
      <c r="J27" s="88"/>
      <c r="K27" s="88"/>
      <c r="L27" s="88"/>
      <c r="M27" s="88"/>
      <c r="N27" s="88"/>
      <c r="O27" s="88"/>
    </row>
    <row r="28" spans="1:69" ht="17.25" thickBot="1">
      <c r="A28" s="244">
        <v>1</v>
      </c>
      <c r="B28" s="245">
        <v>2</v>
      </c>
      <c r="C28" s="245">
        <v>3</v>
      </c>
      <c r="D28" s="245">
        <v>4</v>
      </c>
      <c r="E28" s="245" t="s">
        <v>102</v>
      </c>
      <c r="F28" s="245" t="s">
        <v>103</v>
      </c>
      <c r="G28" s="246" t="s">
        <v>104</v>
      </c>
      <c r="I28" s="88"/>
      <c r="J28" s="88"/>
      <c r="K28" s="88"/>
      <c r="L28" s="88"/>
      <c r="M28" s="88"/>
      <c r="N28" s="88"/>
      <c r="O28" s="88"/>
    </row>
    <row r="29" spans="1:69" ht="16.5">
      <c r="A29" s="251">
        <v>1</v>
      </c>
      <c r="B29" s="252" t="s">
        <v>105</v>
      </c>
      <c r="C29" s="253"/>
      <c r="D29" s="253"/>
      <c r="E29" s="253"/>
      <c r="F29" s="253"/>
      <c r="G29" s="254"/>
      <c r="I29" s="88"/>
      <c r="J29" s="88"/>
      <c r="K29" s="88"/>
      <c r="L29" s="88"/>
      <c r="M29" s="88"/>
      <c r="N29" s="88"/>
      <c r="O29" s="88"/>
    </row>
    <row r="30" spans="1:69" ht="16.5">
      <c r="A30" s="177" t="s">
        <v>106</v>
      </c>
      <c r="B30" s="69" t="s">
        <v>242</v>
      </c>
      <c r="C30" s="450">
        <f>C25</f>
        <v>45220000</v>
      </c>
      <c r="D30" s="444">
        <v>1</v>
      </c>
      <c r="E30" s="78">
        <f>D30*C30</f>
        <v>45220000</v>
      </c>
      <c r="F30" s="78">
        <f>E30*10%</f>
        <v>4522000</v>
      </c>
      <c r="G30" s="179">
        <f>F30+E30</f>
        <v>49742000</v>
      </c>
      <c r="I30" s="639">
        <f>485000000</f>
        <v>485000000</v>
      </c>
      <c r="J30" s="639">
        <f>G30*92%</f>
        <v>45762640</v>
      </c>
      <c r="K30" s="88"/>
      <c r="L30" s="88"/>
      <c r="M30" s="88"/>
      <c r="N30" s="88"/>
      <c r="O30" s="88"/>
      <c r="P30" s="88"/>
    </row>
    <row r="31" spans="1:69" ht="16.5">
      <c r="A31" s="177" t="s">
        <v>108</v>
      </c>
      <c r="B31" s="69" t="s">
        <v>260</v>
      </c>
      <c r="C31" s="450">
        <f>C26</f>
        <v>375000000</v>
      </c>
      <c r="D31" s="444">
        <v>1</v>
      </c>
      <c r="E31" s="78">
        <f>D31*C31</f>
        <v>375000000</v>
      </c>
      <c r="F31" s="78">
        <f>E31*10%</f>
        <v>37500000</v>
      </c>
      <c r="G31" s="179">
        <f>F31+E31</f>
        <v>412500000</v>
      </c>
      <c r="I31" s="88"/>
      <c r="J31" s="88"/>
      <c r="K31" s="88"/>
      <c r="L31" s="88"/>
      <c r="M31" s="88"/>
      <c r="N31" s="88"/>
      <c r="O31" s="88"/>
      <c r="P31" s="88"/>
    </row>
    <row r="32" spans="1:69" ht="16.5">
      <c r="A32" s="177"/>
      <c r="B32" s="63" t="s">
        <v>112</v>
      </c>
      <c r="C32" s="318"/>
      <c r="D32" s="310"/>
      <c r="E32" s="70"/>
      <c r="F32" s="71">
        <f>SUM(F30:F31)</f>
        <v>42022000</v>
      </c>
      <c r="G32" s="178">
        <f>SUM(G30:G31)</f>
        <v>462242000</v>
      </c>
      <c r="H32" s="58"/>
      <c r="I32" s="88"/>
      <c r="J32" s="88"/>
      <c r="K32" s="88"/>
      <c r="L32" s="88"/>
      <c r="M32" s="88"/>
      <c r="N32" s="88"/>
      <c r="O32" s="88"/>
    </row>
    <row r="33" spans="1:69" ht="16.5">
      <c r="A33" s="222">
        <v>2</v>
      </c>
      <c r="B33" s="378" t="s">
        <v>113</v>
      </c>
      <c r="C33" s="350">
        <f>E31</f>
        <v>375000000</v>
      </c>
      <c r="D33" s="377">
        <v>0.2</v>
      </c>
      <c r="E33" s="374"/>
      <c r="F33" s="375"/>
      <c r="G33" s="179">
        <f>D33*C33</f>
        <v>75000000</v>
      </c>
      <c r="H33" s="58"/>
      <c r="I33" s="88"/>
      <c r="J33" s="88"/>
      <c r="K33" s="88"/>
      <c r="L33" s="88"/>
      <c r="M33" s="88"/>
      <c r="N33" s="88"/>
      <c r="O33" s="88"/>
    </row>
    <row r="34" spans="1:69" ht="16.5">
      <c r="A34" s="187">
        <v>3</v>
      </c>
      <c r="B34" s="224" t="s">
        <v>256</v>
      </c>
      <c r="C34" s="319">
        <f>C33</f>
        <v>375000000</v>
      </c>
      <c r="D34" s="165">
        <v>0.02</v>
      </c>
      <c r="E34" s="78">
        <f>D34*C34</f>
        <v>7500000</v>
      </c>
      <c r="F34" s="78">
        <f>E34*10%</f>
        <v>750000</v>
      </c>
      <c r="G34" s="179">
        <f>F34+E34</f>
        <v>8250000</v>
      </c>
      <c r="H34" s="97"/>
      <c r="I34" s="88"/>
      <c r="J34" s="88"/>
      <c r="K34" s="88"/>
      <c r="L34" s="88"/>
      <c r="M34" s="88"/>
      <c r="N34" s="88"/>
      <c r="O34" s="88"/>
      <c r="P34" s="1"/>
    </row>
    <row r="35" spans="1:69" ht="16.5">
      <c r="A35" s="222">
        <v>4</v>
      </c>
      <c r="B35" s="378" t="s">
        <v>114</v>
      </c>
      <c r="C35" s="350">
        <f>C34</f>
        <v>375000000</v>
      </c>
      <c r="D35" s="351">
        <f>F19/100</f>
        <v>0.10783</v>
      </c>
      <c r="E35" s="272"/>
      <c r="F35" s="273"/>
      <c r="G35" s="179">
        <f>D35*C35</f>
        <v>40436250</v>
      </c>
      <c r="H35" s="59"/>
      <c r="I35" s="88"/>
      <c r="J35" s="88"/>
      <c r="K35" s="88"/>
      <c r="L35" s="88"/>
      <c r="M35" s="88"/>
      <c r="N35" s="88"/>
      <c r="O35" s="88"/>
    </row>
    <row r="36" spans="1:69" ht="16.5">
      <c r="A36" s="187">
        <v>5</v>
      </c>
      <c r="B36" s="224" t="s">
        <v>234</v>
      </c>
      <c r="C36" s="319">
        <f>C35</f>
        <v>375000000</v>
      </c>
      <c r="D36" s="310">
        <f>G19/100</f>
        <v>9.5500000000000002E-2</v>
      </c>
      <c r="E36" s="230"/>
      <c r="F36" s="79"/>
      <c r="G36" s="179">
        <f>D36*C36</f>
        <v>35812500</v>
      </c>
      <c r="H36" s="97"/>
      <c r="I36" s="88"/>
      <c r="J36" s="88"/>
      <c r="K36" s="88"/>
      <c r="L36" s="88"/>
      <c r="M36" s="88"/>
      <c r="N36" s="88"/>
      <c r="O36" s="88"/>
      <c r="P36" s="1"/>
    </row>
    <row r="37" spans="1:69" ht="30">
      <c r="A37" s="187">
        <v>6</v>
      </c>
      <c r="B37" s="76" t="s">
        <v>116</v>
      </c>
      <c r="C37" s="319">
        <f>C36</f>
        <v>375000000</v>
      </c>
      <c r="D37" s="165">
        <v>0.03</v>
      </c>
      <c r="E37" s="78">
        <f>D37*C37</f>
        <v>11250000</v>
      </c>
      <c r="F37" s="79">
        <f>E37*10%</f>
        <v>1125000</v>
      </c>
      <c r="G37" s="179">
        <f>SUM(E37:F37)</f>
        <v>12375000</v>
      </c>
      <c r="H37" s="59"/>
      <c r="I37" s="88"/>
      <c r="J37" s="88"/>
      <c r="K37" s="88"/>
      <c r="L37" s="88"/>
      <c r="M37" s="88"/>
      <c r="N37" s="88"/>
      <c r="O37" s="88"/>
      <c r="P37" s="1"/>
    </row>
    <row r="38" spans="1:69" ht="28.5">
      <c r="A38" s="187">
        <v>7</v>
      </c>
      <c r="B38" s="224" t="s">
        <v>244</v>
      </c>
      <c r="C38" s="79"/>
      <c r="D38" s="77"/>
      <c r="E38" s="78"/>
      <c r="F38" s="79"/>
      <c r="G38" s="179">
        <f>SUM(G39:G42)</f>
        <v>5706230</v>
      </c>
      <c r="H38" s="100"/>
      <c r="I38" s="88"/>
      <c r="J38" s="88"/>
      <c r="K38" s="88"/>
      <c r="L38" s="88"/>
      <c r="M38" s="88"/>
      <c r="N38" s="88"/>
      <c r="O38" s="88"/>
    </row>
    <row r="39" spans="1:69" ht="30">
      <c r="A39" s="415" t="s">
        <v>216</v>
      </c>
      <c r="B39" s="416" t="s">
        <v>119</v>
      </c>
      <c r="C39" s="273">
        <f>G31</f>
        <v>412500000</v>
      </c>
      <c r="D39" s="77">
        <f>L87/100*45%</f>
        <v>3.6756000000000002E-3</v>
      </c>
      <c r="E39" s="79">
        <f>D39*C39</f>
        <v>1516185</v>
      </c>
      <c r="F39" s="79">
        <f>E39*10%</f>
        <v>151618.5</v>
      </c>
      <c r="G39" s="179">
        <f>IF(SUM(E39:F39)&lt;1000000, 1000000,SUM(E39:F39))</f>
        <v>1667803.5</v>
      </c>
      <c r="H39" s="100"/>
      <c r="I39" s="88"/>
      <c r="J39" s="88"/>
      <c r="K39" s="88"/>
      <c r="L39" s="88"/>
      <c r="M39" s="88"/>
      <c r="N39" s="88"/>
      <c r="O39" s="88"/>
    </row>
    <row r="40" spans="1:69" ht="30">
      <c r="A40" s="415" t="s">
        <v>217</v>
      </c>
      <c r="B40" s="416" t="s">
        <v>121</v>
      </c>
      <c r="C40" s="273">
        <f>C39</f>
        <v>412500000</v>
      </c>
      <c r="D40" s="77">
        <f>L87/100*55%</f>
        <v>4.4924000000000006E-3</v>
      </c>
      <c r="E40" s="79">
        <f>D40*C40</f>
        <v>1853115.0000000002</v>
      </c>
      <c r="F40" s="79">
        <f>E40*10%</f>
        <v>185311.50000000003</v>
      </c>
      <c r="G40" s="179">
        <f>IF(SUM(E40:F40)&lt;1000000, 1000000,SUM(E40:F40))</f>
        <v>2038426.5000000002</v>
      </c>
      <c r="H40" s="100"/>
      <c r="I40" s="88"/>
      <c r="J40" s="88"/>
      <c r="K40" s="88"/>
      <c r="L40" s="88"/>
      <c r="M40" s="88"/>
      <c r="N40" s="88"/>
      <c r="O40" s="88"/>
    </row>
    <row r="41" spans="1:69" ht="30">
      <c r="A41" s="415" t="s">
        <v>218</v>
      </c>
      <c r="B41" s="416" t="s">
        <v>123</v>
      </c>
      <c r="C41" s="273">
        <f>C40</f>
        <v>412500000</v>
      </c>
      <c r="D41" s="77">
        <v>5.0000000000000001E-4</v>
      </c>
      <c r="E41" s="79">
        <f>D41*C41</f>
        <v>206250</v>
      </c>
      <c r="F41" s="79">
        <f>E41*10%</f>
        <v>20625</v>
      </c>
      <c r="G41" s="179">
        <f>IF(SUM(E41:F41)&lt;1000000, 1000000,SUM(E41:F41))</f>
        <v>1000000</v>
      </c>
      <c r="H41" s="100"/>
      <c r="I41" s="88"/>
      <c r="J41" s="88"/>
      <c r="K41" s="88"/>
      <c r="L41" s="88"/>
      <c r="M41" s="88"/>
      <c r="N41" s="88"/>
      <c r="O41" s="88"/>
    </row>
    <row r="42" spans="1:69" ht="45">
      <c r="A42" s="415" t="s">
        <v>219</v>
      </c>
      <c r="B42" s="416" t="s">
        <v>125</v>
      </c>
      <c r="C42" s="273">
        <f>C39</f>
        <v>412500000</v>
      </c>
      <c r="D42" s="77">
        <v>5.0000000000000001E-4</v>
      </c>
      <c r="E42" s="79">
        <f>D42*C42</f>
        <v>206250</v>
      </c>
      <c r="F42" s="79">
        <f>E42*10%</f>
        <v>20625</v>
      </c>
      <c r="G42" s="179">
        <f>IF(SUM(E42:F42)&lt;1000000, 1000000,SUM(E42:F42))</f>
        <v>1000000</v>
      </c>
      <c r="H42" s="100"/>
      <c r="I42" s="88"/>
      <c r="J42" s="88"/>
      <c r="K42" s="88"/>
      <c r="L42" s="88"/>
      <c r="M42" s="88"/>
      <c r="N42" s="88"/>
      <c r="O42" s="88"/>
    </row>
    <row r="43" spans="1:69" ht="16.5">
      <c r="A43" s="244"/>
      <c r="B43" s="417"/>
      <c r="C43" s="350"/>
      <c r="D43" s="377"/>
      <c r="E43" s="419"/>
      <c r="F43" s="273"/>
      <c r="G43" s="420"/>
      <c r="H43" s="59"/>
      <c r="I43" s="88"/>
      <c r="J43" s="88"/>
      <c r="K43" s="88"/>
      <c r="L43" s="88"/>
      <c r="M43" s="88"/>
      <c r="N43" s="88"/>
      <c r="O43" s="88"/>
      <c r="P43" s="1"/>
    </row>
    <row r="44" spans="1:69" ht="17.25" thickBot="1">
      <c r="A44" s="269"/>
      <c r="B44" s="266" t="s">
        <v>220</v>
      </c>
      <c r="C44" s="267"/>
      <c r="D44" s="267"/>
      <c r="E44" s="267"/>
      <c r="F44" s="267"/>
      <c r="G44" s="268">
        <f>SUM(G33:G38)</f>
        <v>177579980</v>
      </c>
      <c r="H44" s="62"/>
      <c r="I44" s="88"/>
      <c r="J44" s="88"/>
      <c r="K44" s="88"/>
      <c r="L44" s="88"/>
      <c r="M44" s="88"/>
      <c r="N44" s="88"/>
      <c r="O44" s="88"/>
      <c r="P44" s="1"/>
    </row>
    <row r="45" spans="1:69" ht="17.25" thickBot="1">
      <c r="A45" s="270"/>
      <c r="B45" s="248" t="s">
        <v>245</v>
      </c>
      <c r="C45" s="248"/>
      <c r="D45" s="248"/>
      <c r="E45" s="248"/>
      <c r="F45" s="264"/>
      <c r="G45" s="265">
        <f>ROUND(G44+G32,-3)</f>
        <v>639822000</v>
      </c>
      <c r="H45" s="60"/>
      <c r="I45" s="88"/>
      <c r="J45" s="88"/>
      <c r="K45" s="88"/>
      <c r="L45" s="88"/>
      <c r="M45" s="88"/>
      <c r="N45" s="88"/>
      <c r="O45" s="88"/>
      <c r="P45" s="1"/>
    </row>
    <row r="46" spans="1:69" ht="16.5">
      <c r="A46" s="228" t="str">
        <f ca="1">CONCATENATE("Bằng chữ :  ",UPPER(LEFT(Q121))&amp;RIGHT(Q121,LEN(Q121)-1))</f>
        <v>Bằng chữ :  Sáu trăm ba mươi chín triệu, tám trăm  hai mươi  hai nghìn  đồng chẵn</v>
      </c>
      <c r="B46" s="229"/>
      <c r="C46" s="229"/>
      <c r="D46" s="229"/>
      <c r="E46" s="229"/>
      <c r="F46" s="229"/>
      <c r="G46" s="229"/>
      <c r="I46" s="88"/>
      <c r="J46" s="88"/>
      <c r="K46" s="88"/>
      <c r="L46" s="88"/>
      <c r="M46" s="88"/>
      <c r="N46" s="88"/>
      <c r="O46" s="88"/>
      <c r="P46" s="1"/>
    </row>
    <row r="47" spans="1:69" ht="12.75" customHeight="1">
      <c r="H47" s="98"/>
      <c r="I47" s="88"/>
      <c r="J47" s="88"/>
      <c r="K47" s="88"/>
      <c r="L47" s="88"/>
      <c r="M47" s="88"/>
      <c r="N47" s="88"/>
      <c r="O47" s="8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6.5">
      <c r="E48" s="694" t="s">
        <v>128</v>
      </c>
      <c r="F48" s="694"/>
      <c r="G48" s="694"/>
      <c r="H48" s="98"/>
      <c r="I48" s="88"/>
      <c r="J48" s="88"/>
      <c r="K48" s="88"/>
      <c r="L48" s="88"/>
      <c r="M48" s="88"/>
      <c r="N48" s="88"/>
      <c r="O48" s="8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69" ht="13.5" customHeight="1">
      <c r="E49" s="714" t="s">
        <v>280</v>
      </c>
      <c r="F49" s="714"/>
      <c r="G49" s="714"/>
      <c r="H49" s="99"/>
      <c r="I49" s="88"/>
      <c r="J49" s="88"/>
      <c r="K49" s="88"/>
      <c r="L49" s="88"/>
      <c r="M49" s="88"/>
      <c r="N49" s="88"/>
      <c r="O49" s="8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69" ht="16.5">
      <c r="B50" s="339"/>
      <c r="E50" s="686" t="s">
        <v>130</v>
      </c>
      <c r="F50" s="686"/>
      <c r="G50" s="686"/>
      <c r="H50" s="100"/>
      <c r="I50" s="88"/>
      <c r="J50" s="88"/>
      <c r="K50" s="88"/>
      <c r="L50" s="88"/>
      <c r="M50" s="88"/>
      <c r="N50" s="88"/>
      <c r="O50" s="8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2:69" ht="16.5">
      <c r="E51" s="133"/>
      <c r="F51" s="133"/>
      <c r="G51" s="133"/>
      <c r="H51" s="100"/>
      <c r="I51" s="88"/>
      <c r="J51" s="88"/>
      <c r="K51" s="88"/>
      <c r="L51" s="88"/>
      <c r="M51" s="88"/>
      <c r="N51" s="88"/>
      <c r="O51" s="8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2:69" ht="16.5">
      <c r="E52" s="133"/>
      <c r="F52" s="133"/>
      <c r="G52" s="133"/>
      <c r="H52" s="100"/>
      <c r="I52" s="88"/>
      <c r="J52" s="88"/>
      <c r="K52" s="88"/>
      <c r="L52" s="88"/>
      <c r="M52" s="88"/>
      <c r="N52" s="88"/>
      <c r="O52" s="8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2:69" ht="16.5">
      <c r="E53" s="133"/>
      <c r="F53" s="133"/>
      <c r="G53" s="133"/>
      <c r="H53" s="101"/>
      <c r="I53" s="88"/>
      <c r="J53" s="88"/>
      <c r="K53" s="88"/>
      <c r="L53" s="88"/>
      <c r="M53" s="88"/>
      <c r="N53" s="88"/>
      <c r="O53" s="8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2:69" ht="16.5">
      <c r="E54" s="133"/>
      <c r="F54" s="133"/>
      <c r="G54" s="133"/>
      <c r="H54" s="100"/>
      <c r="I54" s="88"/>
      <c r="J54" s="88"/>
      <c r="K54" s="88"/>
      <c r="L54" s="88"/>
      <c r="M54" s="88"/>
      <c r="N54" s="88"/>
      <c r="O54" s="8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2:69" ht="16.5">
      <c r="E55" s="133"/>
      <c r="F55" s="133"/>
      <c r="G55" s="133"/>
      <c r="H55" s="100"/>
      <c r="I55" s="88"/>
      <c r="J55" s="88"/>
      <c r="K55" s="88"/>
      <c r="L55" s="88"/>
      <c r="M55" s="88"/>
      <c r="N55" s="88"/>
      <c r="O55" s="8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2:69" ht="16.5">
      <c r="E56" s="133"/>
      <c r="F56" s="133"/>
      <c r="G56" s="133"/>
      <c r="H56" s="100"/>
      <c r="I56" s="88"/>
      <c r="J56" s="88"/>
      <c r="K56" s="88"/>
      <c r="L56" s="88"/>
      <c r="M56" s="88"/>
      <c r="N56" s="88"/>
      <c r="O56" s="8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2:69" ht="16.5">
      <c r="B57" s="339"/>
      <c r="E57" s="686" t="s">
        <v>131</v>
      </c>
      <c r="F57" s="686"/>
      <c r="G57" s="686"/>
      <c r="H57" s="102"/>
      <c r="I57" s="88"/>
      <c r="J57" s="88"/>
      <c r="K57" s="88"/>
      <c r="L57" s="88"/>
      <c r="M57" s="88"/>
      <c r="N57" s="88"/>
      <c r="O57" s="88"/>
      <c r="P57" s="1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</row>
    <row r="58" spans="2:69" ht="16.5">
      <c r="B58" s="339"/>
      <c r="H58" s="104"/>
      <c r="I58" s="88"/>
      <c r="J58" s="88"/>
      <c r="K58" s="88"/>
      <c r="L58" s="88"/>
      <c r="M58" s="88"/>
      <c r="N58" s="88"/>
      <c r="O58" s="88"/>
      <c r="P58" s="1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</row>
    <row r="59" spans="2:69" ht="16.5">
      <c r="H59" s="105"/>
      <c r="I59" s="88"/>
      <c r="J59" s="88"/>
      <c r="K59" s="88"/>
      <c r="L59" s="88"/>
      <c r="M59" s="88"/>
      <c r="N59" s="88"/>
      <c r="O59" s="88"/>
      <c r="P59" s="1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</row>
    <row r="60" spans="2:69" ht="16.5">
      <c r="H60" s="105"/>
      <c r="I60" s="88"/>
      <c r="J60" s="88"/>
      <c r="K60" s="88"/>
      <c r="L60" s="88"/>
      <c r="M60" s="88"/>
      <c r="N60" s="88"/>
      <c r="O60" s="88"/>
      <c r="P60" s="1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</row>
    <row r="61" spans="2:69" ht="16.5">
      <c r="H61" s="105"/>
      <c r="I61" s="88"/>
      <c r="J61" s="88"/>
      <c r="K61" s="88"/>
      <c r="L61" s="88"/>
      <c r="M61" s="88"/>
      <c r="N61" s="88"/>
      <c r="O61" s="88"/>
      <c r="P61" s="1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</row>
    <row r="62" spans="2:69" ht="16.5">
      <c r="H62" s="105"/>
      <c r="I62" s="88"/>
      <c r="J62" s="88"/>
      <c r="K62" s="88"/>
      <c r="L62" s="88"/>
      <c r="M62" s="88"/>
      <c r="N62" s="88"/>
      <c r="O62" s="88"/>
      <c r="P62" s="1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</row>
    <row r="63" spans="2:69" ht="16.5">
      <c r="H63" s="105"/>
      <c r="I63" s="88"/>
      <c r="J63" s="88"/>
      <c r="K63" s="88"/>
      <c r="L63" s="88"/>
      <c r="M63" s="88"/>
      <c r="N63" s="88"/>
      <c r="O63" s="88"/>
      <c r="P63" s="1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</row>
    <row r="64" spans="2:69" ht="16.5">
      <c r="H64" s="105"/>
      <c r="I64" s="88"/>
      <c r="J64" s="88"/>
      <c r="K64" s="88"/>
      <c r="L64" s="88"/>
      <c r="M64" s="88"/>
      <c r="N64" s="88"/>
      <c r="O64" s="88"/>
      <c r="P64" s="1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</row>
    <row r="65" spans="8:69" ht="16.5">
      <c r="H65" s="105"/>
      <c r="I65" s="88"/>
      <c r="J65" s="88"/>
      <c r="K65" s="88"/>
      <c r="L65" s="88"/>
      <c r="M65" s="88"/>
      <c r="N65" s="88"/>
      <c r="O65" s="88"/>
      <c r="P65" s="1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</row>
    <row r="66" spans="8:69" ht="16.5">
      <c r="H66" s="105"/>
      <c r="I66" s="88"/>
      <c r="J66" s="88"/>
      <c r="K66" s="88"/>
      <c r="L66" s="88"/>
      <c r="M66" s="88"/>
      <c r="N66" s="88"/>
      <c r="O66" s="88"/>
      <c r="P66" s="1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</row>
    <row r="67" spans="8:69" ht="16.5">
      <c r="H67" s="105"/>
      <c r="I67" s="88"/>
      <c r="J67" s="88"/>
      <c r="K67" s="88"/>
      <c r="L67" s="88"/>
      <c r="M67" s="88"/>
      <c r="N67" s="88"/>
      <c r="O67" s="88"/>
      <c r="P67" s="1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</row>
    <row r="68" spans="8:69" ht="16.5">
      <c r="H68" s="105"/>
      <c r="I68" s="88"/>
      <c r="J68" s="88"/>
      <c r="K68" s="88"/>
      <c r="L68" s="88"/>
      <c r="M68" s="88"/>
      <c r="N68" s="88"/>
      <c r="O68" s="88"/>
      <c r="P68" s="1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</row>
    <row r="69" spans="8:69" ht="16.5">
      <c r="H69" s="105"/>
      <c r="I69" s="88"/>
      <c r="J69" s="88"/>
      <c r="K69" s="88"/>
      <c r="L69" s="88"/>
      <c r="M69" s="88"/>
      <c r="N69" s="88"/>
      <c r="O69" s="88"/>
      <c r="P69" s="1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</row>
    <row r="70" spans="8:69" ht="16.5">
      <c r="H70" s="105"/>
      <c r="I70" s="88"/>
      <c r="J70" s="88"/>
      <c r="K70" s="88"/>
      <c r="L70" s="88"/>
      <c r="M70" s="88"/>
      <c r="N70" s="88"/>
      <c r="O70" s="88"/>
      <c r="P70" s="1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</row>
    <row r="71" spans="8:69" ht="16.5">
      <c r="H71" s="105"/>
      <c r="I71" s="88"/>
      <c r="J71" s="88"/>
      <c r="K71" s="88"/>
      <c r="L71" s="88"/>
      <c r="M71" s="88"/>
      <c r="N71" s="88"/>
      <c r="O71" s="88"/>
      <c r="P71" s="1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</row>
    <row r="72" spans="8:69" ht="16.5">
      <c r="H72" s="105"/>
      <c r="I72" s="88"/>
      <c r="J72" s="88"/>
      <c r="K72" s="88"/>
      <c r="L72" s="88"/>
      <c r="M72" s="88"/>
      <c r="N72" s="88"/>
      <c r="O72" s="88"/>
      <c r="P72" s="1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</row>
    <row r="73" spans="8:69" ht="16.5">
      <c r="H73" s="105"/>
      <c r="I73" s="88"/>
      <c r="J73" s="88"/>
      <c r="K73" s="88"/>
      <c r="L73" s="88"/>
      <c r="M73" s="88"/>
      <c r="N73" s="88"/>
      <c r="O73" s="88"/>
      <c r="P73" s="1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</row>
    <row r="74" spans="8:69" ht="16.5">
      <c r="H74" s="105"/>
      <c r="I74" s="88"/>
      <c r="J74" s="88"/>
      <c r="K74" s="88"/>
      <c r="L74" s="88"/>
      <c r="M74" s="88"/>
      <c r="N74" s="88"/>
      <c r="O74" s="88"/>
      <c r="P74" s="1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</row>
    <row r="75" spans="8:69" ht="16.5">
      <c r="H75" s="105"/>
      <c r="I75" s="88"/>
      <c r="J75" s="88"/>
      <c r="K75" s="88"/>
      <c r="L75" s="88"/>
      <c r="M75" s="88"/>
      <c r="N75" s="88"/>
      <c r="O75" s="88"/>
      <c r="P75" s="1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</row>
    <row r="76" spans="8:69" ht="16.5">
      <c r="H76" s="105"/>
      <c r="I76" s="88"/>
      <c r="J76" s="88"/>
      <c r="K76" s="88"/>
      <c r="L76" s="88"/>
      <c r="M76" s="88"/>
      <c r="N76" s="88"/>
      <c r="O76" s="88"/>
      <c r="P76" s="1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</row>
    <row r="77" spans="8:69" ht="16.5">
      <c r="H77" s="105"/>
      <c r="I77" s="88"/>
      <c r="J77" s="88"/>
      <c r="K77" s="88"/>
      <c r="L77" s="88"/>
      <c r="M77" s="88"/>
      <c r="N77" s="88"/>
      <c r="O77" s="88"/>
      <c r="P77" s="1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</row>
    <row r="78" spans="8:69" ht="16.5">
      <c r="H78" s="105"/>
      <c r="I78" s="88"/>
      <c r="J78" s="88"/>
      <c r="K78" s="88"/>
      <c r="L78" s="88"/>
      <c r="M78" s="88"/>
      <c r="N78" s="88"/>
      <c r="O78" s="88"/>
      <c r="P78" s="1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</row>
    <row r="79" spans="8:69" ht="16.5">
      <c r="H79" s="105"/>
      <c r="I79" s="88"/>
      <c r="J79" s="88"/>
      <c r="K79" s="88"/>
      <c r="L79" s="88"/>
      <c r="M79" s="88"/>
      <c r="N79" s="88"/>
      <c r="O79" s="88"/>
      <c r="P79" s="1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</row>
    <row r="80" spans="8:69" ht="16.5">
      <c r="I80" s="88"/>
      <c r="J80" s="88"/>
      <c r="K80" s="88"/>
      <c r="L80" s="88"/>
      <c r="M80" s="88"/>
      <c r="N80" s="88"/>
      <c r="O80" s="88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</row>
    <row r="81" spans="8:15" ht="16.5">
      <c r="H81" s="57"/>
      <c r="I81" s="88"/>
      <c r="J81" s="88"/>
      <c r="K81" s="88"/>
      <c r="L81" s="88"/>
      <c r="M81" s="88"/>
      <c r="N81" s="88"/>
      <c r="O81" s="88"/>
    </row>
    <row r="82" spans="8:15" ht="16.5">
      <c r="I82" s="88"/>
      <c r="J82" s="88"/>
      <c r="K82" s="88"/>
      <c r="L82" s="88"/>
      <c r="M82" s="88"/>
      <c r="N82" s="88"/>
      <c r="O82" s="88"/>
    </row>
    <row r="83" spans="8:15" ht="16.5">
      <c r="I83" s="88"/>
      <c r="J83" s="88"/>
      <c r="K83" s="88"/>
      <c r="L83" s="88"/>
      <c r="M83" s="88"/>
      <c r="N83" s="88"/>
      <c r="O83" s="88"/>
    </row>
    <row r="84" spans="8:15" ht="16.5">
      <c r="I84" s="88"/>
      <c r="J84" s="88"/>
      <c r="K84" s="88"/>
      <c r="L84" s="88"/>
      <c r="M84" s="88"/>
      <c r="N84" s="88"/>
      <c r="O84" s="88"/>
    </row>
    <row r="85" spans="8:15" ht="16.5">
      <c r="I85" s="88"/>
      <c r="J85" s="88"/>
      <c r="K85" s="88"/>
      <c r="L85" s="88"/>
      <c r="M85" s="88"/>
      <c r="N85" s="88"/>
      <c r="O85" s="88"/>
    </row>
    <row r="86" spans="8:15" ht="39" thickBot="1">
      <c r="I86" s="91" t="s">
        <v>132</v>
      </c>
      <c r="J86" s="92" t="s">
        <v>73</v>
      </c>
      <c r="K86" s="91" t="s">
        <v>74</v>
      </c>
      <c r="L86" s="240" t="s">
        <v>133</v>
      </c>
      <c r="M86" s="92"/>
      <c r="N86" s="92"/>
      <c r="O86" s="92"/>
    </row>
    <row r="87" spans="8:15">
      <c r="I87" s="93">
        <v>1</v>
      </c>
      <c r="J87" s="94" t="s">
        <v>236</v>
      </c>
      <c r="K87" s="95" t="s">
        <v>82</v>
      </c>
      <c r="L87" s="597">
        <f>IF(L92&lt;1,0.8168,IF(L92&gt;100,0.114,(L88-L89)/(L90-L91)*(L92-L91)+L89))</f>
        <v>0.81679999999999997</v>
      </c>
      <c r="M87" s="408"/>
      <c r="N87" s="96"/>
      <c r="O87" s="96"/>
    </row>
    <row r="88" spans="8:15">
      <c r="I88" s="3">
        <v>2</v>
      </c>
      <c r="J88" s="120" t="s">
        <v>237</v>
      </c>
      <c r="K88" s="5" t="s">
        <v>84</v>
      </c>
      <c r="L88" s="598">
        <f>IF(L92&lt;1,0.816,LOOKUP(L90,'Dinh muc'!$C$88:$I$89))+0.00000000000001</f>
        <v>0.81600000000000994</v>
      </c>
      <c r="M88" s="84"/>
      <c r="N88" s="84"/>
      <c r="O88" s="84"/>
    </row>
    <row r="89" spans="8:15">
      <c r="I89" s="3">
        <v>3</v>
      </c>
      <c r="J89" s="4" t="s">
        <v>238</v>
      </c>
      <c r="K89" s="5" t="s">
        <v>86</v>
      </c>
      <c r="L89" s="598">
        <f>LOOKUP(L91,'Dinh muc'!$C$88:$I$89)+0.0000000000001</f>
        <v>0.81600000000009998</v>
      </c>
      <c r="M89" s="84"/>
      <c r="N89" s="84"/>
      <c r="O89" s="84"/>
    </row>
    <row r="90" spans="8:15">
      <c r="I90" s="3">
        <v>4</v>
      </c>
      <c r="J90" s="4" t="s">
        <v>225</v>
      </c>
      <c r="K90" s="5" t="s">
        <v>88</v>
      </c>
      <c r="L90" s="599">
        <f>IF((L92&lt;1),1,(SMALL('Dinh muc'!$C$88:$I$88,COUNTIF('Dinh muc'!$C$88:$I$88,"&lt;="&amp;$L$92))))+0.00000000001</f>
        <v>1.00000000001</v>
      </c>
      <c r="M90" s="82"/>
      <c r="N90" s="466"/>
      <c r="O90" s="466"/>
    </row>
    <row r="91" spans="8:15">
      <c r="I91" s="3">
        <v>5</v>
      </c>
      <c r="J91" s="4" t="s">
        <v>226</v>
      </c>
      <c r="K91" s="5" t="s">
        <v>90</v>
      </c>
      <c r="L91" s="599">
        <f>IF(L92&gt;100,100,(LARGE('Dinh muc'!$C$88:$I$88,COUNTIF('Dinh muc'!$C$88:$I$88,"&gt;="&amp;$L$92))))+0.0000000000000001</f>
        <v>1</v>
      </c>
      <c r="M91" s="82"/>
      <c r="N91" s="466"/>
      <c r="O91" s="466"/>
    </row>
    <row r="92" spans="8:15">
      <c r="I92" s="6">
        <v>6</v>
      </c>
      <c r="J92" s="7" t="s">
        <v>227</v>
      </c>
      <c r="K92" s="8" t="s">
        <v>92</v>
      </c>
      <c r="L92" s="600">
        <f>C40/1000000000</f>
        <v>0.41249999999999998</v>
      </c>
      <c r="M92" s="274"/>
      <c r="N92" s="86"/>
      <c r="O92" s="86"/>
    </row>
    <row r="93" spans="8:15" ht="15">
      <c r="I93" s="1"/>
      <c r="J93" s="2"/>
      <c r="K93" s="1"/>
      <c r="L93" s="1"/>
      <c r="M93" s="1"/>
      <c r="N93" s="1"/>
      <c r="O93" s="1"/>
    </row>
    <row r="94" spans="8:15" ht="15">
      <c r="I94" s="1"/>
      <c r="J94" s="56"/>
      <c r="K94" s="1"/>
      <c r="L94" s="1"/>
      <c r="M94" s="1"/>
      <c r="N94" s="1"/>
      <c r="O94" s="1"/>
    </row>
    <row r="95" spans="8:15" ht="15">
      <c r="I95" s="1"/>
      <c r="J95" s="1"/>
      <c r="K95" s="1"/>
      <c r="L95" s="1"/>
      <c r="M95" s="1"/>
      <c r="N95" s="1"/>
      <c r="O95" s="1"/>
    </row>
    <row r="96" spans="8:15" ht="15">
      <c r="I96" s="1"/>
      <c r="J96" s="1"/>
      <c r="K96" s="1"/>
      <c r="L96" s="1"/>
      <c r="M96" s="1"/>
      <c r="N96" s="1"/>
      <c r="O96" s="1"/>
    </row>
    <row r="97" spans="9:69" ht="15">
      <c r="I97" s="1"/>
      <c r="J97" s="1"/>
      <c r="K97" s="1"/>
      <c r="L97" s="1"/>
      <c r="M97" s="1"/>
      <c r="N97" s="1"/>
      <c r="O97" s="1"/>
    </row>
    <row r="98" spans="9:69" ht="15">
      <c r="I98" s="1"/>
      <c r="J98" s="1"/>
      <c r="K98" s="1"/>
      <c r="L98" s="1"/>
      <c r="M98" s="1"/>
      <c r="N98" s="1"/>
      <c r="O98" s="1"/>
    </row>
    <row r="99" spans="9:69" ht="15">
      <c r="I99" s="1"/>
      <c r="J99" s="1"/>
      <c r="K99" s="1"/>
      <c r="L99" s="1"/>
      <c r="M99" s="1"/>
      <c r="N99" s="1"/>
      <c r="O99" s="1"/>
    </row>
    <row r="100" spans="9:69" ht="15">
      <c r="I100" s="1"/>
      <c r="J100" s="1"/>
      <c r="K100" s="1"/>
      <c r="L100" s="1"/>
      <c r="M100" s="1"/>
      <c r="N100" s="1"/>
      <c r="O100" s="1"/>
    </row>
    <row r="101" spans="9:69" ht="15">
      <c r="I101" s="1"/>
      <c r="J101" s="1"/>
      <c r="K101" s="1"/>
      <c r="L101" s="1"/>
      <c r="M101" s="1"/>
      <c r="N101" s="1"/>
      <c r="O101" s="1"/>
    </row>
    <row r="102" spans="9:69" ht="15">
      <c r="I102" s="1"/>
      <c r="J102" s="1"/>
      <c r="K102" s="1"/>
      <c r="L102" s="1"/>
      <c r="M102" s="1"/>
      <c r="N102" s="1"/>
      <c r="O102" s="1"/>
    </row>
    <row r="103" spans="9:69" ht="15">
      <c r="I103" s="1"/>
      <c r="J103" s="1"/>
      <c r="K103" s="1"/>
      <c r="L103" s="1"/>
      <c r="M103" s="1"/>
      <c r="N103" s="1"/>
      <c r="O103" s="1"/>
    </row>
    <row r="104" spans="9:69" ht="15">
      <c r="I104" s="1"/>
      <c r="J104" s="1"/>
      <c r="K104" s="1"/>
      <c r="L104" s="1"/>
      <c r="M104" s="1"/>
      <c r="N104" s="1"/>
      <c r="O104" s="1"/>
    </row>
    <row r="105" spans="9:69" ht="15">
      <c r="I105" s="1"/>
      <c r="J105" s="1"/>
      <c r="K105" s="1"/>
      <c r="L105" s="1"/>
      <c r="M105" s="1">
        <f>66197</f>
        <v>66197</v>
      </c>
      <c r="N105" s="1">
        <v>0.15</v>
      </c>
      <c r="O105" s="1">
        <f>N105*M105</f>
        <v>9929.5499999999993</v>
      </c>
    </row>
    <row r="106" spans="9:69" ht="15">
      <c r="I106" s="1"/>
      <c r="J106" s="55"/>
      <c r="K106" s="1"/>
      <c r="L106" s="1"/>
      <c r="M106" s="1"/>
      <c r="N106" s="1"/>
      <c r="O106" s="1"/>
    </row>
    <row r="107" spans="9:69" ht="15">
      <c r="I107" s="1"/>
      <c r="J107" s="1"/>
      <c r="K107" s="1"/>
      <c r="L107" s="1"/>
      <c r="M107" s="1"/>
      <c r="N107" s="1"/>
      <c r="O107" s="1"/>
    </row>
    <row r="108" spans="9:69" ht="15">
      <c r="I108" s="1"/>
      <c r="J108" s="1"/>
      <c r="K108" s="1"/>
      <c r="L108" s="1"/>
      <c r="M108" s="1"/>
      <c r="N108" s="1"/>
      <c r="O108" s="1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</row>
    <row r="109" spans="9:69" ht="15">
      <c r="I109" s="1"/>
      <c r="J109" s="1"/>
      <c r="K109" s="1"/>
      <c r="L109" s="1"/>
      <c r="M109" s="1"/>
      <c r="N109" s="1"/>
      <c r="O109" s="1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</row>
    <row r="110" spans="9:69" ht="15">
      <c r="I110" s="1"/>
      <c r="J110" s="1"/>
      <c r="K110" s="1"/>
      <c r="L110" s="1"/>
      <c r="M110" s="1"/>
      <c r="N110" s="1"/>
      <c r="O110" s="1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</row>
    <row r="111" spans="9:69" ht="15">
      <c r="I111" s="1"/>
      <c r="J111" s="1"/>
      <c r="K111" s="1"/>
      <c r="L111" s="1"/>
      <c r="M111" s="1"/>
      <c r="N111" s="1"/>
      <c r="O111" s="1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</row>
    <row r="112" spans="9:69" ht="15">
      <c r="I112" s="1"/>
      <c r="J112" s="1"/>
      <c r="K112" s="1"/>
      <c r="L112" s="1"/>
      <c r="M112" s="1"/>
      <c r="N112" s="1"/>
      <c r="O112" s="1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</row>
    <row r="113" spans="9:69" ht="15.75">
      <c r="I113" s="106"/>
      <c r="J113" s="106"/>
      <c r="K113" s="106"/>
      <c r="L113" s="106"/>
      <c r="M113" s="106"/>
      <c r="N113" s="106"/>
      <c r="O113" s="106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</row>
    <row r="114" spans="9:69" ht="15"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</row>
    <row r="115" spans="9:69" ht="18">
      <c r="P115" s="10" t="str">
        <f>"Đọc giá trị số thành chữ"</f>
        <v>Đọc giá trị số thành chữ</v>
      </c>
      <c r="Q115" s="37"/>
      <c r="R115" s="37"/>
      <c r="S115" s="11"/>
      <c r="T115" s="37"/>
      <c r="U115" s="37"/>
      <c r="V115" s="37"/>
      <c r="W115" s="37"/>
      <c r="X115" s="37"/>
      <c r="Y115" s="38"/>
    </row>
    <row r="116" spans="9:69" ht="18.75">
      <c r="P116" s="12" t="s">
        <v>146</v>
      </c>
      <c r="Q116" s="37"/>
      <c r="R116" s="37"/>
      <c r="S116" s="13" t="str">
        <f>"© VVC, modify by Tuan dt"</f>
        <v>© VVC, modify by Tuan dt</v>
      </c>
      <c r="T116" s="37"/>
      <c r="U116" s="37"/>
      <c r="V116" s="37"/>
      <c r="W116" s="37"/>
      <c r="X116" s="37"/>
      <c r="Y116" s="38"/>
    </row>
    <row r="117" spans="9:69" ht="18.75">
      <c r="P117" s="14"/>
      <c r="Q117" s="37"/>
      <c r="R117" s="37"/>
      <c r="S117" s="11" t="s">
        <v>146</v>
      </c>
      <c r="T117" s="37"/>
      <c r="U117" s="37"/>
      <c r="V117" s="37"/>
      <c r="W117" s="37" t="s">
        <v>146</v>
      </c>
      <c r="X117" s="37"/>
      <c r="Y117" s="38"/>
    </row>
    <row r="118" spans="9:69" ht="18">
      <c r="P118" s="37">
        <v>1</v>
      </c>
      <c r="Q118" s="37">
        <v>6</v>
      </c>
      <c r="R118" s="37"/>
      <c r="S118" s="11"/>
      <c r="T118" s="37"/>
      <c r="U118" s="37"/>
      <c r="V118" s="37"/>
      <c r="W118" s="37"/>
      <c r="X118" s="37"/>
      <c r="Y118" s="38"/>
    </row>
    <row r="119" spans="9:69" ht="18.75" thickBot="1">
      <c r="J119" s="55"/>
      <c r="P119" s="37"/>
      <c r="Q119" s="37"/>
      <c r="R119" s="37"/>
      <c r="S119" s="37"/>
      <c r="T119" s="37"/>
      <c r="U119" s="37"/>
      <c r="V119" s="37"/>
      <c r="W119" s="37"/>
      <c r="X119" s="37"/>
      <c r="Y119" s="38"/>
    </row>
    <row r="120" spans="9:69" ht="19.5" thickBot="1">
      <c r="P120" s="15" t="str">
        <f>"Giá trị số cần đổi:"</f>
        <v>Giá trị số cần đổi:</v>
      </c>
      <c r="Q120" s="39">
        <f>G45</f>
        <v>639822000</v>
      </c>
      <c r="R120" s="379" t="str">
        <f>IF(ROUND(VALUE(10*(100*Q120-INT(100*Q120))),0)&gt;0,"Chỉ có 2 chữ số sau dấu phẩy","")</f>
        <v/>
      </c>
      <c r="S120" s="37"/>
      <c r="T120" s="37"/>
      <c r="U120" s="37"/>
      <c r="V120" s="37"/>
      <c r="W120" s="37"/>
      <c r="X120" s="37"/>
      <c r="Y120" s="38"/>
    </row>
    <row r="121" spans="9:69" ht="18.75">
      <c r="P121" s="40" t="s">
        <v>146</v>
      </c>
      <c r="Q121" s="16" t="str">
        <f ca="1">IF(Q120&gt;=1000000000000,"Công thức này chỉ có thể đếm thành chữ dưới 1000 tỷ",IF(ABS(Q120)&lt;1,"không",IF(Q120&lt;0,"âm ","")&amp;IF(Q123=0,"",R123)&amp;IF(AND(Q124=0,Q125=0),"",S124)&amp;IF(Q126=0,"",R126)&amp;IF(AND(Q127=0,Q128=0),"",S127)&amp;IF(Q129=0,"",R129)&amp;IF(AND(Q130=0,Q131=0),"",S130)&amp;IF(Q132=0,"",R132)&amp;IF(AND(Q133=0,Q134=0),"",IF(AND(Q133=0,Q134=1),"một",S133)))&amp;CELL("contents",V124))&amp;IF(T141=0,"",IF(P121=1,T140,S136))</f>
        <v>sáu trăm ba mươi chín triệu, tám trăm  hai mươi  hai nghìn  đồng chẵn</v>
      </c>
      <c r="R121" s="41"/>
      <c r="S121" s="41"/>
      <c r="T121" s="41"/>
      <c r="U121" s="41"/>
      <c r="V121" s="41"/>
      <c r="W121" s="41"/>
      <c r="X121" s="41"/>
      <c r="Y121" s="38"/>
    </row>
    <row r="122" spans="9:69" ht="18.75">
      <c r="P122" s="17" t="str">
        <f>"đếm từng chữ một"</f>
        <v>đếm từng chữ một</v>
      </c>
      <c r="Q122" s="18" t="str">
        <f>IF(Q120&lt;0,"minus   ","")&amp;SUBSTITUTE(SUBSTITUTE(SUBSTITUTE(SUBSTITUTE(Q138,8,"tám   "),9,"chín   "),",","phẩy   "),"-","")</f>
        <v xml:space="preserve">sáu   ba   chín   tám   hai   hai   không   không   không   </v>
      </c>
      <c r="R122" s="42"/>
      <c r="S122" s="37"/>
      <c r="T122" s="37"/>
      <c r="U122" s="37"/>
      <c r="V122" s="37" t="s">
        <v>147</v>
      </c>
      <c r="W122" s="37"/>
      <c r="X122" s="37"/>
      <c r="Y122" s="38"/>
    </row>
    <row r="123" spans="9:69" ht="18.75">
      <c r="P123" s="17" t="str">
        <f>"hàng trăm tỷ"</f>
        <v>hàng trăm tỷ</v>
      </c>
      <c r="Q123" s="19">
        <f>VALUE(RIGHT(INT(ABS(Q120)/100000000000)))</f>
        <v>0</v>
      </c>
      <c r="R123" s="20" t="str">
        <f>IF(Q123=1,"một",IF(Q123=2,"hai",IF(Q123=3,"ba",IF(Q123=4,"bốn",IF(Q123=5,"năm",IF(Q123=6,"sáu",IF(Q123=7,"bẩy",IF(Q123=8,"tám","chín"))))))))&amp;" trăm "&amp;IF(AND(Q124=0,Q125=0),"tỷ","")</f>
        <v>chín trăm tỷ</v>
      </c>
      <c r="S123" s="31"/>
      <c r="T123" s="43"/>
      <c r="U123" s="37"/>
      <c r="V123" s="37">
        <v>1</v>
      </c>
      <c r="W123" s="37">
        <v>2</v>
      </c>
      <c r="X123" s="37">
        <v>3</v>
      </c>
      <c r="Y123" s="38"/>
    </row>
    <row r="124" spans="9:69" ht="18.75">
      <c r="P124" s="17" t="str">
        <f>"hàng chục tỷ"</f>
        <v>hàng chục tỷ</v>
      </c>
      <c r="Q124" s="19">
        <f>VALUE(RIGHT(INT(ABS(Q120)/10000000000)))</f>
        <v>0</v>
      </c>
      <c r="R124" s="20" t="str">
        <f>IF(Q124=1,"mười",IF(Q124=2," hai mươi",IF(Q124=3,"ba mươi",IF(Q124=4,"bốn mươi",IF(Q124=5,"năm mươi",IF(Q124=6,"sáu mươi",IF(Q124=7,"bẩy mươi",IF(Q124=8,"tám mươi","chín mươi"))))))))</f>
        <v>chín mươi</v>
      </c>
      <c r="S124" s="21" t="str">
        <f>IF(AND(Q124=0,Q125=1),"một tỷ ",IF(AND(Q124=1,Q125=1),"mười một",IF(AND(Q124=1,Q125=2),"mười hai",IF(AND(Q124=1,Q125=6),"mười sáu",IF(AND(Q124=1,Q125=7),"mười bẩy",IF(Q125=0,R124,IF(Q124=0,R125,R124&amp;IF(Q124&gt;1," ","")&amp;R125))))))&amp;" tỷ, ")</f>
        <v xml:space="preserve">chín mươi tỷ, </v>
      </c>
      <c r="T124" s="44"/>
      <c r="U124" s="37"/>
      <c r="V124" s="22" t="str">
        <f>INDEX(V125:X141,P118,2)</f>
        <v xml:space="preserve"> đồng chẵn</v>
      </c>
      <c r="W124" s="22" t="str">
        <f>INDEX(V125:X141,P118,3)</f>
        <v xml:space="preserve"> xu</v>
      </c>
      <c r="X124" s="37"/>
      <c r="Y124" s="38"/>
    </row>
    <row r="125" spans="9:69" ht="18.75">
      <c r="P125" s="17" t="str">
        <f>"hàng tỷ"</f>
        <v>hàng tỷ</v>
      </c>
      <c r="Q125" s="23">
        <f>VALUE(RIGHT(INT(ABS(Q120)/1000000000)))</f>
        <v>0</v>
      </c>
      <c r="R125" s="20" t="str">
        <f>IF(Q125=1,"một",IF(Q125=2,"hai",IF(Q125=3,"ba",IF(Q125=4,"bốn",IF(Q125=5,"năm",IF(Q125=6,"sáu",IF(Q125=7,"bẩy",IF(Q125=8,"tám","chín"))))))))</f>
        <v>chín</v>
      </c>
      <c r="S125" s="45"/>
      <c r="T125" s="46"/>
      <c r="U125" s="37"/>
      <c r="V125" s="20" t="s">
        <v>149</v>
      </c>
      <c r="W125" s="20" t="s">
        <v>150</v>
      </c>
      <c r="X125" s="20" t="s">
        <v>151</v>
      </c>
      <c r="Y125" s="38"/>
    </row>
    <row r="126" spans="9:69" ht="18.75">
      <c r="P126" s="17" t="str">
        <f>"hàng trăm triệu"</f>
        <v>hàng trăm triệu</v>
      </c>
      <c r="Q126" s="24">
        <f>VALUE(RIGHT(INT(ABS(Q120)/100000000)))</f>
        <v>6</v>
      </c>
      <c r="R126" s="25" t="str">
        <f>IF(Q126=1,"một",IF(Q126=2,"hai",IF(Q126=3,"ba",IF(Q126=4,"bốn",IF(Q126=5,"năm",IF(Q126=6,"sáu",IF(Q126=7,"bẩy",IF(Q126=8,"tám","chín"))))))))&amp;" trăm "&amp;IF(AND(Q127=0,Q128=0),"triệu","")</f>
        <v xml:space="preserve">sáu trăm </v>
      </c>
      <c r="S126" s="47"/>
      <c r="T126" s="48"/>
      <c r="U126" s="37"/>
      <c r="V126" s="20" t="s">
        <v>153</v>
      </c>
      <c r="W126" s="20" t="s">
        <v>154</v>
      </c>
      <c r="X126" s="20" t="s">
        <v>155</v>
      </c>
      <c r="Y126" s="38"/>
    </row>
    <row r="127" spans="9:69" ht="18.75">
      <c r="P127" s="17" t="str">
        <f>"hàng chục triệu"</f>
        <v>hàng chục triệu</v>
      </c>
      <c r="Q127" s="24">
        <f>VALUE(RIGHT(INT(ABS(Q120)/10000000)))</f>
        <v>3</v>
      </c>
      <c r="R127" s="25" t="str">
        <f>IF(Q127=1,"mười ",IF(Q127=2,"hai mươi",IF(Q127=3,"ba mươi",IF(Q127=4,"bốn mươi",IF(Q127=5,"năm mươi",IF(Q127=6,"sáu mươi",IF(Q127=7,"bẩy mươi",IF(Q127=8,"tám mươi","chín mươi"))))))))</f>
        <v>ba mươi</v>
      </c>
      <c r="S127" s="26" t="str">
        <f>IF(AND(Q127=0,Q128=1),"một triệu",IF(AND(Q127=1,Q128=1),"mười một",IF(AND(Q127=1,Q128=2),"mười hai",IF(AND(Q127=1,Q128=6),"mười sáu",IF(AND(Q127=1,Q128=7),"mười bẩy",IF(Q128=0,R127,IF(Q127=0,"linh "&amp;R128,R127&amp;IF(Q127&gt;1," ","")&amp;R128))))))&amp;" triệu,")</f>
        <v>ba mươi chín triệu,</v>
      </c>
      <c r="T127" s="49"/>
      <c r="U127" s="37"/>
      <c r="V127" s="20" t="s">
        <v>157</v>
      </c>
      <c r="W127" s="20" t="s">
        <v>158</v>
      </c>
      <c r="X127" s="20" t="s">
        <v>159</v>
      </c>
      <c r="Y127" s="38"/>
    </row>
    <row r="128" spans="9:69" ht="18.75">
      <c r="P128" s="17" t="str">
        <f>"hàng triệu"</f>
        <v>hàng triệu</v>
      </c>
      <c r="Q128" s="24">
        <f>VALUE(RIGHT(INT(ABS(Q120)/1000000)))</f>
        <v>9</v>
      </c>
      <c r="R128" s="25" t="str">
        <f>IF(Q128=1,"một",IF(Q128=2,"hai",IF(Q128=3,"ba",IF(Q128=4,"bốn",IF(Q128=5,"năm",IF(Q128=6,"sáu",IF(Q128=7,"bẩy",IF(Q128=8,"tám","chín"))))))))</f>
        <v>chín</v>
      </c>
      <c r="S128" s="26"/>
      <c r="T128" s="49"/>
      <c r="U128" s="37"/>
      <c r="V128" s="20" t="s">
        <v>161</v>
      </c>
      <c r="W128" s="20" t="s">
        <v>162</v>
      </c>
      <c r="X128" s="20" t="s">
        <v>163</v>
      </c>
      <c r="Y128" s="38"/>
    </row>
    <row r="129" spans="9:69" ht="18.75">
      <c r="P129" s="17" t="str">
        <f>"hàng trăm nghìn"</f>
        <v>hàng trăm nghìn</v>
      </c>
      <c r="Q129" s="27">
        <f>VALUE(RIGHT(INT(ABS(Q120)/100000)))</f>
        <v>8</v>
      </c>
      <c r="R129" s="20" t="str">
        <f>IF(Q129=1," một",IF(Q129=2," hai",IF(Q129=3," ba",IF(Q129=4," bốn",IF(Q129=5," năm",IF(Q129=6," sáu",IF(Q129=7," bẩy",IF(Q129=8," tám"," chín"))))))))&amp;" trăm "&amp;IF(AND(Q130=0,Q131=0)," nghìn","")</f>
        <v xml:space="preserve"> tám trăm </v>
      </c>
      <c r="S129" s="31"/>
      <c r="T129" s="43"/>
      <c r="U129" s="37"/>
      <c r="V129" s="20" t="s">
        <v>165</v>
      </c>
      <c r="W129" s="20" t="s">
        <v>166</v>
      </c>
      <c r="X129" s="20" t="s">
        <v>167</v>
      </c>
      <c r="Y129" s="38"/>
    </row>
    <row r="130" spans="9:69" ht="18.75">
      <c r="P130" s="17" t="str">
        <f>"hàng chục nghìn"</f>
        <v>hàng chục nghìn</v>
      </c>
      <c r="Q130" s="27">
        <f>VALUE(RIGHT(INT(ABS(Q120)/10000)))</f>
        <v>2</v>
      </c>
      <c r="R130" s="20" t="str">
        <f>IF(Q130=1,"mười ",IF(Q130=2," hai mươi ",IF(Q130=3," ba mươi ",IF(Q130=4," bốn mươi ",IF(Q130=5," năm mươi ",IF(Q130=6," sáu mươi ",IF(Q130=7," bẩy mươi ",IF(Q130=8," tám mươi "," chín mươi "))))))))</f>
        <v xml:space="preserve"> hai mươi </v>
      </c>
      <c r="S130" s="21" t="str">
        <f>IF(AND(Q130=1,Q131=1)," mười một",IF(AND(Q130=1,Q131=2)," mười hai",IF(AND(Q130=1,Q131=6)," mười sáu",IF(AND(Q130=1,Q131=7)," mười bẩy",IF(Q131=0,R130,IF(Q130=0,"linh"&amp;R131,R130&amp;IF(Q130&gt;1,"","")&amp;R131))))))&amp;" nghìn "</f>
        <v xml:space="preserve"> hai mươi  hai nghìn </v>
      </c>
      <c r="T130" s="44"/>
      <c r="U130" s="37"/>
      <c r="V130" s="20" t="s">
        <v>169</v>
      </c>
      <c r="W130" s="20" t="s">
        <v>170</v>
      </c>
      <c r="X130" s="20" t="s">
        <v>171</v>
      </c>
      <c r="Y130" s="38"/>
    </row>
    <row r="131" spans="9:69" ht="18.75">
      <c r="P131" s="17" t="str">
        <f>"hàng nghìn"</f>
        <v>hàng nghìn</v>
      </c>
      <c r="Q131" s="27">
        <f>VALUE(RIGHT(INT(ABS(Q120)/1000)))</f>
        <v>2</v>
      </c>
      <c r="R131" s="20" t="str">
        <f>IF(Q131=1," một",IF(Q131=2," hai",IF(Q131=3," ba",IF(Q131=4," bốn",IF(Q131=5," năm",IF(Q131=6," sáu",IF(Q131=7," bẩy",IF(Q131=8," tám"," chín"))))))))</f>
        <v xml:space="preserve"> hai</v>
      </c>
      <c r="S131" s="21"/>
      <c r="T131" s="44"/>
      <c r="U131" s="37"/>
      <c r="V131" s="20" t="s">
        <v>173</v>
      </c>
      <c r="W131" s="20" t="s">
        <v>174</v>
      </c>
      <c r="X131" s="20" t="s">
        <v>175</v>
      </c>
      <c r="Y131" s="38"/>
    </row>
    <row r="132" spans="9:69" ht="18.75">
      <c r="P132" s="17" t="str">
        <f>"hàng trăm"</f>
        <v>hàng trăm</v>
      </c>
      <c r="Q132" s="28">
        <f>VALUE(RIGHT(INT(ABS(Q120)/100)))</f>
        <v>0</v>
      </c>
      <c r="R132" s="29" t="str">
        <f>IF(Q132=1,"một",IF(Q132=2,"hai",IF(Q132=3,"ba",IF(Q132=4,"bốn",IF(Q132=5,"năm",IF(Q132=6,"sáu",IF(Q132=7,"bẩy",IF(Q132=8,"tám","chín"))))))))&amp;" trăm "</f>
        <v xml:space="preserve">chín trăm </v>
      </c>
      <c r="S132" s="50"/>
      <c r="T132" s="51"/>
      <c r="U132" s="37"/>
      <c r="V132" s="20" t="s">
        <v>177</v>
      </c>
      <c r="W132" s="20" t="s">
        <v>178</v>
      </c>
      <c r="X132" s="20" t="s">
        <v>155</v>
      </c>
      <c r="Y132" s="38"/>
    </row>
    <row r="133" spans="9:69" ht="18.75">
      <c r="P133" s="17" t="str">
        <f>"hàng chục"</f>
        <v>hàng chục</v>
      </c>
      <c r="Q133" s="28">
        <f>VALUE(RIGHT(INT(ABS(Q120)/10)))</f>
        <v>0</v>
      </c>
      <c r="R133" s="29" t="str">
        <f>IF(Q133=1,",mười ",IF(Q133=2,"hai mươi ",IF(Q133=3,"ba mươi ",IF(Q133=4,"bốn mươi ",IF(Q133=5,"năm mươi ",IF(Q133=6,"sáu mươi ",IF(Q133=7,"bẩy mươi ",IF(Q133=8,"tám mươi ","chín mươi "))))))))</f>
        <v xml:space="preserve">chín mươi </v>
      </c>
      <c r="S133" s="30" t="str">
        <f>IF(AND(Q133=1,Q134=1),"mười một",IF(AND(Q133=1,Q134=2),"mười hai",IF(AND(Q133=1,Q134=6),"mười sáu",IF(AND(Q133=1,Q134=7),"mười bẩy",IF(Q134=0,R133,IF(Q133=0,R134,IF(Q133&gt;1,"","")&amp;R133&amp;R134))))))</f>
        <v xml:space="preserve">chín mươi </v>
      </c>
      <c r="T133" s="52"/>
      <c r="U133" s="37"/>
      <c r="V133" s="20" t="s">
        <v>180</v>
      </c>
      <c r="W133" s="20" t="s">
        <v>181</v>
      </c>
      <c r="X133" s="20" t="s">
        <v>182</v>
      </c>
      <c r="Y133" s="38"/>
    </row>
    <row r="134" spans="9:69" ht="18.75">
      <c r="P134" s="17" t="str">
        <f>"hàng đơn vị"</f>
        <v>hàng đơn vị</v>
      </c>
      <c r="Q134" s="28">
        <f>VALUE(RIGHT(INT(ABS(Q120))))</f>
        <v>0</v>
      </c>
      <c r="R134" s="29" t="str">
        <f>IF(Q134=1,"một",IF(Q134=2,"hai",IF(Q134=3,"ba",IF(Q134=4,"bốn",IF(Q134=5,"năm",IF(Q134=6,"sáu",IF(Q134=7,"bẩy",IF(Q134=8,"tám","chín"))))))))</f>
        <v>chín</v>
      </c>
      <c r="S134" s="53"/>
      <c r="T134" s="54"/>
      <c r="U134" s="37"/>
      <c r="V134" s="20" t="s">
        <v>184</v>
      </c>
      <c r="W134" s="20" t="s">
        <v>185</v>
      </c>
      <c r="X134" s="20" t="s">
        <v>186</v>
      </c>
      <c r="Y134" s="38"/>
    </row>
    <row r="135" spans="9:69" ht="18.75">
      <c r="P135" s="17"/>
      <c r="Q135" s="12" t="str">
        <f>"Giá trị sau dấu phẩy"</f>
        <v>Giá trị sau dấu phẩy</v>
      </c>
      <c r="R135" s="37"/>
      <c r="S135" s="37"/>
      <c r="T135" s="37"/>
      <c r="U135" s="37"/>
      <c r="V135" s="20" t="s">
        <v>187</v>
      </c>
      <c r="W135" s="20" t="s">
        <v>188</v>
      </c>
      <c r="X135" s="20" t="s">
        <v>155</v>
      </c>
      <c r="Y135" s="38"/>
    </row>
    <row r="136" spans="9:69" ht="18.75">
      <c r="P136" s="17" t="str">
        <f>"hàng chục"</f>
        <v>hàng chục</v>
      </c>
      <c r="Q136" s="27">
        <f>VALUE(RIGHT(INT(ABS(T141)/10)))</f>
        <v>0</v>
      </c>
      <c r="R136" s="20" t="str">
        <f>IF(Q136=1,"mười",IF(Q136=2,"hai mươi",IF(Q136=3,"ba mươi",IF(Q136=4,"bốn mươi",IF(Q136=5,"năm mươi",IF(Q136=6,"sáu mươi",IF(Q136=7,"bẩy mươi",IF(Q136=8,"tám mươi","chín mươi"))))))))</f>
        <v>chín mươi</v>
      </c>
      <c r="S136" s="31" t="str">
        <f ca="1">" và "&amp;IF(T141&lt;10,"không ","")&amp;IF(T141=1,"một",IF(AND(Q136=1,Q137=1),"mười một",IF(AND(Q136=1,Q137=2),"mười hai",IF(AND(Q136=1,Q137=6),"mười sáu",IF(AND(Q136=1,Q137=7),"mười bẩy",IF(Q137=0,R136,IF(Q136=0,R137,R136&amp;IF(Q136&gt;1," ","")&amp;R137&amp;""))))))&amp;CELL("contents",W124))</f>
        <v xml:space="preserve"> và không chín mươi xu</v>
      </c>
      <c r="T136" s="43"/>
      <c r="U136" s="37"/>
      <c r="V136" s="20" t="s">
        <v>189</v>
      </c>
      <c r="W136" s="20" t="s">
        <v>190</v>
      </c>
      <c r="X136" s="20" t="s">
        <v>155</v>
      </c>
      <c r="Y136" s="38"/>
    </row>
    <row r="137" spans="9:69" ht="18.75">
      <c r="P137" s="17" t="str">
        <f>"hàng đơn vị"</f>
        <v>hàng đơn vị</v>
      </c>
      <c r="Q137" s="27">
        <f>VALUE(RIGHT(INT(ABS(T141))))</f>
        <v>0</v>
      </c>
      <c r="R137" s="20" t="str">
        <f>IF(Q137=1,"một",IF(Q137=2,"hai",IF(Q137=3,"ba",IF(Q137=4,"bốn",IF(Q137=5,"năm",IF(Q137=6,"sáu",IF(Q137=7,"bẩy",IF(Q137=8,"tám","chín"))))))))</f>
        <v>chín</v>
      </c>
      <c r="S137" s="45"/>
      <c r="T137" s="46"/>
      <c r="U137" s="37"/>
      <c r="V137" s="20"/>
      <c r="W137" s="20"/>
      <c r="X137" s="20"/>
      <c r="Y137" s="38"/>
    </row>
    <row r="138" spans="9:69" ht="18">
      <c r="P138" s="37"/>
      <c r="Q138" s="32" t="str">
        <f>SUBSTITUTE(SUBSTITUTE(SUBSTITUTE(SUBSTITUTE(SUBSTITUTE(SUBSTITUTE(SUBSTITUTE(SUBSTITUTE(Q120,0,"không   "),1,"một   "),2,"hai   "),3,"ba   "),4,"bốn   "),5,"năm   "),6,"sáu   "),7,"bẩy   ")</f>
        <v xml:space="preserve">sáu   ba   98hai   hai   không   không   không   </v>
      </c>
      <c r="R138" s="37"/>
      <c r="S138" s="37"/>
      <c r="T138" s="37"/>
      <c r="U138" s="37"/>
      <c r="V138" s="20"/>
      <c r="W138" s="20"/>
      <c r="X138" s="20"/>
      <c r="Y138" s="38"/>
    </row>
    <row r="139" spans="9:69" ht="18">
      <c r="P139" s="37"/>
      <c r="Q139" s="37"/>
      <c r="R139" s="37"/>
      <c r="S139" s="37"/>
      <c r="T139" s="37"/>
      <c r="U139" s="37"/>
      <c r="V139" s="20"/>
      <c r="W139" s="20"/>
      <c r="X139" s="20"/>
      <c r="Y139" s="38"/>
    </row>
    <row r="140" spans="9:69" ht="18">
      <c r="P140" s="37"/>
      <c r="Q140" s="33">
        <f>ABS(100*(MOD(Q120,1)-(Q120&lt;0)))</f>
        <v>0</v>
      </c>
      <c r="R140" s="37"/>
      <c r="S140" s="37"/>
      <c r="T140" s="34" t="str">
        <f>TEXT(T141,"   00")&amp;"/100"</f>
        <v xml:space="preserve">   00/100</v>
      </c>
      <c r="U140" s="37"/>
      <c r="V140" s="20"/>
      <c r="W140" s="20"/>
      <c r="X140" s="20"/>
      <c r="Y140" s="38"/>
    </row>
    <row r="141" spans="9:69" ht="18">
      <c r="I141" s="80"/>
      <c r="J141" s="80"/>
      <c r="K141" s="80"/>
      <c r="L141" s="80"/>
      <c r="M141" s="80"/>
      <c r="N141" s="80"/>
      <c r="O141" s="80"/>
      <c r="P141" s="37"/>
      <c r="Q141" s="35">
        <f>ROUND(100*(ABS(Q120)-INT(ABS(Q120))),0)</f>
        <v>0</v>
      </c>
      <c r="R141" s="37"/>
      <c r="S141" s="37"/>
      <c r="T141" s="36">
        <f>IF(P121=0,0,ROUND(100*(ABS(Q120)-INT(ABS(Q120))),0))</f>
        <v>0</v>
      </c>
      <c r="U141" s="37"/>
      <c r="V141" s="20"/>
      <c r="W141" s="20"/>
      <c r="X141" s="20"/>
      <c r="Y141" s="38"/>
    </row>
    <row r="142" spans="9:69" ht="15"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</row>
    <row r="143" spans="9:69" ht="15"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</row>
    <row r="144" spans="9:69" ht="15">
      <c r="I144" s="80"/>
      <c r="J144" s="80"/>
      <c r="K144" s="80"/>
      <c r="L144" s="80"/>
      <c r="M144" s="80"/>
      <c r="N144" s="80"/>
      <c r="O144" s="80"/>
    </row>
    <row r="145" spans="9:15" ht="15">
      <c r="I145" s="80"/>
      <c r="J145" s="80"/>
      <c r="K145" s="80"/>
      <c r="L145" s="80"/>
      <c r="M145" s="80"/>
      <c r="N145" s="80"/>
      <c r="O145" s="80"/>
    </row>
    <row r="146" spans="9:15" ht="15">
      <c r="I146" s="80"/>
      <c r="J146" s="80"/>
      <c r="K146" s="80"/>
      <c r="L146" s="80"/>
      <c r="M146" s="80"/>
      <c r="N146" s="80"/>
      <c r="O146" s="80"/>
    </row>
    <row r="147" spans="9:15" ht="15">
      <c r="I147" s="80"/>
      <c r="J147" s="80"/>
      <c r="K147" s="80"/>
      <c r="L147" s="80"/>
      <c r="M147" s="80"/>
      <c r="N147" s="80"/>
      <c r="O147" s="80"/>
    </row>
    <row r="175" spans="9:15" ht="15">
      <c r="I175" s="80"/>
      <c r="J175" s="80"/>
      <c r="K175" s="80"/>
      <c r="L175" s="80"/>
      <c r="M175" s="80"/>
      <c r="N175" s="80"/>
      <c r="O175" s="80"/>
    </row>
    <row r="176" spans="9:15" ht="15">
      <c r="I176" s="80"/>
      <c r="J176" s="80"/>
      <c r="K176" s="80"/>
      <c r="L176" s="80"/>
      <c r="M176" s="80"/>
      <c r="N176" s="80"/>
      <c r="O176" s="80"/>
    </row>
  </sheetData>
  <mergeCells count="20">
    <mergeCell ref="A2:G2"/>
    <mergeCell ref="A3:G3"/>
    <mergeCell ref="A4:B4"/>
    <mergeCell ref="A8:G8"/>
    <mergeCell ref="A9:G9"/>
    <mergeCell ref="E48:G48"/>
    <mergeCell ref="E49:G49"/>
    <mergeCell ref="E50:G50"/>
    <mergeCell ref="E57:G57"/>
    <mergeCell ref="A10:G10"/>
    <mergeCell ref="A12:G12"/>
    <mergeCell ref="A14:G14"/>
    <mergeCell ref="C15:C16"/>
    <mergeCell ref="E15:F16"/>
    <mergeCell ref="A17:A18"/>
    <mergeCell ref="B17:B18"/>
    <mergeCell ref="C17:C18"/>
    <mergeCell ref="G17:G18"/>
    <mergeCell ref="F17:F18"/>
    <mergeCell ref="A11:G11"/>
  </mergeCells>
  <pageMargins left="0.8" right="0" top="0.15" bottom="0.15" header="0.5" footer="0.5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BQ148"/>
  <sheetViews>
    <sheetView topLeftCell="A46" workbookViewId="0">
      <selection activeCell="E41" sqref="E41:G41"/>
    </sheetView>
  </sheetViews>
  <sheetFormatPr defaultColWidth="8.85546875" defaultRowHeight="12.75"/>
  <cols>
    <col min="1" max="1" width="4.42578125" customWidth="1"/>
    <col min="2" max="2" width="31.85546875" customWidth="1"/>
    <col min="3" max="3" width="14" customWidth="1"/>
    <col min="4" max="4" width="11.7109375" customWidth="1"/>
    <col min="5" max="5" width="14.42578125" customWidth="1"/>
    <col min="6" max="6" width="14.85546875" customWidth="1"/>
    <col min="7" max="7" width="16" customWidth="1"/>
    <col min="9" max="9" width="5.28515625" customWidth="1"/>
    <col min="10" max="10" width="38.28515625" customWidth="1"/>
    <col min="12" max="12" width="14.28515625" customWidth="1"/>
    <col min="13" max="13" width="10.28515625" customWidth="1"/>
    <col min="14" max="14" width="10" customWidth="1"/>
    <col min="15" max="15" width="11.42578125" customWidth="1"/>
  </cols>
  <sheetData>
    <row r="1" spans="1:69" s="133" customFormat="1" ht="17.25" customHeight="1" thickBot="1">
      <c r="B1" s="191"/>
      <c r="C1" s="190"/>
      <c r="D1" s="190"/>
      <c r="E1" s="190"/>
      <c r="F1" s="190"/>
      <c r="G1" s="190"/>
    </row>
    <row r="2" spans="1:69" ht="20.25" thickTop="1" thickBot="1">
      <c r="A2" s="704" t="s">
        <v>281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34.5" customHeight="1" thickTop="1">
      <c r="A3" s="715" t="s">
        <v>282</v>
      </c>
      <c r="B3" s="715"/>
      <c r="C3" s="715"/>
      <c r="D3" s="715"/>
      <c r="E3" s="715"/>
      <c r="F3" s="715"/>
      <c r="G3" s="71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6.5">
      <c r="A4" s="706" t="s">
        <v>283</v>
      </c>
      <c r="B4" s="706"/>
      <c r="C4" s="113">
        <v>9</v>
      </c>
      <c r="D4" s="61" t="s">
        <v>284</v>
      </c>
      <c r="E4" s="114"/>
      <c r="F4" s="115"/>
      <c r="G4" s="111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8.95" customHeight="1">
      <c r="A5" s="193" t="s">
        <v>58</v>
      </c>
      <c r="B5" s="194"/>
      <c r="C5" s="194"/>
      <c r="D5" s="195"/>
      <c r="E5" s="195"/>
      <c r="F5" s="195"/>
      <c r="G5" s="195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5" customHeight="1">
      <c r="A6" s="263" t="s">
        <v>285</v>
      </c>
      <c r="B6" s="198"/>
      <c r="C6" s="199"/>
      <c r="D6" s="199"/>
      <c r="E6" s="199"/>
      <c r="F6" s="199"/>
      <c r="G6" s="199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6.5">
      <c r="A7" s="688" t="s">
        <v>61</v>
      </c>
      <c r="B7" s="688"/>
      <c r="C7" s="688"/>
      <c r="D7" s="688"/>
      <c r="E7" s="688"/>
      <c r="F7" s="688"/>
      <c r="G7" s="688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s="111" customFormat="1" ht="18.75" customHeight="1">
      <c r="A8" s="693" t="s">
        <v>286</v>
      </c>
      <c r="B8" s="693"/>
      <c r="C8" s="693"/>
      <c r="D8" s="693"/>
      <c r="E8" s="693"/>
      <c r="F8" s="693"/>
      <c r="G8" s="693"/>
      <c r="I8" s="281"/>
      <c r="J8" s="282"/>
      <c r="K8" s="283"/>
      <c r="L8" s="285"/>
      <c r="M8" s="285"/>
      <c r="N8" s="285"/>
      <c r="O8" s="285"/>
    </row>
    <row r="9" spans="1:69" ht="30" customHeight="1">
      <c r="A9" s="695" t="s">
        <v>287</v>
      </c>
      <c r="B9" s="695"/>
      <c r="C9" s="695"/>
      <c r="D9" s="695"/>
      <c r="E9" s="695"/>
      <c r="F9" s="695"/>
      <c r="G9" s="695"/>
      <c r="H9" s="1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30" customHeight="1">
      <c r="A10" s="707" t="s">
        <v>64</v>
      </c>
      <c r="B10" s="707"/>
      <c r="C10" s="707"/>
      <c r="D10" s="707"/>
      <c r="E10" s="707"/>
      <c r="F10" s="707"/>
      <c r="G10" s="707"/>
      <c r="H10" s="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16.5">
      <c r="A11" s="688" t="s">
        <v>65</v>
      </c>
      <c r="B11" s="688"/>
      <c r="C11" s="688"/>
      <c r="D11" s="688"/>
      <c r="E11" s="688"/>
      <c r="F11" s="688"/>
      <c r="G11" s="688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15" customHeight="1">
      <c r="A12" s="716" t="s">
        <v>283</v>
      </c>
      <c r="B12" s="716"/>
      <c r="C12" s="227">
        <f>C4</f>
        <v>9</v>
      </c>
      <c r="D12" s="422" t="s">
        <v>284</v>
      </c>
      <c r="E12" s="201"/>
      <c r="F12" s="202"/>
      <c r="G12" s="203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48" customHeight="1">
      <c r="A13" s="689" t="s">
        <v>288</v>
      </c>
      <c r="B13" s="690"/>
      <c r="C13" s="690"/>
      <c r="D13" s="690"/>
      <c r="E13" s="690"/>
      <c r="F13" s="690"/>
      <c r="G13" s="690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9.5" customHeight="1">
      <c r="A14" s="204"/>
      <c r="B14" s="205" t="s">
        <v>68</v>
      </c>
      <c r="C14" s="691" t="s">
        <v>69</v>
      </c>
      <c r="D14" s="206" t="s">
        <v>70</v>
      </c>
      <c r="E14" s="692" t="s">
        <v>71</v>
      </c>
      <c r="F14" s="692"/>
      <c r="G14" s="203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17.25" thickBot="1">
      <c r="A15" s="204"/>
      <c r="B15" s="200"/>
      <c r="C15" s="691"/>
      <c r="D15" s="210" t="s">
        <v>72</v>
      </c>
      <c r="E15" s="692"/>
      <c r="F15" s="692"/>
      <c r="G15" s="203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5" customHeight="1">
      <c r="A16" s="698" t="s">
        <v>26</v>
      </c>
      <c r="B16" s="696" t="s">
        <v>73</v>
      </c>
      <c r="C16" s="696" t="s">
        <v>74</v>
      </c>
      <c r="D16" s="314" t="s">
        <v>289</v>
      </c>
      <c r="E16" s="717"/>
      <c r="F16" s="718"/>
      <c r="G16" s="719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27.75" customHeight="1" thickBot="1">
      <c r="A17" s="699"/>
      <c r="B17" s="697"/>
      <c r="C17" s="697"/>
      <c r="D17" s="317" t="s">
        <v>290</v>
      </c>
      <c r="E17" s="315"/>
      <c r="F17" s="315"/>
      <c r="G17" s="316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15" customHeight="1">
      <c r="A18" s="396">
        <v>1</v>
      </c>
      <c r="B18" s="320" t="s">
        <v>81</v>
      </c>
      <c r="C18" s="321" t="s">
        <v>82</v>
      </c>
      <c r="D18" s="618">
        <f>IF(D23&lt;6,160.4,IF(D23&gt;30,90.24,((D19-D20)/(D21-D22)*(D23-D22)+D20)))</f>
        <v>141.25000002031251</v>
      </c>
      <c r="E18" s="397"/>
      <c r="F18" s="397"/>
      <c r="G18" s="398"/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15" customHeight="1">
      <c r="A19" s="302">
        <v>2</v>
      </c>
      <c r="B19" s="303" t="s">
        <v>240</v>
      </c>
      <c r="C19" s="304" t="s">
        <v>84</v>
      </c>
      <c r="D19" s="619">
        <f>LOOKUP(D21,'Dinh muc'!$C$99:$H$100)</f>
        <v>160</v>
      </c>
      <c r="E19" s="394"/>
      <c r="F19" s="394"/>
      <c r="G19" s="395"/>
      <c r="H19" s="1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302">
        <v>3</v>
      </c>
      <c r="B20" s="303" t="s">
        <v>85</v>
      </c>
      <c r="C20" s="304" t="s">
        <v>86</v>
      </c>
      <c r="D20" s="619">
        <f>LOOKUP(D22,'Dinh muc'!$C$99:$H$100)</f>
        <v>135</v>
      </c>
      <c r="E20" s="394"/>
      <c r="F20" s="394"/>
      <c r="G20" s="395"/>
      <c r="H20" s="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02">
        <v>4</v>
      </c>
      <c r="B21" s="303" t="s">
        <v>87</v>
      </c>
      <c r="C21" s="304" t="s">
        <v>88</v>
      </c>
      <c r="D21" s="620">
        <f>IF(D23&lt;6,6,SMALL('Dinh muc'!$C$99:$H$99,COUNTIF('Dinh muc'!$C$99:$H$99,"&lt;="&amp;$D$23)))+0.00000001</f>
        <v>6.0000000099999999</v>
      </c>
      <c r="E21" s="399"/>
      <c r="F21" s="399"/>
      <c r="G21" s="400"/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5</v>
      </c>
      <c r="B22" s="303" t="s">
        <v>89</v>
      </c>
      <c r="C22" s="304" t="s">
        <v>90</v>
      </c>
      <c r="D22" s="620">
        <f>IF(D23&gt;30,30,LARGE('Dinh muc'!$C$99:$H$99,COUNTIF('Dinh muc'!$C$99:$H$99,"&gt;="&amp;$D$23)))+0.000000001</f>
        <v>10.000000001</v>
      </c>
      <c r="E22" s="399"/>
      <c r="F22" s="399"/>
      <c r="G22" s="400"/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 thickBot="1">
      <c r="A23" s="305">
        <v>6</v>
      </c>
      <c r="B23" s="306" t="s">
        <v>91</v>
      </c>
      <c r="C23" s="307" t="s">
        <v>92</v>
      </c>
      <c r="D23" s="621">
        <f>C4</f>
        <v>9</v>
      </c>
      <c r="E23" s="401"/>
      <c r="F23" s="401"/>
      <c r="G23" s="402"/>
      <c r="H23" s="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 thickBot="1">
      <c r="A24" s="204"/>
      <c r="B24" s="207" t="s">
        <v>291</v>
      </c>
      <c r="C24" s="226">
        <f>D18*1000000</f>
        <v>141250000.02031252</v>
      </c>
      <c r="D24" s="271" t="str">
        <f>"đồng/đvị x "&amp;C12&amp;" đvị ="</f>
        <v>đồng/đvị x 9 đvị =</v>
      </c>
      <c r="E24" s="208"/>
      <c r="F24" s="209">
        <f>C24*D23</f>
        <v>1271250000.1828127</v>
      </c>
      <c r="G24" s="242" t="s">
        <v>94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48" customHeight="1">
      <c r="A25" s="170" t="s">
        <v>26</v>
      </c>
      <c r="B25" s="171" t="s">
        <v>96</v>
      </c>
      <c r="C25" s="171" t="s">
        <v>97</v>
      </c>
      <c r="D25" s="171" t="s">
        <v>98</v>
      </c>
      <c r="E25" s="171" t="s">
        <v>99</v>
      </c>
      <c r="F25" s="171" t="s">
        <v>100</v>
      </c>
      <c r="G25" s="172" t="s">
        <v>101</v>
      </c>
      <c r="I25" s="88"/>
      <c r="J25" s="88"/>
      <c r="K25" s="88"/>
      <c r="L25" s="88"/>
      <c r="M25" s="88"/>
      <c r="N25" s="88"/>
      <c r="O25" s="88"/>
    </row>
    <row r="26" spans="1:69" ht="17.25" thickBot="1">
      <c r="A26" s="244">
        <v>1</v>
      </c>
      <c r="B26" s="245">
        <v>2</v>
      </c>
      <c r="C26" s="245">
        <v>3</v>
      </c>
      <c r="D26" s="245">
        <v>4</v>
      </c>
      <c r="E26" s="245" t="s">
        <v>102</v>
      </c>
      <c r="F26" s="245" t="s">
        <v>103</v>
      </c>
      <c r="G26" s="246" t="s">
        <v>104</v>
      </c>
      <c r="I26" s="88"/>
      <c r="J26" s="88"/>
      <c r="K26" s="88"/>
      <c r="L26" s="88"/>
      <c r="M26" s="88"/>
      <c r="N26" s="88"/>
      <c r="O26" s="88"/>
    </row>
    <row r="27" spans="1:69" ht="16.5">
      <c r="A27" s="251">
        <v>1</v>
      </c>
      <c r="B27" s="252" t="s">
        <v>292</v>
      </c>
      <c r="C27" s="425">
        <f>F24</f>
        <v>1271250000.1828127</v>
      </c>
      <c r="D27" s="479">
        <v>1</v>
      </c>
      <c r="E27" s="426">
        <f>D27*C27</f>
        <v>1271250000.1828127</v>
      </c>
      <c r="F27" s="426">
        <f>E27*10%</f>
        <v>127125000.01828128</v>
      </c>
      <c r="G27" s="427">
        <f>SUM(E27:F27)</f>
        <v>1398375000.2010939</v>
      </c>
      <c r="I27" s="88"/>
      <c r="J27" s="381">
        <f>G27-485000000</f>
        <v>913375000.20109391</v>
      </c>
      <c r="K27" s="88"/>
      <c r="L27" s="88"/>
      <c r="M27" s="88"/>
      <c r="N27" s="88"/>
      <c r="O27" s="88"/>
    </row>
    <row r="28" spans="1:69" ht="16.5">
      <c r="A28" s="222">
        <v>2</v>
      </c>
      <c r="B28" s="224" t="s">
        <v>293</v>
      </c>
      <c r="C28" s="350">
        <f>E27</f>
        <v>1271250000.1828127</v>
      </c>
      <c r="D28" s="377">
        <v>0.05</v>
      </c>
      <c r="E28" s="374"/>
      <c r="F28" s="375"/>
      <c r="G28" s="179">
        <f>D28*C28</f>
        <v>63562500.00914064</v>
      </c>
      <c r="H28" s="58"/>
      <c r="I28" s="88"/>
      <c r="J28" s="88"/>
      <c r="K28" s="88"/>
      <c r="L28" s="88"/>
      <c r="M28" s="88"/>
      <c r="N28" s="88"/>
      <c r="O28" s="88"/>
    </row>
    <row r="29" spans="1:69" ht="28.5">
      <c r="A29" s="187">
        <v>3</v>
      </c>
      <c r="B29" s="76" t="s">
        <v>294</v>
      </c>
      <c r="C29" s="319">
        <f>C28</f>
        <v>1271250000.1828127</v>
      </c>
      <c r="D29" s="165">
        <v>0.02</v>
      </c>
      <c r="E29" s="78">
        <f>D29*C29</f>
        <v>25425000.003656253</v>
      </c>
      <c r="F29" s="79">
        <f>E29*10%</f>
        <v>2542500.0003656256</v>
      </c>
      <c r="G29" s="179">
        <f>SUM(E29:F29)</f>
        <v>27967500.004021879</v>
      </c>
      <c r="H29" s="59"/>
      <c r="I29" s="88"/>
      <c r="J29" s="88"/>
      <c r="K29" s="88"/>
      <c r="L29" s="88"/>
      <c r="M29" s="88"/>
      <c r="N29" s="88"/>
      <c r="O29" s="88"/>
      <c r="P29" s="1"/>
    </row>
    <row r="30" spans="1:69" s="111" customFormat="1" ht="28.5">
      <c r="A30" s="187">
        <v>4</v>
      </c>
      <c r="B30" s="224" t="s">
        <v>295</v>
      </c>
      <c r="C30" s="79"/>
      <c r="D30" s="310"/>
      <c r="E30" s="79"/>
      <c r="F30" s="79"/>
      <c r="G30" s="179">
        <f>SUM(G31:G34)</f>
        <v>13837919.004895836</v>
      </c>
      <c r="H30" s="100"/>
      <c r="I30" s="122"/>
      <c r="J30" s="128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</row>
    <row r="31" spans="1:69" s="111" customFormat="1" ht="30">
      <c r="A31" s="415" t="s">
        <v>296</v>
      </c>
      <c r="B31" s="416" t="s">
        <v>119</v>
      </c>
      <c r="C31" s="79">
        <f>G27</f>
        <v>1398375000.2010939</v>
      </c>
      <c r="D31" s="77">
        <f>L59/100*45%</f>
        <v>3.4631519061489001E-3</v>
      </c>
      <c r="E31" s="79">
        <f>D31*C31</f>
        <v>4842785.0474573867</v>
      </c>
      <c r="F31" s="79">
        <f>E31*10%</f>
        <v>484278.5047457387</v>
      </c>
      <c r="G31" s="179">
        <f>SUM(E31:F31)</f>
        <v>5327063.5522031253</v>
      </c>
      <c r="H31" s="100"/>
      <c r="I31" s="122"/>
      <c r="J31" s="128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</row>
    <row r="32" spans="1:69" s="111" customFormat="1" ht="30">
      <c r="A32" s="415" t="s">
        <v>297</v>
      </c>
      <c r="B32" s="416" t="s">
        <v>121</v>
      </c>
      <c r="C32" s="79">
        <f>C31</f>
        <v>1398375000.2010939</v>
      </c>
      <c r="D32" s="77">
        <f>L59/100*55%</f>
        <v>4.2327412186264337E-3</v>
      </c>
      <c r="E32" s="79">
        <f t="shared" ref="E32" si="0">D32*C32</f>
        <v>5918959.5024479181</v>
      </c>
      <c r="F32" s="79">
        <f t="shared" ref="F32" si="1">E32*10%</f>
        <v>591895.95024479181</v>
      </c>
      <c r="G32" s="179">
        <f t="shared" ref="G32" si="2">SUM(E32:F32)</f>
        <v>6510855.4526927099</v>
      </c>
      <c r="H32" s="100"/>
      <c r="I32" s="122"/>
      <c r="J32" s="128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</row>
    <row r="33" spans="1:69" s="111" customFormat="1" ht="30">
      <c r="A33" s="415" t="s">
        <v>298</v>
      </c>
      <c r="B33" s="416" t="s">
        <v>123</v>
      </c>
      <c r="C33" s="79">
        <f>C32</f>
        <v>1398375000.2010939</v>
      </c>
      <c r="D33" s="77">
        <v>5.0000000000000001E-4</v>
      </c>
      <c r="E33" s="79">
        <f>D33*C33</f>
        <v>699187.50010054698</v>
      </c>
      <c r="F33" s="79">
        <f>E33*10%</f>
        <v>69918.750010054704</v>
      </c>
      <c r="G33" s="179">
        <f>IF(SUM(E33:F33)&lt;1000000, 1000000,SUM(E33:F33))</f>
        <v>1000000</v>
      </c>
      <c r="H33" s="100"/>
      <c r="I33" s="122"/>
      <c r="J33" s="128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</row>
    <row r="34" spans="1:69" s="111" customFormat="1" ht="45">
      <c r="A34" s="415" t="s">
        <v>299</v>
      </c>
      <c r="B34" s="416" t="s">
        <v>125</v>
      </c>
      <c r="C34" s="79">
        <f>C33</f>
        <v>1398375000.2010939</v>
      </c>
      <c r="D34" s="77">
        <v>5.0000000000000001E-4</v>
      </c>
      <c r="E34" s="79">
        <f>D34*C34</f>
        <v>699187.50010054698</v>
      </c>
      <c r="F34" s="79">
        <f>E34*10%</f>
        <v>69918.750010054704</v>
      </c>
      <c r="G34" s="179">
        <f>IF(SUM(E34:F34)&lt;1000000, 1000000,SUM(E34:F34))</f>
        <v>1000000</v>
      </c>
      <c r="H34" s="100"/>
      <c r="I34" s="122"/>
      <c r="J34" s="12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</row>
    <row r="35" spans="1:69" ht="16.5">
      <c r="A35" s="244"/>
      <c r="B35" s="417"/>
      <c r="C35" s="350"/>
      <c r="D35" s="377"/>
      <c r="E35" s="419"/>
      <c r="F35" s="273"/>
      <c r="G35" s="420"/>
      <c r="H35" s="59"/>
      <c r="I35" s="88"/>
      <c r="J35" s="88"/>
      <c r="K35" s="88"/>
      <c r="L35" s="88"/>
      <c r="M35" s="88"/>
      <c r="N35" s="88"/>
      <c r="O35" s="88"/>
      <c r="P35" s="1"/>
    </row>
    <row r="36" spans="1:69" ht="17.25" thickBot="1">
      <c r="A36" s="269"/>
      <c r="B36" s="266" t="s">
        <v>300</v>
      </c>
      <c r="C36" s="267"/>
      <c r="D36" s="267"/>
      <c r="E36" s="267"/>
      <c r="F36" s="267"/>
      <c r="G36" s="268">
        <f>SUM(G27:G30)</f>
        <v>1503742919.2191525</v>
      </c>
      <c r="H36" s="62"/>
      <c r="I36" s="88"/>
      <c r="J36" s="88"/>
      <c r="K36" s="88"/>
      <c r="L36" s="88"/>
      <c r="M36" s="88"/>
      <c r="N36" s="88"/>
      <c r="O36" s="88"/>
      <c r="P36" s="1"/>
    </row>
    <row r="37" spans="1:69" ht="17.25" thickBot="1">
      <c r="A37" s="270"/>
      <c r="B37" s="248" t="s">
        <v>301</v>
      </c>
      <c r="C37" s="248"/>
      <c r="D37" s="248"/>
      <c r="E37" s="248"/>
      <c r="F37" s="264"/>
      <c r="G37" s="265">
        <f>ROUNDDOWN(G36,-3)</f>
        <v>1503742000</v>
      </c>
      <c r="H37" s="60"/>
      <c r="I37" s="88"/>
      <c r="J37" s="88"/>
      <c r="K37" s="88"/>
      <c r="L37" s="88"/>
      <c r="M37" s="88"/>
      <c r="N37" s="88"/>
      <c r="O37" s="88"/>
      <c r="P37" s="1"/>
    </row>
    <row r="38" spans="1:69" ht="16.5">
      <c r="A38" s="228" t="str">
        <f ca="1">CONCATENATE("Bằng chữ :  ",UPPER(LEFT(Q93))&amp;RIGHT(Q93,LEN(Q93)-1))</f>
        <v>Bằng chữ :  Một tỷ năm trăm linh ba triệu, bẩy trăm  bốn mươi  hai nghìn  đồng chẵn</v>
      </c>
      <c r="B38" s="229"/>
      <c r="C38" s="229"/>
      <c r="D38" s="229"/>
      <c r="E38" s="229"/>
      <c r="F38" s="229"/>
      <c r="G38" s="229"/>
      <c r="I38" s="88"/>
      <c r="J38" s="88"/>
      <c r="K38" s="88"/>
      <c r="L38" s="88"/>
      <c r="M38" s="88"/>
      <c r="N38" s="88"/>
      <c r="O38" s="88"/>
      <c r="P38" s="1"/>
    </row>
    <row r="39" spans="1:69" ht="12.75" customHeight="1">
      <c r="H39" s="98"/>
      <c r="I39" s="88"/>
      <c r="J39" s="88"/>
      <c r="K39" s="88"/>
      <c r="L39" s="88"/>
      <c r="M39" s="88"/>
      <c r="N39" s="88"/>
      <c r="O39" s="8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6.5">
      <c r="E40" s="694" t="s">
        <v>128</v>
      </c>
      <c r="F40" s="694"/>
      <c r="G40" s="694"/>
      <c r="H40" s="98"/>
      <c r="I40" s="88"/>
      <c r="J40" s="88"/>
      <c r="K40" s="88"/>
      <c r="L40" s="88"/>
      <c r="M40" s="88"/>
      <c r="N40" s="88"/>
      <c r="O40" s="8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3.5" customHeight="1">
      <c r="E41" s="714" t="s">
        <v>280</v>
      </c>
      <c r="F41" s="714"/>
      <c r="G41" s="714"/>
      <c r="H41" s="99"/>
      <c r="I41" s="88"/>
      <c r="J41" s="88"/>
      <c r="K41" s="88"/>
      <c r="L41" s="88"/>
      <c r="M41" s="88"/>
      <c r="N41" s="88"/>
      <c r="O41" s="8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16.5">
      <c r="B42" s="339"/>
      <c r="E42" s="686" t="s">
        <v>130</v>
      </c>
      <c r="F42" s="686"/>
      <c r="G42" s="686"/>
      <c r="H42" s="100"/>
      <c r="I42" s="88"/>
      <c r="J42" s="88"/>
      <c r="K42" s="88"/>
      <c r="L42" s="88"/>
      <c r="M42" s="88"/>
      <c r="N42" s="88"/>
      <c r="O42" s="8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6.5">
      <c r="E43" s="133"/>
      <c r="F43" s="133"/>
      <c r="G43" s="133"/>
      <c r="H43" s="100"/>
      <c r="I43" s="88"/>
      <c r="J43" s="88"/>
      <c r="K43" s="88"/>
      <c r="L43" s="88"/>
      <c r="M43" s="88"/>
      <c r="N43" s="88"/>
      <c r="O43" s="8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6.5">
      <c r="E44" s="133"/>
      <c r="F44" s="133"/>
      <c r="G44" s="133"/>
      <c r="H44" s="100"/>
      <c r="I44" s="88"/>
      <c r="J44" s="88"/>
      <c r="K44" s="88"/>
      <c r="L44" s="88"/>
      <c r="M44" s="88"/>
      <c r="N44" s="88"/>
      <c r="O44" s="8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6.5">
      <c r="E45" s="133"/>
      <c r="F45" s="133"/>
      <c r="G45" s="133"/>
      <c r="H45" s="101"/>
      <c r="I45" s="88"/>
      <c r="J45" s="88"/>
      <c r="K45" s="88"/>
      <c r="L45" s="88"/>
      <c r="M45" s="88"/>
      <c r="N45" s="88"/>
      <c r="O45" s="8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6.5">
      <c r="E46" s="133"/>
      <c r="F46" s="133"/>
      <c r="G46" s="133"/>
      <c r="H46" s="100"/>
      <c r="I46" s="88"/>
      <c r="J46" s="88"/>
      <c r="K46" s="88"/>
      <c r="L46" s="88"/>
      <c r="M46" s="88"/>
      <c r="N46" s="88"/>
      <c r="O46" s="8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6.5">
      <c r="E47" s="133"/>
      <c r="F47" s="133"/>
      <c r="G47" s="133"/>
      <c r="H47" s="100"/>
      <c r="I47" s="88"/>
      <c r="J47" s="88"/>
      <c r="K47" s="88"/>
      <c r="L47" s="88"/>
      <c r="M47" s="88"/>
      <c r="N47" s="88"/>
      <c r="O47" s="8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6.5">
      <c r="E48" s="133"/>
      <c r="F48" s="133"/>
      <c r="G48" s="133"/>
      <c r="H48" s="100"/>
      <c r="I48" s="88"/>
      <c r="J48" s="88"/>
      <c r="K48" s="88"/>
      <c r="L48" s="88"/>
      <c r="M48" s="88"/>
      <c r="N48" s="88"/>
      <c r="O48" s="8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69" ht="16.5">
      <c r="B49" s="339"/>
      <c r="E49" s="686" t="s">
        <v>131</v>
      </c>
      <c r="F49" s="686"/>
      <c r="G49" s="686"/>
      <c r="H49" s="102"/>
      <c r="I49" s="88"/>
      <c r="J49" s="88"/>
      <c r="K49" s="88"/>
      <c r="L49" s="88"/>
      <c r="M49" s="88"/>
      <c r="N49" s="88"/>
      <c r="O49" s="88"/>
      <c r="P49" s="1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</row>
    <row r="50" spans="2:69" ht="16.5">
      <c r="B50" s="339"/>
      <c r="H50" s="104"/>
      <c r="I50" s="88"/>
      <c r="J50" s="88"/>
      <c r="K50" s="88"/>
      <c r="L50" s="88"/>
      <c r="M50" s="88"/>
      <c r="N50" s="88"/>
      <c r="O50" s="88"/>
      <c r="P50" s="1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</row>
    <row r="51" spans="2:69" ht="16.5">
      <c r="H51" s="105"/>
      <c r="I51" s="88"/>
      <c r="J51" s="88"/>
      <c r="K51" s="88"/>
      <c r="L51" s="88"/>
      <c r="M51" s="88"/>
      <c r="N51" s="88"/>
      <c r="O51" s="88"/>
      <c r="P51" s="1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</row>
    <row r="52" spans="2:69" ht="16.5">
      <c r="I52" s="88"/>
      <c r="J52" s="88"/>
      <c r="K52" s="88"/>
      <c r="L52" s="88"/>
      <c r="M52" s="88"/>
      <c r="N52" s="88"/>
      <c r="O52" s="88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</row>
    <row r="53" spans="2:69" ht="16.5">
      <c r="H53" s="57"/>
      <c r="I53" s="88"/>
      <c r="J53" s="88"/>
      <c r="K53" s="88"/>
      <c r="L53" s="88"/>
      <c r="M53" s="88"/>
      <c r="N53" s="88"/>
      <c r="O53" s="88"/>
    </row>
    <row r="54" spans="2:69" ht="16.5">
      <c r="I54" s="88"/>
      <c r="J54" s="88"/>
      <c r="K54" s="88"/>
      <c r="L54" s="88"/>
      <c r="M54" s="88"/>
      <c r="N54" s="88"/>
      <c r="O54" s="88"/>
    </row>
    <row r="55" spans="2:69" ht="16.5">
      <c r="I55" s="88"/>
      <c r="J55" s="88"/>
      <c r="K55" s="88"/>
      <c r="L55" s="88"/>
      <c r="M55" s="88"/>
      <c r="N55" s="88"/>
      <c r="O55" s="88"/>
    </row>
    <row r="56" spans="2:69" ht="16.5">
      <c r="I56" s="88"/>
      <c r="J56" s="88"/>
      <c r="K56" s="88"/>
      <c r="L56" s="88"/>
      <c r="M56" s="88"/>
      <c r="N56" s="88"/>
      <c r="O56" s="88"/>
    </row>
    <row r="57" spans="2:69" ht="16.5">
      <c r="I57" s="88"/>
      <c r="J57" s="88"/>
      <c r="K57" s="88"/>
      <c r="L57" s="88"/>
      <c r="M57" s="88"/>
      <c r="N57" s="88"/>
      <c r="O57" s="88"/>
    </row>
    <row r="58" spans="2:69" ht="25.5">
      <c r="I58" s="91" t="s">
        <v>132</v>
      </c>
      <c r="J58" s="92" t="s">
        <v>73</v>
      </c>
      <c r="K58" s="91" t="s">
        <v>74</v>
      </c>
      <c r="L58" s="240" t="s">
        <v>133</v>
      </c>
      <c r="M58" s="92"/>
      <c r="N58" s="92"/>
      <c r="O58" s="92"/>
    </row>
    <row r="59" spans="2:69">
      <c r="I59" s="93">
        <v>1</v>
      </c>
      <c r="J59" s="94" t="s">
        <v>81</v>
      </c>
      <c r="K59" s="95" t="s">
        <v>82</v>
      </c>
      <c r="L59" s="597">
        <f>IF(L64&lt;1,0.8168,IF(L64&gt;100,0.114,(L60-L61)/(L62-L63)*(L64-L63)+L61))</f>
        <v>0.76958931247753337</v>
      </c>
      <c r="M59" s="96"/>
      <c r="N59" s="96"/>
      <c r="O59" s="96"/>
    </row>
    <row r="60" spans="2:69">
      <c r="I60" s="3">
        <v>2</v>
      </c>
      <c r="J60" s="120" t="s">
        <v>302</v>
      </c>
      <c r="K60" s="5" t="s">
        <v>84</v>
      </c>
      <c r="L60" s="598">
        <f>IF(L64&lt;1,0.816,LOOKUP(L62,'Dinh muc'!$C$88:$I$89))+0.00000000000001</f>
        <v>0.81600000000000994</v>
      </c>
      <c r="M60" s="83"/>
      <c r="N60" s="84"/>
      <c r="O60" s="84"/>
    </row>
    <row r="61" spans="2:69">
      <c r="I61" s="3">
        <v>3</v>
      </c>
      <c r="J61" s="4" t="s">
        <v>303</v>
      </c>
      <c r="K61" s="5" t="s">
        <v>86</v>
      </c>
      <c r="L61" s="598">
        <f>LOOKUP(L63,'Dinh muc'!$C$88:$I$89)+0.0000000000001</f>
        <v>0.58300000000009999</v>
      </c>
      <c r="M61" s="83"/>
      <c r="N61" s="84"/>
      <c r="O61" s="84"/>
    </row>
    <row r="62" spans="2:69">
      <c r="I62" s="3">
        <v>4</v>
      </c>
      <c r="J62" s="4" t="s">
        <v>304</v>
      </c>
      <c r="K62" s="5" t="s">
        <v>88</v>
      </c>
      <c r="L62" s="599">
        <f>IF((L64&lt;1),1,(SMALL('Dinh muc'!$C$88:$I$88,COUNTIF('Dinh muc'!$C$88:$I$88,"&lt;="&amp;$L$64))))+0.00000000001</f>
        <v>1.00000000001</v>
      </c>
      <c r="M62" s="163"/>
      <c r="N62" s="163"/>
      <c r="O62" s="163"/>
    </row>
    <row r="63" spans="2:69">
      <c r="I63" s="3">
        <v>5</v>
      </c>
      <c r="J63" s="4" t="s">
        <v>305</v>
      </c>
      <c r="K63" s="5" t="s">
        <v>90</v>
      </c>
      <c r="L63" s="599">
        <f>IF(L64&gt;100,100,(LARGE('Dinh muc'!$C$88:$I$88,COUNTIF('Dinh muc'!$C$88:$I$88,"&gt;="&amp;$L$64))))+0.0000000000000001</f>
        <v>3</v>
      </c>
      <c r="M63" s="163"/>
      <c r="N63" s="163"/>
      <c r="O63" s="163"/>
    </row>
    <row r="64" spans="2:69">
      <c r="I64" s="6">
        <v>6</v>
      </c>
      <c r="J64" s="7" t="s">
        <v>306</v>
      </c>
      <c r="K64" s="8" t="s">
        <v>92</v>
      </c>
      <c r="L64" s="600">
        <f>C31/1000000000</f>
        <v>1.398375000201094</v>
      </c>
      <c r="M64" s="86"/>
      <c r="N64" s="86"/>
      <c r="O64" s="86"/>
    </row>
    <row r="65" spans="9:69" ht="15">
      <c r="I65" s="1"/>
      <c r="J65" s="2"/>
      <c r="K65" s="1"/>
      <c r="L65" s="1"/>
      <c r="M65" s="1"/>
      <c r="N65" s="1"/>
      <c r="O65" s="1"/>
    </row>
    <row r="66" spans="9:69" ht="15">
      <c r="I66" s="1"/>
      <c r="J66" s="56"/>
      <c r="K66" s="1"/>
      <c r="L66" s="1"/>
      <c r="M66" s="1"/>
      <c r="N66" s="1"/>
      <c r="O66" s="1"/>
    </row>
    <row r="67" spans="9:69" ht="15">
      <c r="I67" s="1"/>
      <c r="J67" s="1"/>
      <c r="K67" s="1"/>
      <c r="L67" s="1"/>
      <c r="M67" s="1"/>
      <c r="N67" s="1"/>
      <c r="O67" s="1"/>
    </row>
    <row r="68" spans="9:69" ht="15">
      <c r="I68" s="1"/>
      <c r="J68" s="1"/>
      <c r="K68" s="1"/>
      <c r="L68" s="1"/>
      <c r="M68" s="1"/>
      <c r="N68" s="1"/>
      <c r="O68" s="1"/>
    </row>
    <row r="69" spans="9:69" ht="15">
      <c r="I69" s="1"/>
      <c r="J69" s="1"/>
      <c r="K69" s="1"/>
      <c r="L69" s="1"/>
      <c r="M69" s="1"/>
      <c r="N69" s="1"/>
      <c r="O69" s="1"/>
    </row>
    <row r="70" spans="9:69" ht="15">
      <c r="I70" s="1"/>
      <c r="J70" s="1"/>
      <c r="K70" s="1"/>
      <c r="L70" s="1"/>
      <c r="M70" s="1"/>
      <c r="N70" s="1"/>
      <c r="O70" s="1"/>
    </row>
    <row r="71" spans="9:69" ht="15">
      <c r="I71" s="1"/>
      <c r="J71" s="1"/>
      <c r="K71" s="1"/>
      <c r="L71" s="1"/>
      <c r="M71" s="1"/>
      <c r="N71" s="1"/>
      <c r="O71" s="1"/>
    </row>
    <row r="72" spans="9:69" ht="15">
      <c r="I72" s="1"/>
      <c r="J72" s="1"/>
      <c r="K72" s="1"/>
      <c r="L72" s="1"/>
      <c r="M72" s="1"/>
      <c r="N72" s="1"/>
      <c r="O72" s="1"/>
    </row>
    <row r="73" spans="9:69" ht="15">
      <c r="I73" s="1"/>
      <c r="J73" s="1"/>
      <c r="K73" s="1"/>
      <c r="L73" s="1"/>
      <c r="M73" s="1"/>
      <c r="N73" s="1"/>
      <c r="O73" s="1"/>
    </row>
    <row r="74" spans="9:69" ht="15">
      <c r="I74" s="1"/>
      <c r="J74" s="1"/>
      <c r="K74" s="1"/>
      <c r="L74" s="1"/>
      <c r="M74" s="1"/>
      <c r="N74" s="1"/>
      <c r="O74" s="1"/>
    </row>
    <row r="75" spans="9:69" ht="15">
      <c r="I75" s="1"/>
      <c r="J75" s="1"/>
      <c r="K75" s="1"/>
      <c r="L75" s="1"/>
      <c r="M75" s="1"/>
      <c r="N75" s="1"/>
      <c r="O75" s="1"/>
    </row>
    <row r="76" spans="9:69" ht="15">
      <c r="I76" s="1"/>
      <c r="J76" s="1"/>
      <c r="K76" s="1"/>
      <c r="L76" s="1"/>
      <c r="M76" s="1"/>
      <c r="N76" s="1"/>
      <c r="O76" s="1"/>
    </row>
    <row r="77" spans="9:69" ht="15">
      <c r="I77" s="1"/>
      <c r="J77" s="1"/>
      <c r="K77" s="1"/>
      <c r="L77" s="1"/>
      <c r="M77" s="1">
        <f>66197</f>
        <v>66197</v>
      </c>
      <c r="N77" s="1">
        <v>0.15</v>
      </c>
      <c r="O77" s="1">
        <f>N77*M77</f>
        <v>9929.5499999999993</v>
      </c>
    </row>
    <row r="78" spans="9:69" ht="15">
      <c r="I78" s="1"/>
      <c r="J78" s="55"/>
      <c r="K78" s="1"/>
      <c r="L78" s="1"/>
      <c r="M78" s="1"/>
      <c r="N78" s="1"/>
      <c r="O78" s="1"/>
    </row>
    <row r="79" spans="9:69" ht="15">
      <c r="I79" s="1"/>
      <c r="J79" s="1"/>
      <c r="K79" s="1"/>
      <c r="L79" s="1"/>
      <c r="M79" s="1"/>
      <c r="N79" s="1"/>
      <c r="O79" s="1"/>
    </row>
    <row r="80" spans="9:69" ht="15">
      <c r="I80" s="1"/>
      <c r="J80" s="1"/>
      <c r="K80" s="1"/>
      <c r="L80" s="1"/>
      <c r="M80" s="1"/>
      <c r="N80" s="1"/>
      <c r="O80" s="1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</row>
    <row r="81" spans="9:69" ht="15">
      <c r="I81" s="1"/>
      <c r="J81" s="1"/>
      <c r="K81" s="1"/>
      <c r="L81" s="1"/>
      <c r="M81" s="1"/>
      <c r="N81" s="1"/>
      <c r="O81" s="1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</row>
    <row r="82" spans="9:69" ht="15">
      <c r="I82" s="1"/>
      <c r="J82" s="1"/>
      <c r="K82" s="1"/>
      <c r="L82" s="1"/>
      <c r="M82" s="1"/>
      <c r="N82" s="1"/>
      <c r="O82" s="1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</row>
    <row r="83" spans="9:69" ht="15">
      <c r="I83" s="1"/>
      <c r="J83" s="1"/>
      <c r="K83" s="1"/>
      <c r="L83" s="1"/>
      <c r="M83" s="1"/>
      <c r="N83" s="1"/>
      <c r="O83" s="1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</row>
    <row r="84" spans="9:69" ht="15">
      <c r="I84" s="1"/>
      <c r="J84" s="1"/>
      <c r="K84" s="1"/>
      <c r="L84" s="1"/>
      <c r="M84" s="1"/>
      <c r="N84" s="1"/>
      <c r="O84" s="1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</row>
    <row r="85" spans="9:69" ht="15.75">
      <c r="I85" s="106"/>
      <c r="J85" s="106"/>
      <c r="K85" s="106"/>
      <c r="L85" s="106"/>
      <c r="M85" s="106"/>
      <c r="N85" s="106"/>
      <c r="O85" s="106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</row>
    <row r="86" spans="9:69" ht="15"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</row>
    <row r="87" spans="9:69" ht="18">
      <c r="P87" s="10" t="str">
        <f>"Đọc giá trị số thành chữ"</f>
        <v>Đọc giá trị số thành chữ</v>
      </c>
      <c r="Q87" s="37"/>
      <c r="R87" s="37"/>
      <c r="S87" s="11"/>
      <c r="T87" s="37"/>
      <c r="U87" s="37"/>
      <c r="V87" s="37"/>
      <c r="W87" s="37"/>
      <c r="X87" s="37"/>
      <c r="Y87" s="38"/>
    </row>
    <row r="88" spans="9:69" ht="18.75">
      <c r="P88" s="12" t="s">
        <v>146</v>
      </c>
      <c r="Q88" s="37"/>
      <c r="R88" s="37"/>
      <c r="S88" s="13" t="str">
        <f>"© VVC, modify by Tuan dt"</f>
        <v>© VVC, modify by Tuan dt</v>
      </c>
      <c r="T88" s="37"/>
      <c r="U88" s="37"/>
      <c r="V88" s="37"/>
      <c r="W88" s="37"/>
      <c r="X88" s="37"/>
      <c r="Y88" s="38"/>
    </row>
    <row r="89" spans="9:69" ht="18.75">
      <c r="P89" s="14"/>
      <c r="Q89" s="37"/>
      <c r="R89" s="37"/>
      <c r="S89" s="11" t="s">
        <v>146</v>
      </c>
      <c r="T89" s="37"/>
      <c r="U89" s="37"/>
      <c r="V89" s="37"/>
      <c r="W89" s="37" t="s">
        <v>146</v>
      </c>
      <c r="X89" s="37"/>
      <c r="Y89" s="38"/>
    </row>
    <row r="90" spans="9:69" ht="18">
      <c r="P90" s="37">
        <v>1</v>
      </c>
      <c r="Q90" s="37">
        <v>6</v>
      </c>
      <c r="R90" s="37"/>
      <c r="S90" s="11"/>
      <c r="T90" s="37"/>
      <c r="U90" s="37"/>
      <c r="V90" s="37"/>
      <c r="W90" s="37"/>
      <c r="X90" s="37"/>
      <c r="Y90" s="38"/>
    </row>
    <row r="91" spans="9:69" ht="18.75" thickBot="1">
      <c r="J91" s="55"/>
      <c r="P91" s="37"/>
      <c r="Q91" s="37"/>
      <c r="R91" s="37"/>
      <c r="S91" s="37"/>
      <c r="T91" s="37"/>
      <c r="U91" s="37"/>
      <c r="V91" s="37"/>
      <c r="W91" s="37"/>
      <c r="X91" s="37"/>
      <c r="Y91" s="38"/>
    </row>
    <row r="92" spans="9:69" ht="19.5" thickBot="1">
      <c r="P92" s="15" t="str">
        <f>"Giá trị số cần đổi:"</f>
        <v>Giá trị số cần đổi:</v>
      </c>
      <c r="Q92" s="39">
        <f>G37</f>
        <v>1503742000</v>
      </c>
      <c r="R92" s="379" t="str">
        <f>IF(ROUND(VALUE(10*(100*Q92-INT(100*Q92))),0)&gt;0,"Chỉ có 2 chữ số sau dấu phẩy","")</f>
        <v/>
      </c>
      <c r="S92" s="37"/>
      <c r="T92" s="37"/>
      <c r="U92" s="37"/>
      <c r="V92" s="37"/>
      <c r="W92" s="37"/>
      <c r="X92" s="37"/>
      <c r="Y92" s="38"/>
    </row>
    <row r="93" spans="9:69" ht="18.75">
      <c r="P93" s="40" t="s">
        <v>146</v>
      </c>
      <c r="Q93" s="16" t="str">
        <f ca="1">IF(Q92&gt;=1000000000000,"Công thức này chỉ có thể đếm thành chữ dưới 1000 tỷ",IF(ABS(Q92)&lt;1,"không",IF(Q92&lt;0,"âm ","")&amp;IF(Q95=0,"",R95)&amp;IF(AND(Q96=0,Q97=0),"",S96)&amp;IF(Q98=0,"",R98)&amp;IF(AND(Q99=0,Q100=0),"",S99)&amp;IF(Q101=0,"",R101)&amp;IF(AND(Q102=0,Q103=0),"",S102)&amp;IF(Q104=0,"",R104)&amp;IF(AND(Q105=0,Q106=0),"",IF(AND(Q105=0,Q106=1),"một",S105)))&amp;CELL("contents",V96))&amp;IF(T113=0,"",IF(P93=1,T112,S108))</f>
        <v>một tỷ năm trăm linh ba triệu, bẩy trăm  bốn mươi  hai nghìn  đồng chẵn</v>
      </c>
      <c r="R93" s="41"/>
      <c r="S93" s="41"/>
      <c r="T93" s="41"/>
      <c r="U93" s="41"/>
      <c r="V93" s="41"/>
      <c r="W93" s="41"/>
      <c r="X93" s="41"/>
      <c r="Y93" s="38"/>
    </row>
    <row r="94" spans="9:69" ht="18.75">
      <c r="P94" s="17" t="str">
        <f>"đếm từng chữ một"</f>
        <v>đếm từng chữ một</v>
      </c>
      <c r="Q94" s="18" t="str">
        <f>IF(Q92&lt;0,"minus   ","")&amp;SUBSTITUTE(SUBSTITUTE(SUBSTITUTE(SUBSTITUTE(Q110,8,"tám   "),9,"chín   "),",","phẩy   "),"-","")</f>
        <v xml:space="preserve">một   năm   không   ba   bẩy   bốn   hai   không   không   không   </v>
      </c>
      <c r="R94" s="42"/>
      <c r="S94" s="37"/>
      <c r="T94" s="37"/>
      <c r="U94" s="37"/>
      <c r="V94" s="37" t="s">
        <v>147</v>
      </c>
      <c r="W94" s="37"/>
      <c r="X94" s="37"/>
      <c r="Y94" s="38"/>
    </row>
    <row r="95" spans="9:69" ht="18.75">
      <c r="P95" s="17" t="str">
        <f>"hàng trăm tỷ"</f>
        <v>hàng trăm tỷ</v>
      </c>
      <c r="Q95" s="19">
        <f>VALUE(RIGHT(INT(ABS(Q92)/100000000000)))</f>
        <v>0</v>
      </c>
      <c r="R95" s="20" t="str">
        <f>IF(Q95=1,"một",IF(Q95=2,"hai",IF(Q95=3,"ba",IF(Q95=4,"bốn",IF(Q95=5,"năm",IF(Q95=6,"sáu",IF(Q95=7,"bẩy",IF(Q95=8,"tám","chín"))))))))&amp;" trăm "&amp;IF(AND(Q96=0,Q97=0),"tỷ","")</f>
        <v xml:space="preserve">chín trăm </v>
      </c>
      <c r="S95" s="31"/>
      <c r="T95" s="43"/>
      <c r="U95" s="37"/>
      <c r="V95" s="37">
        <v>1</v>
      </c>
      <c r="W95" s="37">
        <v>2</v>
      </c>
      <c r="X95" s="37">
        <v>3</v>
      </c>
      <c r="Y95" s="38"/>
    </row>
    <row r="96" spans="9:69" ht="18.75">
      <c r="P96" s="17" t="str">
        <f>"hàng chục tỷ"</f>
        <v>hàng chục tỷ</v>
      </c>
      <c r="Q96" s="19">
        <f>VALUE(RIGHT(INT(ABS(Q92)/10000000000)))</f>
        <v>0</v>
      </c>
      <c r="R96" s="20" t="str">
        <f>IF(Q96=1,"mười",IF(Q96=2," hai mươi",IF(Q96=3,"ba mươi",IF(Q96=4,"bốn mươi",IF(Q96=5,"năm mươi",IF(Q96=6,"sáu mươi",IF(Q96=7,"bẩy mươi",IF(Q96=8,"tám mươi","chín mươi"))))))))</f>
        <v>chín mươi</v>
      </c>
      <c r="S96" s="21" t="str">
        <f>IF(AND(Q96=0,Q97=1),"một tỷ ",IF(AND(Q96=1,Q97=1),"mười một",IF(AND(Q96=1,Q97=2),"mười hai",IF(AND(Q96=1,Q97=6),"mười sáu",IF(AND(Q96=1,Q97=7),"mười bẩy",IF(Q97=0,R96,IF(Q96=0,R97,R96&amp;IF(Q96&gt;1," ","")&amp;R97))))))&amp;" tỷ, ")</f>
        <v xml:space="preserve">một tỷ </v>
      </c>
      <c r="T96" s="44"/>
      <c r="U96" s="37"/>
      <c r="V96" s="22" t="str">
        <f>INDEX(V97:X113,P90,2)</f>
        <v xml:space="preserve"> đồng chẵn</v>
      </c>
      <c r="W96" s="22" t="str">
        <f>INDEX(V97:X113,P90,3)</f>
        <v xml:space="preserve"> xu</v>
      </c>
      <c r="X96" s="37"/>
      <c r="Y96" s="38"/>
    </row>
    <row r="97" spans="16:25" ht="18.75">
      <c r="P97" s="17" t="str">
        <f>"hàng tỷ"</f>
        <v>hàng tỷ</v>
      </c>
      <c r="Q97" s="23">
        <f>VALUE(RIGHT(INT(ABS(Q92)/1000000000)))</f>
        <v>1</v>
      </c>
      <c r="R97" s="20" t="str">
        <f>IF(Q97=1,"một",IF(Q97=2,"hai",IF(Q97=3,"ba",IF(Q97=4,"bốn",IF(Q97=5,"năm",IF(Q97=6,"sáu",IF(Q97=7,"bẩy",IF(Q97=8,"tám","chín"))))))))</f>
        <v>một</v>
      </c>
      <c r="S97" s="45"/>
      <c r="T97" s="46"/>
      <c r="U97" s="37"/>
      <c r="V97" s="20" t="s">
        <v>149</v>
      </c>
      <c r="W97" s="20" t="s">
        <v>150</v>
      </c>
      <c r="X97" s="20" t="s">
        <v>151</v>
      </c>
      <c r="Y97" s="38"/>
    </row>
    <row r="98" spans="16:25" ht="18.75">
      <c r="P98" s="17" t="str">
        <f>"hàng trăm triệu"</f>
        <v>hàng trăm triệu</v>
      </c>
      <c r="Q98" s="24">
        <f>VALUE(RIGHT(INT(ABS(Q92)/100000000)))</f>
        <v>5</v>
      </c>
      <c r="R98" s="25" t="str">
        <f>IF(Q98=1,"một",IF(Q98=2,"hai",IF(Q98=3,"ba",IF(Q98=4,"bốn",IF(Q98=5,"năm",IF(Q98=6,"sáu",IF(Q98=7,"bẩy",IF(Q98=8,"tám","chín"))))))))&amp;" trăm "&amp;IF(AND(Q99=0,Q100=0),"triệu","")</f>
        <v xml:space="preserve">năm trăm </v>
      </c>
      <c r="S98" s="47"/>
      <c r="T98" s="48"/>
      <c r="U98" s="37"/>
      <c r="V98" s="20" t="s">
        <v>153</v>
      </c>
      <c r="W98" s="20" t="s">
        <v>154</v>
      </c>
      <c r="X98" s="20" t="s">
        <v>155</v>
      </c>
      <c r="Y98" s="38"/>
    </row>
    <row r="99" spans="16:25" ht="18.75">
      <c r="P99" s="17" t="str">
        <f>"hàng chục triệu"</f>
        <v>hàng chục triệu</v>
      </c>
      <c r="Q99" s="24">
        <f>VALUE(RIGHT(INT(ABS(Q92)/10000000)))</f>
        <v>0</v>
      </c>
      <c r="R99" s="25" t="str">
        <f>IF(Q99=1,"mười ",IF(Q99=2,"hai mươi",IF(Q99=3,"ba mươi",IF(Q99=4,"bốn mươi",IF(Q99=5,"năm mươi",IF(Q99=6,"sáu mươi",IF(Q99=7,"bẩy mươi",IF(Q99=8,"tám mươi","chín mươi"))))))))</f>
        <v>chín mươi</v>
      </c>
      <c r="S99" s="26" t="str">
        <f>IF(AND(Q99=0,Q100=1),"một triệu",IF(AND(Q99=1,Q100=1),"mười một",IF(AND(Q99=1,Q100=2),"mười hai",IF(AND(Q99=1,Q100=6),"mười sáu",IF(AND(Q99=1,Q100=7),"mười bẩy",IF(Q100=0,R99,IF(Q99=0,"linh "&amp;R100,R99&amp;IF(Q99&gt;1," ","")&amp;R100))))))&amp;" triệu,")</f>
        <v>linh ba triệu,</v>
      </c>
      <c r="T99" s="49"/>
      <c r="U99" s="37"/>
      <c r="V99" s="20" t="s">
        <v>157</v>
      </c>
      <c r="W99" s="20" t="s">
        <v>158</v>
      </c>
      <c r="X99" s="20" t="s">
        <v>159</v>
      </c>
      <c r="Y99" s="38"/>
    </row>
    <row r="100" spans="16:25" ht="18.75">
      <c r="P100" s="17" t="str">
        <f>"hàng triệu"</f>
        <v>hàng triệu</v>
      </c>
      <c r="Q100" s="24">
        <f>VALUE(RIGHT(INT(ABS(Q92)/1000000)))</f>
        <v>3</v>
      </c>
      <c r="R100" s="25" t="str">
        <f>IF(Q100=1,"một",IF(Q100=2,"hai",IF(Q100=3,"ba",IF(Q100=4,"bốn",IF(Q100=5,"năm",IF(Q100=6,"sáu",IF(Q100=7,"bẩy",IF(Q100=8,"tám","chín"))))))))</f>
        <v>ba</v>
      </c>
      <c r="S100" s="26"/>
      <c r="T100" s="49"/>
      <c r="U100" s="37"/>
      <c r="V100" s="20" t="s">
        <v>161</v>
      </c>
      <c r="W100" s="20" t="s">
        <v>162</v>
      </c>
      <c r="X100" s="20" t="s">
        <v>163</v>
      </c>
      <c r="Y100" s="38"/>
    </row>
    <row r="101" spans="16:25" ht="18.75">
      <c r="P101" s="17" t="str">
        <f>"hàng trăm nghìn"</f>
        <v>hàng trăm nghìn</v>
      </c>
      <c r="Q101" s="27">
        <f>VALUE(RIGHT(INT(ABS(Q92)/100000)))</f>
        <v>7</v>
      </c>
      <c r="R101" s="20" t="str">
        <f>IF(Q101=1," một",IF(Q101=2," hai",IF(Q101=3," ba",IF(Q101=4," bốn",IF(Q101=5," năm",IF(Q101=6," sáu",IF(Q101=7," bẩy",IF(Q101=8," tám"," chín"))))))))&amp;" trăm "&amp;IF(AND(Q102=0,Q103=0)," nghìn","")</f>
        <v xml:space="preserve"> bẩy trăm </v>
      </c>
      <c r="S101" s="31"/>
      <c r="T101" s="43"/>
      <c r="U101" s="37"/>
      <c r="V101" s="20" t="s">
        <v>165</v>
      </c>
      <c r="W101" s="20" t="s">
        <v>166</v>
      </c>
      <c r="X101" s="20" t="s">
        <v>167</v>
      </c>
      <c r="Y101" s="38"/>
    </row>
    <row r="102" spans="16:25" ht="18.75">
      <c r="P102" s="17" t="str">
        <f>"hàng chục nghìn"</f>
        <v>hàng chục nghìn</v>
      </c>
      <c r="Q102" s="27">
        <f>VALUE(RIGHT(INT(ABS(Q92)/10000)))</f>
        <v>4</v>
      </c>
      <c r="R102" s="20" t="str">
        <f>IF(Q102=1,"mười ",IF(Q102=2," hai mươi ",IF(Q102=3," ba mươi ",IF(Q102=4," bốn mươi ",IF(Q102=5," năm mươi ",IF(Q102=6," sáu mươi ",IF(Q102=7," bẩy mươi ",IF(Q102=8," tám mươi "," chín mươi "))))))))</f>
        <v xml:space="preserve"> bốn mươi </v>
      </c>
      <c r="S102" s="21" t="str">
        <f>IF(AND(Q102=1,Q103=1)," mười một",IF(AND(Q102=1,Q103=2)," mười hai",IF(AND(Q102=1,Q103=6)," mười sáu",IF(AND(Q102=1,Q103=7)," mười bẩy",IF(Q103=0,R102,IF(Q102=0,"linh"&amp;R103,R102&amp;IF(Q102&gt;1,"","")&amp;R103))))))&amp;" nghìn "</f>
        <v xml:space="preserve"> bốn mươi  hai nghìn </v>
      </c>
      <c r="T102" s="44"/>
      <c r="U102" s="37"/>
      <c r="V102" s="20" t="s">
        <v>169</v>
      </c>
      <c r="W102" s="20" t="s">
        <v>170</v>
      </c>
      <c r="X102" s="20" t="s">
        <v>171</v>
      </c>
      <c r="Y102" s="38"/>
    </row>
    <row r="103" spans="16:25" ht="18.75">
      <c r="P103" s="17" t="str">
        <f>"hàng nghìn"</f>
        <v>hàng nghìn</v>
      </c>
      <c r="Q103" s="27">
        <f>VALUE(RIGHT(INT(ABS(Q92)/1000)))</f>
        <v>2</v>
      </c>
      <c r="R103" s="20" t="str">
        <f>IF(Q103=1," một",IF(Q103=2," hai",IF(Q103=3," ba",IF(Q103=4," bốn",IF(Q103=5," năm",IF(Q103=6," sáu",IF(Q103=7," bẩy",IF(Q103=8," tám"," chín"))))))))</f>
        <v xml:space="preserve"> hai</v>
      </c>
      <c r="S103" s="21"/>
      <c r="T103" s="44"/>
      <c r="U103" s="37"/>
      <c r="V103" s="20" t="s">
        <v>173</v>
      </c>
      <c r="W103" s="20" t="s">
        <v>174</v>
      </c>
      <c r="X103" s="20" t="s">
        <v>175</v>
      </c>
      <c r="Y103" s="38"/>
    </row>
    <row r="104" spans="16:25" ht="18.75">
      <c r="P104" s="17" t="str">
        <f>"hàng trăm"</f>
        <v>hàng trăm</v>
      </c>
      <c r="Q104" s="28">
        <f>VALUE(RIGHT(INT(ABS(Q92)/100)))</f>
        <v>0</v>
      </c>
      <c r="R104" s="29" t="str">
        <f>IF(Q104=1,"một",IF(Q104=2,"hai",IF(Q104=3,"ba",IF(Q104=4,"bốn",IF(Q104=5,"năm",IF(Q104=6,"sáu",IF(Q104=7,"bẩy",IF(Q104=8,"tám","chín"))))))))&amp;" trăm "</f>
        <v xml:space="preserve">chín trăm </v>
      </c>
      <c r="S104" s="50"/>
      <c r="T104" s="51"/>
      <c r="U104" s="37"/>
      <c r="V104" s="20" t="s">
        <v>177</v>
      </c>
      <c r="W104" s="20" t="s">
        <v>178</v>
      </c>
      <c r="X104" s="20" t="s">
        <v>155</v>
      </c>
      <c r="Y104" s="38"/>
    </row>
    <row r="105" spans="16:25" ht="18.75">
      <c r="P105" s="17" t="str">
        <f>"hàng chục"</f>
        <v>hàng chục</v>
      </c>
      <c r="Q105" s="28">
        <f>VALUE(RIGHT(INT(ABS(Q92)/10)))</f>
        <v>0</v>
      </c>
      <c r="R105" s="29" t="str">
        <f>IF(Q105=1,",mười ",IF(Q105=2,"hai mươi ",IF(Q105=3,"ba mươi ",IF(Q105=4,"bốn mươi ",IF(Q105=5,"năm mươi ",IF(Q105=6,"sáu mươi ",IF(Q105=7,"bẩy mươi ",IF(Q105=8,"tám mươi ","chín mươi "))))))))</f>
        <v xml:space="preserve">chín mươi </v>
      </c>
      <c r="S105" s="30" t="str">
        <f>IF(AND(Q105=1,Q106=1),"mười một",IF(AND(Q105=1,Q106=2),"mười hai",IF(AND(Q105=1,Q106=6),"mười sáu",IF(AND(Q105=1,Q106=7),"mười bẩy",IF(Q106=0,R105,IF(Q105=0,R106,IF(Q105&gt;1,"","")&amp;R105&amp;R106))))))</f>
        <v xml:space="preserve">chín mươi </v>
      </c>
      <c r="T105" s="52"/>
      <c r="U105" s="37"/>
      <c r="V105" s="20" t="s">
        <v>180</v>
      </c>
      <c r="W105" s="20" t="s">
        <v>181</v>
      </c>
      <c r="X105" s="20" t="s">
        <v>182</v>
      </c>
      <c r="Y105" s="38"/>
    </row>
    <row r="106" spans="16:25" ht="18.75">
      <c r="P106" s="17" t="str">
        <f>"hàng đơn vị"</f>
        <v>hàng đơn vị</v>
      </c>
      <c r="Q106" s="28">
        <f>VALUE(RIGHT(INT(ABS(Q92))))</f>
        <v>0</v>
      </c>
      <c r="R106" s="29" t="str">
        <f>IF(Q106=1,"một",IF(Q106=2,"hai",IF(Q106=3,"ba",IF(Q106=4,"bốn",IF(Q106=5,"năm",IF(Q106=6,"sáu",IF(Q106=7,"bẩy",IF(Q106=8,"tám","chín"))))))))</f>
        <v>chín</v>
      </c>
      <c r="S106" s="53"/>
      <c r="T106" s="54"/>
      <c r="U106" s="37"/>
      <c r="V106" s="20" t="s">
        <v>184</v>
      </c>
      <c r="W106" s="20" t="s">
        <v>185</v>
      </c>
      <c r="X106" s="20" t="s">
        <v>186</v>
      </c>
      <c r="Y106" s="38"/>
    </row>
    <row r="107" spans="16:25" ht="18.75">
      <c r="P107" s="17"/>
      <c r="Q107" s="12" t="str">
        <f>"Giá trị sau dấu phẩy"</f>
        <v>Giá trị sau dấu phẩy</v>
      </c>
      <c r="R107" s="37"/>
      <c r="S107" s="37"/>
      <c r="T107" s="37"/>
      <c r="U107" s="37"/>
      <c r="V107" s="20" t="s">
        <v>187</v>
      </c>
      <c r="W107" s="20" t="s">
        <v>188</v>
      </c>
      <c r="X107" s="20" t="s">
        <v>155</v>
      </c>
      <c r="Y107" s="38"/>
    </row>
    <row r="108" spans="16:25" ht="18.75">
      <c r="P108" s="17" t="str">
        <f>"hàng chục"</f>
        <v>hàng chục</v>
      </c>
      <c r="Q108" s="27">
        <f>VALUE(RIGHT(INT(ABS(T113)/10)))</f>
        <v>0</v>
      </c>
      <c r="R108" s="20" t="str">
        <f>IF(Q108=1,"mười",IF(Q108=2,"hai mươi",IF(Q108=3,"ba mươi",IF(Q108=4,"bốn mươi",IF(Q108=5,"năm mươi",IF(Q108=6,"sáu mươi",IF(Q108=7,"bẩy mươi",IF(Q108=8,"tám mươi","chín mươi"))))))))</f>
        <v>chín mươi</v>
      </c>
      <c r="S108" s="31" t="str">
        <f ca="1">" và "&amp;IF(T113&lt;10,"không ","")&amp;IF(T113=1,"một",IF(AND(Q108=1,Q109=1),"mười một",IF(AND(Q108=1,Q109=2),"mười hai",IF(AND(Q108=1,Q109=6),"mười sáu",IF(AND(Q108=1,Q109=7),"mười bẩy",IF(Q109=0,R108,IF(Q108=0,R109,R108&amp;IF(Q108&gt;1," ","")&amp;R109&amp;""))))))&amp;CELL("contents",W96))</f>
        <v xml:space="preserve"> và không chín mươi xu</v>
      </c>
      <c r="T108" s="43"/>
      <c r="U108" s="37"/>
      <c r="V108" s="20" t="s">
        <v>189</v>
      </c>
      <c r="W108" s="20" t="s">
        <v>190</v>
      </c>
      <c r="X108" s="20" t="s">
        <v>155</v>
      </c>
      <c r="Y108" s="38"/>
    </row>
    <row r="109" spans="16:25" ht="18.75">
      <c r="P109" s="17" t="str">
        <f>"hàng đơn vị"</f>
        <v>hàng đơn vị</v>
      </c>
      <c r="Q109" s="27">
        <f>VALUE(RIGHT(INT(ABS(T113))))</f>
        <v>0</v>
      </c>
      <c r="R109" s="20" t="str">
        <f>IF(Q109=1,"một",IF(Q109=2,"hai",IF(Q109=3,"ba",IF(Q109=4,"bốn",IF(Q109=5,"năm",IF(Q109=6,"sáu",IF(Q109=7,"bẩy",IF(Q109=8,"tám","chín"))))))))</f>
        <v>chín</v>
      </c>
      <c r="S109" s="45"/>
      <c r="T109" s="46"/>
      <c r="U109" s="37"/>
      <c r="V109" s="20"/>
      <c r="W109" s="20"/>
      <c r="X109" s="20"/>
      <c r="Y109" s="38"/>
    </row>
    <row r="110" spans="16:25" ht="18">
      <c r="P110" s="37"/>
      <c r="Q110" s="32" t="str">
        <f>SUBSTITUTE(SUBSTITUTE(SUBSTITUTE(SUBSTITUTE(SUBSTITUTE(SUBSTITUTE(SUBSTITUTE(SUBSTITUTE(Q92,0,"không   "),1,"một   "),2,"hai   "),3,"ba   "),4,"bốn   "),5,"năm   "),6,"sáu   "),7,"bẩy   ")</f>
        <v xml:space="preserve">một   năm   không   ba   bẩy   bốn   hai   không   không   không   </v>
      </c>
      <c r="R110" s="37"/>
      <c r="S110" s="37"/>
      <c r="T110" s="37"/>
      <c r="U110" s="37"/>
      <c r="V110" s="20"/>
      <c r="W110" s="20"/>
      <c r="X110" s="20"/>
      <c r="Y110" s="38"/>
    </row>
    <row r="111" spans="16:25" ht="18">
      <c r="P111" s="37"/>
      <c r="Q111" s="37"/>
      <c r="R111" s="37"/>
      <c r="S111" s="37"/>
      <c r="T111" s="37"/>
      <c r="U111" s="37"/>
      <c r="V111" s="20"/>
      <c r="W111" s="20"/>
      <c r="X111" s="20"/>
      <c r="Y111" s="38"/>
    </row>
    <row r="112" spans="16:25" ht="18">
      <c r="P112" s="37"/>
      <c r="Q112" s="33">
        <f>ABS(100*(MOD(Q92,1)-(Q92&lt;0)))</f>
        <v>0</v>
      </c>
      <c r="R112" s="37"/>
      <c r="S112" s="37"/>
      <c r="T112" s="34" t="str">
        <f>TEXT(T113,"   00")&amp;"/100"</f>
        <v xml:space="preserve">   00/100</v>
      </c>
      <c r="U112" s="37"/>
      <c r="V112" s="20"/>
      <c r="W112" s="20"/>
      <c r="X112" s="20"/>
      <c r="Y112" s="38"/>
    </row>
    <row r="113" spans="9:69" ht="18">
      <c r="I113" s="80"/>
      <c r="J113" s="80"/>
      <c r="K113" s="80"/>
      <c r="L113" s="80"/>
      <c r="M113" s="80"/>
      <c r="N113" s="80"/>
      <c r="O113" s="80"/>
      <c r="P113" s="37"/>
      <c r="Q113" s="35">
        <f>ROUND(100*(ABS(Q92)-INT(ABS(Q92))),0)</f>
        <v>0</v>
      </c>
      <c r="R113" s="37"/>
      <c r="S113" s="37"/>
      <c r="T113" s="36">
        <f>IF(P93=0,0,ROUND(100*(ABS(Q92)-INT(ABS(Q92))),0))</f>
        <v>0</v>
      </c>
      <c r="U113" s="37"/>
      <c r="V113" s="20"/>
      <c r="W113" s="20"/>
      <c r="X113" s="20"/>
      <c r="Y113" s="38"/>
    </row>
    <row r="114" spans="9:69" ht="15"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</row>
    <row r="115" spans="9:69" ht="15"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</row>
    <row r="116" spans="9:69" ht="15">
      <c r="I116" s="80"/>
      <c r="J116" s="80"/>
      <c r="K116" s="80"/>
      <c r="L116" s="80"/>
      <c r="M116" s="80"/>
      <c r="N116" s="80"/>
      <c r="O116" s="80"/>
    </row>
    <row r="117" spans="9:69" ht="15">
      <c r="I117" s="80"/>
      <c r="J117" s="80"/>
      <c r="K117" s="80"/>
      <c r="L117" s="80"/>
      <c r="M117" s="80"/>
      <c r="N117" s="80"/>
      <c r="O117" s="80"/>
    </row>
    <row r="118" spans="9:69" ht="15">
      <c r="I118" s="80"/>
      <c r="J118" s="80"/>
      <c r="K118" s="80"/>
      <c r="L118" s="80"/>
      <c r="M118" s="80"/>
      <c r="N118" s="80"/>
      <c r="O118" s="80"/>
    </row>
    <row r="119" spans="9:69" ht="15">
      <c r="I119" s="80"/>
      <c r="J119" s="80"/>
      <c r="K119" s="80"/>
      <c r="L119" s="80"/>
      <c r="M119" s="80"/>
      <c r="N119" s="80"/>
      <c r="O119" s="80"/>
    </row>
    <row r="147" spans="9:15" ht="15">
      <c r="I147" s="80"/>
      <c r="J147" s="80"/>
      <c r="K147" s="80"/>
      <c r="L147" s="80"/>
      <c r="M147" s="80"/>
      <c r="N147" s="80"/>
      <c r="O147" s="80"/>
    </row>
    <row r="148" spans="9:15" ht="15">
      <c r="I148" s="80"/>
      <c r="J148" s="80"/>
      <c r="K148" s="80"/>
      <c r="L148" s="80"/>
      <c r="M148" s="80"/>
      <c r="N148" s="80"/>
      <c r="O148" s="80"/>
    </row>
  </sheetData>
  <mergeCells count="20">
    <mergeCell ref="A10:G10"/>
    <mergeCell ref="E40:G40"/>
    <mergeCell ref="E41:G41"/>
    <mergeCell ref="E42:G42"/>
    <mergeCell ref="E49:G49"/>
    <mergeCell ref="A12:B12"/>
    <mergeCell ref="A11:G11"/>
    <mergeCell ref="A13:G13"/>
    <mergeCell ref="C14:C15"/>
    <mergeCell ref="E14:F15"/>
    <mergeCell ref="A16:A17"/>
    <mergeCell ref="B16:B17"/>
    <mergeCell ref="C16:C17"/>
    <mergeCell ref="E16:G16"/>
    <mergeCell ref="A9:G9"/>
    <mergeCell ref="A2:G2"/>
    <mergeCell ref="A3:G3"/>
    <mergeCell ref="A4:B4"/>
    <mergeCell ref="A7:G7"/>
    <mergeCell ref="A8:G8"/>
  </mergeCells>
  <pageMargins left="0.8" right="0" top="0.15" bottom="0.15" header="0.5" footer="0.5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BQ148"/>
  <sheetViews>
    <sheetView topLeftCell="A31" workbookViewId="0">
      <selection activeCell="E41" sqref="E41:G41"/>
    </sheetView>
  </sheetViews>
  <sheetFormatPr defaultColWidth="8.85546875" defaultRowHeight="12.75"/>
  <cols>
    <col min="1" max="1" width="4.42578125" customWidth="1"/>
    <col min="2" max="2" width="31.28515625" customWidth="1"/>
    <col min="3" max="3" width="14.42578125" customWidth="1"/>
    <col min="4" max="4" width="15.42578125" customWidth="1"/>
    <col min="5" max="5" width="15.28515625" customWidth="1"/>
    <col min="6" max="6" width="15.42578125" customWidth="1"/>
    <col min="7" max="7" width="16.7109375" customWidth="1"/>
    <col min="9" max="9" width="5.28515625" customWidth="1"/>
    <col min="10" max="10" width="38.28515625" customWidth="1"/>
    <col min="12" max="12" width="11.7109375" customWidth="1"/>
    <col min="13" max="13" width="10.28515625" customWidth="1"/>
    <col min="14" max="14" width="10" customWidth="1"/>
    <col min="15" max="15" width="11.42578125" customWidth="1"/>
  </cols>
  <sheetData>
    <row r="1" spans="1:69" s="133" customFormat="1" ht="28.5" customHeight="1" thickBot="1">
      <c r="B1" s="188"/>
      <c r="C1" s="188"/>
      <c r="D1" s="188"/>
      <c r="E1" s="188"/>
      <c r="F1" s="188"/>
      <c r="G1" s="189"/>
    </row>
    <row r="2" spans="1:69" ht="20.25" thickTop="1" thickBot="1">
      <c r="A2" s="704" t="s">
        <v>307</v>
      </c>
      <c r="B2" s="704"/>
      <c r="C2" s="704"/>
      <c r="D2" s="704"/>
      <c r="E2" s="704"/>
      <c r="F2" s="704"/>
      <c r="G2" s="704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34.5" customHeight="1" thickTop="1">
      <c r="A3" s="715" t="s">
        <v>308</v>
      </c>
      <c r="B3" s="715"/>
      <c r="C3" s="715"/>
      <c r="D3" s="715"/>
      <c r="E3" s="715"/>
      <c r="F3" s="715"/>
      <c r="G3" s="715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6.5">
      <c r="A4" s="706" t="s">
        <v>309</v>
      </c>
      <c r="B4" s="706"/>
      <c r="C4" s="113">
        <v>3000000</v>
      </c>
      <c r="D4" s="61" t="s">
        <v>267</v>
      </c>
      <c r="E4" s="114"/>
      <c r="F4" s="115"/>
      <c r="G4" s="111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8.95" customHeight="1">
      <c r="A5" s="193" t="s">
        <v>58</v>
      </c>
      <c r="B5" s="194"/>
      <c r="C5" s="194"/>
      <c r="D5" s="195"/>
      <c r="E5" s="195"/>
      <c r="F5" s="195"/>
      <c r="G5" s="195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5" customHeight="1">
      <c r="A6" s="263" t="s">
        <v>310</v>
      </c>
      <c r="B6" s="198"/>
      <c r="C6" s="199"/>
      <c r="D6" s="199"/>
      <c r="E6" s="199"/>
      <c r="F6" s="199"/>
      <c r="G6" s="199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6.5">
      <c r="A7" s="688" t="s">
        <v>61</v>
      </c>
      <c r="B7" s="688"/>
      <c r="C7" s="688"/>
      <c r="D7" s="688"/>
      <c r="E7" s="688"/>
      <c r="F7" s="688"/>
      <c r="G7" s="688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s="111" customFormat="1" ht="18.75" customHeight="1">
      <c r="A8" s="693" t="s">
        <v>286</v>
      </c>
      <c r="B8" s="693"/>
      <c r="C8" s="693"/>
      <c r="D8" s="693"/>
      <c r="E8" s="693"/>
      <c r="F8" s="693"/>
      <c r="G8" s="693"/>
      <c r="I8" s="281"/>
      <c r="J8" s="282"/>
      <c r="K8" s="283"/>
      <c r="L8" s="285"/>
      <c r="M8" s="285"/>
      <c r="N8" s="285"/>
      <c r="O8" s="285"/>
    </row>
    <row r="9" spans="1:69" ht="30" customHeight="1">
      <c r="A9" s="695" t="s">
        <v>287</v>
      </c>
      <c r="B9" s="695"/>
      <c r="C9" s="695"/>
      <c r="D9" s="695"/>
      <c r="E9" s="695"/>
      <c r="F9" s="695"/>
      <c r="G9" s="695"/>
      <c r="H9" s="1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30" customHeight="1">
      <c r="A10" s="707" t="s">
        <v>64</v>
      </c>
      <c r="B10" s="707"/>
      <c r="C10" s="707"/>
      <c r="D10" s="707"/>
      <c r="E10" s="707"/>
      <c r="F10" s="707"/>
      <c r="G10" s="707"/>
      <c r="H10" s="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16.5">
      <c r="A11" s="688" t="s">
        <v>65</v>
      </c>
      <c r="B11" s="688"/>
      <c r="C11" s="688"/>
      <c r="D11" s="688"/>
      <c r="E11" s="688"/>
      <c r="F11" s="688"/>
      <c r="G11" s="688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15" customHeight="1">
      <c r="A12" s="716" t="s">
        <v>309</v>
      </c>
      <c r="B12" s="716"/>
      <c r="C12" s="324">
        <f>C4/1000</f>
        <v>3000</v>
      </c>
      <c r="D12" s="422" t="s">
        <v>311</v>
      </c>
      <c r="E12" s="201"/>
      <c r="F12" s="202"/>
      <c r="G12" s="203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43.5" customHeight="1">
      <c r="A13" s="689" t="s">
        <v>312</v>
      </c>
      <c r="B13" s="690"/>
      <c r="C13" s="690"/>
      <c r="D13" s="690"/>
      <c r="E13" s="690"/>
      <c r="F13" s="690"/>
      <c r="G13" s="690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19.5" customHeight="1">
      <c r="A14" s="204"/>
      <c r="B14" s="205" t="s">
        <v>68</v>
      </c>
      <c r="C14" s="691" t="s">
        <v>69</v>
      </c>
      <c r="D14" s="206" t="s">
        <v>70</v>
      </c>
      <c r="E14" s="692" t="s">
        <v>71</v>
      </c>
      <c r="F14" s="692"/>
      <c r="G14" s="203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17.25" thickBot="1">
      <c r="A15" s="204"/>
      <c r="B15" s="200"/>
      <c r="C15" s="691"/>
      <c r="D15" s="210" t="s">
        <v>72</v>
      </c>
      <c r="E15" s="692"/>
      <c r="F15" s="692"/>
      <c r="G15" s="203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5" customHeight="1">
      <c r="A16" s="698" t="s">
        <v>26</v>
      </c>
      <c r="B16" s="696" t="s">
        <v>73</v>
      </c>
      <c r="C16" s="696" t="s">
        <v>74</v>
      </c>
      <c r="D16" s="314" t="s">
        <v>289</v>
      </c>
      <c r="E16" s="717"/>
      <c r="F16" s="718"/>
      <c r="G16" s="719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33.75" customHeight="1" thickBot="1">
      <c r="A17" s="699"/>
      <c r="B17" s="697"/>
      <c r="C17" s="697"/>
      <c r="D17" s="317" t="s">
        <v>313</v>
      </c>
      <c r="E17" s="315"/>
      <c r="F17" s="315"/>
      <c r="G17" s="316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15" customHeight="1">
      <c r="A18" s="396">
        <v>1</v>
      </c>
      <c r="B18" s="320" t="s">
        <v>81</v>
      </c>
      <c r="C18" s="321" t="s">
        <v>82</v>
      </c>
      <c r="D18" s="408">
        <f>IF(D23&lt;4,62.5,IF(D23&gt;3000,1.5,((D19-D20)/(D21-D22)*(D23-D22)+D20)))</f>
        <v>1.1999999999999997</v>
      </c>
      <c r="E18" s="397"/>
      <c r="F18" s="397"/>
      <c r="G18" s="398"/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15" customHeight="1">
      <c r="A19" s="302">
        <v>2</v>
      </c>
      <c r="B19" s="303" t="s">
        <v>240</v>
      </c>
      <c r="C19" s="304" t="s">
        <v>84</v>
      </c>
      <c r="D19" s="446">
        <f>LOOKUP(D21,'Dinh muc'!$C$104:$J$105)</f>
        <v>1.2</v>
      </c>
      <c r="E19" s="394"/>
      <c r="F19" s="394"/>
      <c r="G19" s="395"/>
      <c r="H19" s="1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302">
        <v>3</v>
      </c>
      <c r="B20" s="303" t="s">
        <v>85</v>
      </c>
      <c r="C20" s="304" t="s">
        <v>86</v>
      </c>
      <c r="D20" s="446">
        <f>LOOKUP(D22,'Dinh muc'!$C$104:$J$105)</f>
        <v>2</v>
      </c>
      <c r="E20" s="394"/>
      <c r="F20" s="394"/>
      <c r="G20" s="395"/>
      <c r="H20" s="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>
      <c r="A21" s="302">
        <v>4</v>
      </c>
      <c r="B21" s="303" t="s">
        <v>87</v>
      </c>
      <c r="C21" s="304" t="s">
        <v>88</v>
      </c>
      <c r="D21" s="622">
        <f>IF(D23&lt;4,4,SMALL('Dinh muc'!$C$104:$J$104,COUNTIF('Dinh muc'!$C$104:$J$104,"&lt;="&amp;$D$23)))+0.0000000000001</f>
        <v>3000</v>
      </c>
      <c r="E21" s="399"/>
      <c r="F21" s="399"/>
      <c r="G21" s="400"/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02">
        <v>5</v>
      </c>
      <c r="B22" s="303" t="s">
        <v>89</v>
      </c>
      <c r="C22" s="304" t="s">
        <v>90</v>
      </c>
      <c r="D22" s="622">
        <f>IF(D23&gt;3000,3000,LARGE('Dinh muc'!$C$104:$J$104,COUNTIF('Dinh muc'!$C$104:$J$104,"&gt;="&amp;$D$23)))-0.00000000001</f>
        <v>2999.99999999999</v>
      </c>
      <c r="E22" s="399"/>
      <c r="F22" s="399"/>
      <c r="G22" s="400"/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 thickBot="1">
      <c r="A23" s="305">
        <v>6</v>
      </c>
      <c r="B23" s="306" t="s">
        <v>91</v>
      </c>
      <c r="C23" s="307" t="s">
        <v>92</v>
      </c>
      <c r="D23" s="623">
        <f>C4/1000</f>
        <v>3000</v>
      </c>
      <c r="E23" s="401"/>
      <c r="F23" s="401"/>
      <c r="G23" s="402"/>
      <c r="H23" s="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s="424" customFormat="1" ht="15" customHeight="1" thickBot="1">
      <c r="A24" s="204"/>
      <c r="B24" s="207" t="s">
        <v>291</v>
      </c>
      <c r="C24" s="226">
        <f>D18*1000000</f>
        <v>1199999.9999999998</v>
      </c>
      <c r="D24" s="271" t="str">
        <f>"đồng/nghìn ng x "&amp;C12&amp;" nghìn ng ="</f>
        <v>đồng/nghìn ng x 3000 nghìn ng =</v>
      </c>
      <c r="E24" s="208"/>
      <c r="F24" s="209">
        <f>C24*D23</f>
        <v>3599999999.9999995</v>
      </c>
      <c r="G24" s="242" t="s">
        <v>94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3"/>
      <c r="AZ24" s="423"/>
      <c r="BA24" s="423"/>
      <c r="BB24" s="423"/>
      <c r="BC24" s="423"/>
      <c r="BD24" s="423"/>
      <c r="BE24" s="423"/>
      <c r="BF24" s="423"/>
      <c r="BG24" s="423"/>
      <c r="BH24" s="423"/>
      <c r="BI24" s="423"/>
      <c r="BJ24" s="423"/>
      <c r="BK24" s="423"/>
      <c r="BL24" s="423"/>
      <c r="BM24" s="423"/>
      <c r="BN24" s="423"/>
      <c r="BO24" s="423"/>
      <c r="BP24" s="423"/>
      <c r="BQ24" s="423"/>
    </row>
    <row r="25" spans="1:69" ht="48" customHeight="1">
      <c r="A25" s="170" t="s">
        <v>26</v>
      </c>
      <c r="B25" s="171" t="s">
        <v>96</v>
      </c>
      <c r="C25" s="171" t="s">
        <v>97</v>
      </c>
      <c r="D25" s="171" t="s">
        <v>98</v>
      </c>
      <c r="E25" s="171" t="s">
        <v>99</v>
      </c>
      <c r="F25" s="171" t="s">
        <v>100</v>
      </c>
      <c r="G25" s="172" t="s">
        <v>101</v>
      </c>
      <c r="I25" s="88"/>
      <c r="J25" s="88"/>
      <c r="K25" s="88"/>
      <c r="L25" s="88"/>
      <c r="M25" s="88"/>
      <c r="N25" s="88"/>
      <c r="O25" s="88"/>
    </row>
    <row r="26" spans="1:69" ht="17.25" thickBot="1">
      <c r="A26" s="244">
        <v>1</v>
      </c>
      <c r="B26" s="245">
        <v>2</v>
      </c>
      <c r="C26" s="245">
        <v>3</v>
      </c>
      <c r="D26" s="245">
        <v>4</v>
      </c>
      <c r="E26" s="245" t="s">
        <v>102</v>
      </c>
      <c r="F26" s="245" t="s">
        <v>103</v>
      </c>
      <c r="G26" s="246" t="s">
        <v>104</v>
      </c>
      <c r="I26" s="88"/>
      <c r="J26" s="88"/>
      <c r="K26" s="88"/>
      <c r="L26" s="88"/>
      <c r="M26" s="88"/>
      <c r="N26" s="88"/>
      <c r="O26" s="88"/>
    </row>
    <row r="27" spans="1:69" ht="16.5">
      <c r="A27" s="251">
        <v>1</v>
      </c>
      <c r="B27" s="252" t="s">
        <v>292</v>
      </c>
      <c r="C27" s="425">
        <f>F24</f>
        <v>3599999999.9999995</v>
      </c>
      <c r="D27" s="479">
        <v>1</v>
      </c>
      <c r="E27" s="426">
        <f>D27*C27</f>
        <v>3599999999.9999995</v>
      </c>
      <c r="F27" s="426">
        <f>E27*10%</f>
        <v>360000000</v>
      </c>
      <c r="G27" s="427">
        <f>SUM(E27:F27)</f>
        <v>3959999999.9999995</v>
      </c>
      <c r="I27" s="88"/>
      <c r="J27" s="381">
        <f>G27-485000000</f>
        <v>3474999999.9999995</v>
      </c>
      <c r="K27" s="88"/>
      <c r="L27" s="88"/>
      <c r="M27" s="88"/>
      <c r="N27" s="88"/>
      <c r="O27" s="88"/>
    </row>
    <row r="28" spans="1:69" ht="16.5">
      <c r="A28" s="222">
        <v>2</v>
      </c>
      <c r="B28" s="224" t="s">
        <v>293</v>
      </c>
      <c r="C28" s="350">
        <f>E27</f>
        <v>3599999999.9999995</v>
      </c>
      <c r="D28" s="377">
        <v>0.05</v>
      </c>
      <c r="E28" s="374"/>
      <c r="F28" s="375"/>
      <c r="G28" s="179">
        <f>D28*C28</f>
        <v>180000000</v>
      </c>
      <c r="H28" s="58"/>
      <c r="I28" s="88"/>
      <c r="J28" s="88"/>
      <c r="K28" s="88"/>
      <c r="L28" s="88"/>
      <c r="M28" s="88"/>
      <c r="N28" s="88"/>
      <c r="O28" s="88"/>
    </row>
    <row r="29" spans="1:69" ht="28.5">
      <c r="A29" s="187">
        <v>3</v>
      </c>
      <c r="B29" s="224" t="s">
        <v>314</v>
      </c>
      <c r="C29" s="319">
        <f>C28</f>
        <v>3599999999.9999995</v>
      </c>
      <c r="D29" s="165">
        <v>0.02</v>
      </c>
      <c r="E29" s="78">
        <f>D29*C29</f>
        <v>71999999.999999985</v>
      </c>
      <c r="F29" s="79">
        <f>E29*10%</f>
        <v>7199999.9999999991</v>
      </c>
      <c r="G29" s="179">
        <f>SUM(E29:F29)</f>
        <v>79199999.999999985</v>
      </c>
      <c r="H29" s="59"/>
      <c r="I29" s="88"/>
      <c r="J29" s="88"/>
      <c r="K29" s="88"/>
      <c r="L29" s="88"/>
      <c r="M29" s="88"/>
      <c r="N29" s="88"/>
      <c r="O29" s="88"/>
      <c r="P29" s="1"/>
    </row>
    <row r="30" spans="1:69" s="111" customFormat="1" ht="28.5">
      <c r="A30" s="187">
        <v>4</v>
      </c>
      <c r="B30" s="224" t="s">
        <v>295</v>
      </c>
      <c r="C30" s="79"/>
      <c r="D30" s="310"/>
      <c r="E30" s="79"/>
      <c r="F30" s="79"/>
      <c r="G30" s="179">
        <f>SUM(G31:G34)</f>
        <v>26120160.000012271</v>
      </c>
      <c r="H30" s="100"/>
      <c r="I30" s="122"/>
      <c r="J30" s="128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</row>
    <row r="31" spans="1:69" s="111" customFormat="1" ht="30">
      <c r="A31" s="415" t="s">
        <v>296</v>
      </c>
      <c r="B31" s="416" t="s">
        <v>119</v>
      </c>
      <c r="C31" s="79">
        <f>E27</f>
        <v>3599999999.9999995</v>
      </c>
      <c r="D31" s="77">
        <f>L59/100*45%</f>
        <v>2.5182000000013947E-3</v>
      </c>
      <c r="E31" s="79">
        <f>D31*C31</f>
        <v>9065520.0000050198</v>
      </c>
      <c r="F31" s="79">
        <f>E31*10%</f>
        <v>906552.00000050198</v>
      </c>
      <c r="G31" s="179">
        <f>SUM(E31:F31)</f>
        <v>9972072.0000055209</v>
      </c>
      <c r="H31" s="100"/>
      <c r="I31" s="122"/>
      <c r="J31" s="128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</row>
    <row r="32" spans="1:69" s="111" customFormat="1" ht="30">
      <c r="A32" s="415" t="s">
        <v>297</v>
      </c>
      <c r="B32" s="416" t="s">
        <v>121</v>
      </c>
      <c r="C32" s="79">
        <f>C31</f>
        <v>3599999999.9999995</v>
      </c>
      <c r="D32" s="77">
        <f>L59/100*55%</f>
        <v>3.0778000000017047E-3</v>
      </c>
      <c r="E32" s="79">
        <f>D32*C32</f>
        <v>11080080.000006136</v>
      </c>
      <c r="F32" s="79">
        <f>E32*10%</f>
        <v>1108008.0000006135</v>
      </c>
      <c r="G32" s="179">
        <f>SUM(E32:F32)</f>
        <v>12188088.000006748</v>
      </c>
      <c r="H32" s="100"/>
      <c r="I32" s="122"/>
      <c r="J32" s="128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</row>
    <row r="33" spans="1:69" s="111" customFormat="1" ht="30">
      <c r="A33" s="415" t="s">
        <v>298</v>
      </c>
      <c r="B33" s="416" t="s">
        <v>123</v>
      </c>
      <c r="C33" s="79">
        <f>C32</f>
        <v>3599999999.9999995</v>
      </c>
      <c r="D33" s="77">
        <v>5.0000000000000001E-4</v>
      </c>
      <c r="E33" s="79">
        <f>D33*C33</f>
        <v>1799999.9999999998</v>
      </c>
      <c r="F33" s="79">
        <f>E33*10%</f>
        <v>180000</v>
      </c>
      <c r="G33" s="179">
        <f>IF(SUM(E33:F33)&lt;1000000, 1000000,SUM(E33:F33))</f>
        <v>1979999.9999999998</v>
      </c>
      <c r="H33" s="100"/>
      <c r="I33" s="122"/>
      <c r="J33" s="128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</row>
    <row r="34" spans="1:69" s="111" customFormat="1" ht="45">
      <c r="A34" s="415" t="s">
        <v>299</v>
      </c>
      <c r="B34" s="416" t="s">
        <v>125</v>
      </c>
      <c r="C34" s="79">
        <f>C33</f>
        <v>3599999999.9999995</v>
      </c>
      <c r="D34" s="77">
        <v>5.0000000000000001E-4</v>
      </c>
      <c r="E34" s="79">
        <f>D34*C34</f>
        <v>1799999.9999999998</v>
      </c>
      <c r="F34" s="79">
        <f>E34*10%</f>
        <v>180000</v>
      </c>
      <c r="G34" s="179">
        <f>IF(SUM(E34:F34)&lt;1000000, 1000000,SUM(E34:F34))</f>
        <v>1979999.9999999998</v>
      </c>
      <c r="H34" s="100"/>
      <c r="I34" s="122"/>
      <c r="J34" s="12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</row>
    <row r="35" spans="1:69" ht="16.5">
      <c r="A35" s="244"/>
      <c r="B35" s="417"/>
      <c r="C35" s="350"/>
      <c r="D35" s="377"/>
      <c r="E35" s="419"/>
      <c r="F35" s="273"/>
      <c r="G35" s="420"/>
      <c r="H35" s="59"/>
      <c r="I35" s="88"/>
      <c r="J35" s="88"/>
      <c r="K35" s="88"/>
      <c r="L35" s="88"/>
      <c r="M35" s="88"/>
      <c r="N35" s="88"/>
      <c r="O35" s="88"/>
      <c r="P35" s="1"/>
    </row>
    <row r="36" spans="1:69" ht="17.25" thickBot="1">
      <c r="A36" s="269"/>
      <c r="B36" s="266" t="s">
        <v>300</v>
      </c>
      <c r="C36" s="267"/>
      <c r="D36" s="267"/>
      <c r="E36" s="267"/>
      <c r="F36" s="267"/>
      <c r="G36" s="268">
        <f>SUM(G27:G30)</f>
        <v>4245320160.0000119</v>
      </c>
      <c r="H36" s="62"/>
      <c r="I36" s="88"/>
      <c r="J36" s="88"/>
      <c r="K36" s="88"/>
      <c r="L36" s="88"/>
      <c r="M36" s="88"/>
      <c r="N36" s="88"/>
      <c r="O36" s="88"/>
      <c r="P36" s="1"/>
    </row>
    <row r="37" spans="1:69" ht="17.25" thickBot="1">
      <c r="A37" s="270"/>
      <c r="B37" s="248" t="s">
        <v>301</v>
      </c>
      <c r="C37" s="248"/>
      <c r="D37" s="248"/>
      <c r="E37" s="248"/>
      <c r="F37" s="264"/>
      <c r="G37" s="265">
        <f>ROUNDDOWN(G36,-3)</f>
        <v>4245320000</v>
      </c>
      <c r="H37" s="60"/>
      <c r="I37" s="88"/>
      <c r="J37" s="88"/>
      <c r="K37" s="88"/>
      <c r="L37" s="88"/>
      <c r="M37" s="88"/>
      <c r="N37" s="88"/>
      <c r="O37" s="88"/>
      <c r="P37" s="1"/>
    </row>
    <row r="38" spans="1:69" ht="16.5">
      <c r="A38" s="228" t="str">
        <f ca="1">CONCATENATE("Bằng chữ :  ",UPPER(LEFT(Q93))&amp;RIGHT(Q93,LEN(Q93)-1))</f>
        <v>Bằng chữ :  Bốn tỷ, hai trăm bốn mươi năm triệu, ba trăm  hai mươi  nghìn  đồng chẵn</v>
      </c>
      <c r="B38" s="229"/>
      <c r="C38" s="229"/>
      <c r="D38" s="229"/>
      <c r="E38" s="229"/>
      <c r="F38" s="229"/>
      <c r="G38" s="229"/>
      <c r="I38" s="88"/>
      <c r="J38" s="88"/>
      <c r="K38" s="88"/>
      <c r="L38" s="88"/>
      <c r="M38" s="88"/>
      <c r="N38" s="88"/>
      <c r="O38" s="88"/>
      <c r="P38" s="1"/>
    </row>
    <row r="39" spans="1:69" ht="12.75" customHeight="1">
      <c r="H39" s="98"/>
      <c r="I39" s="88"/>
      <c r="J39" s="88"/>
      <c r="K39" s="88"/>
      <c r="L39" s="88"/>
      <c r="M39" s="88"/>
      <c r="N39" s="88"/>
      <c r="O39" s="8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6.5">
      <c r="E40" s="694" t="s">
        <v>128</v>
      </c>
      <c r="F40" s="694"/>
      <c r="G40" s="694"/>
      <c r="H40" s="98"/>
      <c r="I40" s="88"/>
      <c r="J40" s="88"/>
      <c r="K40" s="88"/>
      <c r="L40" s="88"/>
      <c r="M40" s="88"/>
      <c r="N40" s="88"/>
      <c r="O40" s="8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3.5" customHeight="1">
      <c r="E41" s="714" t="s">
        <v>280</v>
      </c>
      <c r="F41" s="714"/>
      <c r="G41" s="714"/>
      <c r="H41" s="99"/>
      <c r="I41" s="88"/>
      <c r="J41" s="88"/>
      <c r="K41" s="88"/>
      <c r="L41" s="88"/>
      <c r="M41" s="88"/>
      <c r="N41" s="88"/>
      <c r="O41" s="8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16.5">
      <c r="B42" s="339"/>
      <c r="E42" s="686" t="s">
        <v>130</v>
      </c>
      <c r="F42" s="686"/>
      <c r="G42" s="686"/>
      <c r="H42" s="100"/>
      <c r="I42" s="88"/>
      <c r="J42" s="88"/>
      <c r="K42" s="88"/>
      <c r="L42" s="88"/>
      <c r="M42" s="88"/>
      <c r="N42" s="88"/>
      <c r="O42" s="8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6.5">
      <c r="E43" s="133"/>
      <c r="F43" s="133"/>
      <c r="G43" s="133"/>
      <c r="H43" s="100"/>
      <c r="I43" s="88"/>
      <c r="J43" s="88"/>
      <c r="K43" s="88"/>
      <c r="L43" s="88"/>
      <c r="M43" s="88"/>
      <c r="N43" s="88"/>
      <c r="O43" s="8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6.5">
      <c r="E44" s="133"/>
      <c r="F44" s="133"/>
      <c r="G44" s="133"/>
      <c r="H44" s="100"/>
      <c r="I44" s="88"/>
      <c r="J44" s="88"/>
      <c r="K44" s="88"/>
      <c r="L44" s="88"/>
      <c r="M44" s="88"/>
      <c r="N44" s="88"/>
      <c r="O44" s="8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6.5">
      <c r="E45" s="133"/>
      <c r="F45" s="133"/>
      <c r="G45" s="133"/>
      <c r="H45" s="101"/>
      <c r="I45" s="88"/>
      <c r="J45" s="88"/>
      <c r="K45" s="88"/>
      <c r="L45" s="88"/>
      <c r="M45" s="88"/>
      <c r="N45" s="88"/>
      <c r="O45" s="8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6.5">
      <c r="E46" s="133"/>
      <c r="F46" s="133"/>
      <c r="G46" s="133"/>
      <c r="H46" s="100"/>
      <c r="I46" s="88"/>
      <c r="J46" s="88"/>
      <c r="K46" s="88"/>
      <c r="L46" s="88"/>
      <c r="M46" s="88"/>
      <c r="N46" s="88"/>
      <c r="O46" s="8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6.5">
      <c r="E47" s="133"/>
      <c r="F47" s="133"/>
      <c r="G47" s="133"/>
      <c r="H47" s="100"/>
      <c r="I47" s="88"/>
      <c r="J47" s="88"/>
      <c r="K47" s="88"/>
      <c r="L47" s="88"/>
      <c r="M47" s="88"/>
      <c r="N47" s="88"/>
      <c r="O47" s="8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6.5">
      <c r="E48" s="133"/>
      <c r="F48" s="133"/>
      <c r="G48" s="133"/>
      <c r="H48" s="100"/>
      <c r="I48" s="88"/>
      <c r="J48" s="88"/>
      <c r="K48" s="88"/>
      <c r="L48" s="88"/>
      <c r="M48" s="88"/>
      <c r="N48" s="88"/>
      <c r="O48" s="8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69" ht="16.5">
      <c r="B49" s="339"/>
      <c r="E49" s="686" t="s">
        <v>131</v>
      </c>
      <c r="F49" s="686"/>
      <c r="G49" s="686"/>
      <c r="H49" s="102"/>
      <c r="I49" s="88"/>
      <c r="J49" s="88"/>
      <c r="K49" s="88"/>
      <c r="L49" s="88"/>
      <c r="M49" s="88"/>
      <c r="N49" s="88"/>
      <c r="O49" s="88"/>
      <c r="P49" s="1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</row>
    <row r="50" spans="2:69" ht="16.5">
      <c r="B50" s="339"/>
      <c r="H50" s="104"/>
      <c r="I50" s="88"/>
      <c r="J50" s="88"/>
      <c r="K50" s="88"/>
      <c r="L50" s="88"/>
      <c r="M50" s="88"/>
      <c r="N50" s="88"/>
      <c r="O50" s="88"/>
      <c r="P50" s="1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</row>
    <row r="51" spans="2:69" ht="16.5">
      <c r="H51" s="105"/>
      <c r="I51" s="88"/>
      <c r="J51" s="88"/>
      <c r="K51" s="88"/>
      <c r="L51" s="88"/>
      <c r="M51" s="88"/>
      <c r="N51" s="88"/>
      <c r="O51" s="88"/>
      <c r="P51" s="1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</row>
    <row r="52" spans="2:69" ht="16.5">
      <c r="I52" s="88"/>
      <c r="J52" s="88"/>
      <c r="K52" s="88"/>
      <c r="L52" s="88"/>
      <c r="M52" s="88"/>
      <c r="N52" s="88"/>
      <c r="O52" s="88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</row>
    <row r="53" spans="2:69" ht="16.5">
      <c r="H53" s="57"/>
      <c r="I53" s="88"/>
      <c r="J53" s="88"/>
      <c r="K53" s="88"/>
      <c r="L53" s="88"/>
      <c r="M53" s="88"/>
      <c r="N53" s="88"/>
      <c r="O53" s="88"/>
    </row>
    <row r="54" spans="2:69" ht="16.5">
      <c r="I54" s="88"/>
      <c r="J54" s="88"/>
      <c r="K54" s="88"/>
      <c r="L54" s="88"/>
      <c r="M54" s="88"/>
      <c r="N54" s="88"/>
      <c r="O54" s="88"/>
    </row>
    <row r="55" spans="2:69" ht="16.5">
      <c r="I55" s="88"/>
      <c r="J55" s="88"/>
      <c r="K55" s="88"/>
      <c r="L55" s="88"/>
      <c r="M55" s="88"/>
      <c r="N55" s="88"/>
      <c r="O55" s="88"/>
    </row>
    <row r="56" spans="2:69" ht="16.5">
      <c r="I56" s="88"/>
      <c r="J56" s="88"/>
      <c r="K56" s="88"/>
      <c r="L56" s="88"/>
      <c r="M56" s="88"/>
      <c r="N56" s="88"/>
      <c r="O56" s="88"/>
    </row>
    <row r="57" spans="2:69" ht="16.5">
      <c r="I57" s="88"/>
      <c r="J57" s="88"/>
      <c r="K57" s="88"/>
      <c r="L57" s="88"/>
      <c r="M57" s="88"/>
      <c r="N57" s="88"/>
      <c r="O57" s="88"/>
    </row>
    <row r="58" spans="2:69" ht="38.25">
      <c r="I58" s="91" t="s">
        <v>132</v>
      </c>
      <c r="J58" s="92" t="s">
        <v>73</v>
      </c>
      <c r="K58" s="91" t="s">
        <v>74</v>
      </c>
      <c r="L58" s="240" t="s">
        <v>133</v>
      </c>
      <c r="M58" s="92"/>
      <c r="N58" s="92"/>
      <c r="O58" s="92"/>
    </row>
    <row r="59" spans="2:69">
      <c r="I59" s="93">
        <v>1</v>
      </c>
      <c r="J59" s="94" t="s">
        <v>315</v>
      </c>
      <c r="K59" s="95" t="s">
        <v>82</v>
      </c>
      <c r="L59" s="597">
        <f>IF(L64&lt;1,0.8168,IF(L64&gt;100,0.114,(L60-L61)/(L62-L63)*(L64-L63)+L61))</f>
        <v>0.55960000000030996</v>
      </c>
      <c r="M59" s="96"/>
      <c r="N59" s="96"/>
      <c r="O59" s="96"/>
    </row>
    <row r="60" spans="2:69" ht="25.5">
      <c r="I60" s="3">
        <v>2</v>
      </c>
      <c r="J60" s="120" t="s">
        <v>316</v>
      </c>
      <c r="K60" s="5" t="s">
        <v>84</v>
      </c>
      <c r="L60" s="598">
        <f>IF(L64&lt;1,0.816,LOOKUP(L62,'Dinh muc'!$C$88:$I$89))+0.00000000000001</f>
        <v>0.58300000000000995</v>
      </c>
      <c r="M60" s="83"/>
      <c r="N60" s="84"/>
      <c r="O60" s="84"/>
    </row>
    <row r="61" spans="2:69" ht="25.5">
      <c r="I61" s="3">
        <v>3</v>
      </c>
      <c r="J61" s="4" t="s">
        <v>317</v>
      </c>
      <c r="K61" s="5" t="s">
        <v>86</v>
      </c>
      <c r="L61" s="598">
        <f>LOOKUP(L63,'Dinh muc'!$C$88:$I$89)+0.0000000000001</f>
        <v>0.50500000000010004</v>
      </c>
      <c r="M61" s="83"/>
      <c r="N61" s="84"/>
      <c r="O61" s="84"/>
    </row>
    <row r="62" spans="2:69">
      <c r="I62" s="3">
        <v>4</v>
      </c>
      <c r="J62" s="4" t="s">
        <v>318</v>
      </c>
      <c r="K62" s="5" t="s">
        <v>88</v>
      </c>
      <c r="L62" s="599">
        <f>IF((L64&lt;1),1,(SMALL('Dinh muc'!$C$88:$I$88,COUNTIF('Dinh muc'!$C$88:$I$88,"&lt;="&amp;$L$64))))+0.00000000001</f>
        <v>3.00000000001</v>
      </c>
      <c r="M62" s="163"/>
      <c r="N62" s="163"/>
      <c r="O62" s="163"/>
    </row>
    <row r="63" spans="2:69">
      <c r="I63" s="3">
        <v>5</v>
      </c>
      <c r="J63" s="4" t="s">
        <v>319</v>
      </c>
      <c r="K63" s="5" t="s">
        <v>90</v>
      </c>
      <c r="L63" s="599">
        <f>IF(L64&gt;100,100,(LARGE('Dinh muc'!$C$88:$I$88,COUNTIF('Dinh muc'!$C$88:$I$88,"&gt;="&amp;$L$64))))+0.0000000000000001</f>
        <v>5</v>
      </c>
      <c r="M63" s="163"/>
      <c r="N63" s="163"/>
      <c r="O63" s="163"/>
    </row>
    <row r="64" spans="2:69">
      <c r="I64" s="6">
        <v>6</v>
      </c>
      <c r="J64" s="7" t="s">
        <v>320</v>
      </c>
      <c r="K64" s="8" t="s">
        <v>92</v>
      </c>
      <c r="L64" s="600">
        <f>C31/1000000000</f>
        <v>3.5999999999999996</v>
      </c>
      <c r="M64" s="86"/>
      <c r="N64" s="86"/>
      <c r="O64" s="86"/>
    </row>
    <row r="65" spans="9:69" ht="15">
      <c r="I65" s="1"/>
      <c r="J65" s="2"/>
      <c r="K65" s="1"/>
      <c r="L65" s="1"/>
      <c r="M65" s="1"/>
      <c r="N65" s="1"/>
      <c r="O65" s="1"/>
    </row>
    <row r="66" spans="9:69" ht="15">
      <c r="I66" s="1"/>
      <c r="J66" s="56"/>
      <c r="K66" s="1"/>
      <c r="L66" s="1"/>
      <c r="M66" s="1"/>
      <c r="N66" s="1"/>
      <c r="O66" s="1"/>
    </row>
    <row r="67" spans="9:69" ht="15">
      <c r="I67" s="1"/>
      <c r="J67" s="1"/>
      <c r="K67" s="1"/>
      <c r="L67" s="1"/>
      <c r="M67" s="1"/>
      <c r="N67" s="1"/>
      <c r="O67" s="1"/>
    </row>
    <row r="68" spans="9:69" ht="15">
      <c r="I68" s="1"/>
      <c r="J68" s="1"/>
      <c r="K68" s="1"/>
      <c r="L68" s="1"/>
      <c r="M68" s="1"/>
      <c r="N68" s="1"/>
      <c r="O68" s="1"/>
    </row>
    <row r="69" spans="9:69" ht="15">
      <c r="I69" s="1"/>
      <c r="J69" s="1"/>
      <c r="K69" s="1"/>
      <c r="L69" s="1"/>
      <c r="M69" s="1"/>
      <c r="N69" s="1"/>
      <c r="O69" s="1"/>
    </row>
    <row r="70" spans="9:69" ht="15">
      <c r="I70" s="1"/>
      <c r="J70" s="1"/>
      <c r="K70" s="1"/>
      <c r="L70" s="1"/>
      <c r="M70" s="1"/>
      <c r="N70" s="1"/>
      <c r="O70" s="1"/>
    </row>
    <row r="71" spans="9:69" ht="15">
      <c r="I71" s="1"/>
      <c r="J71" s="1"/>
      <c r="K71" s="1"/>
      <c r="L71" s="1"/>
      <c r="M71" s="1"/>
      <c r="N71" s="1"/>
      <c r="O71" s="1"/>
    </row>
    <row r="72" spans="9:69" ht="15">
      <c r="I72" s="1"/>
      <c r="J72" s="1"/>
      <c r="K72" s="1"/>
      <c r="L72" s="1"/>
      <c r="M72" s="1"/>
      <c r="N72" s="1"/>
      <c r="O72" s="1"/>
    </row>
    <row r="73" spans="9:69" ht="15">
      <c r="I73" s="1"/>
      <c r="J73" s="1"/>
      <c r="K73" s="1"/>
      <c r="L73" s="1"/>
      <c r="M73" s="1"/>
      <c r="N73" s="1"/>
      <c r="O73" s="1"/>
    </row>
    <row r="74" spans="9:69" ht="15">
      <c r="I74" s="1"/>
      <c r="J74" s="1"/>
      <c r="K74" s="1"/>
      <c r="L74" s="1"/>
      <c r="M74" s="1"/>
      <c r="N74" s="1"/>
      <c r="O74" s="1"/>
    </row>
    <row r="75" spans="9:69" ht="15">
      <c r="I75" s="1"/>
      <c r="J75" s="1"/>
      <c r="K75" s="1"/>
      <c r="L75" s="1"/>
      <c r="M75" s="1"/>
      <c r="N75" s="1"/>
      <c r="O75" s="1"/>
    </row>
    <row r="76" spans="9:69" ht="15">
      <c r="I76" s="1"/>
      <c r="J76" s="1"/>
      <c r="K76" s="1"/>
      <c r="L76" s="1"/>
      <c r="M76" s="1"/>
      <c r="N76" s="1"/>
      <c r="O76" s="1"/>
    </row>
    <row r="77" spans="9:69" ht="15">
      <c r="I77" s="1"/>
      <c r="J77" s="1"/>
      <c r="K77" s="1"/>
      <c r="L77" s="1"/>
      <c r="M77" s="1">
        <f>66197</f>
        <v>66197</v>
      </c>
      <c r="N77" s="1">
        <v>0.15</v>
      </c>
      <c r="O77" s="1">
        <f>N77*M77</f>
        <v>9929.5499999999993</v>
      </c>
    </row>
    <row r="78" spans="9:69" ht="15">
      <c r="I78" s="1"/>
      <c r="J78" s="55"/>
      <c r="K78" s="1"/>
      <c r="L78" s="1"/>
      <c r="M78" s="1"/>
      <c r="N78" s="1"/>
      <c r="O78" s="1"/>
    </row>
    <row r="79" spans="9:69" ht="15">
      <c r="I79" s="1"/>
      <c r="J79" s="1"/>
      <c r="K79" s="1"/>
      <c r="L79" s="1"/>
      <c r="M79" s="1"/>
      <c r="N79" s="1"/>
      <c r="O79" s="1"/>
    </row>
    <row r="80" spans="9:69" ht="15">
      <c r="I80" s="1"/>
      <c r="J80" s="1"/>
      <c r="K80" s="1"/>
      <c r="L80" s="1"/>
      <c r="M80" s="1"/>
      <c r="N80" s="1"/>
      <c r="O80" s="1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</row>
    <row r="81" spans="9:69" ht="15">
      <c r="I81" s="1"/>
      <c r="J81" s="1"/>
      <c r="K81" s="1"/>
      <c r="L81" s="1"/>
      <c r="M81" s="1"/>
      <c r="N81" s="1"/>
      <c r="O81" s="1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</row>
    <row r="82" spans="9:69" ht="15">
      <c r="I82" s="1"/>
      <c r="J82" s="1"/>
      <c r="K82" s="1"/>
      <c r="L82" s="1"/>
      <c r="M82" s="1"/>
      <c r="N82" s="1"/>
      <c r="O82" s="1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</row>
    <row r="83" spans="9:69" ht="15">
      <c r="I83" s="1"/>
      <c r="J83" s="1"/>
      <c r="K83" s="1"/>
      <c r="L83" s="1"/>
      <c r="M83" s="1"/>
      <c r="N83" s="1"/>
      <c r="O83" s="1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</row>
    <row r="84" spans="9:69" ht="15">
      <c r="I84" s="1"/>
      <c r="J84" s="1"/>
      <c r="K84" s="1"/>
      <c r="L84" s="1"/>
      <c r="M84" s="1"/>
      <c r="N84" s="1"/>
      <c r="O84" s="1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</row>
    <row r="85" spans="9:69" ht="15.75">
      <c r="I85" s="106"/>
      <c r="J85" s="106"/>
      <c r="K85" s="106"/>
      <c r="L85" s="106"/>
      <c r="M85" s="106"/>
      <c r="N85" s="106"/>
      <c r="O85" s="106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</row>
    <row r="86" spans="9:69" ht="15"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</row>
    <row r="87" spans="9:69" ht="18">
      <c r="P87" s="10" t="str">
        <f>"Đọc giá trị số thành chữ"</f>
        <v>Đọc giá trị số thành chữ</v>
      </c>
      <c r="Q87" s="37"/>
      <c r="R87" s="37"/>
      <c r="S87" s="11"/>
      <c r="T87" s="37"/>
      <c r="U87" s="37"/>
      <c r="V87" s="37"/>
      <c r="W87" s="37"/>
      <c r="X87" s="37"/>
      <c r="Y87" s="38"/>
    </row>
    <row r="88" spans="9:69" ht="18.75">
      <c r="P88" s="12" t="s">
        <v>146</v>
      </c>
      <c r="Q88" s="37"/>
      <c r="R88" s="37"/>
      <c r="S88" s="13" t="str">
        <f>"© VVC, modify by Tuan dt"</f>
        <v>© VVC, modify by Tuan dt</v>
      </c>
      <c r="T88" s="37"/>
      <c r="U88" s="37"/>
      <c r="V88" s="37"/>
      <c r="W88" s="37"/>
      <c r="X88" s="37"/>
      <c r="Y88" s="38"/>
    </row>
    <row r="89" spans="9:69" ht="18.75">
      <c r="P89" s="14"/>
      <c r="Q89" s="37"/>
      <c r="R89" s="37"/>
      <c r="S89" s="11" t="s">
        <v>146</v>
      </c>
      <c r="T89" s="37"/>
      <c r="U89" s="37"/>
      <c r="V89" s="37"/>
      <c r="W89" s="37" t="s">
        <v>146</v>
      </c>
      <c r="X89" s="37"/>
      <c r="Y89" s="38"/>
    </row>
    <row r="90" spans="9:69" ht="18">
      <c r="P90" s="37">
        <v>1</v>
      </c>
      <c r="Q90" s="37">
        <v>6</v>
      </c>
      <c r="R90" s="37"/>
      <c r="S90" s="11"/>
      <c r="T90" s="37"/>
      <c r="U90" s="37"/>
      <c r="V90" s="37"/>
      <c r="W90" s="37"/>
      <c r="X90" s="37"/>
      <c r="Y90" s="38"/>
    </row>
    <row r="91" spans="9:69" ht="18.75" thickBot="1">
      <c r="J91" s="55"/>
      <c r="P91" s="37"/>
      <c r="Q91" s="37"/>
      <c r="R91" s="37"/>
      <c r="S91" s="37"/>
      <c r="T91" s="37"/>
      <c r="U91" s="37"/>
      <c r="V91" s="37"/>
      <c r="W91" s="37"/>
      <c r="X91" s="37"/>
      <c r="Y91" s="38"/>
    </row>
    <row r="92" spans="9:69" ht="19.5" thickBot="1">
      <c r="P92" s="15" t="str">
        <f>"Giá trị số cần đổi:"</f>
        <v>Giá trị số cần đổi:</v>
      </c>
      <c r="Q92" s="39">
        <f>G37</f>
        <v>4245320000</v>
      </c>
      <c r="R92" s="379" t="str">
        <f>IF(ROUND(VALUE(10*(100*Q92-INT(100*Q92))),0)&gt;0,"Chỉ có 2 chữ số sau dấu phẩy","")</f>
        <v/>
      </c>
      <c r="S92" s="37"/>
      <c r="T92" s="37"/>
      <c r="U92" s="37"/>
      <c r="V92" s="37"/>
      <c r="W92" s="37"/>
      <c r="X92" s="37"/>
      <c r="Y92" s="38"/>
    </row>
    <row r="93" spans="9:69" ht="18.75">
      <c r="P93" s="40" t="s">
        <v>146</v>
      </c>
      <c r="Q93" s="16" t="str">
        <f ca="1">IF(Q92&gt;=1000000000000,"Công thức này chỉ có thể đếm thành chữ dưới 1000 tỷ",IF(ABS(Q92)&lt;1,"không",IF(Q92&lt;0,"âm ","")&amp;IF(Q95=0,"",R95)&amp;IF(AND(Q96=0,Q97=0),"",S96)&amp;IF(Q98=0,"",R98)&amp;IF(AND(Q99=0,Q100=0),"",S99)&amp;IF(Q101=0,"",R101)&amp;IF(AND(Q102=0,Q103=0),"",S102)&amp;IF(Q104=0,"",R104)&amp;IF(AND(Q105=0,Q106=0),"",IF(AND(Q105=0,Q106=1),"một",S105)))&amp;CELL("contents",V96))&amp;IF(T113=0,"",IF(P93=1,T112,S108))</f>
        <v>bốn tỷ, hai trăm bốn mươi năm triệu, ba trăm  hai mươi  nghìn  đồng chẵn</v>
      </c>
      <c r="R93" s="41"/>
      <c r="S93" s="41"/>
      <c r="T93" s="41"/>
      <c r="U93" s="41"/>
      <c r="V93" s="41"/>
      <c r="W93" s="41"/>
      <c r="X93" s="41"/>
      <c r="Y93" s="38"/>
    </row>
    <row r="94" spans="9:69" ht="18.75">
      <c r="P94" s="17" t="str">
        <f>"đếm từng chữ một"</f>
        <v>đếm từng chữ một</v>
      </c>
      <c r="Q94" s="18" t="str">
        <f>IF(Q92&lt;0,"minus   ","")&amp;SUBSTITUTE(SUBSTITUTE(SUBSTITUTE(SUBSTITUTE(Q110,8,"tám   "),9,"chín   "),",","phẩy   "),"-","")</f>
        <v xml:space="preserve">bốn   hai   bốn   năm   ba   hai   không   không   không   không   </v>
      </c>
      <c r="R94" s="42"/>
      <c r="S94" s="37"/>
      <c r="T94" s="37"/>
      <c r="U94" s="37"/>
      <c r="V94" s="37" t="s">
        <v>147</v>
      </c>
      <c r="W94" s="37"/>
      <c r="X94" s="37"/>
      <c r="Y94" s="38"/>
    </row>
    <row r="95" spans="9:69" ht="18.75">
      <c r="P95" s="17" t="str">
        <f>"hàng trăm tỷ"</f>
        <v>hàng trăm tỷ</v>
      </c>
      <c r="Q95" s="19">
        <f>VALUE(RIGHT(INT(ABS(Q92)/100000000000)))</f>
        <v>0</v>
      </c>
      <c r="R95" s="20" t="str">
        <f>IF(Q95=1,"một",IF(Q95=2,"hai",IF(Q95=3,"ba",IF(Q95=4,"bốn",IF(Q95=5,"năm",IF(Q95=6,"sáu",IF(Q95=7,"bẩy",IF(Q95=8,"tám","chín"))))))))&amp;" trăm "&amp;IF(AND(Q96=0,Q97=0),"tỷ","")</f>
        <v xml:space="preserve">chín trăm </v>
      </c>
      <c r="S95" s="31"/>
      <c r="T95" s="43"/>
      <c r="U95" s="37"/>
      <c r="V95" s="37">
        <v>1</v>
      </c>
      <c r="W95" s="37">
        <v>2</v>
      </c>
      <c r="X95" s="37">
        <v>3</v>
      </c>
      <c r="Y95" s="38"/>
    </row>
    <row r="96" spans="9:69" ht="18.75">
      <c r="P96" s="17" t="str">
        <f>"hàng chục tỷ"</f>
        <v>hàng chục tỷ</v>
      </c>
      <c r="Q96" s="19">
        <f>VALUE(RIGHT(INT(ABS(Q92)/10000000000)))</f>
        <v>0</v>
      </c>
      <c r="R96" s="20" t="str">
        <f>IF(Q96=1,"mười",IF(Q96=2," hai mươi",IF(Q96=3,"ba mươi",IF(Q96=4,"bốn mươi",IF(Q96=5,"năm mươi",IF(Q96=6,"sáu mươi",IF(Q96=7,"bẩy mươi",IF(Q96=8,"tám mươi","chín mươi"))))))))</f>
        <v>chín mươi</v>
      </c>
      <c r="S96" s="21" t="str">
        <f>IF(AND(Q96=0,Q97=1),"một tỷ ",IF(AND(Q96=1,Q97=1),"mười một",IF(AND(Q96=1,Q97=2),"mười hai",IF(AND(Q96=1,Q97=6),"mười sáu",IF(AND(Q96=1,Q97=7),"mười bẩy",IF(Q97=0,R96,IF(Q96=0,R97,R96&amp;IF(Q96&gt;1," ","")&amp;R97))))))&amp;" tỷ, ")</f>
        <v xml:space="preserve">bốn tỷ, </v>
      </c>
      <c r="T96" s="44"/>
      <c r="U96" s="37"/>
      <c r="V96" s="22" t="str">
        <f>INDEX(V97:X113,P90,2)</f>
        <v xml:space="preserve"> đồng chẵn</v>
      </c>
      <c r="W96" s="22" t="str">
        <f>INDEX(V97:X113,P90,3)</f>
        <v xml:space="preserve"> xu</v>
      </c>
      <c r="X96" s="37"/>
      <c r="Y96" s="38"/>
    </row>
    <row r="97" spans="16:25" ht="18.75">
      <c r="P97" s="17" t="str">
        <f>"hàng tỷ"</f>
        <v>hàng tỷ</v>
      </c>
      <c r="Q97" s="23">
        <f>VALUE(RIGHT(INT(ABS(Q92)/1000000000)))</f>
        <v>4</v>
      </c>
      <c r="R97" s="20" t="str">
        <f>IF(Q97=1,"một",IF(Q97=2,"hai",IF(Q97=3,"ba",IF(Q97=4,"bốn",IF(Q97=5,"năm",IF(Q97=6,"sáu",IF(Q97=7,"bẩy",IF(Q97=8,"tám","chín"))))))))</f>
        <v>bốn</v>
      </c>
      <c r="S97" s="45"/>
      <c r="T97" s="46"/>
      <c r="U97" s="37"/>
      <c r="V97" s="20" t="s">
        <v>149</v>
      </c>
      <c r="W97" s="20" t="s">
        <v>150</v>
      </c>
      <c r="X97" s="20" t="s">
        <v>151</v>
      </c>
      <c r="Y97" s="38"/>
    </row>
    <row r="98" spans="16:25" ht="18.75">
      <c r="P98" s="17" t="str">
        <f>"hàng trăm triệu"</f>
        <v>hàng trăm triệu</v>
      </c>
      <c r="Q98" s="24">
        <f>VALUE(RIGHT(INT(ABS(Q92)/100000000)))</f>
        <v>2</v>
      </c>
      <c r="R98" s="25" t="str">
        <f>IF(Q98=1,"một",IF(Q98=2,"hai",IF(Q98=3,"ba",IF(Q98=4,"bốn",IF(Q98=5,"năm",IF(Q98=6,"sáu",IF(Q98=7,"bẩy",IF(Q98=8,"tám","chín"))))))))&amp;" trăm "&amp;IF(AND(Q99=0,Q100=0),"triệu","")</f>
        <v xml:space="preserve">hai trăm </v>
      </c>
      <c r="S98" s="47"/>
      <c r="T98" s="48"/>
      <c r="U98" s="37"/>
      <c r="V98" s="20" t="s">
        <v>153</v>
      </c>
      <c r="W98" s="20" t="s">
        <v>154</v>
      </c>
      <c r="X98" s="20" t="s">
        <v>155</v>
      </c>
      <c r="Y98" s="38"/>
    </row>
    <row r="99" spans="16:25" ht="18.75">
      <c r="P99" s="17" t="str">
        <f>"hàng chục triệu"</f>
        <v>hàng chục triệu</v>
      </c>
      <c r="Q99" s="24">
        <f>VALUE(RIGHT(INT(ABS(Q92)/10000000)))</f>
        <v>4</v>
      </c>
      <c r="R99" s="25" t="str">
        <f>IF(Q99=1,"mười ",IF(Q99=2,"hai mươi",IF(Q99=3,"ba mươi",IF(Q99=4,"bốn mươi",IF(Q99=5,"năm mươi",IF(Q99=6,"sáu mươi",IF(Q99=7,"bẩy mươi",IF(Q99=8,"tám mươi","chín mươi"))))))))</f>
        <v>bốn mươi</v>
      </c>
      <c r="S99" s="26" t="str">
        <f>IF(AND(Q99=0,Q100=1),"một triệu",IF(AND(Q99=1,Q100=1),"mười một",IF(AND(Q99=1,Q100=2),"mười hai",IF(AND(Q99=1,Q100=6),"mười sáu",IF(AND(Q99=1,Q100=7),"mười bẩy",IF(Q100=0,R99,IF(Q99=0,"linh "&amp;R100,R99&amp;IF(Q99&gt;1," ","")&amp;R100))))))&amp;" triệu,")</f>
        <v>bốn mươi năm triệu,</v>
      </c>
      <c r="T99" s="49"/>
      <c r="U99" s="37"/>
      <c r="V99" s="20" t="s">
        <v>157</v>
      </c>
      <c r="W99" s="20" t="s">
        <v>158</v>
      </c>
      <c r="X99" s="20" t="s">
        <v>159</v>
      </c>
      <c r="Y99" s="38"/>
    </row>
    <row r="100" spans="16:25" ht="18.75">
      <c r="P100" s="17" t="str">
        <f>"hàng triệu"</f>
        <v>hàng triệu</v>
      </c>
      <c r="Q100" s="24">
        <f>VALUE(RIGHT(INT(ABS(Q92)/1000000)))</f>
        <v>5</v>
      </c>
      <c r="R100" s="25" t="str">
        <f>IF(Q100=1,"một",IF(Q100=2,"hai",IF(Q100=3,"ba",IF(Q100=4,"bốn",IF(Q100=5,"năm",IF(Q100=6,"sáu",IF(Q100=7,"bẩy",IF(Q100=8,"tám","chín"))))))))</f>
        <v>năm</v>
      </c>
      <c r="S100" s="26"/>
      <c r="T100" s="49"/>
      <c r="U100" s="37"/>
      <c r="V100" s="20" t="s">
        <v>161</v>
      </c>
      <c r="W100" s="20" t="s">
        <v>162</v>
      </c>
      <c r="X100" s="20" t="s">
        <v>163</v>
      </c>
      <c r="Y100" s="38"/>
    </row>
    <row r="101" spans="16:25" ht="18.75">
      <c r="P101" s="17" t="str">
        <f>"hàng trăm nghìn"</f>
        <v>hàng trăm nghìn</v>
      </c>
      <c r="Q101" s="27">
        <f>VALUE(RIGHT(INT(ABS(Q92)/100000)))</f>
        <v>3</v>
      </c>
      <c r="R101" s="20" t="str">
        <f>IF(Q101=1," một",IF(Q101=2," hai",IF(Q101=3," ba",IF(Q101=4," bốn",IF(Q101=5," năm",IF(Q101=6," sáu",IF(Q101=7," bẩy",IF(Q101=8," tám"," chín"))))))))&amp;" trăm "&amp;IF(AND(Q102=0,Q103=0)," nghìn","")</f>
        <v xml:space="preserve"> ba trăm </v>
      </c>
      <c r="S101" s="31"/>
      <c r="T101" s="43"/>
      <c r="U101" s="37"/>
      <c r="V101" s="20" t="s">
        <v>165</v>
      </c>
      <c r="W101" s="20" t="s">
        <v>166</v>
      </c>
      <c r="X101" s="20" t="s">
        <v>167</v>
      </c>
      <c r="Y101" s="38"/>
    </row>
    <row r="102" spans="16:25" ht="18.75">
      <c r="P102" s="17" t="str">
        <f>"hàng chục nghìn"</f>
        <v>hàng chục nghìn</v>
      </c>
      <c r="Q102" s="27">
        <f>VALUE(RIGHT(INT(ABS(Q92)/10000)))</f>
        <v>2</v>
      </c>
      <c r="R102" s="20" t="str">
        <f>IF(Q102=1,"mười ",IF(Q102=2," hai mươi ",IF(Q102=3," ba mươi ",IF(Q102=4," bốn mươi ",IF(Q102=5," năm mươi ",IF(Q102=6," sáu mươi ",IF(Q102=7," bẩy mươi ",IF(Q102=8," tám mươi "," chín mươi "))))))))</f>
        <v xml:space="preserve"> hai mươi </v>
      </c>
      <c r="S102" s="21" t="str">
        <f>IF(AND(Q102=1,Q103=1)," mười một",IF(AND(Q102=1,Q103=2)," mười hai",IF(AND(Q102=1,Q103=6)," mười sáu",IF(AND(Q102=1,Q103=7)," mười bẩy",IF(Q103=0,R102,IF(Q102=0,"linh"&amp;R103,R102&amp;IF(Q102&gt;1,"","")&amp;R103))))))&amp;" nghìn "</f>
        <v xml:space="preserve"> hai mươi  nghìn </v>
      </c>
      <c r="T102" s="44"/>
      <c r="U102" s="37"/>
      <c r="V102" s="20" t="s">
        <v>169</v>
      </c>
      <c r="W102" s="20" t="s">
        <v>170</v>
      </c>
      <c r="X102" s="20" t="s">
        <v>171</v>
      </c>
      <c r="Y102" s="38"/>
    </row>
    <row r="103" spans="16:25" ht="18.75">
      <c r="P103" s="17" t="str">
        <f>"hàng nghìn"</f>
        <v>hàng nghìn</v>
      </c>
      <c r="Q103" s="27">
        <f>VALUE(RIGHT(INT(ABS(Q92)/1000)))</f>
        <v>0</v>
      </c>
      <c r="R103" s="20" t="str">
        <f>IF(Q103=1," một",IF(Q103=2," hai",IF(Q103=3," ba",IF(Q103=4," bốn",IF(Q103=5," năm",IF(Q103=6," sáu",IF(Q103=7," bẩy",IF(Q103=8," tám"," chín"))))))))</f>
        <v xml:space="preserve"> chín</v>
      </c>
      <c r="S103" s="21"/>
      <c r="T103" s="44"/>
      <c r="U103" s="37"/>
      <c r="V103" s="20" t="s">
        <v>173</v>
      </c>
      <c r="W103" s="20" t="s">
        <v>174</v>
      </c>
      <c r="X103" s="20" t="s">
        <v>175</v>
      </c>
      <c r="Y103" s="38"/>
    </row>
    <row r="104" spans="16:25" ht="18.75">
      <c r="P104" s="17" t="str">
        <f>"hàng trăm"</f>
        <v>hàng trăm</v>
      </c>
      <c r="Q104" s="28">
        <f>VALUE(RIGHT(INT(ABS(Q92)/100)))</f>
        <v>0</v>
      </c>
      <c r="R104" s="29" t="str">
        <f>IF(Q104=1,"một",IF(Q104=2,"hai",IF(Q104=3,"ba",IF(Q104=4,"bốn",IF(Q104=5,"năm",IF(Q104=6,"sáu",IF(Q104=7,"bẩy",IF(Q104=8,"tám","chín"))))))))&amp;" trăm "</f>
        <v xml:space="preserve">chín trăm </v>
      </c>
      <c r="S104" s="50"/>
      <c r="T104" s="51"/>
      <c r="U104" s="37"/>
      <c r="V104" s="20" t="s">
        <v>177</v>
      </c>
      <c r="W104" s="20" t="s">
        <v>178</v>
      </c>
      <c r="X104" s="20" t="s">
        <v>155</v>
      </c>
      <c r="Y104" s="38"/>
    </row>
    <row r="105" spans="16:25" ht="18.75">
      <c r="P105" s="17" t="str">
        <f>"hàng chục"</f>
        <v>hàng chục</v>
      </c>
      <c r="Q105" s="28">
        <f>VALUE(RIGHT(INT(ABS(Q92)/10)))</f>
        <v>0</v>
      </c>
      <c r="R105" s="29" t="str">
        <f>IF(Q105=1,",mười ",IF(Q105=2,"hai mươi ",IF(Q105=3,"ba mươi ",IF(Q105=4,"bốn mươi ",IF(Q105=5,"năm mươi ",IF(Q105=6,"sáu mươi ",IF(Q105=7,"bẩy mươi ",IF(Q105=8,"tám mươi ","chín mươi "))))))))</f>
        <v xml:space="preserve">chín mươi </v>
      </c>
      <c r="S105" s="30" t="str">
        <f>IF(AND(Q105=1,Q106=1),"mười một",IF(AND(Q105=1,Q106=2),"mười hai",IF(AND(Q105=1,Q106=6),"mười sáu",IF(AND(Q105=1,Q106=7),"mười bẩy",IF(Q106=0,R105,IF(Q105=0,R106,IF(Q105&gt;1,"","")&amp;R105&amp;R106))))))</f>
        <v xml:space="preserve">chín mươi </v>
      </c>
      <c r="T105" s="52"/>
      <c r="U105" s="37"/>
      <c r="V105" s="20" t="s">
        <v>180</v>
      </c>
      <c r="W105" s="20" t="s">
        <v>181</v>
      </c>
      <c r="X105" s="20" t="s">
        <v>182</v>
      </c>
      <c r="Y105" s="38"/>
    </row>
    <row r="106" spans="16:25" ht="18.75">
      <c r="P106" s="17" t="str">
        <f>"hàng đơn vị"</f>
        <v>hàng đơn vị</v>
      </c>
      <c r="Q106" s="28">
        <f>VALUE(RIGHT(INT(ABS(Q92))))</f>
        <v>0</v>
      </c>
      <c r="R106" s="29" t="str">
        <f>IF(Q106=1,"một",IF(Q106=2,"hai",IF(Q106=3,"ba",IF(Q106=4,"bốn",IF(Q106=5,"năm",IF(Q106=6,"sáu",IF(Q106=7,"bẩy",IF(Q106=8,"tám","chín"))))))))</f>
        <v>chín</v>
      </c>
      <c r="S106" s="53"/>
      <c r="T106" s="54"/>
      <c r="U106" s="37"/>
      <c r="V106" s="20" t="s">
        <v>184</v>
      </c>
      <c r="W106" s="20" t="s">
        <v>185</v>
      </c>
      <c r="X106" s="20" t="s">
        <v>186</v>
      </c>
      <c r="Y106" s="38"/>
    </row>
    <row r="107" spans="16:25" ht="18.75">
      <c r="P107" s="17"/>
      <c r="Q107" s="12" t="str">
        <f>"Giá trị sau dấu phẩy"</f>
        <v>Giá trị sau dấu phẩy</v>
      </c>
      <c r="R107" s="37"/>
      <c r="S107" s="37"/>
      <c r="T107" s="37"/>
      <c r="U107" s="37"/>
      <c r="V107" s="20" t="s">
        <v>187</v>
      </c>
      <c r="W107" s="20" t="s">
        <v>188</v>
      </c>
      <c r="X107" s="20" t="s">
        <v>155</v>
      </c>
      <c r="Y107" s="38"/>
    </row>
    <row r="108" spans="16:25" ht="18.75">
      <c r="P108" s="17" t="str">
        <f>"hàng chục"</f>
        <v>hàng chục</v>
      </c>
      <c r="Q108" s="27">
        <f>VALUE(RIGHT(INT(ABS(T113)/10)))</f>
        <v>0</v>
      </c>
      <c r="R108" s="20" t="str">
        <f>IF(Q108=1,"mười",IF(Q108=2,"hai mươi",IF(Q108=3,"ba mươi",IF(Q108=4,"bốn mươi",IF(Q108=5,"năm mươi",IF(Q108=6,"sáu mươi",IF(Q108=7,"bẩy mươi",IF(Q108=8,"tám mươi","chín mươi"))))))))</f>
        <v>chín mươi</v>
      </c>
      <c r="S108" s="31" t="str">
        <f ca="1">" và "&amp;IF(T113&lt;10,"không ","")&amp;IF(T113=1,"một",IF(AND(Q108=1,Q109=1),"mười một",IF(AND(Q108=1,Q109=2),"mười hai",IF(AND(Q108=1,Q109=6),"mười sáu",IF(AND(Q108=1,Q109=7),"mười bẩy",IF(Q109=0,R108,IF(Q108=0,R109,R108&amp;IF(Q108&gt;1," ","")&amp;R109&amp;""))))))&amp;CELL("contents",W96))</f>
        <v xml:space="preserve"> và không chín mươi xu</v>
      </c>
      <c r="T108" s="43"/>
      <c r="U108" s="37"/>
      <c r="V108" s="20" t="s">
        <v>189</v>
      </c>
      <c r="W108" s="20" t="s">
        <v>190</v>
      </c>
      <c r="X108" s="20" t="s">
        <v>155</v>
      </c>
      <c r="Y108" s="38"/>
    </row>
    <row r="109" spans="16:25" ht="18.75">
      <c r="P109" s="17" t="str">
        <f>"hàng đơn vị"</f>
        <v>hàng đơn vị</v>
      </c>
      <c r="Q109" s="27">
        <f>VALUE(RIGHT(INT(ABS(T113))))</f>
        <v>0</v>
      </c>
      <c r="R109" s="20" t="str">
        <f>IF(Q109=1,"một",IF(Q109=2,"hai",IF(Q109=3,"ba",IF(Q109=4,"bốn",IF(Q109=5,"năm",IF(Q109=6,"sáu",IF(Q109=7,"bẩy",IF(Q109=8,"tám","chín"))))))))</f>
        <v>chín</v>
      </c>
      <c r="S109" s="45"/>
      <c r="T109" s="46"/>
      <c r="U109" s="37"/>
      <c r="V109" s="20"/>
      <c r="W109" s="20"/>
      <c r="X109" s="20"/>
      <c r="Y109" s="38"/>
    </row>
    <row r="110" spans="16:25" ht="18">
      <c r="P110" s="37"/>
      <c r="Q110" s="32" t="str">
        <f>SUBSTITUTE(SUBSTITUTE(SUBSTITUTE(SUBSTITUTE(SUBSTITUTE(SUBSTITUTE(SUBSTITUTE(SUBSTITUTE(Q92,0,"không   "),1,"một   "),2,"hai   "),3,"ba   "),4,"bốn   "),5,"năm   "),6,"sáu   "),7,"bẩy   ")</f>
        <v xml:space="preserve">bốn   hai   bốn   năm   ba   hai   không   không   không   không   </v>
      </c>
      <c r="R110" s="37"/>
      <c r="S110" s="37"/>
      <c r="T110" s="37"/>
      <c r="U110" s="37"/>
      <c r="V110" s="20"/>
      <c r="W110" s="20"/>
      <c r="X110" s="20"/>
      <c r="Y110" s="38"/>
    </row>
    <row r="111" spans="16:25" ht="18">
      <c r="P111" s="37"/>
      <c r="Q111" s="37"/>
      <c r="R111" s="37"/>
      <c r="S111" s="37"/>
      <c r="T111" s="37"/>
      <c r="U111" s="37"/>
      <c r="V111" s="20"/>
      <c r="W111" s="20"/>
      <c r="X111" s="20"/>
      <c r="Y111" s="38"/>
    </row>
    <row r="112" spans="16:25" ht="18">
      <c r="P112" s="37"/>
      <c r="Q112" s="33">
        <f>ABS(100*(MOD(Q92,1)-(Q92&lt;0)))</f>
        <v>0</v>
      </c>
      <c r="R112" s="37"/>
      <c r="S112" s="37"/>
      <c r="T112" s="34" t="str">
        <f>TEXT(T113,"   00")&amp;"/100"</f>
        <v xml:space="preserve">   00/100</v>
      </c>
      <c r="U112" s="37"/>
      <c r="V112" s="20"/>
      <c r="W112" s="20"/>
      <c r="X112" s="20"/>
      <c r="Y112" s="38"/>
    </row>
    <row r="113" spans="9:69" ht="18">
      <c r="I113" s="80"/>
      <c r="J113" s="80"/>
      <c r="K113" s="80"/>
      <c r="L113" s="80"/>
      <c r="M113" s="80"/>
      <c r="N113" s="80"/>
      <c r="O113" s="80"/>
      <c r="P113" s="37"/>
      <c r="Q113" s="35">
        <f>ROUND(100*(ABS(Q92)-INT(ABS(Q92))),0)</f>
        <v>0</v>
      </c>
      <c r="R113" s="37"/>
      <c r="S113" s="37"/>
      <c r="T113" s="36">
        <f>IF(P93=0,0,ROUND(100*(ABS(Q92)-INT(ABS(Q92))),0))</f>
        <v>0</v>
      </c>
      <c r="U113" s="37"/>
      <c r="V113" s="20"/>
      <c r="W113" s="20"/>
      <c r="X113" s="20"/>
      <c r="Y113" s="38"/>
    </row>
    <row r="114" spans="9:69" ht="15"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</row>
    <row r="115" spans="9:69" ht="15"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</row>
    <row r="116" spans="9:69" ht="15">
      <c r="I116" s="80"/>
      <c r="J116" s="80"/>
      <c r="K116" s="80"/>
      <c r="L116" s="80"/>
      <c r="M116" s="80"/>
      <c r="N116" s="80"/>
      <c r="O116" s="80"/>
    </row>
    <row r="117" spans="9:69" ht="15">
      <c r="I117" s="80"/>
      <c r="J117" s="80"/>
      <c r="K117" s="80"/>
      <c r="L117" s="80"/>
      <c r="M117" s="80"/>
      <c r="N117" s="80"/>
      <c r="O117" s="80"/>
    </row>
    <row r="118" spans="9:69" ht="15">
      <c r="I118" s="80"/>
      <c r="J118" s="80"/>
      <c r="K118" s="80"/>
      <c r="L118" s="80"/>
      <c r="M118" s="80"/>
      <c r="N118" s="80"/>
      <c r="O118" s="80"/>
    </row>
    <row r="119" spans="9:69" ht="15">
      <c r="I119" s="80"/>
      <c r="J119" s="80"/>
      <c r="K119" s="80"/>
      <c r="L119" s="80"/>
      <c r="M119" s="80"/>
      <c r="N119" s="80"/>
      <c r="O119" s="80"/>
    </row>
    <row r="147" spans="9:15" ht="15">
      <c r="I147" s="80"/>
      <c r="J147" s="80"/>
      <c r="K147" s="80"/>
      <c r="L147" s="80"/>
      <c r="M147" s="80"/>
      <c r="N147" s="80"/>
      <c r="O147" s="80"/>
    </row>
    <row r="148" spans="9:15" ht="15">
      <c r="I148" s="80"/>
      <c r="J148" s="80"/>
      <c r="K148" s="80"/>
      <c r="L148" s="80"/>
      <c r="M148" s="80"/>
      <c r="N148" s="80"/>
      <c r="O148" s="80"/>
    </row>
  </sheetData>
  <mergeCells count="20">
    <mergeCell ref="A10:G10"/>
    <mergeCell ref="A9:G9"/>
    <mergeCell ref="A2:G2"/>
    <mergeCell ref="A3:G3"/>
    <mergeCell ref="A4:B4"/>
    <mergeCell ref="A7:G7"/>
    <mergeCell ref="A8:G8"/>
    <mergeCell ref="E40:G40"/>
    <mergeCell ref="E41:G41"/>
    <mergeCell ref="E42:G42"/>
    <mergeCell ref="E49:G49"/>
    <mergeCell ref="A11:G11"/>
    <mergeCell ref="A12:B12"/>
    <mergeCell ref="A13:G13"/>
    <mergeCell ref="C14:C15"/>
    <mergeCell ref="E14:F15"/>
    <mergeCell ref="A16:A17"/>
    <mergeCell ref="B16:B17"/>
    <mergeCell ref="C16:C17"/>
    <mergeCell ref="E16:G16"/>
  </mergeCells>
  <pageMargins left="0.8" right="0" top="0.15" bottom="0.15" header="0.5" footer="0.5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BQ143"/>
  <sheetViews>
    <sheetView topLeftCell="A20" workbookViewId="0">
      <selection activeCell="I38" sqref="I38"/>
    </sheetView>
  </sheetViews>
  <sheetFormatPr defaultColWidth="8.85546875" defaultRowHeight="12.75"/>
  <cols>
    <col min="1" max="1" width="6" customWidth="1"/>
    <col min="2" max="2" width="30.28515625" customWidth="1"/>
    <col min="3" max="3" width="14.85546875" customWidth="1"/>
    <col min="4" max="4" width="9.28515625" customWidth="1"/>
    <col min="5" max="5" width="14.140625" customWidth="1"/>
    <col min="6" max="6" width="14.85546875" customWidth="1"/>
    <col min="7" max="7" width="15.42578125" customWidth="1"/>
    <col min="10" max="10" width="34.28515625" customWidth="1"/>
    <col min="11" max="11" width="11.28515625" customWidth="1"/>
    <col min="12" max="12" width="12.42578125" customWidth="1"/>
    <col min="13" max="13" width="12.140625" customWidth="1"/>
    <col min="14" max="14" width="13" customWidth="1"/>
    <col min="15" max="15" width="15.42578125" customWidth="1"/>
  </cols>
  <sheetData>
    <row r="1" spans="1:69" ht="18.75" customHeight="1">
      <c r="A1" s="133"/>
      <c r="B1" s="188" t="s">
        <v>334</v>
      </c>
      <c r="C1" s="188"/>
      <c r="D1" s="188"/>
      <c r="E1" s="188"/>
      <c r="F1" s="188"/>
      <c r="G1" s="189"/>
      <c r="H1" s="88"/>
    </row>
    <row r="2" spans="1:69" ht="17.25" customHeight="1">
      <c r="A2" s="133"/>
      <c r="B2" s="640" t="s">
        <v>335</v>
      </c>
      <c r="C2" s="190"/>
      <c r="D2" s="190"/>
      <c r="E2" s="190"/>
      <c r="F2" s="190"/>
      <c r="G2" s="190"/>
      <c r="H2" s="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ht="16.5">
      <c r="A3" s="133"/>
      <c r="B3" s="640" t="s">
        <v>336</v>
      </c>
      <c r="C3" s="190"/>
      <c r="D3" s="190"/>
      <c r="E3" s="190"/>
      <c r="F3" s="190"/>
      <c r="G3" s="190"/>
      <c r="H3" s="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ht="17.25" thickBot="1">
      <c r="A4" s="133"/>
      <c r="B4" s="191" t="s">
        <v>337</v>
      </c>
      <c r="C4" s="192"/>
      <c r="D4" s="192"/>
      <c r="E4" s="192"/>
      <c r="F4" s="192"/>
      <c r="G4" s="192"/>
      <c r="H4" s="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</row>
    <row r="5" spans="1:69" ht="17.25" thickTop="1">
      <c r="A5" s="704" t="s">
        <v>50</v>
      </c>
      <c r="B5" s="704"/>
      <c r="C5" s="704"/>
      <c r="D5" s="704"/>
      <c r="E5" s="704"/>
      <c r="F5" s="704"/>
      <c r="G5" s="704"/>
      <c r="H5" s="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69" ht="17.25" thickBot="1">
      <c r="A6" s="705"/>
      <c r="B6" s="705"/>
      <c r="C6" s="705"/>
      <c r="D6" s="705"/>
      <c r="E6" s="705"/>
      <c r="F6" s="705"/>
      <c r="G6" s="705"/>
      <c r="H6" s="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</row>
    <row r="7" spans="1:69" ht="19.5" thickTop="1">
      <c r="A7" s="710" t="s">
        <v>338</v>
      </c>
      <c r="B7" s="710"/>
      <c r="C7" s="710"/>
      <c r="D7" s="710"/>
      <c r="E7" s="710"/>
      <c r="F7" s="710"/>
      <c r="G7" s="710"/>
      <c r="H7" s="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ht="16.5">
      <c r="A8" s="706" t="s">
        <v>52</v>
      </c>
      <c r="B8" s="706"/>
      <c r="C8" s="323">
        <v>4000</v>
      </c>
      <c r="D8" s="61" t="s">
        <v>192</v>
      </c>
      <c r="E8" s="114" t="s">
        <v>54</v>
      </c>
      <c r="F8" s="115">
        <v>2000</v>
      </c>
      <c r="G8" s="111"/>
      <c r="H8" s="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</row>
    <row r="9" spans="1:69" ht="18.95" customHeight="1">
      <c r="A9" s="193" t="s">
        <v>58</v>
      </c>
      <c r="B9" s="194"/>
      <c r="C9" s="194"/>
      <c r="D9" s="195"/>
      <c r="E9" s="195"/>
      <c r="F9" s="195"/>
      <c r="G9" s="195"/>
      <c r="H9" s="1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</row>
    <row r="10" spans="1:69" ht="15" customHeight="1">
      <c r="A10" s="263" t="s">
        <v>201</v>
      </c>
      <c r="B10" s="198"/>
      <c r="C10" s="199"/>
      <c r="D10" s="199"/>
      <c r="E10" s="199"/>
      <c r="F10" s="199"/>
      <c r="G10" s="199"/>
      <c r="H10" s="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15" customHeight="1">
      <c r="A11" s="263" t="s">
        <v>339</v>
      </c>
      <c r="B11" s="198"/>
      <c r="C11" s="199"/>
      <c r="D11" s="199"/>
      <c r="E11" s="199"/>
      <c r="F11" s="199"/>
      <c r="G11" s="199"/>
      <c r="H11" s="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</row>
    <row r="12" spans="1:69" ht="16.5">
      <c r="A12" s="688" t="s">
        <v>61</v>
      </c>
      <c r="B12" s="688"/>
      <c r="C12" s="688"/>
      <c r="D12" s="688"/>
      <c r="E12" s="688"/>
      <c r="F12" s="688"/>
      <c r="G12" s="688"/>
      <c r="H12" s="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</row>
    <row r="13" spans="1:69" ht="15" customHeight="1">
      <c r="A13" s="693" t="s">
        <v>205</v>
      </c>
      <c r="B13" s="693"/>
      <c r="C13" s="693"/>
      <c r="D13" s="693"/>
      <c r="E13" s="693"/>
      <c r="F13" s="693"/>
      <c r="G13" s="693"/>
      <c r="H13" s="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</row>
    <row r="14" spans="1:69" ht="30" customHeight="1">
      <c r="A14" s="720" t="s">
        <v>340</v>
      </c>
      <c r="B14" s="720"/>
      <c r="C14" s="720"/>
      <c r="D14" s="720"/>
      <c r="E14" s="720"/>
      <c r="F14" s="720"/>
      <c r="G14" s="720"/>
      <c r="H14" s="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</row>
    <row r="15" spans="1:69" ht="16.5">
      <c r="A15" s="688" t="s">
        <v>65</v>
      </c>
      <c r="B15" s="688"/>
      <c r="C15" s="688"/>
      <c r="D15" s="688"/>
      <c r="E15" s="688"/>
      <c r="F15" s="688"/>
      <c r="G15" s="688"/>
      <c r="H15" s="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</row>
    <row r="16" spans="1:69" ht="15" customHeight="1">
      <c r="A16" s="200"/>
      <c r="B16" s="201" t="s">
        <v>66</v>
      </c>
      <c r="C16" s="324">
        <f>C8</f>
        <v>4000</v>
      </c>
      <c r="D16" s="225" t="str">
        <f>D8</f>
        <v>ha</v>
      </c>
      <c r="E16" s="201"/>
      <c r="F16" s="202"/>
      <c r="G16" s="203"/>
      <c r="H16" s="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</row>
    <row r="17" spans="1:69" ht="32.25" customHeight="1">
      <c r="A17" s="689" t="s">
        <v>341</v>
      </c>
      <c r="B17" s="690"/>
      <c r="C17" s="690"/>
      <c r="D17" s="690"/>
      <c r="E17" s="690"/>
      <c r="F17" s="690"/>
      <c r="G17" s="690"/>
      <c r="H17" s="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</row>
    <row r="18" spans="1:69" ht="23.25" customHeight="1">
      <c r="A18" s="204"/>
      <c r="B18" s="205" t="s">
        <v>68</v>
      </c>
      <c r="C18" s="691" t="s">
        <v>69</v>
      </c>
      <c r="D18" s="206" t="s">
        <v>70</v>
      </c>
      <c r="E18" s="692" t="s">
        <v>71</v>
      </c>
      <c r="F18" s="692"/>
      <c r="G18" s="203"/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</row>
    <row r="19" spans="1:69" ht="17.25" thickBot="1">
      <c r="A19" s="204"/>
      <c r="B19" s="200"/>
      <c r="C19" s="691"/>
      <c r="D19" s="210" t="s">
        <v>72</v>
      </c>
      <c r="E19" s="692"/>
      <c r="F19" s="692"/>
      <c r="G19" s="203"/>
      <c r="H19" s="1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</row>
    <row r="20" spans="1:69" ht="15" customHeight="1">
      <c r="A20" s="698" t="s">
        <v>26</v>
      </c>
      <c r="B20" s="696" t="s">
        <v>73</v>
      </c>
      <c r="C20" s="696" t="s">
        <v>74</v>
      </c>
      <c r="D20" s="314" t="s">
        <v>289</v>
      </c>
      <c r="E20" s="717" t="s">
        <v>342</v>
      </c>
      <c r="F20" s="718"/>
      <c r="G20" s="719"/>
      <c r="H20" s="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</row>
    <row r="21" spans="1:69" ht="15" customHeight="1" thickBot="1">
      <c r="A21" s="699"/>
      <c r="B21" s="697"/>
      <c r="C21" s="697"/>
      <c r="D21" s="317" t="s">
        <v>343</v>
      </c>
      <c r="E21" s="315" t="s">
        <v>344</v>
      </c>
      <c r="F21" s="315" t="s">
        <v>345</v>
      </c>
      <c r="G21" s="316" t="s">
        <v>346</v>
      </c>
      <c r="H21" s="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</row>
    <row r="22" spans="1:69" ht="15" customHeight="1">
      <c r="A22" s="327">
        <v>1</v>
      </c>
      <c r="B22" s="328" t="s">
        <v>81</v>
      </c>
      <c r="C22" s="329" t="s">
        <v>82</v>
      </c>
      <c r="D22" s="340" t="e">
        <f>L56</f>
        <v>#REF!</v>
      </c>
      <c r="E22" s="330" t="e">
        <f t="shared" ref="D22:G27" si="0">M56</f>
        <v>#REF!</v>
      </c>
      <c r="F22" s="330" t="e">
        <f t="shared" si="0"/>
        <v>#REF!</v>
      </c>
      <c r="G22" s="331" t="e">
        <f t="shared" si="0"/>
        <v>#REF!</v>
      </c>
      <c r="H22" s="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</row>
    <row r="23" spans="1:69" ht="15" customHeight="1">
      <c r="A23" s="332">
        <v>2</v>
      </c>
      <c r="B23" s="76" t="s">
        <v>347</v>
      </c>
      <c r="C23" s="333" t="s">
        <v>84</v>
      </c>
      <c r="D23" s="343" t="e">
        <f t="shared" si="0"/>
        <v>#REF!</v>
      </c>
      <c r="E23" s="334" t="e">
        <f t="shared" si="0"/>
        <v>#REF!</v>
      </c>
      <c r="F23" s="334" t="e">
        <f t="shared" si="0"/>
        <v>#REF!</v>
      </c>
      <c r="G23" s="335" t="e">
        <f t="shared" si="0"/>
        <v>#REF!</v>
      </c>
      <c r="H23" s="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</row>
    <row r="24" spans="1:69" ht="15" customHeight="1">
      <c r="A24" s="332">
        <v>3</v>
      </c>
      <c r="B24" s="76" t="s">
        <v>348</v>
      </c>
      <c r="C24" s="333" t="s">
        <v>86</v>
      </c>
      <c r="D24" s="343" t="e">
        <f t="shared" si="0"/>
        <v>#REF!</v>
      </c>
      <c r="E24" s="334" t="e">
        <f t="shared" si="0"/>
        <v>#REF!</v>
      </c>
      <c r="F24" s="334" t="e">
        <f t="shared" si="0"/>
        <v>#REF!</v>
      </c>
      <c r="G24" s="335" t="e">
        <f t="shared" si="0"/>
        <v>#REF!</v>
      </c>
      <c r="H24" s="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</row>
    <row r="25" spans="1:69" ht="15" customHeight="1">
      <c r="A25" s="332">
        <v>4</v>
      </c>
      <c r="B25" s="76" t="s">
        <v>87</v>
      </c>
      <c r="C25" s="333" t="s">
        <v>88</v>
      </c>
      <c r="D25" s="344" t="e">
        <f t="shared" si="0"/>
        <v>#REF!</v>
      </c>
      <c r="E25" s="345" t="e">
        <f t="shared" si="0"/>
        <v>#REF!</v>
      </c>
      <c r="F25" s="345" t="e">
        <f t="shared" si="0"/>
        <v>#REF!</v>
      </c>
      <c r="G25" s="346" t="e">
        <f t="shared" si="0"/>
        <v>#REF!</v>
      </c>
      <c r="H25" s="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</row>
    <row r="26" spans="1:69" ht="15" customHeight="1">
      <c r="A26" s="332">
        <v>5</v>
      </c>
      <c r="B26" s="76" t="s">
        <v>89</v>
      </c>
      <c r="C26" s="333" t="s">
        <v>90</v>
      </c>
      <c r="D26" s="344" t="e">
        <f t="shared" si="0"/>
        <v>#REF!</v>
      </c>
      <c r="E26" s="345" t="e">
        <f t="shared" si="0"/>
        <v>#REF!</v>
      </c>
      <c r="F26" s="345" t="e">
        <f t="shared" si="0"/>
        <v>#REF!</v>
      </c>
      <c r="G26" s="346" t="e">
        <f t="shared" si="0"/>
        <v>#REF!</v>
      </c>
      <c r="H26" s="1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</row>
    <row r="27" spans="1:69" ht="15" customHeight="1" thickBot="1">
      <c r="A27" s="336">
        <v>6</v>
      </c>
      <c r="B27" s="337" t="s">
        <v>91</v>
      </c>
      <c r="C27" s="338" t="s">
        <v>92</v>
      </c>
      <c r="D27" s="347">
        <f t="shared" si="0"/>
        <v>3999.9999999900001</v>
      </c>
      <c r="E27" s="348" t="e">
        <f t="shared" si="0"/>
        <v>#REF!</v>
      </c>
      <c r="F27" s="348" t="e">
        <f t="shared" si="0"/>
        <v>#REF!</v>
      </c>
      <c r="G27" s="349" t="e">
        <f t="shared" si="0"/>
        <v>#REF!</v>
      </c>
      <c r="H27" s="1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</row>
    <row r="28" spans="1:69" ht="15" customHeight="1" thickBot="1">
      <c r="A28" s="204"/>
      <c r="B28" s="207" t="s">
        <v>291</v>
      </c>
      <c r="C28" s="226" t="e">
        <f>D22*1000000</f>
        <v>#REF!</v>
      </c>
      <c r="D28" s="271" t="str">
        <f>"đồng/ha x "&amp;C16&amp;" ha ="</f>
        <v>đồng/ha x 4000 ha =</v>
      </c>
      <c r="E28" s="208"/>
      <c r="F28" s="209" t="e">
        <f>C28*D27</f>
        <v>#REF!</v>
      </c>
      <c r="G28" s="242" t="s">
        <v>94</v>
      </c>
      <c r="H28" s="1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</row>
    <row r="29" spans="1:69" ht="42.75">
      <c r="A29" s="170" t="s">
        <v>26</v>
      </c>
      <c r="B29" s="171" t="s">
        <v>96</v>
      </c>
      <c r="C29" s="171" t="s">
        <v>97</v>
      </c>
      <c r="D29" s="171" t="s">
        <v>98</v>
      </c>
      <c r="E29" s="171" t="s">
        <v>99</v>
      </c>
      <c r="F29" s="171" t="s">
        <v>100</v>
      </c>
      <c r="G29" s="172" t="s">
        <v>101</v>
      </c>
      <c r="H29" s="98"/>
      <c r="I29" s="88"/>
      <c r="J29" s="88"/>
      <c r="K29" s="88"/>
      <c r="L29" s="88"/>
      <c r="M29" s="88"/>
      <c r="N29" s="88"/>
      <c r="O29" s="88"/>
    </row>
    <row r="30" spans="1:69" ht="15" customHeight="1" thickBot="1">
      <c r="A30" s="244">
        <v>1</v>
      </c>
      <c r="B30" s="245">
        <v>2</v>
      </c>
      <c r="C30" s="245">
        <v>3</v>
      </c>
      <c r="D30" s="245">
        <v>4</v>
      </c>
      <c r="E30" s="245" t="s">
        <v>102</v>
      </c>
      <c r="F30" s="245" t="s">
        <v>103</v>
      </c>
      <c r="G30" s="246" t="s">
        <v>104</v>
      </c>
      <c r="H30" s="9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</row>
    <row r="31" spans="1:69" ht="15" customHeight="1">
      <c r="A31" s="251">
        <v>1</v>
      </c>
      <c r="B31" s="252" t="s">
        <v>105</v>
      </c>
      <c r="C31" s="253"/>
      <c r="D31" s="253"/>
      <c r="E31" s="253"/>
      <c r="F31" s="253"/>
      <c r="G31" s="254"/>
      <c r="H31" s="99"/>
      <c r="I31" s="88"/>
      <c r="J31" s="88"/>
      <c r="K31" s="88"/>
      <c r="L31" s="88"/>
      <c r="M31" s="88"/>
      <c r="N31" s="88"/>
      <c r="O31" s="88"/>
    </row>
    <row r="32" spans="1:69" ht="15" customHeight="1">
      <c r="A32" s="173" t="s">
        <v>106</v>
      </c>
      <c r="B32" s="64" t="s">
        <v>349</v>
      </c>
      <c r="C32" s="66" t="e">
        <f>F28</f>
        <v>#REF!</v>
      </c>
      <c r="D32" s="87">
        <v>1</v>
      </c>
      <c r="E32" s="65" t="e">
        <f>D32*C32</f>
        <v>#REF!</v>
      </c>
      <c r="F32" s="68" t="e">
        <f>E32*10%</f>
        <v>#REF!</v>
      </c>
      <c r="G32" s="176" t="e">
        <f>F32+E32</f>
        <v>#REF!</v>
      </c>
      <c r="H32" s="100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</row>
    <row r="33" spans="1:69" ht="15" customHeight="1">
      <c r="A33" s="175" t="s">
        <v>108</v>
      </c>
      <c r="B33" s="67" t="s">
        <v>242</v>
      </c>
      <c r="C33" s="213" t="e">
        <f>E32</f>
        <v>#REF!</v>
      </c>
      <c r="D33" s="309" t="e">
        <f>M56/100</f>
        <v>#REF!</v>
      </c>
      <c r="E33" s="68" t="e">
        <f>C33*D33</f>
        <v>#REF!</v>
      </c>
      <c r="F33" s="68" t="e">
        <f>E33*10%</f>
        <v>#REF!</v>
      </c>
      <c r="G33" s="176" t="e">
        <f>F33+E33</f>
        <v>#REF!</v>
      </c>
      <c r="H33" s="100"/>
      <c r="I33" s="88"/>
      <c r="J33" s="88"/>
      <c r="K33" s="88"/>
      <c r="L33" s="88"/>
      <c r="M33" s="88"/>
      <c r="N33" s="88"/>
      <c r="O33" s="88"/>
    </row>
    <row r="34" spans="1:69" ht="15" customHeight="1">
      <c r="A34" s="177"/>
      <c r="B34" s="63" t="s">
        <v>112</v>
      </c>
      <c r="C34" s="79"/>
      <c r="D34" s="310"/>
      <c r="E34" s="70"/>
      <c r="F34" s="71" t="e">
        <f>SUM(F32:F33)</f>
        <v>#REF!</v>
      </c>
      <c r="G34" s="178" t="e">
        <f>SUM(G32:G33)</f>
        <v>#REF!</v>
      </c>
      <c r="H34" s="101"/>
      <c r="I34" s="88"/>
      <c r="J34" s="88"/>
      <c r="K34" s="88"/>
      <c r="L34" s="88"/>
      <c r="M34" s="88"/>
      <c r="N34" s="88"/>
      <c r="O34" s="88"/>
    </row>
    <row r="35" spans="1:69" ht="15" customHeight="1">
      <c r="A35" s="180">
        <v>2</v>
      </c>
      <c r="B35" s="259" t="s">
        <v>113</v>
      </c>
      <c r="C35" s="73" t="e">
        <f>E33</f>
        <v>#REF!</v>
      </c>
      <c r="D35" s="376">
        <v>0.2</v>
      </c>
      <c r="E35" s="72"/>
      <c r="F35" s="73"/>
      <c r="G35" s="243" t="e">
        <f>D35*C35</f>
        <v>#REF!</v>
      </c>
      <c r="H35" s="100"/>
      <c r="I35" s="88"/>
      <c r="J35" s="88"/>
      <c r="K35" s="88"/>
      <c r="L35" s="88"/>
      <c r="M35" s="88"/>
      <c r="N35" s="88"/>
      <c r="O35" s="88"/>
    </row>
    <row r="36" spans="1:69" ht="15" customHeight="1">
      <c r="A36" s="180">
        <v>3</v>
      </c>
      <c r="B36" s="259" t="s">
        <v>350</v>
      </c>
      <c r="C36" s="73" t="e">
        <f>C33</f>
        <v>#REF!</v>
      </c>
      <c r="D36" s="341" t="e">
        <f>N56/100</f>
        <v>#REF!</v>
      </c>
      <c r="E36" s="72"/>
      <c r="F36" s="73"/>
      <c r="G36" s="243" t="e">
        <f>D36*C36</f>
        <v>#REF!</v>
      </c>
      <c r="H36" s="100"/>
      <c r="I36" s="88"/>
      <c r="J36" s="88"/>
      <c r="K36" s="88"/>
      <c r="L36" s="88"/>
      <c r="M36" s="88"/>
      <c r="N36" s="88"/>
      <c r="O36" s="88"/>
    </row>
    <row r="37" spans="1:69" ht="15" customHeight="1">
      <c r="A37" s="260">
        <v>4</v>
      </c>
      <c r="B37" s="261" t="s">
        <v>351</v>
      </c>
      <c r="C37" s="75" t="e">
        <f>C33</f>
        <v>#REF!</v>
      </c>
      <c r="D37" s="342" t="e">
        <f>O56/100</f>
        <v>#REF!</v>
      </c>
      <c r="E37" s="74"/>
      <c r="F37" s="75"/>
      <c r="G37" s="243" t="e">
        <f>D37*C37</f>
        <v>#REF!</v>
      </c>
      <c r="H37" s="100"/>
      <c r="I37" s="88"/>
      <c r="J37" s="88"/>
      <c r="K37" s="88"/>
      <c r="L37" s="88"/>
      <c r="M37" s="88"/>
      <c r="N37" s="88"/>
      <c r="O37" s="88"/>
    </row>
    <row r="38" spans="1:69" ht="29.25">
      <c r="A38" s="187">
        <v>5</v>
      </c>
      <c r="B38" s="224" t="s">
        <v>235</v>
      </c>
      <c r="C38" s="79" t="e">
        <f>C33</f>
        <v>#REF!</v>
      </c>
      <c r="D38" s="310">
        <v>0.03</v>
      </c>
      <c r="E38" s="78" t="e">
        <f>D38*C38</f>
        <v>#REF!</v>
      </c>
      <c r="F38" s="79" t="e">
        <f>E38*10%</f>
        <v>#REF!</v>
      </c>
      <c r="G38" s="179" t="e">
        <f>SUM(E38:F38)</f>
        <v>#REF!</v>
      </c>
      <c r="H38" s="100"/>
      <c r="I38" s="88"/>
      <c r="J38" s="88"/>
      <c r="K38" s="88"/>
      <c r="L38" s="88"/>
      <c r="M38" s="88"/>
      <c r="N38" s="88"/>
      <c r="O38" s="88"/>
    </row>
    <row r="39" spans="1:69" ht="15" customHeight="1" thickBot="1">
      <c r="A39" s="255"/>
      <c r="B39" s="256" t="s">
        <v>352</v>
      </c>
      <c r="C39" s="257"/>
      <c r="D39" s="257"/>
      <c r="E39" s="257"/>
      <c r="F39" s="216"/>
      <c r="G39" s="258" t="e">
        <f>SUM(G35:G38)</f>
        <v>#REF!</v>
      </c>
      <c r="H39" s="102"/>
      <c r="I39" s="88"/>
      <c r="J39" s="88"/>
      <c r="K39" s="88"/>
      <c r="L39" s="88"/>
      <c r="M39" s="88"/>
      <c r="N39" s="88"/>
      <c r="O39" s="88"/>
    </row>
    <row r="40" spans="1:69" ht="15" customHeight="1" thickBot="1">
      <c r="A40" s="247"/>
      <c r="B40" s="248" t="s">
        <v>127</v>
      </c>
      <c r="C40" s="249"/>
      <c r="D40" s="249"/>
      <c r="E40" s="249"/>
      <c r="F40" s="262"/>
      <c r="G40" s="250" t="e">
        <f>ROUND(G39+G34,-3)</f>
        <v>#REF!</v>
      </c>
      <c r="H40" s="104"/>
      <c r="I40" s="88"/>
      <c r="J40" s="88"/>
      <c r="K40" s="88"/>
      <c r="L40" s="88"/>
      <c r="M40" s="88"/>
      <c r="N40" s="88"/>
      <c r="O40" s="88"/>
    </row>
    <row r="41" spans="1:69" ht="15" customHeight="1">
      <c r="A41" s="228" t="e">
        <f ca="1">CONCATENATE("Bằng chữ :  ",UPPER(LEFT(Q100))&amp;RIGHT(Q100,LEN(Q100)-1))</f>
        <v>#REF!</v>
      </c>
      <c r="B41" s="169"/>
      <c r="C41" s="169"/>
      <c r="D41" s="169"/>
      <c r="E41" s="169"/>
      <c r="F41" s="169"/>
      <c r="G41" s="169"/>
      <c r="H41" s="105"/>
      <c r="I41" s="88"/>
      <c r="J41" s="88"/>
      <c r="K41" s="88"/>
      <c r="L41" s="88"/>
      <c r="M41" s="88"/>
      <c r="N41" s="88"/>
      <c r="O41" s="88"/>
      <c r="P41" s="1"/>
    </row>
    <row r="42" spans="1:69" ht="16.5">
      <c r="E42" s="721" t="s">
        <v>353</v>
      </c>
      <c r="F42" s="721"/>
      <c r="G42" s="721"/>
      <c r="I42" s="88"/>
      <c r="J42" s="88"/>
      <c r="K42" s="88"/>
      <c r="L42" s="88"/>
      <c r="M42" s="88"/>
      <c r="N42" s="88"/>
      <c r="O42" s="88"/>
      <c r="P42" s="1"/>
    </row>
    <row r="43" spans="1:69" ht="16.5">
      <c r="E43" s="212" t="s">
        <v>280</v>
      </c>
      <c r="F43" s="212"/>
      <c r="G43" s="133"/>
      <c r="H43" s="57"/>
      <c r="I43" s="88"/>
      <c r="J43" s="88"/>
      <c r="K43" s="88"/>
      <c r="L43" s="88"/>
      <c r="M43" s="88"/>
      <c r="N43" s="88"/>
      <c r="O43" s="88"/>
      <c r="P43" s="1"/>
    </row>
    <row r="44" spans="1:69" ht="16.5">
      <c r="B44" s="339"/>
      <c r="E44" s="686" t="s">
        <v>354</v>
      </c>
      <c r="F44" s="686"/>
      <c r="G44" s="686"/>
      <c r="I44" s="88"/>
      <c r="J44" s="88"/>
      <c r="K44" s="88"/>
      <c r="L44" s="88"/>
      <c r="M44" s="88"/>
      <c r="N44" s="88"/>
      <c r="O44" s="88"/>
      <c r="P44" s="1"/>
    </row>
    <row r="45" spans="1:69" ht="16.5">
      <c r="E45" s="133"/>
      <c r="F45" s="133"/>
      <c r="G45" s="133"/>
      <c r="I45" s="88"/>
      <c r="J45" s="88"/>
      <c r="K45" s="88"/>
      <c r="L45" s="88"/>
      <c r="M45" s="88"/>
      <c r="N45" s="88"/>
      <c r="O45" s="88"/>
      <c r="P45" s="1"/>
    </row>
    <row r="46" spans="1:69" ht="16.5">
      <c r="E46" s="133"/>
      <c r="F46" s="133"/>
      <c r="G46" s="133"/>
      <c r="I46" s="88"/>
      <c r="J46" s="88"/>
      <c r="K46" s="88"/>
      <c r="L46" s="88"/>
      <c r="M46" s="88"/>
      <c r="N46" s="88"/>
      <c r="O46" s="8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6.5">
      <c r="E47" s="133"/>
      <c r="F47" s="133"/>
      <c r="G47" s="133"/>
      <c r="I47" s="88"/>
      <c r="J47" s="88"/>
      <c r="K47" s="88"/>
      <c r="L47" s="88"/>
      <c r="M47" s="88"/>
      <c r="N47" s="88"/>
      <c r="O47" s="8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6.5">
      <c r="E48" s="133"/>
      <c r="F48" s="133"/>
      <c r="G48" s="133"/>
      <c r="I48" s="88"/>
      <c r="J48" s="88"/>
      <c r="K48" s="88"/>
      <c r="L48" s="88"/>
      <c r="M48" s="88"/>
      <c r="N48" s="88"/>
      <c r="O48" s="8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69" ht="16.5">
      <c r="E49" s="133"/>
      <c r="F49" s="133"/>
      <c r="G49" s="133"/>
      <c r="I49" s="88"/>
      <c r="J49" s="88"/>
      <c r="K49" s="88"/>
      <c r="L49" s="88"/>
      <c r="M49" s="88"/>
      <c r="N49" s="88"/>
      <c r="O49" s="8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69" ht="16.5">
      <c r="E50" s="711"/>
      <c r="F50" s="711"/>
      <c r="G50" s="133"/>
      <c r="I50" s="88"/>
      <c r="J50" s="88"/>
      <c r="K50" s="88"/>
      <c r="L50" s="88"/>
      <c r="M50" s="88"/>
      <c r="N50" s="88"/>
      <c r="O50" s="8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2:69" ht="16.5">
      <c r="B51" s="339"/>
      <c r="E51" s="686" t="s">
        <v>355</v>
      </c>
      <c r="F51" s="686"/>
      <c r="G51" s="68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2:69" ht="16.5">
      <c r="B52" s="339"/>
      <c r="I52" s="88"/>
      <c r="J52" s="88"/>
      <c r="K52" s="88"/>
      <c r="L52" s="88"/>
      <c r="M52" s="88"/>
      <c r="N52" s="88"/>
      <c r="O52" s="8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2:69" ht="15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2:69" ht="16.5">
      <c r="I54" s="90"/>
      <c r="J54" s="9" t="s">
        <v>246</v>
      </c>
      <c r="K54" s="88"/>
      <c r="L54" s="88"/>
      <c r="M54" s="88"/>
      <c r="N54" s="88"/>
      <c r="O54" s="8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2:69" ht="15">
      <c r="I55" s="91" t="s">
        <v>132</v>
      </c>
      <c r="J55" s="92" t="s">
        <v>73</v>
      </c>
      <c r="K55" s="91" t="s">
        <v>74</v>
      </c>
      <c r="L55" s="92" t="s">
        <v>356</v>
      </c>
      <c r="M55" s="92" t="s">
        <v>357</v>
      </c>
      <c r="N55" s="92" t="s">
        <v>358</v>
      </c>
      <c r="O55" s="92" t="s">
        <v>359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2:69" ht="15.75">
      <c r="I56" s="93">
        <v>1</v>
      </c>
      <c r="J56" s="94" t="s">
        <v>236</v>
      </c>
      <c r="K56" s="95" t="s">
        <v>82</v>
      </c>
      <c r="L56" s="96" t="e">
        <f>ROUND(((L57-L58)/(L59-L60)*(L61-L60)+L58),3)</f>
        <v>#REF!</v>
      </c>
      <c r="M56" s="96" t="e">
        <f>ROUND(((M57-M58)/(M59-M60)*(M61-M60)+M58),3)</f>
        <v>#REF!</v>
      </c>
      <c r="N56" s="96" t="e">
        <f>ROUND(((N57-N58)/(N59-N60)*(N61-N60)+N58),3)</f>
        <v>#REF!</v>
      </c>
      <c r="O56" s="96" t="e">
        <f>ROUND(((O57-O58)/(O59-O60)*(O61-O60)+O58),3)</f>
        <v>#REF!</v>
      </c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</row>
    <row r="57" spans="2:69" ht="15.75">
      <c r="I57" s="3">
        <v>2</v>
      </c>
      <c r="J57" s="120" t="s">
        <v>360</v>
      </c>
      <c r="K57" s="5" t="s">
        <v>84</v>
      </c>
      <c r="L57" s="82" t="e">
        <f xml:space="preserve"> LOOKUP(L59,#REF!)</f>
        <v>#REF!</v>
      </c>
      <c r="M57" s="83" t="e">
        <f xml:space="preserve">  LOOKUP(M59,#REF!)</f>
        <v>#REF!</v>
      </c>
      <c r="N57" s="84" t="e">
        <f xml:space="preserve"> LOOKUP(N59,#REF!)</f>
        <v>#REF!</v>
      </c>
      <c r="O57" s="84" t="e">
        <f xml:space="preserve"> LOOKUP(O59,#REF!)</f>
        <v>#REF!</v>
      </c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</row>
    <row r="58" spans="2:69" ht="26.25">
      <c r="I58" s="3">
        <v>3</v>
      </c>
      <c r="J58" s="4" t="s">
        <v>361</v>
      </c>
      <c r="K58" s="5" t="s">
        <v>86</v>
      </c>
      <c r="L58" s="82" t="e">
        <f xml:space="preserve"> LOOKUP(L60,#REF!)</f>
        <v>#REF!</v>
      </c>
      <c r="M58" s="83" t="e">
        <f xml:space="preserve"> LOOKUP(M60,#REF!)</f>
        <v>#REF!</v>
      </c>
      <c r="N58" s="84" t="e">
        <f xml:space="preserve"> LOOKUP(N60,#REF!)</f>
        <v>#REF!</v>
      </c>
      <c r="O58" s="84" t="e">
        <f xml:space="preserve"> LOOKUP(O60,#REF!)</f>
        <v>#REF!</v>
      </c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</row>
    <row r="59" spans="2:69" ht="15.75">
      <c r="I59" s="3">
        <v>4</v>
      </c>
      <c r="J59" s="4" t="s">
        <v>225</v>
      </c>
      <c r="K59" s="5" t="s">
        <v>88</v>
      </c>
      <c r="L59" s="81" t="e">
        <f>SMALL(#REF!,COUNTIF(#REF!, "&lt;="&amp;$L$61))</f>
        <v>#REF!</v>
      </c>
      <c r="M59" s="83" t="e">
        <f>SMALL(#REF!,COUNTIF(#REF!,"&lt;="&amp; $M$61))</f>
        <v>#REF!</v>
      </c>
      <c r="N59" s="81" t="e">
        <f>M59</f>
        <v>#REF!</v>
      </c>
      <c r="O59" s="81" t="e">
        <f>M59</f>
        <v>#REF!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</row>
    <row r="60" spans="2:69">
      <c r="I60" s="3">
        <v>5</v>
      </c>
      <c r="J60" s="4" t="s">
        <v>226</v>
      </c>
      <c r="K60" s="5" t="s">
        <v>90</v>
      </c>
      <c r="L60" s="81" t="e">
        <f>LARGE(#REF!,COUNTIF(#REF!, "&gt;"&amp;$L$61))</f>
        <v>#REF!</v>
      </c>
      <c r="M60" s="83" t="e">
        <f>LARGE(#REF!,COUNTIF(#REF!,"&gt;="&amp; $M$61))</f>
        <v>#REF!</v>
      </c>
      <c r="N60" s="81" t="e">
        <f>M60</f>
        <v>#REF!</v>
      </c>
      <c r="O60" s="81" t="e">
        <f>M60</f>
        <v>#REF!</v>
      </c>
    </row>
    <row r="61" spans="2:69">
      <c r="I61" s="6">
        <v>6</v>
      </c>
      <c r="J61" s="7" t="s">
        <v>227</v>
      </c>
      <c r="K61" s="8" t="s">
        <v>92</v>
      </c>
      <c r="L61" s="85">
        <f>C8-0.00000001</f>
        <v>3999.9999999900001</v>
      </c>
      <c r="M61" s="86" t="e">
        <f>E32/1000000</f>
        <v>#REF!</v>
      </c>
      <c r="N61" s="85" t="e">
        <f>M61</f>
        <v>#REF!</v>
      </c>
      <c r="O61" s="85" t="e">
        <f>M61</f>
        <v>#REF!</v>
      </c>
    </row>
    <row r="62" spans="2:69" ht="15">
      <c r="I62" s="1"/>
      <c r="J62" s="2"/>
      <c r="K62" s="1"/>
      <c r="L62" s="1"/>
      <c r="M62" s="1"/>
      <c r="N62" s="1"/>
      <c r="O62" s="1"/>
    </row>
    <row r="63" spans="2:69" ht="15">
      <c r="I63" s="1"/>
      <c r="J63" s="1"/>
      <c r="K63" s="1"/>
      <c r="L63" s="55"/>
      <c r="M63" s="1"/>
      <c r="N63" s="1"/>
      <c r="O63" s="1"/>
    </row>
    <row r="64" spans="2:69" ht="15">
      <c r="I64" s="1"/>
      <c r="J64" s="1"/>
      <c r="K64" s="1"/>
      <c r="L64" s="1"/>
      <c r="M64" s="1"/>
      <c r="N64" s="1"/>
      <c r="O64" s="1"/>
    </row>
    <row r="65" spans="9:15" ht="15">
      <c r="I65" s="1"/>
      <c r="J65" s="1"/>
      <c r="K65" s="1"/>
      <c r="L65" s="1"/>
      <c r="M65" s="1"/>
      <c r="N65" s="1"/>
      <c r="O65" s="1"/>
    </row>
    <row r="66" spans="9:15" ht="15">
      <c r="I66" s="1"/>
      <c r="J66" s="1"/>
      <c r="K66" s="1"/>
      <c r="L66" s="1"/>
      <c r="M66" s="1"/>
      <c r="N66" s="1"/>
      <c r="O66" s="1"/>
    </row>
    <row r="67" spans="9:15" ht="15">
      <c r="I67" s="1"/>
      <c r="J67" s="1"/>
      <c r="K67" s="1"/>
      <c r="L67" s="1"/>
      <c r="M67" s="1"/>
      <c r="N67" s="1"/>
      <c r="O67" s="1"/>
    </row>
    <row r="68" spans="9:15" ht="15">
      <c r="I68" s="1"/>
      <c r="J68" s="1"/>
      <c r="K68" s="1"/>
      <c r="L68" s="1"/>
      <c r="M68" s="1"/>
      <c r="N68" s="1"/>
      <c r="O68" s="1"/>
    </row>
    <row r="69" spans="9:15" ht="15">
      <c r="I69" s="1"/>
      <c r="J69" s="1"/>
      <c r="K69" s="1"/>
      <c r="L69" s="1"/>
      <c r="M69" s="1"/>
      <c r="N69" s="1"/>
      <c r="O69" s="1"/>
    </row>
    <row r="70" spans="9:15" ht="15">
      <c r="I70" s="1"/>
      <c r="J70" s="1"/>
      <c r="K70" s="1"/>
      <c r="L70" s="1"/>
      <c r="M70" s="1"/>
      <c r="N70" s="1"/>
      <c r="O70" s="1"/>
    </row>
    <row r="71" spans="9:15" ht="15">
      <c r="I71" s="1"/>
      <c r="J71" s="1"/>
      <c r="K71" s="1"/>
      <c r="L71" s="1"/>
      <c r="M71" s="1"/>
      <c r="N71" s="1"/>
      <c r="O71" s="1"/>
    </row>
    <row r="72" spans="9:15" ht="15">
      <c r="I72" s="1"/>
      <c r="J72" s="1"/>
      <c r="K72" s="1"/>
      <c r="L72" s="1"/>
      <c r="M72" s="1"/>
      <c r="N72" s="1"/>
      <c r="O72" s="1"/>
    </row>
    <row r="73" spans="9:15" ht="15">
      <c r="I73" s="1"/>
      <c r="J73" s="1"/>
      <c r="K73" s="1"/>
      <c r="L73" s="1"/>
      <c r="M73" s="1"/>
      <c r="N73" s="1"/>
      <c r="O73" s="1"/>
    </row>
    <row r="74" spans="9:15" ht="15">
      <c r="I74" s="1"/>
      <c r="J74" s="1"/>
      <c r="K74" s="1"/>
      <c r="L74" s="1"/>
      <c r="M74" s="1"/>
      <c r="N74" s="1"/>
      <c r="O74" s="1"/>
    </row>
    <row r="75" spans="9:15" ht="15">
      <c r="I75" s="1"/>
      <c r="J75" s="1"/>
      <c r="K75" s="1"/>
      <c r="L75" s="1"/>
      <c r="M75" s="1"/>
      <c r="N75" s="1"/>
      <c r="O75" s="1"/>
    </row>
    <row r="76" spans="9:15" ht="15">
      <c r="I76" s="1"/>
      <c r="J76" s="1"/>
      <c r="K76" s="1"/>
      <c r="L76" s="1"/>
      <c r="M76" s="1"/>
      <c r="N76" s="1"/>
      <c r="O76" s="1"/>
    </row>
    <row r="77" spans="9:15" ht="15">
      <c r="I77" s="1"/>
      <c r="J77" s="1"/>
      <c r="K77" s="1"/>
      <c r="L77" s="1"/>
      <c r="M77" s="1"/>
      <c r="N77" s="1"/>
      <c r="O77" s="1"/>
    </row>
    <row r="78" spans="9:15" ht="15.75">
      <c r="I78" s="103"/>
      <c r="J78" s="103"/>
      <c r="K78" s="103"/>
      <c r="L78" s="103"/>
      <c r="M78" s="103"/>
      <c r="N78" s="103"/>
      <c r="O78" s="103"/>
    </row>
    <row r="79" spans="9:15" ht="15.75">
      <c r="I79" s="103"/>
      <c r="J79" s="103"/>
      <c r="K79" s="103"/>
      <c r="L79" s="103"/>
      <c r="M79" s="103"/>
      <c r="N79" s="103"/>
      <c r="O79" s="103"/>
    </row>
    <row r="80" spans="9:15" ht="15.75">
      <c r="I80" s="106"/>
      <c r="J80" s="106"/>
      <c r="K80" s="106"/>
      <c r="L80" s="106"/>
      <c r="M80" s="106"/>
      <c r="N80" s="106"/>
      <c r="O80" s="106"/>
    </row>
    <row r="81" spans="9:69" ht="15.75">
      <c r="I81" s="106"/>
      <c r="J81" s="106"/>
      <c r="K81" s="106"/>
      <c r="L81" s="106"/>
      <c r="M81" s="106"/>
      <c r="N81" s="106"/>
      <c r="O81" s="106"/>
    </row>
    <row r="87" spans="9:69" ht="15">
      <c r="J87" s="55"/>
    </row>
    <row r="93" spans="9:69" ht="15"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</row>
    <row r="94" spans="9:69" ht="18">
      <c r="P94" s="10" t="str">
        <f>"Đọc giá trị số thành chữ"</f>
        <v>Đọc giá trị số thành chữ</v>
      </c>
      <c r="Q94" s="37"/>
      <c r="R94" s="37"/>
      <c r="S94" s="11"/>
      <c r="T94" s="37"/>
      <c r="U94" s="37"/>
      <c r="V94" s="37"/>
      <c r="W94" s="37"/>
      <c r="X94" s="37"/>
      <c r="Y94" s="38"/>
    </row>
    <row r="95" spans="9:69" ht="18.75">
      <c r="P95" s="12" t="s">
        <v>146</v>
      </c>
      <c r="Q95" s="37"/>
      <c r="R95" s="37"/>
      <c r="S95" s="13" t="str">
        <f>"© VVC, modify by Tuan dt"</f>
        <v>© VVC, modify by Tuan dt</v>
      </c>
      <c r="T95" s="37"/>
      <c r="U95" s="37"/>
      <c r="V95" s="37"/>
      <c r="W95" s="37"/>
      <c r="X95" s="37"/>
      <c r="Y95" s="38"/>
    </row>
    <row r="96" spans="9:69" ht="18.75">
      <c r="P96" s="14"/>
      <c r="Q96" s="37"/>
      <c r="R96" s="37"/>
      <c r="S96" s="11" t="s">
        <v>146</v>
      </c>
      <c r="T96" s="37"/>
      <c r="U96" s="37"/>
      <c r="V96" s="37"/>
      <c r="W96" s="37" t="s">
        <v>146</v>
      </c>
      <c r="X96" s="37"/>
      <c r="Y96" s="38"/>
    </row>
    <row r="97" spans="16:25" ht="18">
      <c r="P97" s="37">
        <v>1</v>
      </c>
      <c r="Q97" s="37">
        <v>6</v>
      </c>
      <c r="R97" s="37"/>
      <c r="S97" s="11"/>
      <c r="T97" s="37"/>
      <c r="U97" s="37"/>
      <c r="V97" s="37"/>
      <c r="W97" s="37"/>
      <c r="X97" s="37"/>
      <c r="Y97" s="38"/>
    </row>
    <row r="98" spans="16:25" ht="18.75" thickBot="1">
      <c r="P98" s="37"/>
      <c r="Q98" s="37"/>
      <c r="R98" s="37"/>
      <c r="S98" s="37"/>
      <c r="T98" s="37"/>
      <c r="U98" s="37"/>
      <c r="V98" s="37"/>
      <c r="W98" s="37"/>
      <c r="X98" s="37"/>
      <c r="Y98" s="38"/>
    </row>
    <row r="99" spans="16:25" ht="19.5" thickBot="1">
      <c r="P99" s="15" t="str">
        <f>"Giá trị số cần đổi:"</f>
        <v>Giá trị số cần đổi:</v>
      </c>
      <c r="Q99" s="39" t="e">
        <f>G40</f>
        <v>#REF!</v>
      </c>
      <c r="R99" s="379" t="e">
        <f>IF(ROUND(VALUE(10*(100*Q99-INT(100*Q99))),0)&gt;0,"Chỉ có 2 chữ số sau dấu phẩy","")</f>
        <v>#REF!</v>
      </c>
      <c r="S99" s="37"/>
      <c r="T99" s="37"/>
      <c r="U99" s="37"/>
      <c r="V99" s="37"/>
      <c r="W99" s="37"/>
      <c r="X99" s="37"/>
      <c r="Y99" s="38"/>
    </row>
    <row r="100" spans="16:25" ht="18.75">
      <c r="P100" s="40" t="s">
        <v>146</v>
      </c>
      <c r="Q100" s="16" t="e">
        <f ca="1">IF(Q99&gt;=1000000000000,"Công thức này chỉ có thể đếm thành chữ dưới 1000 tỷ",IF(ABS(Q99)&lt;1,"không",IF(Q99&lt;0,"âm ","")&amp;IF(Q102=0,"",R102)&amp;IF(AND(Q103=0,Q104=0),"",S103)&amp;IF(Q105=0,"",R105)&amp;IF(AND(Q106=0,Q107=0),"",S106)&amp;IF(Q108=0,"",R108)&amp;IF(AND(Q109=0,Q110=0),"",S109)&amp;IF(Q111=0,"",R111)&amp;IF(AND(Q112=0,Q113=0),"",IF(AND(Q112=0,Q113=1),"một",S112)))&amp;CELL("contents",V103))&amp;IF(T120=0,"",IF(P100=1,T119,S115))</f>
        <v>#REF!</v>
      </c>
      <c r="R100" s="41"/>
      <c r="S100" s="41"/>
      <c r="T100" s="41"/>
      <c r="U100" s="41"/>
      <c r="V100" s="41"/>
      <c r="W100" s="41"/>
      <c r="X100" s="41"/>
      <c r="Y100" s="38"/>
    </row>
    <row r="101" spans="16:25" ht="18.75">
      <c r="P101" s="17" t="str">
        <f>"đếm từng chữ một"</f>
        <v>đếm từng chữ một</v>
      </c>
      <c r="Q101" s="18" t="e">
        <f>IF(Q99&lt;0,"minus   ","")&amp;SUBSTITUTE(SUBSTITUTE(SUBSTITUTE(SUBSTITUTE(Q117,8,"tám   "),9,"chín   "),",","phẩy   "),"-","")</f>
        <v>#REF!</v>
      </c>
      <c r="R101" s="42"/>
      <c r="S101" s="37"/>
      <c r="T101" s="37"/>
      <c r="U101" s="37"/>
      <c r="V101" s="37" t="s">
        <v>147</v>
      </c>
      <c r="W101" s="37"/>
      <c r="X101" s="37"/>
      <c r="Y101" s="38"/>
    </row>
    <row r="102" spans="16:25" ht="18.75">
      <c r="P102" s="17" t="str">
        <f>"hàng trăm tỷ"</f>
        <v>hàng trăm tỷ</v>
      </c>
      <c r="Q102" s="19" t="e">
        <f>VALUE(RIGHT(INT(ABS(Q99)/100000000000)))</f>
        <v>#REF!</v>
      </c>
      <c r="R102" s="20" t="e">
        <f>IF(Q102=1,"một",IF(Q102=2,"hai",IF(Q102=3,"ba",IF(Q102=4,"bốn",IF(Q102=5,"năm",IF(Q102=6,"sáu",IF(Q102=7,"bẩy",IF(Q102=8,"tám","chín"))))))))&amp;" trăm "&amp;IF(AND(Q103=0,Q104=0),"tỷ","")</f>
        <v>#REF!</v>
      </c>
      <c r="S102" s="31"/>
      <c r="T102" s="43"/>
      <c r="U102" s="37"/>
      <c r="V102" s="37">
        <v>1</v>
      </c>
      <c r="W102" s="37">
        <v>2</v>
      </c>
      <c r="X102" s="37">
        <v>3</v>
      </c>
      <c r="Y102" s="38"/>
    </row>
    <row r="103" spans="16:25" ht="18.75">
      <c r="P103" s="17" t="str">
        <f>"hàng chục tỷ"</f>
        <v>hàng chục tỷ</v>
      </c>
      <c r="Q103" s="19" t="e">
        <f>VALUE(RIGHT(INT(ABS(Q99)/10000000000)))</f>
        <v>#REF!</v>
      </c>
      <c r="R103" s="20" t="e">
        <f>IF(Q103=1,"mười",IF(Q103=2," hai mươi",IF(Q103=3,"ba mươi",IF(Q103=4,"bốn mươi",IF(Q103=5,"năm mươi",IF(Q103=6,"sáu mươi",IF(Q103=7,"bẩy mươi",IF(Q103=8,"tám mươi","chín mươi"))))))))</f>
        <v>#REF!</v>
      </c>
      <c r="S103" s="21" t="e">
        <f>IF(AND(Q103=0,Q104=1),"một tỷ ",IF(AND(Q103=1,Q104=1),"mười một",IF(AND(Q103=1,Q104=2),"mười hai",IF(AND(Q103=1,Q104=6),"mười sáu",IF(AND(Q103=1,Q104=7),"mười bẩy",IF(Q104=0,R103,IF(Q103=0,R104,R103&amp;IF(Q103&gt;1," ","")&amp;R104))))))&amp;" tỷ, ")</f>
        <v>#REF!</v>
      </c>
      <c r="T103" s="44"/>
      <c r="U103" s="37"/>
      <c r="V103" s="22" t="str">
        <f>INDEX(V104:X120,P97,2)</f>
        <v xml:space="preserve"> đồng chẵn</v>
      </c>
      <c r="W103" s="22" t="str">
        <f>INDEX(V104:X120,P97,3)</f>
        <v xml:space="preserve"> xu</v>
      </c>
      <c r="X103" s="37"/>
      <c r="Y103" s="38"/>
    </row>
    <row r="104" spans="16:25" ht="18.75">
      <c r="P104" s="17" t="str">
        <f>"hàng tỷ"</f>
        <v>hàng tỷ</v>
      </c>
      <c r="Q104" s="23" t="e">
        <f>VALUE(RIGHT(INT(ABS(Q99)/1000000000)))</f>
        <v>#REF!</v>
      </c>
      <c r="R104" s="20" t="e">
        <f>IF(Q104=1,"một",IF(Q104=2,"hai",IF(Q104=3,"ba",IF(Q104=4,"bốn",IF(Q104=5,"năm",IF(Q104=6,"sáu",IF(Q104=7,"bẩy",IF(Q104=8,"tám","chín"))))))))</f>
        <v>#REF!</v>
      </c>
      <c r="S104" s="45"/>
      <c r="T104" s="46"/>
      <c r="U104" s="37"/>
      <c r="V104" s="20" t="s">
        <v>149</v>
      </c>
      <c r="W104" s="20" t="s">
        <v>150</v>
      </c>
      <c r="X104" s="20" t="s">
        <v>151</v>
      </c>
      <c r="Y104" s="38"/>
    </row>
    <row r="105" spans="16:25" ht="18.75">
      <c r="P105" s="17" t="str">
        <f>"hàng trăm triệu"</f>
        <v>hàng trăm triệu</v>
      </c>
      <c r="Q105" s="24" t="e">
        <f>VALUE(RIGHT(INT(ABS(Q99)/100000000)))</f>
        <v>#REF!</v>
      </c>
      <c r="R105" s="25" t="e">
        <f>IF(Q105=1,"một",IF(Q105=2,"hai",IF(Q105=3,"ba",IF(Q105=4,"bốn",IF(Q105=5,"năm",IF(Q105=6,"sáu",IF(Q105=7,"bẩy",IF(Q105=8,"tám","chín"))))))))&amp;" trăm "&amp;IF(AND(Q106=0,Q107=0),"triệu","")</f>
        <v>#REF!</v>
      </c>
      <c r="S105" s="47"/>
      <c r="T105" s="48"/>
      <c r="U105" s="37"/>
      <c r="V105" s="20" t="s">
        <v>153</v>
      </c>
      <c r="W105" s="20" t="s">
        <v>154</v>
      </c>
      <c r="X105" s="20" t="s">
        <v>155</v>
      </c>
      <c r="Y105" s="38"/>
    </row>
    <row r="106" spans="16:25" ht="18.75">
      <c r="P106" s="17" t="str">
        <f>"hàng chục triệu"</f>
        <v>hàng chục triệu</v>
      </c>
      <c r="Q106" s="24" t="e">
        <f>VALUE(RIGHT(INT(ABS(Q99)/10000000)))</f>
        <v>#REF!</v>
      </c>
      <c r="R106" s="25" t="e">
        <f>IF(Q106=1,"mười ",IF(Q106=2,"hai mươi",IF(Q106=3,"ba mươi",IF(Q106=4,"bốn mươi",IF(Q106=5,"năm mươi",IF(Q106=6,"sáu mươi",IF(Q106=7,"bẩy mươi",IF(Q106=8,"tám mươi","chín mươi"))))))))</f>
        <v>#REF!</v>
      </c>
      <c r="S106" s="26" t="e">
        <f>IF(AND(Q106=0,Q107=1),"một triệu",IF(AND(Q106=1,Q107=1),"mười một",IF(AND(Q106=1,Q107=2),"mười hai",IF(AND(Q106=1,Q107=6),"mười sáu",IF(AND(Q106=1,Q107=7),"mười bẩy",IF(Q107=0,R106,IF(Q106=0,"linh "&amp;R107,R106&amp;IF(Q106&gt;1," ","")&amp;R107))))))&amp;" triệu,")</f>
        <v>#REF!</v>
      </c>
      <c r="T106" s="49"/>
      <c r="U106" s="37"/>
      <c r="V106" s="20" t="s">
        <v>157</v>
      </c>
      <c r="W106" s="20" t="s">
        <v>158</v>
      </c>
      <c r="X106" s="20" t="s">
        <v>159</v>
      </c>
      <c r="Y106" s="38"/>
    </row>
    <row r="107" spans="16:25" ht="18.75">
      <c r="P107" s="17" t="str">
        <f>"hàng triệu"</f>
        <v>hàng triệu</v>
      </c>
      <c r="Q107" s="24" t="e">
        <f>VALUE(RIGHT(INT(ABS(Q99)/1000000)))</f>
        <v>#REF!</v>
      </c>
      <c r="R107" s="25" t="e">
        <f>IF(Q107=1,"một",IF(Q107=2,"hai",IF(Q107=3,"ba",IF(Q107=4,"bốn",IF(Q107=5,"năm",IF(Q107=6,"sáu",IF(Q107=7,"bẩy",IF(Q107=8,"tám","chín"))))))))</f>
        <v>#REF!</v>
      </c>
      <c r="S107" s="26"/>
      <c r="T107" s="49"/>
      <c r="U107" s="37"/>
      <c r="V107" s="20" t="s">
        <v>161</v>
      </c>
      <c r="W107" s="20" t="s">
        <v>162</v>
      </c>
      <c r="X107" s="20" t="s">
        <v>163</v>
      </c>
      <c r="Y107" s="38"/>
    </row>
    <row r="108" spans="16:25" ht="18.75">
      <c r="P108" s="17" t="str">
        <f>"hàng trăm nghìn"</f>
        <v>hàng trăm nghìn</v>
      </c>
      <c r="Q108" s="27" t="e">
        <f>VALUE(RIGHT(INT(ABS(Q99)/100000)))</f>
        <v>#REF!</v>
      </c>
      <c r="R108" s="20" t="e">
        <f>IF(Q108=1," một",IF(Q108=2," hai",IF(Q108=3," ba",IF(Q108=4," bốn",IF(Q108=5," năm",IF(Q108=6," sáu",IF(Q108=7," bẩy",IF(Q108=8," tám"," chín"))))))))&amp;" trăm "&amp;IF(AND(Q109=0,Q110=0)," nghìn","")</f>
        <v>#REF!</v>
      </c>
      <c r="S108" s="31"/>
      <c r="T108" s="43"/>
      <c r="U108" s="37"/>
      <c r="V108" s="20" t="s">
        <v>165</v>
      </c>
      <c r="W108" s="20" t="s">
        <v>166</v>
      </c>
      <c r="X108" s="20" t="s">
        <v>167</v>
      </c>
      <c r="Y108" s="38"/>
    </row>
    <row r="109" spans="16:25" ht="18.75">
      <c r="P109" s="17" t="str">
        <f>"hàng chục nghìn"</f>
        <v>hàng chục nghìn</v>
      </c>
      <c r="Q109" s="27" t="e">
        <f>VALUE(RIGHT(INT(ABS(Q99)/10000)))</f>
        <v>#REF!</v>
      </c>
      <c r="R109" s="20" t="e">
        <f>IF(Q109=1,"mười ",IF(Q109=2," hai mươi ",IF(Q109=3," ba mươi ",IF(Q109=4," bốn mươi ",IF(Q109=5," năm mươi ",IF(Q109=6," sáu mươi ",IF(Q109=7," bẩy mươi ",IF(Q109=8," tám mươi "," chín mươi "))))))))</f>
        <v>#REF!</v>
      </c>
      <c r="S109" s="21" t="e">
        <f>IF(AND(Q109=1,Q110=1)," mười một",IF(AND(Q109=1,Q110=2)," mười hai",IF(AND(Q109=1,Q110=6)," mười sáu",IF(AND(Q109=1,Q110=7)," mười bẩy",IF(Q110=0,R109,IF(Q109=0,"linh "&amp;R110,R109&amp;IF(Q109&gt;1,"","")&amp;R110))))))&amp;" nghìn "</f>
        <v>#REF!</v>
      </c>
      <c r="T109" s="44"/>
      <c r="U109" s="37"/>
      <c r="V109" s="20" t="s">
        <v>169</v>
      </c>
      <c r="W109" s="20" t="s">
        <v>170</v>
      </c>
      <c r="X109" s="20" t="s">
        <v>171</v>
      </c>
      <c r="Y109" s="38"/>
    </row>
    <row r="110" spans="16:25" ht="18.75">
      <c r="P110" s="17" t="str">
        <f>"hàng nghìn"</f>
        <v>hàng nghìn</v>
      </c>
      <c r="Q110" s="27" t="e">
        <f>VALUE(RIGHT(INT(ABS(Q99)/1000)))</f>
        <v>#REF!</v>
      </c>
      <c r="R110" s="20" t="e">
        <f>IF(Q110=1," một",IF(Q110=2," hai",IF(Q110=3," ba",IF(Q110=4," bốn",IF(Q110=5," năm",IF(Q110=6," sáu",IF(Q110=7," bẩy",IF(Q110=8," tám"," chín"))))))))</f>
        <v>#REF!</v>
      </c>
      <c r="S110" s="21"/>
      <c r="T110" s="44"/>
      <c r="U110" s="37"/>
      <c r="V110" s="20" t="s">
        <v>173</v>
      </c>
      <c r="W110" s="20" t="s">
        <v>174</v>
      </c>
      <c r="X110" s="20" t="s">
        <v>175</v>
      </c>
      <c r="Y110" s="38"/>
    </row>
    <row r="111" spans="16:25" ht="18.75">
      <c r="P111" s="17" t="str">
        <f>"hàng trăm"</f>
        <v>hàng trăm</v>
      </c>
      <c r="Q111" s="28" t="e">
        <f>VALUE(RIGHT(INT(ABS(Q99)/100)))</f>
        <v>#REF!</v>
      </c>
      <c r="R111" s="29" t="e">
        <f>IF(Q111=1,"một",IF(Q111=2,"hai",IF(Q111=3,"ba",IF(Q111=4,"bốn",IF(Q111=5,"năm",IF(Q111=6,"sáu",IF(Q111=7,"bẩy",IF(Q111=8,"tám","chín"))))))))&amp;" trăm "</f>
        <v>#REF!</v>
      </c>
      <c r="S111" s="50"/>
      <c r="T111" s="51"/>
      <c r="U111" s="37"/>
      <c r="V111" s="20" t="s">
        <v>177</v>
      </c>
      <c r="W111" s="20" t="s">
        <v>178</v>
      </c>
      <c r="X111" s="20" t="s">
        <v>155</v>
      </c>
      <c r="Y111" s="38"/>
    </row>
    <row r="112" spans="16:25" ht="18.75">
      <c r="P112" s="17" t="str">
        <f>"hàng chục"</f>
        <v>hàng chục</v>
      </c>
      <c r="Q112" s="28" t="e">
        <f>VALUE(RIGHT(INT(ABS(Q99)/10)))</f>
        <v>#REF!</v>
      </c>
      <c r="R112" s="29" t="e">
        <f>IF(Q112=1,",mười ",IF(Q112=2,"hai mươi ",IF(Q112=3,"ba mươi ",IF(Q112=4,"bốn mươi ",IF(Q112=5,"năm mươi ",IF(Q112=6,"sáu mươi ",IF(Q112=7,"bẩy mươi ",IF(Q112=8,"tám mươi ","chín mươi "))))))))</f>
        <v>#REF!</v>
      </c>
      <c r="S112" s="30" t="e">
        <f>IF(AND(Q112=1,Q113=1),"mười một",IF(AND(Q112=1,Q113=2),"mười hai",IF(AND(Q112=1,Q113=6),"mười sáu",IF(AND(Q112=1,Q113=7),"mười bẩy",IF(Q113=0,R112,IF(Q112=0,R113,IF(Q112&gt;1,"","")&amp;R112&amp;R113))))))</f>
        <v>#REF!</v>
      </c>
      <c r="T112" s="52"/>
      <c r="U112" s="37"/>
      <c r="V112" s="20" t="s">
        <v>180</v>
      </c>
      <c r="W112" s="20" t="s">
        <v>181</v>
      </c>
      <c r="X112" s="20" t="s">
        <v>182</v>
      </c>
      <c r="Y112" s="38"/>
    </row>
    <row r="113" spans="9:69" ht="18.75">
      <c r="P113" s="17" t="str">
        <f>"hàng đơn vị"</f>
        <v>hàng đơn vị</v>
      </c>
      <c r="Q113" s="28" t="e">
        <f>VALUE(RIGHT(INT(ABS(Q99))))</f>
        <v>#REF!</v>
      </c>
      <c r="R113" s="29" t="e">
        <f>IF(Q113=1,"một",IF(Q113=2,"hai",IF(Q113=3,"ba",IF(Q113=4,"bốn",IF(Q113=5,"năm",IF(Q113=6,"sáu",IF(Q113=7,"bẩy",IF(Q113=8,"tám","chín"))))))))</f>
        <v>#REF!</v>
      </c>
      <c r="S113" s="53"/>
      <c r="T113" s="54"/>
      <c r="U113" s="37"/>
      <c r="V113" s="20" t="s">
        <v>184</v>
      </c>
      <c r="W113" s="20" t="s">
        <v>185</v>
      </c>
      <c r="X113" s="20" t="s">
        <v>186</v>
      </c>
      <c r="Y113" s="38"/>
    </row>
    <row r="114" spans="9:69" ht="18.75">
      <c r="P114" s="17"/>
      <c r="Q114" s="12" t="str">
        <f>"Giá trị sau dấu phẩy"</f>
        <v>Giá trị sau dấu phẩy</v>
      </c>
      <c r="R114" s="37"/>
      <c r="S114" s="37"/>
      <c r="T114" s="37"/>
      <c r="U114" s="37"/>
      <c r="V114" s="20" t="s">
        <v>187</v>
      </c>
      <c r="W114" s="20" t="s">
        <v>188</v>
      </c>
      <c r="X114" s="20" t="s">
        <v>155</v>
      </c>
      <c r="Y114" s="38"/>
    </row>
    <row r="115" spans="9:69" ht="18.75">
      <c r="I115" s="80"/>
      <c r="J115" s="80"/>
      <c r="K115" s="80"/>
      <c r="L115" s="80"/>
      <c r="M115" s="80"/>
      <c r="N115" s="80"/>
      <c r="O115" s="80"/>
      <c r="P115" s="17" t="str">
        <f>"hàng chục"</f>
        <v>hàng chục</v>
      </c>
      <c r="Q115" s="27" t="e">
        <f>VALUE(RIGHT(INT(ABS(T120)/10)))</f>
        <v>#REF!</v>
      </c>
      <c r="R115" s="20" t="e">
        <f>IF(Q115=1,"mười",IF(Q115=2,"hai mươi",IF(Q115=3,"ba mươi",IF(Q115=4,"bốn mươi",IF(Q115=5,"năm mươi",IF(Q115=6,"sáu mươi",IF(Q115=7,"bẩy mươi",IF(Q115=8,"tám mươi","chín mươi"))))))))</f>
        <v>#REF!</v>
      </c>
      <c r="S115" s="31" t="e">
        <f ca="1">" và "&amp;IF(T120&lt;10,"không ","")&amp;IF(T120=1,"một",IF(AND(Q115=1,Q116=1),"mười một",IF(AND(Q115=1,Q116=2),"mười hai",IF(AND(Q115=1,Q116=6),"mười sáu",IF(AND(Q115=1,Q116=7),"mười bẩy",IF(Q116=0,R115,IF(Q115=0,R116,R115&amp;IF(Q115&gt;1," ","")&amp;R116&amp;""))))))&amp;CELL("contents",W103))</f>
        <v>#REF!</v>
      </c>
      <c r="T115" s="43"/>
      <c r="U115" s="37"/>
      <c r="V115" s="20" t="s">
        <v>189</v>
      </c>
      <c r="W115" s="20" t="s">
        <v>190</v>
      </c>
      <c r="X115" s="20" t="s">
        <v>155</v>
      </c>
      <c r="Y115" s="38"/>
    </row>
    <row r="116" spans="9:69" ht="18.75">
      <c r="P116" s="17" t="str">
        <f>"hàng đơn vị"</f>
        <v>hàng đơn vị</v>
      </c>
      <c r="Q116" s="27" t="e">
        <f>VALUE(RIGHT(INT(ABS(T120))))</f>
        <v>#REF!</v>
      </c>
      <c r="R116" s="20" t="e">
        <f>IF(Q116=1,"một",IF(Q116=2,"hai",IF(Q116=3,"ba",IF(Q116=4,"bốn",IF(Q116=5,"năm",IF(Q116=6,"sáu",IF(Q116=7,"bẩy",IF(Q116=8,"tám","chín"))))))))</f>
        <v>#REF!</v>
      </c>
      <c r="S116" s="45"/>
      <c r="T116" s="46"/>
      <c r="U116" s="37"/>
      <c r="V116" s="20"/>
      <c r="W116" s="20"/>
      <c r="X116" s="20"/>
      <c r="Y116" s="38"/>
    </row>
    <row r="117" spans="9:69" ht="18">
      <c r="P117" s="37"/>
      <c r="Q117" s="32" t="e">
        <f>SUBSTITUTE(SUBSTITUTE(SUBSTITUTE(SUBSTITUTE(SUBSTITUTE(SUBSTITUTE(SUBSTITUTE(SUBSTITUTE(Q99,0,"không   "),1,"một   "),2,"hai   "),3,"ba   "),4,"bốn   "),5,"năm   "),6,"sáu   "),7,"bẩy   ")</f>
        <v>#REF!</v>
      </c>
      <c r="R117" s="37"/>
      <c r="S117" s="37"/>
      <c r="T117" s="37"/>
      <c r="U117" s="37"/>
      <c r="V117" s="20"/>
      <c r="W117" s="20"/>
      <c r="X117" s="20"/>
      <c r="Y117" s="38"/>
    </row>
    <row r="118" spans="9:69" ht="18">
      <c r="P118" s="37"/>
      <c r="Q118" s="37"/>
      <c r="R118" s="37"/>
      <c r="S118" s="37"/>
      <c r="T118" s="37"/>
      <c r="U118" s="37"/>
      <c r="V118" s="20"/>
      <c r="W118" s="20"/>
      <c r="X118" s="20"/>
      <c r="Y118" s="38"/>
    </row>
    <row r="119" spans="9:69" ht="18">
      <c r="P119" s="37"/>
      <c r="Q119" s="33" t="e">
        <f>ABS(100*(MOD(Q99,1)-(Q99&lt;0)))</f>
        <v>#REF!</v>
      </c>
      <c r="R119" s="37"/>
      <c r="S119" s="37"/>
      <c r="T119" s="34" t="e">
        <f>TEXT(T120,"   00")&amp;"/100"</f>
        <v>#REF!</v>
      </c>
      <c r="U119" s="37"/>
      <c r="V119" s="20"/>
      <c r="W119" s="20"/>
      <c r="X119" s="20"/>
      <c r="Y119" s="38"/>
    </row>
    <row r="120" spans="9:69" ht="18">
      <c r="P120" s="37"/>
      <c r="Q120" s="35" t="e">
        <f>ROUND(100*(ABS(Q99)-INT(ABS(Q99))),0)</f>
        <v>#REF!</v>
      </c>
      <c r="R120" s="37"/>
      <c r="S120" s="37"/>
      <c r="T120" s="36" t="e">
        <f>IF(P100=0,0,ROUND(100*(ABS(Q99)-INT(ABS(Q99))),0))</f>
        <v>#REF!</v>
      </c>
      <c r="U120" s="37"/>
      <c r="V120" s="20"/>
      <c r="W120" s="20"/>
      <c r="X120" s="20"/>
      <c r="Y120" s="38"/>
    </row>
    <row r="121" spans="9:69" ht="15"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</row>
    <row r="143" spans="9:15" ht="15">
      <c r="I143" s="80"/>
      <c r="J143" s="80"/>
      <c r="K143" s="80"/>
      <c r="L143" s="80"/>
      <c r="M143" s="80"/>
      <c r="N143" s="80"/>
      <c r="O143" s="80"/>
    </row>
  </sheetData>
  <mergeCells count="18">
    <mergeCell ref="E42:G42"/>
    <mergeCell ref="E44:G44"/>
    <mergeCell ref="E50:F50"/>
    <mergeCell ref="E51:G51"/>
    <mergeCell ref="A15:G15"/>
    <mergeCell ref="A17:G17"/>
    <mergeCell ref="C18:C19"/>
    <mergeCell ref="E18:F19"/>
    <mergeCell ref="A20:A21"/>
    <mergeCell ref="B20:B21"/>
    <mergeCell ref="C20:C21"/>
    <mergeCell ref="E20:G20"/>
    <mergeCell ref="A14:G14"/>
    <mergeCell ref="A5:G6"/>
    <mergeCell ref="A7:G7"/>
    <mergeCell ref="A8:B8"/>
    <mergeCell ref="A12:G12"/>
    <mergeCell ref="A13:G13"/>
  </mergeCells>
  <pageMargins left="0.8" right="0" top="0.25" bottom="0.25" header="0.5" footer="0.5"/>
  <pageSetup paperSize="9" scale="9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3"/>
  <sheetViews>
    <sheetView zoomScale="115" zoomScaleNormal="115" workbookViewId="0">
      <selection activeCell="E16" sqref="E16"/>
    </sheetView>
  </sheetViews>
  <sheetFormatPr defaultRowHeight="15"/>
  <cols>
    <col min="1" max="1" width="9.140625" style="658"/>
    <col min="2" max="2" width="46.28515625" style="644" customWidth="1"/>
    <col min="3" max="3" width="20.42578125" style="644" customWidth="1"/>
    <col min="4" max="4" width="17.140625" style="658" customWidth="1"/>
    <col min="5" max="5" width="17.42578125" style="658" customWidth="1"/>
    <col min="6" max="6" width="9.140625" style="644"/>
    <col min="7" max="7" width="11.140625" style="644" bestFit="1" customWidth="1"/>
    <col min="8" max="9" width="12.7109375" style="644" bestFit="1" customWidth="1"/>
    <col min="10" max="16384" width="9.140625" style="644"/>
  </cols>
  <sheetData>
    <row r="1" spans="1:12" ht="16.5">
      <c r="A1" s="722" t="s">
        <v>386</v>
      </c>
      <c r="B1" s="722"/>
      <c r="C1" s="722"/>
      <c r="D1" s="722"/>
      <c r="E1" s="722"/>
    </row>
    <row r="2" spans="1:12" ht="149.25" customHeight="1">
      <c r="A2" s="723" t="s">
        <v>379</v>
      </c>
      <c r="B2" s="723"/>
      <c r="C2" s="723"/>
      <c r="D2" s="723"/>
      <c r="E2" s="723"/>
    </row>
    <row r="3" spans="1:12" ht="16.5">
      <c r="A3" s="643" t="s">
        <v>132</v>
      </c>
      <c r="B3" s="643" t="s">
        <v>73</v>
      </c>
      <c r="C3" s="643" t="s">
        <v>366</v>
      </c>
      <c r="D3" s="643" t="s">
        <v>367</v>
      </c>
      <c r="E3" s="643" t="s">
        <v>368</v>
      </c>
      <c r="J3" t="s">
        <v>376</v>
      </c>
      <c r="K3" t="s">
        <v>377</v>
      </c>
      <c r="L3" t="s">
        <v>378</v>
      </c>
    </row>
    <row r="4" spans="1:12" ht="16.5">
      <c r="A4" s="643" t="s">
        <v>325</v>
      </c>
      <c r="B4" s="645" t="s">
        <v>369</v>
      </c>
      <c r="C4" s="646">
        <f>+C5+C6</f>
        <v>790313210.5</v>
      </c>
      <c r="D4" s="646">
        <f>+D5+D6</f>
        <v>63225056.840000004</v>
      </c>
      <c r="E4" s="646">
        <f>+C4+D4</f>
        <v>853538267.34000003</v>
      </c>
      <c r="J4">
        <v>1000</v>
      </c>
      <c r="K4">
        <v>5000</v>
      </c>
      <c r="L4" s="661">
        <v>1449</v>
      </c>
    </row>
    <row r="5" spans="1:12" ht="16.5">
      <c r="A5" s="647">
        <v>1</v>
      </c>
      <c r="B5" s="648" t="s">
        <v>370</v>
      </c>
      <c r="C5" s="649">
        <v>40000000</v>
      </c>
      <c r="D5" s="649">
        <f>+C5*8%</f>
        <v>3200000</v>
      </c>
      <c r="E5" s="649">
        <f>+C5+D5</f>
        <v>43200000</v>
      </c>
      <c r="J5">
        <v>0.55800000000000005</v>
      </c>
      <c r="K5">
        <v>0.2</v>
      </c>
      <c r="L5" s="661">
        <f t="array" ref="L5">TREND(J5:K5,J4:K4,L4)</f>
        <v>0.51781449999999996</v>
      </c>
    </row>
    <row r="6" spans="1:12" ht="16.5">
      <c r="A6" s="647">
        <v>2</v>
      </c>
      <c r="B6" s="650" t="s">
        <v>369</v>
      </c>
      <c r="C6" s="649">
        <f>+J9*1000000</f>
        <v>750313210.5</v>
      </c>
      <c r="D6" s="647">
        <f>+C6*8%</f>
        <v>60025056.840000004</v>
      </c>
      <c r="E6" s="649">
        <f>+C6+D6</f>
        <v>810338267.34000003</v>
      </c>
    </row>
    <row r="7" spans="1:12" ht="16.5">
      <c r="A7" s="643" t="s">
        <v>326</v>
      </c>
      <c r="B7" s="651" t="s">
        <v>371</v>
      </c>
      <c r="C7" s="646">
        <f>SUM(C8:C10)</f>
        <v>97540717.364999995</v>
      </c>
      <c r="D7" s="646">
        <f>SUM(D8:D10)</f>
        <v>9754071.7364999987</v>
      </c>
      <c r="E7" s="646">
        <f>SUM(E8:E10)</f>
        <v>107294789.10149999</v>
      </c>
    </row>
    <row r="8" spans="1:12" ht="16.5">
      <c r="A8" s="652">
        <v>1</v>
      </c>
      <c r="B8" s="650" t="s">
        <v>372</v>
      </c>
      <c r="C8" s="649">
        <f>+C6*5%</f>
        <v>37515660.524999999</v>
      </c>
      <c r="D8" s="649">
        <f>+C8*10%</f>
        <v>3751566.0525000002</v>
      </c>
      <c r="E8" s="649">
        <f>+C8+D8</f>
        <v>41267226.577500001</v>
      </c>
      <c r="I8" s="653"/>
    </row>
    <row r="9" spans="1:12" ht="16.5">
      <c r="A9" s="647">
        <v>2</v>
      </c>
      <c r="B9" s="654" t="s">
        <v>373</v>
      </c>
      <c r="C9" s="649">
        <f>+C6*2%</f>
        <v>15006264.210000001</v>
      </c>
      <c r="D9" s="649">
        <f>+C9*10%</f>
        <v>1500626.4210000001</v>
      </c>
      <c r="E9" s="649">
        <f>+C9+D9</f>
        <v>16506890.631000001</v>
      </c>
      <c r="J9" s="662">
        <f>+L4*L5</f>
        <v>750.31321049999997</v>
      </c>
    </row>
    <row r="10" spans="1:12" ht="16.5">
      <c r="A10" s="647">
        <v>3</v>
      </c>
      <c r="B10" s="650" t="s">
        <v>374</v>
      </c>
      <c r="C10" s="649">
        <f>+C6*6%</f>
        <v>45018792.629999995</v>
      </c>
      <c r="D10" s="649">
        <f>+C10*10%</f>
        <v>4501879.2629999993</v>
      </c>
      <c r="E10" s="649">
        <f>+C10+D10</f>
        <v>49520671.892999992</v>
      </c>
    </row>
    <row r="11" spans="1:12" ht="16.5">
      <c r="A11" s="655" t="s">
        <v>327</v>
      </c>
      <c r="B11" s="651" t="s">
        <v>375</v>
      </c>
      <c r="C11" s="656"/>
      <c r="D11" s="657"/>
      <c r="E11" s="646">
        <f>+E4+E7</f>
        <v>960833056.44150007</v>
      </c>
      <c r="G11" s="653"/>
    </row>
    <row r="12" spans="1:12">
      <c r="B12" s="659"/>
      <c r="F12" s="660"/>
    </row>
    <row r="13" spans="1:12">
      <c r="B13" s="659"/>
    </row>
    <row r="14" spans="1:12">
      <c r="B14" s="659"/>
    </row>
    <row r="15" spans="1:12">
      <c r="B15" s="659"/>
    </row>
    <row r="16" spans="1:12">
      <c r="B16" s="659"/>
    </row>
    <row r="17" spans="2:2">
      <c r="B17" s="659"/>
    </row>
    <row r="18" spans="2:2">
      <c r="B18" s="659"/>
    </row>
    <row r="19" spans="2:2">
      <c r="B19" s="659"/>
    </row>
    <row r="20" spans="2:2">
      <c r="B20" s="659"/>
    </row>
    <row r="21" spans="2:2">
      <c r="B21" s="659"/>
    </row>
    <row r="22" spans="2:2">
      <c r="B22" s="659"/>
    </row>
    <row r="23" spans="2:2">
      <c r="B23" s="659"/>
    </row>
  </sheetData>
  <mergeCells count="2">
    <mergeCell ref="A1:E1"/>
    <mergeCell ref="A2:E2"/>
  </mergeCells>
  <pageMargins left="1.299212598425197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1A92-BFC5-4DBF-80AF-0FFE43D1C35A}">
  <sheetPr>
    <pageSetUpPr fitToPage="1"/>
  </sheetPr>
  <dimension ref="A1:F28"/>
  <sheetViews>
    <sheetView zoomScale="130" zoomScaleNormal="130" workbookViewId="0">
      <selection activeCell="B8" sqref="B8"/>
    </sheetView>
  </sheetViews>
  <sheetFormatPr defaultRowHeight="18.75"/>
  <cols>
    <col min="1" max="1" width="5.5703125" style="672" customWidth="1"/>
    <col min="2" max="2" width="57.7109375" style="664" customWidth="1"/>
    <col min="3" max="3" width="38.7109375" style="672" customWidth="1"/>
    <col min="4" max="4" width="0" style="664" hidden="1" customWidth="1"/>
    <col min="5" max="5" width="14.140625" style="664" hidden="1" customWidth="1"/>
    <col min="6" max="6" width="33" style="664" hidden="1" customWidth="1"/>
    <col min="7" max="16384" width="9.140625" style="664"/>
  </cols>
  <sheetData>
    <row r="1" spans="1:6">
      <c r="A1" s="724" t="s">
        <v>389</v>
      </c>
      <c r="B1" s="724"/>
      <c r="C1" s="724"/>
    </row>
    <row r="2" spans="1:6">
      <c r="A2" s="663" t="s">
        <v>132</v>
      </c>
      <c r="B2" s="663" t="s">
        <v>73</v>
      </c>
      <c r="C2" s="663" t="s">
        <v>387</v>
      </c>
    </row>
    <row r="3" spans="1:6">
      <c r="A3" s="663">
        <v>1</v>
      </c>
      <c r="B3" s="670" t="s">
        <v>380</v>
      </c>
      <c r="C3" s="671"/>
    </row>
    <row r="4" spans="1:6">
      <c r="A4" s="665" t="s">
        <v>395</v>
      </c>
      <c r="B4" s="668" t="s">
        <v>381</v>
      </c>
      <c r="C4" s="669">
        <f>+[2]THKPHM!$F$33</f>
        <v>1178841104.6481602</v>
      </c>
      <c r="F4" s="669">
        <v>4000000000</v>
      </c>
    </row>
    <row r="5" spans="1:6">
      <c r="A5" s="665" t="s">
        <v>396</v>
      </c>
      <c r="B5" s="668" t="s">
        <v>388</v>
      </c>
      <c r="C5" s="669">
        <f>F4-F7</f>
        <v>387294895.35184002</v>
      </c>
    </row>
    <row r="6" spans="1:6">
      <c r="A6" s="665" t="s">
        <v>397</v>
      </c>
      <c r="B6" s="668" t="s">
        <v>382</v>
      </c>
      <c r="C6" s="669">
        <f>'QHCT pa1'!G49</f>
        <v>2433864000</v>
      </c>
      <c r="F6" s="673"/>
    </row>
    <row r="7" spans="1:6">
      <c r="A7" s="663">
        <v>2</v>
      </c>
      <c r="B7" s="670" t="s">
        <v>383</v>
      </c>
      <c r="C7" s="671">
        <f>C6+C5+C4</f>
        <v>4000000000</v>
      </c>
      <c r="F7" s="673">
        <f>C4+C6</f>
        <v>3612705104.64816</v>
      </c>
    </row>
    <row r="9" spans="1:6" ht="18" customHeight="1"/>
    <row r="10" spans="1:6">
      <c r="E10" s="673"/>
    </row>
    <row r="11" spans="1:6">
      <c r="A11" s="724"/>
      <c r="B11" s="724"/>
      <c r="C11" s="724"/>
      <c r="E11" s="673"/>
    </row>
    <row r="12" spans="1:6">
      <c r="A12" s="663"/>
      <c r="B12" s="663"/>
      <c r="C12" s="663"/>
      <c r="E12" s="673"/>
    </row>
    <row r="13" spans="1:6">
      <c r="A13" s="665"/>
      <c r="B13" s="666"/>
      <c r="C13" s="667"/>
      <c r="E13" s="673"/>
    </row>
    <row r="14" spans="1:6">
      <c r="A14" s="665"/>
      <c r="B14" s="668"/>
      <c r="C14" s="669"/>
      <c r="E14" s="673"/>
    </row>
    <row r="15" spans="1:6">
      <c r="A15" s="665"/>
      <c r="B15" s="668"/>
      <c r="C15" s="669"/>
      <c r="E15" s="673"/>
    </row>
    <row r="16" spans="1:6">
      <c r="A16" s="665"/>
      <c r="B16" s="666"/>
      <c r="C16" s="667"/>
      <c r="E16" s="673"/>
    </row>
    <row r="17" spans="1:5">
      <c r="A17" s="665"/>
      <c r="B17" s="666"/>
      <c r="C17" s="667"/>
      <c r="E17" s="673"/>
    </row>
    <row r="18" spans="1:5">
      <c r="A18" s="663"/>
      <c r="B18" s="670"/>
      <c r="C18" s="671"/>
      <c r="E18" s="673"/>
    </row>
    <row r="19" spans="1:5">
      <c r="E19" s="673"/>
    </row>
    <row r="20" spans="1:5">
      <c r="E20" s="673"/>
    </row>
    <row r="21" spans="1:5">
      <c r="A21" s="663"/>
      <c r="B21" s="663"/>
      <c r="C21" s="663"/>
      <c r="E21" s="673"/>
    </row>
    <row r="22" spans="1:5">
      <c r="A22" s="665"/>
      <c r="B22" s="666"/>
      <c r="C22" s="674"/>
    </row>
    <row r="23" spans="1:5">
      <c r="A23" s="665"/>
      <c r="B23" s="668"/>
      <c r="C23" s="667"/>
    </row>
    <row r="24" spans="1:5">
      <c r="A24" s="665"/>
      <c r="B24" s="668"/>
      <c r="C24" s="669"/>
    </row>
    <row r="25" spans="1:5">
      <c r="A25" s="665"/>
      <c r="B25" s="668"/>
      <c r="C25" s="669"/>
    </row>
    <row r="26" spans="1:5">
      <c r="A26" s="665"/>
      <c r="B26" s="666"/>
      <c r="C26" s="667"/>
    </row>
    <row r="27" spans="1:5">
      <c r="A27" s="665"/>
      <c r="B27" s="666"/>
      <c r="C27" s="667"/>
    </row>
    <row r="28" spans="1:5">
      <c r="A28" s="663"/>
      <c r="B28" s="670"/>
      <c r="C28" s="671"/>
    </row>
  </sheetData>
  <mergeCells count="2">
    <mergeCell ref="A1:C1"/>
    <mergeCell ref="A11:C11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Dinh muc</vt:lpstr>
      <vt:lpstr>QH Vung</vt:lpstr>
      <vt:lpstr>QHC- ĐT</vt:lpstr>
      <vt:lpstr>QHPK ĐT</vt:lpstr>
      <vt:lpstr>QHCT pa1</vt:lpstr>
      <vt:lpstr>De an nang loai DT</vt:lpstr>
      <vt:lpstr>QHCT pa2</vt:lpstr>
      <vt:lpstr>QHC- Khu chuc nang</vt:lpstr>
      <vt:lpstr>QHPK- Khu chuc nang</vt:lpstr>
      <vt:lpstr>QHCT-khu chuc nang</vt:lpstr>
      <vt:lpstr>QHC- xa</vt:lpstr>
      <vt:lpstr>QHCT diem dan cu NT</vt:lpstr>
      <vt:lpstr>CT PTDT toan tinh</vt:lpstr>
      <vt:lpstr>CT PT cho 01 DT </vt:lpstr>
      <vt:lpstr>QHCT 1-200</vt:lpstr>
      <vt:lpstr>Quy che QLKT đô thị</vt:lpstr>
      <vt:lpstr>Tong hop</vt:lpstr>
      <vt:lpstr>'QH Vung'!Print_Area</vt:lpstr>
      <vt:lpstr>'QHC- ĐT'!Print_Area</vt:lpstr>
      <vt:lpstr>'QHC- xa'!Print_Area</vt:lpstr>
      <vt:lpstr>'QHCT pa1'!Print_Area</vt:lpstr>
      <vt:lpstr>'QHCT pa2'!Print_Area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Dzung</dc:creator>
  <cp:keywords/>
  <dc:description/>
  <cp:lastModifiedBy>Admin</cp:lastModifiedBy>
  <cp:revision/>
  <cp:lastPrinted>2023-10-28T02:45:28Z</cp:lastPrinted>
  <dcterms:created xsi:type="dcterms:W3CDTF">2017-05-23T09:31:23Z</dcterms:created>
  <dcterms:modified xsi:type="dcterms:W3CDTF">2023-10-28T02:51:14Z</dcterms:modified>
  <cp:category/>
  <cp:contentStatus/>
</cp:coreProperties>
</file>