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480" yWindow="105" windowWidth="19440" windowHeight="9975" tabRatio="894" firstSheet="5" activeTab="21"/>
  </bookViews>
  <sheets>
    <sheet name="Sheet2" sheetId="78" state="hidden" r:id="rId1"/>
    <sheet name="UOC CA NAM THU" sheetId="79" state="hidden" r:id="rId2"/>
    <sheet name="UOC CHI CA NAM" sheetId="80" state="hidden" r:id="rId3"/>
    <sheet name="BIEU THU" sheetId="76" state="hidden" r:id="rId4"/>
    <sheet name="Biểu chi" sheetId="75" state="hidden" r:id="rId5"/>
    <sheet name="UOC THU SÔ 01" sheetId="87" r:id="rId6"/>
    <sheet name="ƯỚC CHI SỐ 02" sheetId="88" r:id="rId7"/>
    <sheet name="08" sheetId="89" state="hidden" r:id="rId8"/>
    <sheet name="11" sheetId="90" state="hidden" r:id="rId9"/>
    <sheet name="12" sheetId="92" state="hidden" r:id="rId10"/>
    <sheet name="13" sheetId="95" state="hidden" r:id="rId11"/>
    <sheet name="14" sheetId="94" state="hidden" r:id="rId12"/>
    <sheet name="15" sheetId="93" state="hidden" r:id="rId13"/>
    <sheet name="28" sheetId="43" state="hidden" r:id="rId14"/>
    <sheet name="ƯỚC THU SỐ 03" sheetId="97" r:id="rId15"/>
    <sheet name="ƯỚC CHI SỐ 04" sheetId="96" r:id="rId16"/>
    <sheet name="29.1" sheetId="44" r:id="rId17"/>
    <sheet name="29.2" sheetId="45" r:id="rId18"/>
    <sheet name="32" sheetId="48" r:id="rId19"/>
    <sheet name="PL 15" sheetId="106" r:id="rId20"/>
    <sheet name="PL 16" sheetId="105" r:id="rId21"/>
    <sheet name="PL 17" sheetId="104" r:id="rId22"/>
    <sheet name="Sheet7" sheetId="103" state="hidden" r:id="rId23"/>
    <sheet name="Sheet6" sheetId="102" state="hidden" r:id="rId24"/>
    <sheet name="Sheet5" sheetId="101" state="hidden" r:id="rId25"/>
    <sheet name="Sheet4" sheetId="100" state="hidden" r:id="rId26"/>
    <sheet name="Sheet3" sheetId="99" state="hidden" r:id="rId27"/>
    <sheet name="Sheet1" sheetId="98" state="hidden" r:id="rId28"/>
    <sheet name="33" sheetId="85" state="hidden" r:id="rId29"/>
    <sheet name="35" sheetId="84" state="hidden" r:id="rId30"/>
    <sheet name="MB 8" sheetId="81" state="hidden" r:id="rId31"/>
    <sheet name="MB 10" sheetId="83" state="hidden" r:id="rId32"/>
  </sheets>
  <externalReferences>
    <externalReference r:id="rId33"/>
    <externalReference r:id="rId34"/>
    <externalReference r:id="rId35"/>
    <externalReference r:id="rId36"/>
    <externalReference r:id="rId37"/>
  </externalReferences>
  <definedNames>
    <definedName name="_xlnm.Print_Area" localSheetId="16">'29.1'!$A$1:$F$37</definedName>
    <definedName name="_xlnm.Print_Area" localSheetId="6">'ƯỚC CHI SỐ 02'!$A$1:$J$76</definedName>
  </definedNames>
  <calcPr calcId="152511" calcMode="manual"/>
</workbook>
</file>

<file path=xl/calcChain.xml><?xml version="1.0" encoding="utf-8"?>
<calcChain xmlns="http://schemas.openxmlformats.org/spreadsheetml/2006/main">
  <c r="K25" i="96" l="1"/>
  <c r="O25" i="96" s="1"/>
  <c r="J25" i="96"/>
  <c r="I25" i="96" s="1"/>
  <c r="G25" i="96"/>
  <c r="F25" i="96"/>
  <c r="AK25" i="96" s="1"/>
  <c r="D25" i="96"/>
  <c r="AY25" i="96" s="1"/>
  <c r="O24" i="96"/>
  <c r="I24" i="96"/>
  <c r="M24" i="96" s="1"/>
  <c r="G24" i="96"/>
  <c r="F24" i="96" s="1"/>
  <c r="D24" i="96"/>
  <c r="AR24" i="96" s="1"/>
  <c r="C24" i="96"/>
  <c r="K23" i="96"/>
  <c r="O23" i="96" s="1"/>
  <c r="J23" i="96"/>
  <c r="I23" i="96" s="1"/>
  <c r="G23" i="96"/>
  <c r="F23" i="96"/>
  <c r="D23" i="96"/>
  <c r="AY23" i="96" s="1"/>
  <c r="K22" i="96"/>
  <c r="O22" i="96" s="1"/>
  <c r="J22" i="96"/>
  <c r="AR22" i="96" s="1"/>
  <c r="G22" i="96"/>
  <c r="F22" i="96"/>
  <c r="D22" i="96"/>
  <c r="AY22" i="96" s="1"/>
  <c r="K21" i="96"/>
  <c r="O21" i="96" s="1"/>
  <c r="J21" i="96"/>
  <c r="AR21" i="96" s="1"/>
  <c r="G21" i="96"/>
  <c r="F21" i="96" s="1"/>
  <c r="D21" i="96"/>
  <c r="AY21" i="96" s="1"/>
  <c r="AY20" i="96"/>
  <c r="K20" i="96"/>
  <c r="O20" i="96" s="1"/>
  <c r="J20" i="96"/>
  <c r="AR20" i="96" s="1"/>
  <c r="I20" i="96"/>
  <c r="AW20" i="96" s="1"/>
  <c r="G20" i="96"/>
  <c r="F20" i="96" s="1"/>
  <c r="D20" i="96"/>
  <c r="C20" i="96"/>
  <c r="AR19" i="96"/>
  <c r="S19" i="96"/>
  <c r="K19" i="96"/>
  <c r="O19" i="96" s="1"/>
  <c r="J19" i="96"/>
  <c r="N19" i="96" s="1"/>
  <c r="H19" i="96"/>
  <c r="G19" i="96"/>
  <c r="F19" i="96" s="1"/>
  <c r="D19" i="96"/>
  <c r="AY19" i="96" s="1"/>
  <c r="AY18" i="96"/>
  <c r="K18" i="96"/>
  <c r="O18" i="96" s="1"/>
  <c r="J18" i="96"/>
  <c r="AR18" i="96" s="1"/>
  <c r="I18" i="96"/>
  <c r="G18" i="96"/>
  <c r="F18" i="96" s="1"/>
  <c r="D18" i="96"/>
  <c r="C18" i="96"/>
  <c r="K17" i="96"/>
  <c r="O17" i="96" s="1"/>
  <c r="J17" i="96"/>
  <c r="I17" i="96" s="1"/>
  <c r="G17" i="96"/>
  <c r="F17" i="96" s="1"/>
  <c r="D17" i="96"/>
  <c r="AY17" i="96" s="1"/>
  <c r="K16" i="96"/>
  <c r="O16" i="96" s="1"/>
  <c r="J16" i="96"/>
  <c r="AR16" i="96" s="1"/>
  <c r="G16" i="96"/>
  <c r="F16" i="96" s="1"/>
  <c r="D16" i="96"/>
  <c r="AY16" i="96" s="1"/>
  <c r="AY15" i="96"/>
  <c r="K15" i="96"/>
  <c r="O15" i="96" s="1"/>
  <c r="J15" i="96"/>
  <c r="AR15" i="96" s="1"/>
  <c r="I15" i="96"/>
  <c r="AW15" i="96" s="1"/>
  <c r="G15" i="96"/>
  <c r="F15" i="96"/>
  <c r="AJ15" i="96" s="1"/>
  <c r="D15" i="96"/>
  <c r="C15" i="96"/>
  <c r="AR14" i="96"/>
  <c r="K14" i="96"/>
  <c r="K13" i="96" s="1"/>
  <c r="O13" i="96" s="1"/>
  <c r="J14" i="96"/>
  <c r="N14" i="96" s="1"/>
  <c r="G14" i="96"/>
  <c r="F14" i="96"/>
  <c r="D14" i="96"/>
  <c r="AY14" i="96" s="1"/>
  <c r="AW13" i="96"/>
  <c r="H13" i="96"/>
  <c r="E13" i="96"/>
  <c r="D13" i="96"/>
  <c r="AS13" i="96" s="1"/>
  <c r="P27" i="97"/>
  <c r="J27" i="97"/>
  <c r="H27" i="97"/>
  <c r="O27" i="97" s="1"/>
  <c r="C27" i="97"/>
  <c r="T26" i="97"/>
  <c r="P26" i="97"/>
  <c r="N26" i="97"/>
  <c r="J26" i="97"/>
  <c r="T25" i="97" s="1"/>
  <c r="I26" i="97"/>
  <c r="E26" i="97"/>
  <c r="C26" i="97"/>
  <c r="M26" i="97" s="1"/>
  <c r="Q25" i="97"/>
  <c r="N25" i="97"/>
  <c r="I25" i="97"/>
  <c r="P25" i="97" s="1"/>
  <c r="H25" i="97"/>
  <c r="O25" i="97" s="1"/>
  <c r="E25" i="97"/>
  <c r="C25" i="97"/>
  <c r="M25" i="97" s="1"/>
  <c r="T24" i="97"/>
  <c r="N24" i="97"/>
  <c r="I24" i="97"/>
  <c r="P24" i="97" s="1"/>
  <c r="E24" i="97"/>
  <c r="J24" i="97" s="1"/>
  <c r="P23" i="97"/>
  <c r="N23" i="97"/>
  <c r="J23" i="97"/>
  <c r="H23" i="97" s="1"/>
  <c r="O23" i="97" s="1"/>
  <c r="E23" i="97"/>
  <c r="C23" i="97" s="1"/>
  <c r="M23" i="97" s="1"/>
  <c r="Q22" i="97"/>
  <c r="P22" i="97"/>
  <c r="N22" i="97"/>
  <c r="H22" i="97"/>
  <c r="O22" i="97" s="1"/>
  <c r="E22" i="97"/>
  <c r="C22" i="97"/>
  <c r="M22" i="97" s="1"/>
  <c r="T21" i="97"/>
  <c r="P21" i="97"/>
  <c r="N21" i="97"/>
  <c r="E21" i="97"/>
  <c r="J21" i="97" s="1"/>
  <c r="C21" i="97"/>
  <c r="M21" i="97" s="1"/>
  <c r="N20" i="97"/>
  <c r="I20" i="97"/>
  <c r="P20" i="97" s="1"/>
  <c r="E20" i="97"/>
  <c r="J20" i="97" s="1"/>
  <c r="P19" i="97"/>
  <c r="N19" i="97"/>
  <c r="J19" i="97"/>
  <c r="H19" i="97" s="1"/>
  <c r="E19" i="97"/>
  <c r="C19" i="97" s="1"/>
  <c r="M19" i="97" s="1"/>
  <c r="P18" i="97"/>
  <c r="N18" i="97"/>
  <c r="E18" i="97"/>
  <c r="C18" i="97" s="1"/>
  <c r="M18" i="97" s="1"/>
  <c r="P17" i="97"/>
  <c r="N17" i="97"/>
  <c r="J17" i="97"/>
  <c r="T16" i="97" s="1"/>
  <c r="I17" i="97"/>
  <c r="E17" i="97"/>
  <c r="C17" i="97"/>
  <c r="M17" i="97" s="1"/>
  <c r="N16" i="97"/>
  <c r="I16" i="97"/>
  <c r="E16" i="97"/>
  <c r="J16" i="97" s="1"/>
  <c r="Q15" i="97"/>
  <c r="H15" i="97"/>
  <c r="E15" i="97"/>
  <c r="D15" i="97"/>
  <c r="C15" i="97" s="1"/>
  <c r="T14" i="97"/>
  <c r="L14" i="97"/>
  <c r="K14" i="97"/>
  <c r="G14" i="97"/>
  <c r="F14" i="97"/>
  <c r="D14" i="97"/>
  <c r="N14" i="97" s="1"/>
  <c r="L13" i="97"/>
  <c r="K13" i="97"/>
  <c r="G13" i="97"/>
  <c r="F13" i="97"/>
  <c r="D13" i="97"/>
  <c r="L16" i="96" l="1"/>
  <c r="AK16" i="96"/>
  <c r="AW23" i="96"/>
  <c r="AT23" i="96"/>
  <c r="AW17" i="96"/>
  <c r="AT17" i="96"/>
  <c r="AJ18" i="96"/>
  <c r="L18" i="96"/>
  <c r="AK18" i="96"/>
  <c r="L21" i="96"/>
  <c r="AK21" i="96"/>
  <c r="AK24" i="96"/>
  <c r="AJ24" i="96"/>
  <c r="L24" i="96"/>
  <c r="AK14" i="96"/>
  <c r="AW18" i="96"/>
  <c r="AK23" i="96"/>
  <c r="AW25" i="96"/>
  <c r="AT25" i="96"/>
  <c r="AK17" i="96"/>
  <c r="AJ17" i="96"/>
  <c r="AK19" i="96"/>
  <c r="AJ19" i="96"/>
  <c r="AJ20" i="96"/>
  <c r="L20" i="96"/>
  <c r="AK20" i="96"/>
  <c r="M20" i="96"/>
  <c r="Q14" i="96"/>
  <c r="N15" i="96"/>
  <c r="C16" i="96"/>
  <c r="I16" i="96"/>
  <c r="N18" i="96"/>
  <c r="C19" i="96"/>
  <c r="L19" i="96" s="1"/>
  <c r="N20" i="96"/>
  <c r="C21" i="96"/>
  <c r="I21" i="96"/>
  <c r="L22" i="96"/>
  <c r="AW24" i="96"/>
  <c r="AK15" i="96"/>
  <c r="AT24" i="96"/>
  <c r="N25" i="96"/>
  <c r="F13" i="96"/>
  <c r="J13" i="96"/>
  <c r="C14" i="96"/>
  <c r="I14" i="96"/>
  <c r="AJ14" i="96"/>
  <c r="AT15" i="96"/>
  <c r="N16" i="96"/>
  <c r="AT18" i="96"/>
  <c r="I19" i="96"/>
  <c r="AT20" i="96"/>
  <c r="N21" i="96"/>
  <c r="C22" i="96"/>
  <c r="I22" i="96"/>
  <c r="AJ23" i="96"/>
  <c r="AY24" i="96"/>
  <c r="AJ25" i="96"/>
  <c r="O14" i="96"/>
  <c r="M15" i="96"/>
  <c r="N17" i="96"/>
  <c r="AR17" i="96"/>
  <c r="M18" i="96"/>
  <c r="N23" i="96"/>
  <c r="AR23" i="96"/>
  <c r="AR25" i="96"/>
  <c r="G13" i="96"/>
  <c r="L15" i="96"/>
  <c r="C17" i="96"/>
  <c r="M17" i="96" s="1"/>
  <c r="N22" i="96"/>
  <c r="C23" i="96"/>
  <c r="M23" i="96" s="1"/>
  <c r="N24" i="96"/>
  <c r="C25" i="96"/>
  <c r="M25" i="96" s="1"/>
  <c r="N13" i="97"/>
  <c r="M15" i="97"/>
  <c r="Q16" i="97"/>
  <c r="T15" i="97"/>
  <c r="Q20" i="97"/>
  <c r="T19" i="97"/>
  <c r="Q21" i="97"/>
  <c r="H21" i="97"/>
  <c r="O21" i="97" s="1"/>
  <c r="T20" i="97"/>
  <c r="H16" i="97"/>
  <c r="O19" i="97"/>
  <c r="O15" i="97"/>
  <c r="Q24" i="97"/>
  <c r="T23" i="97"/>
  <c r="N15" i="97"/>
  <c r="E14" i="97"/>
  <c r="E13" i="97" s="1"/>
  <c r="I14" i="97"/>
  <c r="C16" i="97"/>
  <c r="M16" i="97" s="1"/>
  <c r="P16" i="97"/>
  <c r="Q17" i="97"/>
  <c r="Q19" i="97"/>
  <c r="H20" i="97"/>
  <c r="Q23" i="97"/>
  <c r="H24" i="97"/>
  <c r="Q26" i="97"/>
  <c r="P15" i="97"/>
  <c r="H17" i="97"/>
  <c r="O17" i="97" s="1"/>
  <c r="J18" i="97"/>
  <c r="H26" i="97"/>
  <c r="O26" i="97" s="1"/>
  <c r="T18" i="97"/>
  <c r="T22" i="97"/>
  <c r="C20" i="97"/>
  <c r="M20" i="97" s="1"/>
  <c r="C24" i="97"/>
  <c r="M24" i="97" s="1"/>
  <c r="F22" i="88"/>
  <c r="C17" i="104"/>
  <c r="AQ24" i="104"/>
  <c r="C24" i="104"/>
  <c r="C23" i="104"/>
  <c r="C56" i="104"/>
  <c r="D56" i="104"/>
  <c r="D72" i="104"/>
  <c r="D71" i="104"/>
  <c r="D69" i="104"/>
  <c r="F69" i="104"/>
  <c r="F70" i="104"/>
  <c r="D70" i="104"/>
  <c r="C70" i="104"/>
  <c r="C68" i="104"/>
  <c r="D67" i="104"/>
  <c r="C67" i="104"/>
  <c r="C65" i="104"/>
  <c r="D65" i="104"/>
  <c r="D64" i="104"/>
  <c r="C64" i="104"/>
  <c r="D62" i="104"/>
  <c r="C62" i="104"/>
  <c r="D60" i="104"/>
  <c r="E60" i="104"/>
  <c r="C60" i="104"/>
  <c r="C59" i="104"/>
  <c r="D59" i="104" s="1"/>
  <c r="C58" i="104"/>
  <c r="D52" i="104"/>
  <c r="C46" i="104"/>
  <c r="D46" i="104"/>
  <c r="D45" i="104"/>
  <c r="C45" i="104"/>
  <c r="D43" i="104"/>
  <c r="C43" i="104"/>
  <c r="C40" i="104"/>
  <c r="D40" i="104"/>
  <c r="D39" i="104"/>
  <c r="C39" i="104"/>
  <c r="C38" i="104"/>
  <c r="D38" i="104"/>
  <c r="D37" i="104"/>
  <c r="C37" i="104"/>
  <c r="D34" i="104"/>
  <c r="D35" i="104"/>
  <c r="C34" i="104"/>
  <c r="C35" i="104"/>
  <c r="D33" i="104"/>
  <c r="C33" i="104"/>
  <c r="D30" i="104"/>
  <c r="C30" i="104"/>
  <c r="D28" i="104"/>
  <c r="D27" i="104" s="1"/>
  <c r="C28" i="104"/>
  <c r="E21" i="104"/>
  <c r="D21" i="104"/>
  <c r="C21" i="104"/>
  <c r="E20" i="104"/>
  <c r="E19" i="104"/>
  <c r="D20" i="104"/>
  <c r="D19" i="104"/>
  <c r="C22" i="88"/>
  <c r="C20" i="104"/>
  <c r="C19" i="104"/>
  <c r="E17" i="104"/>
  <c r="E16" i="104"/>
  <c r="D15" i="104"/>
  <c r="D13" i="104" s="1"/>
  <c r="D12" i="104" s="1"/>
  <c r="E14" i="104"/>
  <c r="E13" i="104" s="1"/>
  <c r="C15" i="104"/>
  <c r="C13" i="104" s="1"/>
  <c r="C12" i="104" s="1"/>
  <c r="G68" i="104"/>
  <c r="F68" i="104"/>
  <c r="G67" i="104"/>
  <c r="F67" i="104"/>
  <c r="E66" i="104"/>
  <c r="D66" i="104"/>
  <c r="C66" i="104"/>
  <c r="D63" i="104"/>
  <c r="C63" i="104"/>
  <c r="F62" i="104"/>
  <c r="F59" i="104"/>
  <c r="F58" i="104"/>
  <c r="D58" i="104"/>
  <c r="F55" i="104"/>
  <c r="F52" i="104"/>
  <c r="F51" i="104" s="1"/>
  <c r="E51" i="104"/>
  <c r="C51" i="104"/>
  <c r="F49" i="104"/>
  <c r="D49" i="104"/>
  <c r="F47" i="104"/>
  <c r="D47" i="104"/>
  <c r="F46" i="104"/>
  <c r="F45" i="104"/>
  <c r="C44" i="104"/>
  <c r="G43" i="104"/>
  <c r="D42" i="104"/>
  <c r="C42" i="104"/>
  <c r="F40" i="104"/>
  <c r="F39" i="104"/>
  <c r="G38" i="104"/>
  <c r="G37" i="104"/>
  <c r="C36" i="104"/>
  <c r="F35" i="104"/>
  <c r="F34" i="104"/>
  <c r="F33" i="104"/>
  <c r="C32" i="104"/>
  <c r="G30" i="104"/>
  <c r="D29" i="104"/>
  <c r="C29" i="104"/>
  <c r="F28" i="104"/>
  <c r="C27" i="104"/>
  <c r="F21" i="104"/>
  <c r="F13" i="104"/>
  <c r="I10" i="104"/>
  <c r="A4" i="104"/>
  <c r="A3" i="105"/>
  <c r="C31" i="105"/>
  <c r="I23" i="105"/>
  <c r="F25" i="105"/>
  <c r="E25" i="105" s="1"/>
  <c r="E24" i="105"/>
  <c r="E23" i="105"/>
  <c r="E32" i="105"/>
  <c r="E19" i="105"/>
  <c r="G19" i="105" s="1"/>
  <c r="E18" i="105"/>
  <c r="F16" i="105"/>
  <c r="F15" i="105"/>
  <c r="H15" i="105" s="1"/>
  <c r="F23" i="105"/>
  <c r="F32" i="105"/>
  <c r="F30" i="105" s="1"/>
  <c r="E31" i="105"/>
  <c r="G31" i="105" s="1"/>
  <c r="E29" i="105"/>
  <c r="F29" i="105"/>
  <c r="F19" i="105"/>
  <c r="F18" i="105"/>
  <c r="F17" i="105"/>
  <c r="H17" i="105" s="1"/>
  <c r="F14" i="105"/>
  <c r="E14" i="44"/>
  <c r="C19" i="105"/>
  <c r="I19" i="105" s="1"/>
  <c r="D32" i="105"/>
  <c r="D30" i="105" s="1"/>
  <c r="D29" i="105"/>
  <c r="D27" i="105"/>
  <c r="C27" i="105" s="1"/>
  <c r="G27" i="105" s="1"/>
  <c r="D26" i="105"/>
  <c r="D19" i="105"/>
  <c r="D18" i="105"/>
  <c r="D17" i="105"/>
  <c r="D15" i="105"/>
  <c r="D16" i="105"/>
  <c r="D14" i="105"/>
  <c r="I34" i="105"/>
  <c r="I33" i="105"/>
  <c r="I31" i="105"/>
  <c r="A30" i="105"/>
  <c r="A33" i="105" s="1"/>
  <c r="H29" i="105"/>
  <c r="C29" i="105"/>
  <c r="I28" i="105"/>
  <c r="C28" i="105"/>
  <c r="E26" i="105"/>
  <c r="C26" i="105"/>
  <c r="I26" i="105" s="1"/>
  <c r="C25" i="105"/>
  <c r="I25" i="105" s="1"/>
  <c r="C24" i="105"/>
  <c r="I24" i="105" s="1"/>
  <c r="F22" i="105"/>
  <c r="F10" i="105" s="1"/>
  <c r="I21" i="105"/>
  <c r="E21" i="105"/>
  <c r="I20" i="105"/>
  <c r="H20" i="105"/>
  <c r="G20" i="105"/>
  <c r="C20" i="105"/>
  <c r="A19" i="105"/>
  <c r="C17" i="105"/>
  <c r="A17" i="105"/>
  <c r="E16" i="105"/>
  <c r="C16" i="105"/>
  <c r="I16" i="105" s="1"/>
  <c r="C15" i="105"/>
  <c r="I15" i="105" s="1"/>
  <c r="F13" i="105"/>
  <c r="C14" i="105"/>
  <c r="I12" i="105"/>
  <c r="I11" i="105"/>
  <c r="E11" i="105"/>
  <c r="D11" i="105"/>
  <c r="C11" i="105"/>
  <c r="D8" i="105"/>
  <c r="E8" i="105" s="1"/>
  <c r="F8" i="105" s="1"/>
  <c r="G56" i="106"/>
  <c r="D68" i="106"/>
  <c r="D63" i="106"/>
  <c r="D61" i="106"/>
  <c r="D60" i="106"/>
  <c r="D58" i="106"/>
  <c r="D56" i="106"/>
  <c r="D55" i="106"/>
  <c r="D54" i="106"/>
  <c r="D48" i="106"/>
  <c r="D47" i="106"/>
  <c r="D45" i="106"/>
  <c r="D41" i="106"/>
  <c r="D42" i="106"/>
  <c r="D40" i="106"/>
  <c r="D39" i="106"/>
  <c r="D36" i="106"/>
  <c r="D37" i="106"/>
  <c r="D35" i="106"/>
  <c r="D32" i="106"/>
  <c r="D29" i="106"/>
  <c r="D20" i="106"/>
  <c r="D67" i="106"/>
  <c r="D66" i="106"/>
  <c r="D72" i="106"/>
  <c r="D71" i="106"/>
  <c r="C52" i="106"/>
  <c r="C67" i="106"/>
  <c r="C66" i="106"/>
  <c r="C64" i="106"/>
  <c r="C63" i="106"/>
  <c r="C61" i="106"/>
  <c r="C60" i="106"/>
  <c r="C56" i="106"/>
  <c r="C55" i="106"/>
  <c r="C54" i="106"/>
  <c r="C48" i="106"/>
  <c r="C47" i="106"/>
  <c r="C45" i="106"/>
  <c r="C42" i="106"/>
  <c r="C41" i="106"/>
  <c r="C40" i="106"/>
  <c r="C39" i="106"/>
  <c r="C36" i="106"/>
  <c r="C37" i="106"/>
  <c r="C35" i="106"/>
  <c r="C32" i="106"/>
  <c r="C29" i="106"/>
  <c r="D9" i="106"/>
  <c r="D17" i="106"/>
  <c r="D16" i="106"/>
  <c r="D15" i="106"/>
  <c r="C21" i="106"/>
  <c r="C20" i="106"/>
  <c r="D14" i="106"/>
  <c r="D13" i="106"/>
  <c r="C14" i="106"/>
  <c r="C13" i="106"/>
  <c r="D11" i="106"/>
  <c r="C11" i="106"/>
  <c r="E15" i="105" l="1"/>
  <c r="G15" i="105" s="1"/>
  <c r="E17" i="105"/>
  <c r="C13" i="96"/>
  <c r="L13" i="96" s="1"/>
  <c r="L23" i="96"/>
  <c r="AS12" i="96"/>
  <c r="N13" i="96"/>
  <c r="AT21" i="96"/>
  <c r="AW21" i="96"/>
  <c r="M21" i="96"/>
  <c r="L25" i="96"/>
  <c r="M22" i="96"/>
  <c r="AW22" i="96"/>
  <c r="AT22" i="96"/>
  <c r="AW19" i="96"/>
  <c r="M19" i="96"/>
  <c r="AT19" i="96"/>
  <c r="AW16" i="96"/>
  <c r="M16" i="96"/>
  <c r="AT16" i="96"/>
  <c r="L14" i="96"/>
  <c r="L17" i="96"/>
  <c r="AK22" i="96"/>
  <c r="AW14" i="96"/>
  <c r="M14" i="96"/>
  <c r="AT14" i="96"/>
  <c r="I13" i="96"/>
  <c r="AJ22" i="96"/>
  <c r="AJ21" i="96"/>
  <c r="AJ16" i="96"/>
  <c r="Q18" i="97"/>
  <c r="T17" i="97"/>
  <c r="H18" i="97"/>
  <c r="O18" i="97" s="1"/>
  <c r="O24" i="97"/>
  <c r="C14" i="97"/>
  <c r="P14" i="97"/>
  <c r="I13" i="97"/>
  <c r="P13" i="97" s="1"/>
  <c r="H14" i="97"/>
  <c r="O16" i="97"/>
  <c r="O20" i="97"/>
  <c r="J14" i="97"/>
  <c r="F66" i="104"/>
  <c r="G64" i="104"/>
  <c r="F60" i="104"/>
  <c r="C57" i="104"/>
  <c r="C50" i="104" s="1"/>
  <c r="D57" i="104"/>
  <c r="F37" i="104"/>
  <c r="G59" i="104"/>
  <c r="G66" i="104"/>
  <c r="D36" i="104"/>
  <c r="G60" i="104"/>
  <c r="D26" i="104"/>
  <c r="D51" i="104"/>
  <c r="D44" i="104"/>
  <c r="D41" i="104" s="1"/>
  <c r="I41" i="104" s="1"/>
  <c r="F19" i="104"/>
  <c r="E44" i="104"/>
  <c r="F44" i="104" s="1"/>
  <c r="G20" i="104"/>
  <c r="C26" i="104"/>
  <c r="E29" i="104"/>
  <c r="G29" i="104" s="1"/>
  <c r="G46" i="104"/>
  <c r="F20" i="104"/>
  <c r="G34" i="104"/>
  <c r="E36" i="104"/>
  <c r="F36" i="104" s="1"/>
  <c r="G58" i="104"/>
  <c r="F30" i="104"/>
  <c r="D32" i="104"/>
  <c r="F38" i="104"/>
  <c r="G40" i="104"/>
  <c r="E32" i="104"/>
  <c r="G32" i="104" s="1"/>
  <c r="G19" i="104"/>
  <c r="G21" i="104"/>
  <c r="G28" i="104"/>
  <c r="F29" i="104"/>
  <c r="G35" i="104"/>
  <c r="E42" i="104"/>
  <c r="F43" i="104"/>
  <c r="E57" i="104"/>
  <c r="F57" i="104" s="1"/>
  <c r="E27" i="104"/>
  <c r="F27" i="104" s="1"/>
  <c r="G33" i="104"/>
  <c r="G39" i="104"/>
  <c r="G45" i="104"/>
  <c r="G13" i="104"/>
  <c r="E12" i="104"/>
  <c r="C41" i="104"/>
  <c r="E63" i="104"/>
  <c r="F64" i="104"/>
  <c r="C31" i="104"/>
  <c r="E22" i="105"/>
  <c r="H18" i="105"/>
  <c r="H32" i="105"/>
  <c r="C32" i="105"/>
  <c r="G32" i="105" s="1"/>
  <c r="H26" i="105"/>
  <c r="H19" i="105"/>
  <c r="I17" i="105"/>
  <c r="G17" i="105"/>
  <c r="I29" i="105"/>
  <c r="G29" i="105"/>
  <c r="H30" i="105"/>
  <c r="I14" i="105"/>
  <c r="C13" i="105"/>
  <c r="G16" i="105"/>
  <c r="H14" i="105"/>
  <c r="G26" i="105"/>
  <c r="D13" i="105"/>
  <c r="E14" i="105"/>
  <c r="C22" i="105"/>
  <c r="I22" i="105" s="1"/>
  <c r="H16" i="105"/>
  <c r="D22" i="105"/>
  <c r="G23" i="105"/>
  <c r="H27" i="105"/>
  <c r="E30" i="105"/>
  <c r="C18" i="105"/>
  <c r="G70" i="106"/>
  <c r="G65" i="106"/>
  <c r="G63" i="106"/>
  <c r="E62" i="106"/>
  <c r="D62" i="106"/>
  <c r="G62" i="106" s="1"/>
  <c r="C62" i="106"/>
  <c r="G60" i="106"/>
  <c r="E59" i="106"/>
  <c r="D59" i="106"/>
  <c r="C59" i="106"/>
  <c r="G58" i="106"/>
  <c r="G55" i="106"/>
  <c r="G54" i="106"/>
  <c r="E53" i="106"/>
  <c r="C53" i="106"/>
  <c r="F52" i="106"/>
  <c r="G49" i="106"/>
  <c r="G48" i="106"/>
  <c r="G47" i="106"/>
  <c r="E46" i="106"/>
  <c r="C46" i="106"/>
  <c r="E44" i="106"/>
  <c r="G45" i="106"/>
  <c r="C44" i="106"/>
  <c r="G42" i="106"/>
  <c r="D38" i="106"/>
  <c r="G39" i="106"/>
  <c r="E38" i="106"/>
  <c r="C38" i="106"/>
  <c r="G36" i="106"/>
  <c r="G35" i="106"/>
  <c r="C34" i="106"/>
  <c r="G32" i="106"/>
  <c r="E31" i="106"/>
  <c r="D31" i="106"/>
  <c r="C31" i="106"/>
  <c r="G29" i="106"/>
  <c r="D28" i="106"/>
  <c r="C28" i="106"/>
  <c r="C27" i="106"/>
  <c r="F26" i="106"/>
  <c r="F25" i="106"/>
  <c r="A21" i="106"/>
  <c r="G15" i="106"/>
  <c r="A14" i="106"/>
  <c r="C12" i="106"/>
  <c r="D12" i="106"/>
  <c r="D10" i="106"/>
  <c r="C10" i="106"/>
  <c r="E8" i="106"/>
  <c r="D8" i="106"/>
  <c r="AX12" i="96" l="1"/>
  <c r="M13" i="96"/>
  <c r="S16" i="96"/>
  <c r="O14" i="97"/>
  <c r="H13" i="97"/>
  <c r="J13" i="97"/>
  <c r="Q13" i="97" s="1"/>
  <c r="Q14" i="97"/>
  <c r="C13" i="97"/>
  <c r="M13" i="97" s="1"/>
  <c r="M14" i="97"/>
  <c r="G36" i="104"/>
  <c r="C25" i="104"/>
  <c r="E41" i="104"/>
  <c r="G41" i="104" s="1"/>
  <c r="D50" i="104"/>
  <c r="I50" i="104" s="1"/>
  <c r="G44" i="104"/>
  <c r="D31" i="104"/>
  <c r="H31" i="104" s="1"/>
  <c r="E26" i="104"/>
  <c r="G26" i="104" s="1"/>
  <c r="G27" i="104"/>
  <c r="F32" i="104"/>
  <c r="E31" i="104"/>
  <c r="F31" i="104" s="1"/>
  <c r="G57" i="104"/>
  <c r="G42" i="104"/>
  <c r="F42" i="104"/>
  <c r="F41" i="104" s="1"/>
  <c r="G63" i="104"/>
  <c r="F63" i="104"/>
  <c r="F56" i="104" s="1"/>
  <c r="E56" i="104"/>
  <c r="E11" i="104"/>
  <c r="G12" i="104"/>
  <c r="H22" i="105"/>
  <c r="D10" i="105"/>
  <c r="D9" i="105" s="1"/>
  <c r="I32" i="105"/>
  <c r="C30" i="105"/>
  <c r="G22" i="105"/>
  <c r="F9" i="105"/>
  <c r="I18" i="105"/>
  <c r="G18" i="105"/>
  <c r="I13" i="105"/>
  <c r="G14" i="105"/>
  <c r="E13" i="105"/>
  <c r="E10" i="105" s="1"/>
  <c r="H13" i="105"/>
  <c r="F24" i="106"/>
  <c r="G59" i="106"/>
  <c r="D27" i="106"/>
  <c r="C43" i="106"/>
  <c r="C33" i="106"/>
  <c r="C26" i="106" s="1"/>
  <c r="E43" i="106"/>
  <c r="G31" i="106"/>
  <c r="E34" i="106"/>
  <c r="G40" i="106"/>
  <c r="D44" i="106"/>
  <c r="G44" i="106" s="1"/>
  <c r="D53" i="106"/>
  <c r="D52" i="106" s="1"/>
  <c r="G38" i="106"/>
  <c r="G41" i="106"/>
  <c r="E52" i="106"/>
  <c r="C9" i="106"/>
  <c r="E33" i="106"/>
  <c r="E28" i="106"/>
  <c r="G53" i="106"/>
  <c r="D34" i="106"/>
  <c r="D33" i="106" s="1"/>
  <c r="D26" i="106" s="1"/>
  <c r="D46" i="106"/>
  <c r="C19" i="106"/>
  <c r="E44" i="48"/>
  <c r="E41" i="48"/>
  <c r="E40" i="48"/>
  <c r="E39" i="48" s="1"/>
  <c r="G7" i="48"/>
  <c r="E45" i="48"/>
  <c r="E50" i="48"/>
  <c r="E43" i="48"/>
  <c r="E49" i="48"/>
  <c r="E42" i="48"/>
  <c r="E37" i="48"/>
  <c r="E36" i="48"/>
  <c r="E35" i="48"/>
  <c r="E34" i="48"/>
  <c r="D37" i="48"/>
  <c r="D55" i="48"/>
  <c r="D45" i="48"/>
  <c r="D46" i="48"/>
  <c r="D43" i="48"/>
  <c r="D42" i="48"/>
  <c r="D39" i="48"/>
  <c r="D41" i="48"/>
  <c r="D40" i="48"/>
  <c r="D36" i="48"/>
  <c r="D35" i="48"/>
  <c r="D34" i="48"/>
  <c r="D16" i="48"/>
  <c r="C45" i="48"/>
  <c r="C34" i="48"/>
  <c r="C39" i="48"/>
  <c r="G39" i="48"/>
  <c r="C44" i="48"/>
  <c r="C53" i="48"/>
  <c r="C52" i="48"/>
  <c r="C50" i="48"/>
  <c r="C49" i="48"/>
  <c r="C43" i="48"/>
  <c r="C37" i="48"/>
  <c r="C36" i="48"/>
  <c r="E36" i="45"/>
  <c r="E23" i="45"/>
  <c r="E22" i="45"/>
  <c r="E21" i="45"/>
  <c r="F16" i="44"/>
  <c r="F17" i="44"/>
  <c r="F19" i="44"/>
  <c r="F20" i="44"/>
  <c r="F26" i="44"/>
  <c r="F29" i="44"/>
  <c r="F32" i="44"/>
  <c r="F33" i="44"/>
  <c r="F16" i="88"/>
  <c r="R13" i="44"/>
  <c r="E13" i="44"/>
  <c r="E36" i="44"/>
  <c r="E35" i="44"/>
  <c r="E33" i="44"/>
  <c r="E32" i="44"/>
  <c r="E26" i="44"/>
  <c r="E23" i="44"/>
  <c r="E22" i="44"/>
  <c r="E21" i="44"/>
  <c r="E20" i="44"/>
  <c r="E19" i="44"/>
  <c r="E16" i="44"/>
  <c r="D27" i="44"/>
  <c r="C16" i="44"/>
  <c r="C17" i="44"/>
  <c r="C19" i="44"/>
  <c r="C20" i="44"/>
  <c r="O13" i="97" l="1"/>
  <c r="S13" i="97"/>
  <c r="D25" i="104"/>
  <c r="I25" i="104" s="1"/>
  <c r="F26" i="104"/>
  <c r="G31" i="104"/>
  <c r="E25" i="104"/>
  <c r="G25" i="104" s="1"/>
  <c r="D24" i="104"/>
  <c r="D23" i="104" s="1"/>
  <c r="G56" i="104"/>
  <c r="E50" i="104"/>
  <c r="V10" i="105"/>
  <c r="H10" i="105"/>
  <c r="I30" i="105"/>
  <c r="C10" i="105"/>
  <c r="I10" i="105" s="1"/>
  <c r="G30" i="105"/>
  <c r="G13" i="105"/>
  <c r="H9" i="105"/>
  <c r="G52" i="106"/>
  <c r="C25" i="106"/>
  <c r="C24" i="106" s="1"/>
  <c r="C18" i="106" s="1"/>
  <c r="D43" i="106"/>
  <c r="G43" i="106" s="1"/>
  <c r="G46" i="106"/>
  <c r="G34" i="106"/>
  <c r="G28" i="106"/>
  <c r="E27" i="106"/>
  <c r="G33" i="106"/>
  <c r="E24" i="104" l="1"/>
  <c r="G24" i="104" s="1"/>
  <c r="F25" i="104"/>
  <c r="I23" i="104"/>
  <c r="F50" i="104"/>
  <c r="G50" i="104"/>
  <c r="C9" i="105"/>
  <c r="V9" i="105" s="1"/>
  <c r="G10" i="105"/>
  <c r="E9" i="105"/>
  <c r="G27" i="106"/>
  <c r="E26" i="106"/>
  <c r="D25" i="106"/>
  <c r="D24" i="106" s="1"/>
  <c r="E23" i="104" l="1"/>
  <c r="G23" i="104" s="1"/>
  <c r="F24" i="104"/>
  <c r="I9" i="105"/>
  <c r="G9" i="105"/>
  <c r="E25" i="106"/>
  <c r="G26" i="106"/>
  <c r="E10" i="104" l="1"/>
  <c r="F23" i="104"/>
  <c r="I11" i="104"/>
  <c r="E24" i="106"/>
  <c r="G25" i="106"/>
  <c r="E19" i="88"/>
  <c r="E21" i="88"/>
  <c r="F32" i="88"/>
  <c r="F21" i="88"/>
  <c r="D44" i="48"/>
  <c r="F17" i="88"/>
  <c r="F12" i="88"/>
  <c r="F50" i="88"/>
  <c r="F49" i="88"/>
  <c r="F42" i="88"/>
  <c r="H42" i="88" s="1"/>
  <c r="F41" i="88"/>
  <c r="F37" i="88"/>
  <c r="F23" i="88"/>
  <c r="F18" i="88"/>
  <c r="F15" i="88"/>
  <c r="F74" i="88"/>
  <c r="E22" i="88"/>
  <c r="F19" i="88"/>
  <c r="E49" i="88"/>
  <c r="G24" i="106" l="1"/>
  <c r="E42" i="88"/>
  <c r="E40" i="88" s="1"/>
  <c r="E32" i="88"/>
  <c r="E38" i="88"/>
  <c r="E37" i="88"/>
  <c r="G69" i="88"/>
  <c r="H69" i="88"/>
  <c r="G70" i="88"/>
  <c r="H70" i="88"/>
  <c r="E34" i="88"/>
  <c r="E16" i="88"/>
  <c r="E15" i="88"/>
  <c r="T59" i="87"/>
  <c r="T58" i="87"/>
  <c r="T57" i="87"/>
  <c r="K48" i="87"/>
  <c r="G54" i="87"/>
  <c r="T46" i="87"/>
  <c r="F68" i="87"/>
  <c r="F58" i="87"/>
  <c r="F51" i="87"/>
  <c r="E64" i="87" l="1"/>
  <c r="E65" i="87"/>
  <c r="G70" i="87"/>
  <c r="G74" i="87"/>
  <c r="G71" i="87"/>
  <c r="G59" i="87"/>
  <c r="G62" i="87"/>
  <c r="J62" i="87" s="1"/>
  <c r="G61" i="87"/>
  <c r="G52" i="87"/>
  <c r="J49" i="87"/>
  <c r="J51" i="87"/>
  <c r="J52" i="87"/>
  <c r="J53" i="87"/>
  <c r="J54" i="87"/>
  <c r="J56" i="87"/>
  <c r="J57" i="87"/>
  <c r="J58" i="87"/>
  <c r="J63" i="87"/>
  <c r="J65" i="87"/>
  <c r="J67" i="87"/>
  <c r="J70" i="87"/>
  <c r="J71" i="87"/>
  <c r="T54" i="87"/>
  <c r="T53" i="87"/>
  <c r="T48" i="87"/>
  <c r="F71" i="87"/>
  <c r="F70" i="87"/>
  <c r="F64" i="87"/>
  <c r="F59" i="87"/>
  <c r="F60" i="87"/>
  <c r="F62" i="87"/>
  <c r="F57" i="87"/>
  <c r="F53" i="87"/>
  <c r="F52" i="87"/>
  <c r="H49" i="87"/>
  <c r="H51" i="87"/>
  <c r="H52" i="87"/>
  <c r="H53" i="87"/>
  <c r="H54" i="87"/>
  <c r="H56" i="87"/>
  <c r="H57" i="87"/>
  <c r="H58" i="87"/>
  <c r="H62" i="87"/>
  <c r="H63" i="87"/>
  <c r="H65" i="87"/>
  <c r="H67" i="87"/>
  <c r="H70" i="87"/>
  <c r="H71" i="87"/>
  <c r="C69" i="87"/>
  <c r="C64" i="87"/>
  <c r="C59" i="87"/>
  <c r="H59" i="87" s="1"/>
  <c r="C62" i="87"/>
  <c r="C60" i="87"/>
  <c r="C50" i="87"/>
  <c r="C47" i="87" l="1"/>
  <c r="J59" i="87"/>
  <c r="C48" i="87"/>
  <c r="C45" i="87"/>
  <c r="H64" i="87"/>
  <c r="F38" i="88"/>
  <c r="C46" i="87" l="1"/>
  <c r="H48" i="87"/>
  <c r="M9" i="92"/>
  <c r="N9" i="92"/>
  <c r="G102" i="92" l="1"/>
  <c r="G103" i="92" s="1"/>
  <c r="O13" i="95" l="1"/>
  <c r="O14" i="95"/>
  <c r="O15" i="95"/>
  <c r="O16" i="95"/>
  <c r="O17" i="95"/>
  <c r="O18" i="95"/>
  <c r="O19" i="95"/>
  <c r="O20" i="95"/>
  <c r="O21" i="95"/>
  <c r="O22" i="95"/>
  <c r="O23" i="95"/>
  <c r="O24" i="95"/>
  <c r="O25" i="95"/>
  <c r="O26" i="95"/>
  <c r="O27" i="95"/>
  <c r="O28" i="95"/>
  <c r="O29" i="95"/>
  <c r="O30" i="95"/>
  <c r="O31" i="95"/>
  <c r="O12" i="95"/>
  <c r="O46" i="95"/>
  <c r="O47" i="95"/>
  <c r="O48" i="95"/>
  <c r="O49" i="95"/>
  <c r="O50" i="95"/>
  <c r="O51" i="95"/>
  <c r="O45" i="95"/>
  <c r="O55" i="95"/>
  <c r="O56" i="95"/>
  <c r="O57" i="95"/>
  <c r="O58" i="95"/>
  <c r="O53" i="95"/>
  <c r="O32" i="95"/>
  <c r="Q10" i="95"/>
  <c r="L38" i="95"/>
  <c r="L39" i="95"/>
  <c r="L40" i="95"/>
  <c r="L41" i="95"/>
  <c r="L42" i="95"/>
  <c r="L43" i="95"/>
  <c r="L37" i="95"/>
  <c r="L46" i="95"/>
  <c r="L47" i="95"/>
  <c r="L48" i="95"/>
  <c r="L49" i="95"/>
  <c r="L50" i="95"/>
  <c r="L51" i="95"/>
  <c r="L45" i="95"/>
  <c r="G54" i="95"/>
  <c r="G55" i="95"/>
  <c r="G56" i="95"/>
  <c r="G57" i="95"/>
  <c r="G58" i="95"/>
  <c r="G53" i="95"/>
  <c r="G46" i="95"/>
  <c r="G47" i="95"/>
  <c r="G48" i="95"/>
  <c r="G49" i="95"/>
  <c r="G50" i="95"/>
  <c r="G51" i="95"/>
  <c r="G45" i="95"/>
  <c r="G38" i="95"/>
  <c r="G39" i="95"/>
  <c r="G40" i="95"/>
  <c r="G41" i="95"/>
  <c r="G42" i="95"/>
  <c r="G43" i="95"/>
  <c r="G37" i="95"/>
  <c r="F10" i="95"/>
  <c r="G11" i="95"/>
  <c r="L13" i="95"/>
  <c r="L14" i="95"/>
  <c r="L15" i="95"/>
  <c r="L16" i="95"/>
  <c r="L17" i="95"/>
  <c r="L18" i="95"/>
  <c r="L19" i="95"/>
  <c r="L20" i="95"/>
  <c r="L21" i="95"/>
  <c r="L22" i="95"/>
  <c r="L23" i="95"/>
  <c r="L24" i="95"/>
  <c r="L25" i="95"/>
  <c r="L26" i="95"/>
  <c r="L27" i="95"/>
  <c r="L28" i="95"/>
  <c r="L29" i="95"/>
  <c r="L30" i="95"/>
  <c r="L31" i="95"/>
  <c r="G13" i="95"/>
  <c r="G14" i="95"/>
  <c r="G15" i="95"/>
  <c r="G16" i="95"/>
  <c r="G17" i="95"/>
  <c r="G18" i="95"/>
  <c r="G19" i="95"/>
  <c r="G20" i="95"/>
  <c r="G21" i="95"/>
  <c r="G22" i="95"/>
  <c r="G23" i="95"/>
  <c r="G24" i="95"/>
  <c r="G25" i="95"/>
  <c r="G26" i="95"/>
  <c r="G27" i="95"/>
  <c r="G28" i="95"/>
  <c r="G29" i="95"/>
  <c r="G30" i="95"/>
  <c r="G31" i="95"/>
  <c r="G12" i="95"/>
  <c r="L12" i="95"/>
  <c r="C18" i="93" l="1"/>
  <c r="C52" i="90" l="1"/>
  <c r="C50" i="90"/>
  <c r="C51" i="90"/>
  <c r="G9" i="92" l="1"/>
  <c r="H9" i="92"/>
  <c r="K99" i="92"/>
  <c r="L99" i="92" s="1"/>
  <c r="I99" i="92"/>
  <c r="G99" i="92"/>
  <c r="G8" i="92" s="1"/>
  <c r="E99" i="92"/>
  <c r="L98" i="92"/>
  <c r="M98" i="92" s="1"/>
  <c r="K98" i="92"/>
  <c r="E98" i="92"/>
  <c r="K9" i="92"/>
  <c r="L9" i="92" s="1"/>
  <c r="I9" i="92"/>
  <c r="E9" i="92"/>
  <c r="K8" i="92"/>
  <c r="J8" i="92"/>
  <c r="I8" i="92"/>
  <c r="F8" i="92"/>
  <c r="D8" i="92"/>
  <c r="C8" i="92"/>
  <c r="C46" i="90"/>
  <c r="C34" i="90" s="1"/>
  <c r="C37" i="90"/>
  <c r="C11" i="90"/>
  <c r="C23" i="90"/>
  <c r="W27" i="89"/>
  <c r="W31" i="89"/>
  <c r="V31" i="89"/>
  <c r="U31" i="89"/>
  <c r="W35" i="89"/>
  <c r="L8" i="92" l="1"/>
  <c r="E8" i="92"/>
  <c r="N98" i="92"/>
  <c r="M99" i="92"/>
  <c r="N99" i="92" s="1"/>
  <c r="H8" i="92"/>
  <c r="C10" i="90"/>
  <c r="N8" i="92" l="1"/>
  <c r="M8" i="92"/>
  <c r="I32" i="95"/>
  <c r="M32" i="95" s="1"/>
  <c r="J32" i="95" l="1"/>
  <c r="K32" i="95"/>
  <c r="J54" i="95"/>
  <c r="L54" i="95" s="1"/>
  <c r="K54" i="95"/>
  <c r="J55" i="95"/>
  <c r="K55" i="95"/>
  <c r="J56" i="95"/>
  <c r="K56" i="95"/>
  <c r="J57" i="95"/>
  <c r="L57" i="95" s="1"/>
  <c r="K57" i="95"/>
  <c r="J58" i="95"/>
  <c r="K58" i="95"/>
  <c r="K53" i="95"/>
  <c r="J53" i="95"/>
  <c r="J47" i="95"/>
  <c r="M47" i="95" s="1"/>
  <c r="K47" i="95"/>
  <c r="K46" i="95"/>
  <c r="K48" i="95"/>
  <c r="K49" i="95"/>
  <c r="K50" i="95"/>
  <c r="K51" i="95"/>
  <c r="J46" i="95"/>
  <c r="J48" i="95"/>
  <c r="J49" i="95"/>
  <c r="J50" i="95"/>
  <c r="J51" i="95"/>
  <c r="E54" i="95"/>
  <c r="F54" i="95"/>
  <c r="E55" i="95"/>
  <c r="F55" i="95"/>
  <c r="E56" i="95"/>
  <c r="F56" i="95"/>
  <c r="E57" i="95"/>
  <c r="F57" i="95"/>
  <c r="E58" i="95"/>
  <c r="F58" i="95"/>
  <c r="F53" i="95"/>
  <c r="E53" i="95"/>
  <c r="D52" i="95"/>
  <c r="H52" i="95"/>
  <c r="I52" i="95"/>
  <c r="N52" i="95"/>
  <c r="C52" i="95"/>
  <c r="C35" i="95" s="1"/>
  <c r="N44" i="95"/>
  <c r="K45" i="95"/>
  <c r="J45" i="95"/>
  <c r="J37" i="95"/>
  <c r="J42" i="95"/>
  <c r="J38" i="95"/>
  <c r="J39" i="95"/>
  <c r="J40" i="95"/>
  <c r="J41" i="95"/>
  <c r="J43" i="95"/>
  <c r="E46" i="95"/>
  <c r="F46" i="95"/>
  <c r="E47" i="95"/>
  <c r="F47" i="95"/>
  <c r="E48" i="95"/>
  <c r="F48" i="95"/>
  <c r="E49" i="95"/>
  <c r="F49" i="95"/>
  <c r="E50" i="95"/>
  <c r="F50" i="95"/>
  <c r="E51" i="95"/>
  <c r="F51" i="95"/>
  <c r="F45" i="95"/>
  <c r="E45" i="95"/>
  <c r="D44" i="95"/>
  <c r="H44" i="95"/>
  <c r="I44" i="95"/>
  <c r="C44" i="95"/>
  <c r="C36" i="95"/>
  <c r="K38" i="95"/>
  <c r="K36" i="95" s="1"/>
  <c r="K39" i="95"/>
  <c r="K40" i="95"/>
  <c r="K41" i="95"/>
  <c r="K42" i="95"/>
  <c r="K43" i="95"/>
  <c r="K37" i="95"/>
  <c r="D36" i="95"/>
  <c r="H36" i="95"/>
  <c r="H35" i="95" s="1"/>
  <c r="I36" i="95"/>
  <c r="D12" i="89"/>
  <c r="D27" i="89"/>
  <c r="E27" i="89"/>
  <c r="F27" i="89"/>
  <c r="G27" i="89"/>
  <c r="H27" i="89"/>
  <c r="I27" i="89"/>
  <c r="J27" i="89"/>
  <c r="K27" i="89"/>
  <c r="L27" i="89"/>
  <c r="M27" i="89"/>
  <c r="N27" i="89"/>
  <c r="O27" i="89"/>
  <c r="P27" i="89"/>
  <c r="Q27" i="89"/>
  <c r="R27" i="89"/>
  <c r="S27" i="89"/>
  <c r="T27" i="89"/>
  <c r="U27" i="89"/>
  <c r="V27" i="89"/>
  <c r="C27" i="89"/>
  <c r="D23" i="89"/>
  <c r="E23" i="89"/>
  <c r="F23" i="89"/>
  <c r="G23" i="89"/>
  <c r="H23" i="89"/>
  <c r="I23" i="89"/>
  <c r="J23" i="89"/>
  <c r="K23" i="89"/>
  <c r="L23" i="89"/>
  <c r="M23" i="89"/>
  <c r="N23" i="89"/>
  <c r="O23" i="89"/>
  <c r="P23" i="89"/>
  <c r="Q23" i="89"/>
  <c r="R23" i="89"/>
  <c r="S23" i="89"/>
  <c r="T23" i="89"/>
  <c r="U23" i="89"/>
  <c r="V23" i="89"/>
  <c r="W23" i="89"/>
  <c r="C23" i="89"/>
  <c r="W12" i="89"/>
  <c r="V12" i="89"/>
  <c r="N35" i="95" l="1"/>
  <c r="M45" i="95"/>
  <c r="G44" i="95"/>
  <c r="D35" i="95"/>
  <c r="M38" i="95"/>
  <c r="O38" i="95" s="1"/>
  <c r="M48" i="95"/>
  <c r="L58" i="95"/>
  <c r="L56" i="95"/>
  <c r="M54" i="95"/>
  <c r="O54" i="95" s="1"/>
  <c r="L55" i="95"/>
  <c r="I35" i="95"/>
  <c r="M51" i="95"/>
  <c r="M57" i="95"/>
  <c r="L32" i="95"/>
  <c r="H10" i="95"/>
  <c r="M50" i="95"/>
  <c r="G52" i="95"/>
  <c r="M56" i="95"/>
  <c r="L53" i="95"/>
  <c r="K52" i="95"/>
  <c r="J52" i="95"/>
  <c r="M49" i="95"/>
  <c r="K44" i="95"/>
  <c r="J44" i="95"/>
  <c r="M46" i="95"/>
  <c r="F52" i="95"/>
  <c r="E52" i="95"/>
  <c r="J36" i="95"/>
  <c r="F44" i="95"/>
  <c r="E44" i="95"/>
  <c r="E38" i="95"/>
  <c r="F38" i="95"/>
  <c r="E39" i="95"/>
  <c r="F39" i="95"/>
  <c r="E40" i="95"/>
  <c r="F40" i="95"/>
  <c r="E41" i="95"/>
  <c r="F41" i="95"/>
  <c r="E42" i="95"/>
  <c r="M42" i="95" s="1"/>
  <c r="O42" i="95" s="1"/>
  <c r="F42" i="95"/>
  <c r="E43" i="95"/>
  <c r="F43" i="95"/>
  <c r="F37" i="95"/>
  <c r="E37" i="95"/>
  <c r="K13" i="95"/>
  <c r="K14" i="95"/>
  <c r="K15" i="95"/>
  <c r="K16" i="95"/>
  <c r="K17" i="95"/>
  <c r="K18" i="95"/>
  <c r="K19" i="95"/>
  <c r="K20" i="95"/>
  <c r="K21" i="95"/>
  <c r="K22" i="95"/>
  <c r="K23" i="95"/>
  <c r="K24" i="95"/>
  <c r="K25" i="95"/>
  <c r="K26" i="95"/>
  <c r="K27" i="95"/>
  <c r="K28" i="95"/>
  <c r="K29" i="95"/>
  <c r="K30" i="95"/>
  <c r="K31" i="95"/>
  <c r="K12" i="95"/>
  <c r="J13" i="95"/>
  <c r="J14" i="95"/>
  <c r="J15" i="95"/>
  <c r="J16" i="95"/>
  <c r="J17" i="95"/>
  <c r="J18" i="95"/>
  <c r="J19" i="95"/>
  <c r="J20" i="95"/>
  <c r="J21" i="95"/>
  <c r="J22" i="95"/>
  <c r="J23" i="95"/>
  <c r="J24" i="95"/>
  <c r="J25" i="95"/>
  <c r="J26" i="95"/>
  <c r="J27" i="95"/>
  <c r="J28" i="95"/>
  <c r="J29" i="95"/>
  <c r="J30" i="95"/>
  <c r="J31" i="95"/>
  <c r="J12" i="95"/>
  <c r="D11" i="95"/>
  <c r="H11" i="95"/>
  <c r="I11" i="95"/>
  <c r="I10" i="95" s="1"/>
  <c r="N11" i="95"/>
  <c r="C11" i="95"/>
  <c r="C10" i="95" s="1"/>
  <c r="F13" i="95"/>
  <c r="F14" i="95"/>
  <c r="F15" i="95"/>
  <c r="F16" i="95"/>
  <c r="F17" i="95"/>
  <c r="F18" i="95"/>
  <c r="F19" i="95"/>
  <c r="F20" i="95"/>
  <c r="F21" i="95"/>
  <c r="F22" i="95"/>
  <c r="F23" i="95"/>
  <c r="F24" i="95"/>
  <c r="F25" i="95"/>
  <c r="F26" i="95"/>
  <c r="F27" i="95"/>
  <c r="F28" i="95"/>
  <c r="F29" i="95"/>
  <c r="F30" i="95"/>
  <c r="F31" i="95"/>
  <c r="F12" i="95"/>
  <c r="E13" i="95"/>
  <c r="E14" i="95"/>
  <c r="E15" i="95"/>
  <c r="E16" i="95"/>
  <c r="E17" i="95"/>
  <c r="E18" i="95"/>
  <c r="E19" i="95"/>
  <c r="E20" i="95"/>
  <c r="E21" i="95"/>
  <c r="E22" i="95"/>
  <c r="E23" i="95"/>
  <c r="E24" i="95"/>
  <c r="E25" i="95"/>
  <c r="E26" i="95"/>
  <c r="E27" i="95"/>
  <c r="E28" i="95"/>
  <c r="E29" i="95"/>
  <c r="E30" i="95"/>
  <c r="E31" i="95"/>
  <c r="E12" i="95"/>
  <c r="N10" i="95" l="1"/>
  <c r="M24" i="95"/>
  <c r="M39" i="95"/>
  <c r="O39" i="95" s="1"/>
  <c r="M43" i="95"/>
  <c r="O43" i="95" s="1"/>
  <c r="E36" i="95"/>
  <c r="M40" i="95"/>
  <c r="O40" i="95" s="1"/>
  <c r="M28" i="95"/>
  <c r="M20" i="95"/>
  <c r="M41" i="95"/>
  <c r="O41" i="95" s="1"/>
  <c r="E35" i="95"/>
  <c r="M58" i="95"/>
  <c r="F36" i="95"/>
  <c r="F35" i="95" s="1"/>
  <c r="K35" i="95"/>
  <c r="M55" i="95"/>
  <c r="D10" i="95"/>
  <c r="E11" i="95"/>
  <c r="M27" i="95"/>
  <c r="M23" i="95"/>
  <c r="M19" i="95"/>
  <c r="M15" i="95"/>
  <c r="J11" i="95"/>
  <c r="K11" i="95"/>
  <c r="K10" i="95" s="1"/>
  <c r="L36" i="95"/>
  <c r="M17" i="95"/>
  <c r="M16" i="95"/>
  <c r="M30" i="95"/>
  <c r="M26" i="95"/>
  <c r="M22" i="95"/>
  <c r="M18" i="95"/>
  <c r="F11" i="95"/>
  <c r="J35" i="95"/>
  <c r="M31" i="95"/>
  <c r="M29" i="95"/>
  <c r="M25" i="95"/>
  <c r="M21" i="95"/>
  <c r="M14" i="95"/>
  <c r="M53" i="95"/>
  <c r="L52" i="95"/>
  <c r="L44" i="95"/>
  <c r="O44" i="95"/>
  <c r="M44" i="95"/>
  <c r="L11" i="95"/>
  <c r="M12" i="95"/>
  <c r="O52" i="95" l="1"/>
  <c r="L35" i="95"/>
  <c r="M52" i="95"/>
  <c r="E10" i="95"/>
  <c r="L10" i="95"/>
  <c r="G36" i="95"/>
  <c r="G35" i="95" s="1"/>
  <c r="G10" i="95" s="1"/>
  <c r="M37" i="95"/>
  <c r="J10" i="95"/>
  <c r="M13" i="95"/>
  <c r="O11" i="95" s="1"/>
  <c r="C7" i="93"/>
  <c r="O37" i="95" l="1"/>
  <c r="O36" i="95" s="1"/>
  <c r="O35" i="95" s="1"/>
  <c r="O10" i="95" s="1"/>
  <c r="M36" i="95"/>
  <c r="M35" i="95" s="1"/>
  <c r="M11" i="95"/>
  <c r="M10" i="95" l="1"/>
  <c r="F75" i="88"/>
  <c r="I11" i="88"/>
  <c r="I12" i="88"/>
  <c r="I13" i="88"/>
  <c r="I18" i="88"/>
  <c r="F47" i="88"/>
  <c r="F36" i="88"/>
  <c r="F71" i="88"/>
  <c r="F53" i="88"/>
  <c r="F58" i="88"/>
  <c r="F40" i="88"/>
  <c r="F34" i="88"/>
  <c r="F70" i="88"/>
  <c r="F69" i="88"/>
  <c r="F68" i="88"/>
  <c r="F67" i="88"/>
  <c r="F62" i="88"/>
  <c r="F60" i="88"/>
  <c r="F44" i="88"/>
  <c r="F43" i="88"/>
  <c r="E33" i="88"/>
  <c r="K16" i="88"/>
  <c r="F35" i="88" l="1"/>
  <c r="D58" i="88"/>
  <c r="C58" i="88"/>
  <c r="D49" i="88"/>
  <c r="D23" i="88"/>
  <c r="D19" i="88"/>
  <c r="E10" i="88"/>
  <c r="F10" i="88"/>
  <c r="I10" i="88" s="1"/>
  <c r="D10" i="88"/>
  <c r="E65" i="88"/>
  <c r="C65" i="88"/>
  <c r="D66" i="88"/>
  <c r="D65" i="88" s="1"/>
  <c r="E66" i="88"/>
  <c r="F66" i="88"/>
  <c r="F65" i="88" s="1"/>
  <c r="C66" i="88"/>
  <c r="C34" i="88" l="1"/>
  <c r="C23" i="88" l="1"/>
  <c r="C21" i="88"/>
  <c r="C17" i="88"/>
  <c r="G64" i="87" l="1"/>
  <c r="J64" i="87" s="1"/>
  <c r="L68" i="87"/>
  <c r="G60" i="87"/>
  <c r="J60" i="87" s="1"/>
  <c r="H60" i="87"/>
  <c r="E61" i="87"/>
  <c r="E53" i="87"/>
  <c r="E52" i="87"/>
  <c r="E51" i="87"/>
  <c r="D70" i="87"/>
  <c r="X46" i="84" l="1"/>
  <c r="V46" i="84" s="1"/>
  <c r="X45" i="84"/>
  <c r="V45" i="84"/>
  <c r="X44" i="84"/>
  <c r="V44" i="84" s="1"/>
  <c r="X43" i="84"/>
  <c r="V43" i="84"/>
  <c r="J42" i="84"/>
  <c r="I42" i="84"/>
  <c r="X40" i="84"/>
  <c r="V40" i="84"/>
  <c r="X39" i="84"/>
  <c r="V39" i="84" s="1"/>
  <c r="X38" i="84"/>
  <c r="V38" i="84"/>
  <c r="X33" i="84"/>
  <c r="V33" i="84" s="1"/>
  <c r="X32" i="84"/>
  <c r="V32" i="84"/>
  <c r="X31" i="84"/>
  <c r="V31" i="84" s="1"/>
  <c r="V28" i="84"/>
  <c r="X27" i="84"/>
  <c r="V27" i="84" s="1"/>
  <c r="X26" i="84"/>
  <c r="V26" i="84"/>
  <c r="X25" i="84"/>
  <c r="V25" i="84" s="1"/>
  <c r="X24" i="84"/>
  <c r="V24" i="84"/>
  <c r="X21" i="84"/>
  <c r="V21" i="84" s="1"/>
  <c r="L20" i="84"/>
  <c r="R20" i="84" s="1"/>
  <c r="R8" i="84" s="1"/>
  <c r="K20" i="84"/>
  <c r="Q20" i="84" s="1"/>
  <c r="Q8" i="84" s="1"/>
  <c r="W8" i="84"/>
  <c r="U8" i="84"/>
  <c r="T8" i="84"/>
  <c r="S8" i="84"/>
  <c r="P8" i="84"/>
  <c r="O8" i="84"/>
  <c r="N8" i="84"/>
  <c r="M8" i="84"/>
  <c r="J8" i="84"/>
  <c r="I8" i="84"/>
  <c r="H8" i="84"/>
  <c r="G8" i="84"/>
  <c r="W143" i="85"/>
  <c r="V143" i="85" s="1"/>
  <c r="V141" i="85" s="1"/>
  <c r="V9" i="85" s="1"/>
  <c r="W142" i="85"/>
  <c r="V142" i="85"/>
  <c r="Y141" i="85"/>
  <c r="X141" i="85"/>
  <c r="U141" i="85"/>
  <c r="T141" i="85"/>
  <c r="S141" i="85"/>
  <c r="R141" i="85"/>
  <c r="Q141" i="85"/>
  <c r="P141" i="85"/>
  <c r="O141" i="85"/>
  <c r="N141" i="85"/>
  <c r="M141" i="85"/>
  <c r="L141" i="85"/>
  <c r="K141" i="85"/>
  <c r="J141" i="85"/>
  <c r="I141" i="85"/>
  <c r="H141" i="85"/>
  <c r="G141" i="85"/>
  <c r="F141" i="85"/>
  <c r="U140" i="85"/>
  <c r="T140" i="85" s="1"/>
  <c r="T139" i="85" s="1"/>
  <c r="O140" i="85"/>
  <c r="N140" i="85"/>
  <c r="N139" i="85" s="1"/>
  <c r="H140" i="85"/>
  <c r="H139" i="85" s="1"/>
  <c r="Y139" i="85"/>
  <c r="X139" i="85"/>
  <c r="W139" i="85"/>
  <c r="V139" i="85"/>
  <c r="S139" i="85"/>
  <c r="R139" i="85"/>
  <c r="Q139" i="85"/>
  <c r="P139" i="85"/>
  <c r="O139" i="85"/>
  <c r="M139" i="85"/>
  <c r="L139" i="85"/>
  <c r="K139" i="85"/>
  <c r="J139" i="85"/>
  <c r="I139" i="85"/>
  <c r="G139" i="85"/>
  <c r="F139" i="85"/>
  <c r="H138" i="85"/>
  <c r="U137" i="85"/>
  <c r="T137" i="85"/>
  <c r="S137" i="85"/>
  <c r="R137" i="85"/>
  <c r="Q137" i="85"/>
  <c r="P137" i="85"/>
  <c r="O137" i="85"/>
  <c r="N137" i="85"/>
  <c r="M137" i="85"/>
  <c r="L137" i="85"/>
  <c r="K137" i="85"/>
  <c r="J137" i="85"/>
  <c r="I137" i="85"/>
  <c r="H137" i="85"/>
  <c r="G137" i="85"/>
  <c r="F137" i="85"/>
  <c r="H136" i="85"/>
  <c r="H135" i="85"/>
  <c r="H134" i="85"/>
  <c r="H133" i="85" s="1"/>
  <c r="H132" i="85" s="1"/>
  <c r="X133" i="85"/>
  <c r="W133" i="85"/>
  <c r="V133" i="85"/>
  <c r="U133" i="85"/>
  <c r="T133" i="85"/>
  <c r="S133" i="85"/>
  <c r="R133" i="85"/>
  <c r="R132" i="85" s="1"/>
  <c r="R9" i="85" s="1"/>
  <c r="Q133" i="85"/>
  <c r="P133" i="85"/>
  <c r="O133" i="85"/>
  <c r="N133" i="85"/>
  <c r="N132" i="85" s="1"/>
  <c r="M133" i="85"/>
  <c r="L133" i="85"/>
  <c r="K133" i="85"/>
  <c r="J133" i="85"/>
  <c r="J132" i="85" s="1"/>
  <c r="J9" i="85" s="1"/>
  <c r="I133" i="85"/>
  <c r="G133" i="85"/>
  <c r="U132" i="85"/>
  <c r="T132" i="85"/>
  <c r="S132" i="85"/>
  <c r="Q132" i="85"/>
  <c r="P132" i="85"/>
  <c r="O132" i="85"/>
  <c r="M132" i="85"/>
  <c r="L132" i="85"/>
  <c r="K132" i="85"/>
  <c r="I132" i="85"/>
  <c r="G132" i="85"/>
  <c r="F132" i="85"/>
  <c r="H131" i="85"/>
  <c r="H130" i="85"/>
  <c r="H129" i="85"/>
  <c r="Y128" i="85"/>
  <c r="X128" i="85"/>
  <c r="W128" i="85"/>
  <c r="V128" i="85"/>
  <c r="U128" i="85"/>
  <c r="T128" i="85"/>
  <c r="S128" i="85"/>
  <c r="R128" i="85"/>
  <c r="Q128" i="85"/>
  <c r="P128" i="85"/>
  <c r="O128" i="85"/>
  <c r="N128" i="85"/>
  <c r="M128" i="85"/>
  <c r="L128" i="85"/>
  <c r="K128" i="85"/>
  <c r="J128" i="85"/>
  <c r="I128" i="85"/>
  <c r="H128" i="85"/>
  <c r="G128" i="85"/>
  <c r="F128" i="85"/>
  <c r="H126" i="85"/>
  <c r="H125" i="85"/>
  <c r="H124" i="85"/>
  <c r="H123" i="85" s="1"/>
  <c r="U123" i="85"/>
  <c r="T123" i="85"/>
  <c r="S123" i="85"/>
  <c r="R123" i="85"/>
  <c r="Q123" i="85"/>
  <c r="P123" i="85"/>
  <c r="O123" i="85"/>
  <c r="N123" i="85"/>
  <c r="M123" i="85"/>
  <c r="L123" i="85"/>
  <c r="K123" i="85"/>
  <c r="J123" i="85"/>
  <c r="I123" i="85"/>
  <c r="G123" i="85"/>
  <c r="F123" i="85"/>
  <c r="H122" i="85"/>
  <c r="H121" i="85"/>
  <c r="H120" i="85"/>
  <c r="H119" i="85"/>
  <c r="H118" i="85"/>
  <c r="H117" i="85"/>
  <c r="H116" i="85"/>
  <c r="H115" i="85"/>
  <c r="H114" i="85"/>
  <c r="H113" i="85"/>
  <c r="H112" i="85"/>
  <c r="H111" i="85"/>
  <c r="H110" i="85"/>
  <c r="H109" i="85"/>
  <c r="H108" i="85"/>
  <c r="H107" i="85"/>
  <c r="H106" i="85"/>
  <c r="H105" i="85"/>
  <c r="H104" i="85"/>
  <c r="H103" i="85"/>
  <c r="H102" i="85"/>
  <c r="H101" i="85"/>
  <c r="H100" i="85"/>
  <c r="H99" i="85"/>
  <c r="H98" i="85" s="1"/>
  <c r="U98" i="85"/>
  <c r="T98" i="85"/>
  <c r="S98" i="85"/>
  <c r="S81" i="85" s="1"/>
  <c r="R98" i="85"/>
  <c r="Q98" i="85"/>
  <c r="P98" i="85"/>
  <c r="O98" i="85"/>
  <c r="O81" i="85" s="1"/>
  <c r="N98" i="85"/>
  <c r="M98" i="85"/>
  <c r="L98" i="85"/>
  <c r="K98" i="85"/>
  <c r="K81" i="85" s="1"/>
  <c r="J98" i="85"/>
  <c r="I98" i="85"/>
  <c r="G98" i="85"/>
  <c r="G81" i="85" s="1"/>
  <c r="F98" i="85"/>
  <c r="H97" i="85"/>
  <c r="F97" i="85"/>
  <c r="H96" i="85"/>
  <c r="F96" i="85"/>
  <c r="H95" i="85"/>
  <c r="F95" i="85"/>
  <c r="H94" i="85"/>
  <c r="F94" i="85"/>
  <c r="H93" i="85"/>
  <c r="F93" i="85"/>
  <c r="H92" i="85"/>
  <c r="F92" i="85"/>
  <c r="H91" i="85"/>
  <c r="F91" i="85"/>
  <c r="H90" i="85"/>
  <c r="F90" i="85"/>
  <c r="H89" i="85"/>
  <c r="F89" i="85"/>
  <c r="H88" i="85"/>
  <c r="F88" i="85"/>
  <c r="H87" i="85"/>
  <c r="F87" i="85"/>
  <c r="H86" i="85"/>
  <c r="F86" i="85"/>
  <c r="H85" i="85"/>
  <c r="F85" i="85"/>
  <c r="H84" i="85"/>
  <c r="H82" i="85" s="1"/>
  <c r="H81" i="85" s="1"/>
  <c r="H9" i="85" s="1"/>
  <c r="F84" i="85"/>
  <c r="H83" i="85"/>
  <c r="F83" i="85"/>
  <c r="U82" i="85"/>
  <c r="T82" i="85"/>
  <c r="S82" i="85"/>
  <c r="R82" i="85"/>
  <c r="Q82" i="85"/>
  <c r="P82" i="85"/>
  <c r="O82" i="85"/>
  <c r="N82" i="85"/>
  <c r="M82" i="85"/>
  <c r="L82" i="85"/>
  <c r="K82" i="85"/>
  <c r="J82" i="85"/>
  <c r="I82" i="85"/>
  <c r="G82" i="85"/>
  <c r="F82" i="85"/>
  <c r="Y81" i="85"/>
  <c r="Y9" i="85" s="1"/>
  <c r="X81" i="85"/>
  <c r="W81" i="85"/>
  <c r="V81" i="85"/>
  <c r="U81" i="85"/>
  <c r="T81" i="85"/>
  <c r="R81" i="85"/>
  <c r="Q81" i="85"/>
  <c r="P81" i="85"/>
  <c r="N81" i="85"/>
  <c r="M81" i="85"/>
  <c r="L81" i="85"/>
  <c r="J81" i="85"/>
  <c r="I81" i="85"/>
  <c r="F81" i="85"/>
  <c r="U76" i="85"/>
  <c r="T76" i="85"/>
  <c r="S76" i="85"/>
  <c r="R76" i="85"/>
  <c r="Q76" i="85"/>
  <c r="P76" i="85"/>
  <c r="O76" i="85"/>
  <c r="N76" i="85"/>
  <c r="M76" i="85"/>
  <c r="L76" i="85"/>
  <c r="K76" i="85"/>
  <c r="J76" i="85"/>
  <c r="I76" i="85"/>
  <c r="H76" i="85"/>
  <c r="G76" i="85"/>
  <c r="F76" i="85"/>
  <c r="S69" i="85"/>
  <c r="R69" i="85"/>
  <c r="Y62" i="85"/>
  <c r="X62" i="85"/>
  <c r="W62" i="85"/>
  <c r="V62" i="85"/>
  <c r="U62" i="85"/>
  <c r="T62" i="85"/>
  <c r="S62" i="85"/>
  <c r="S54" i="85" s="1"/>
  <c r="R62" i="85"/>
  <c r="Q62" i="85"/>
  <c r="P62" i="85"/>
  <c r="O62" i="85"/>
  <c r="O54" i="85" s="1"/>
  <c r="N62" i="85"/>
  <c r="M62" i="85"/>
  <c r="L62" i="85"/>
  <c r="K62" i="85"/>
  <c r="K54" i="85" s="1"/>
  <c r="J62" i="85"/>
  <c r="I62" i="85"/>
  <c r="H62" i="85"/>
  <c r="G62" i="85"/>
  <c r="G54" i="85" s="1"/>
  <c r="F62" i="85"/>
  <c r="F61" i="85"/>
  <c r="F60" i="85"/>
  <c r="F59" i="85"/>
  <c r="F55" i="85" s="1"/>
  <c r="F54" i="85" s="1"/>
  <c r="F9" i="85" s="1"/>
  <c r="F58" i="85"/>
  <c r="F57" i="85"/>
  <c r="F56" i="85"/>
  <c r="U55" i="85"/>
  <c r="T55" i="85"/>
  <c r="S55" i="85"/>
  <c r="R55" i="85"/>
  <c r="Q55" i="85"/>
  <c r="P55" i="85"/>
  <c r="O55" i="85"/>
  <c r="N55" i="85"/>
  <c r="M55" i="85"/>
  <c r="L55" i="85"/>
  <c r="K55" i="85"/>
  <c r="J55" i="85"/>
  <c r="I55" i="85"/>
  <c r="H55" i="85"/>
  <c r="G55" i="85"/>
  <c r="U54" i="85"/>
  <c r="T54" i="85"/>
  <c r="R54" i="85"/>
  <c r="Q54" i="85"/>
  <c r="Q9" i="85" s="1"/>
  <c r="P54" i="85"/>
  <c r="N54" i="85"/>
  <c r="M54" i="85"/>
  <c r="M9" i="85" s="1"/>
  <c r="L54" i="85"/>
  <c r="J54" i="85"/>
  <c r="I54" i="85"/>
  <c r="I9" i="85" s="1"/>
  <c r="H54" i="85"/>
  <c r="U53" i="85"/>
  <c r="T53" i="85" s="1"/>
  <c r="S52" i="85"/>
  <c r="R52" i="85"/>
  <c r="U51" i="85"/>
  <c r="T51" i="85" s="1"/>
  <c r="U50" i="85"/>
  <c r="T50" i="85" s="1"/>
  <c r="U49" i="85"/>
  <c r="T49" i="85" s="1"/>
  <c r="S49" i="85"/>
  <c r="R49" i="85"/>
  <c r="U48" i="85"/>
  <c r="T48" i="85" s="1"/>
  <c r="T45" i="85" s="1"/>
  <c r="T32" i="85" s="1"/>
  <c r="T9" i="85" s="1"/>
  <c r="Y45" i="85"/>
  <c r="X45" i="85"/>
  <c r="W45" i="85"/>
  <c r="V45" i="85"/>
  <c r="S45" i="85"/>
  <c r="R45" i="85"/>
  <c r="Q45" i="85"/>
  <c r="P45" i="85"/>
  <c r="O45" i="85"/>
  <c r="N45" i="85"/>
  <c r="M45" i="85"/>
  <c r="L45" i="85"/>
  <c r="K45" i="85"/>
  <c r="J45" i="85"/>
  <c r="I45" i="85"/>
  <c r="H45" i="85"/>
  <c r="G45" i="85"/>
  <c r="F45" i="85"/>
  <c r="Y34" i="85"/>
  <c r="X34" i="85"/>
  <c r="W34" i="85"/>
  <c r="V34" i="85"/>
  <c r="U34" i="85"/>
  <c r="T34" i="85"/>
  <c r="S34" i="85"/>
  <c r="R34" i="85"/>
  <c r="Q34" i="85"/>
  <c r="P34" i="85"/>
  <c r="O34" i="85"/>
  <c r="N34" i="85"/>
  <c r="M34" i="85"/>
  <c r="L34" i="85"/>
  <c r="K34" i="85"/>
  <c r="J34" i="85"/>
  <c r="I34" i="85"/>
  <c r="H34" i="85"/>
  <c r="G34" i="85"/>
  <c r="F34" i="85"/>
  <c r="Y32" i="85"/>
  <c r="X32" i="85"/>
  <c r="W32" i="85"/>
  <c r="V32" i="85"/>
  <c r="S32" i="85"/>
  <c r="R32" i="85"/>
  <c r="Q32" i="85"/>
  <c r="P32" i="85"/>
  <c r="O32" i="85"/>
  <c r="N32" i="85"/>
  <c r="M32" i="85"/>
  <c r="L32" i="85"/>
  <c r="K32" i="85"/>
  <c r="J32" i="85"/>
  <c r="I32" i="85"/>
  <c r="H32" i="85"/>
  <c r="G32" i="85"/>
  <c r="F32" i="85"/>
  <c r="Y25" i="85"/>
  <c r="X25" i="85"/>
  <c r="W25" i="85"/>
  <c r="V25" i="85"/>
  <c r="U25" i="85"/>
  <c r="T25" i="85"/>
  <c r="S25" i="85"/>
  <c r="R25" i="85"/>
  <c r="Q25" i="85"/>
  <c r="P25" i="85"/>
  <c r="O25" i="85"/>
  <c r="N25" i="85"/>
  <c r="M25" i="85"/>
  <c r="L25" i="85"/>
  <c r="K25" i="85"/>
  <c r="J25" i="85"/>
  <c r="I25" i="85"/>
  <c r="H25" i="85"/>
  <c r="G25" i="85"/>
  <c r="F25" i="85"/>
  <c r="R24" i="85"/>
  <c r="Y21" i="85"/>
  <c r="X21" i="85"/>
  <c r="W21" i="85"/>
  <c r="V21" i="85"/>
  <c r="U21" i="85"/>
  <c r="T21" i="85"/>
  <c r="S21" i="85"/>
  <c r="R21" i="85"/>
  <c r="Q21" i="85"/>
  <c r="P21" i="85"/>
  <c r="O21" i="85"/>
  <c r="N21" i="85"/>
  <c r="M21" i="85"/>
  <c r="L21" i="85"/>
  <c r="K21" i="85"/>
  <c r="J21" i="85"/>
  <c r="I21" i="85"/>
  <c r="H21" i="85"/>
  <c r="G21" i="85"/>
  <c r="F21" i="85"/>
  <c r="Y19" i="85"/>
  <c r="X19" i="85"/>
  <c r="W19" i="85"/>
  <c r="V19" i="85"/>
  <c r="U19" i="85"/>
  <c r="T19" i="85"/>
  <c r="S19" i="85"/>
  <c r="R19" i="85"/>
  <c r="Q19" i="85"/>
  <c r="P19" i="85"/>
  <c r="O19" i="85"/>
  <c r="N19" i="85"/>
  <c r="M19" i="85"/>
  <c r="L19" i="85"/>
  <c r="K19" i="85"/>
  <c r="J19" i="85"/>
  <c r="I19" i="85"/>
  <c r="H19" i="85"/>
  <c r="G19" i="85"/>
  <c r="F19" i="85"/>
  <c r="Y11" i="85"/>
  <c r="X11" i="85"/>
  <c r="W11" i="85"/>
  <c r="V11" i="85"/>
  <c r="U11" i="85"/>
  <c r="T11" i="85"/>
  <c r="S11" i="85"/>
  <c r="R11" i="85"/>
  <c r="Q11" i="85"/>
  <c r="P11" i="85"/>
  <c r="O11" i="85"/>
  <c r="N11" i="85"/>
  <c r="N10" i="85" s="1"/>
  <c r="N9" i="85" s="1"/>
  <c r="M11" i="85"/>
  <c r="L11" i="85"/>
  <c r="K11" i="85"/>
  <c r="J11" i="85"/>
  <c r="I11" i="85"/>
  <c r="H11" i="85"/>
  <c r="G11" i="85"/>
  <c r="F11" i="85"/>
  <c r="Y10" i="85"/>
  <c r="X10" i="85"/>
  <c r="W10" i="85"/>
  <c r="V10" i="85"/>
  <c r="U10" i="85"/>
  <c r="T10" i="85"/>
  <c r="S10" i="85"/>
  <c r="R10" i="85"/>
  <c r="Q10" i="85"/>
  <c r="P10" i="85"/>
  <c r="O10" i="85"/>
  <c r="M10" i="85"/>
  <c r="L10" i="85"/>
  <c r="K10" i="85"/>
  <c r="J10" i="85"/>
  <c r="I10" i="85"/>
  <c r="H10" i="85"/>
  <c r="G10" i="85"/>
  <c r="F10" i="85"/>
  <c r="X9" i="85"/>
  <c r="P9" i="85"/>
  <c r="L9" i="85"/>
  <c r="V8" i="84" l="1"/>
  <c r="K8" i="84"/>
  <c r="L8" i="84"/>
  <c r="X8" i="84"/>
  <c r="G9" i="85"/>
  <c r="K9" i="85"/>
  <c r="O9" i="85"/>
  <c r="S9" i="85"/>
  <c r="W9" i="85"/>
  <c r="W141" i="85"/>
  <c r="U45" i="85"/>
  <c r="U32" i="85" s="1"/>
  <c r="U9" i="85" s="1"/>
  <c r="U139" i="85"/>
  <c r="F12" i="89" l="1"/>
  <c r="C33" i="48" l="1"/>
  <c r="A3" i="48"/>
  <c r="F35" i="45"/>
  <c r="E54" i="48" s="1"/>
  <c r="F26" i="45"/>
  <c r="E35" i="45"/>
  <c r="D54" i="48" s="1"/>
  <c r="E18" i="44"/>
  <c r="C36" i="45"/>
  <c r="C35" i="45"/>
  <c r="E15" i="48" l="1"/>
  <c r="E20" i="106"/>
  <c r="E35" i="89"/>
  <c r="V35" i="89"/>
  <c r="U35" i="89"/>
  <c r="G35" i="89" s="1"/>
  <c r="D35" i="89"/>
  <c r="C35" i="89"/>
  <c r="G31" i="89"/>
  <c r="D31" i="89"/>
  <c r="C31" i="89"/>
  <c r="V22" i="89"/>
  <c r="G22" i="89"/>
  <c r="V16" i="89"/>
  <c r="G16" i="89"/>
  <c r="E16" i="89" s="1"/>
  <c r="V15" i="89"/>
  <c r="G15" i="89"/>
  <c r="E15" i="89" s="1"/>
  <c r="U12" i="89"/>
  <c r="U11" i="89" s="1"/>
  <c r="T12" i="89"/>
  <c r="T11" i="89" s="1"/>
  <c r="T10" i="89" s="1"/>
  <c r="S12" i="89"/>
  <c r="R12" i="89"/>
  <c r="R11" i="89" s="1"/>
  <c r="R10" i="89" s="1"/>
  <c r="Q12" i="89"/>
  <c r="Q11" i="89" s="1"/>
  <c r="Q10" i="89" s="1"/>
  <c r="P12" i="89"/>
  <c r="O12" i="89"/>
  <c r="O11" i="89" s="1"/>
  <c r="O10" i="89" s="1"/>
  <c r="N12" i="89"/>
  <c r="N11" i="89" s="1"/>
  <c r="N10" i="89" s="1"/>
  <c r="M12" i="89"/>
  <c r="M11" i="89" s="1"/>
  <c r="M10" i="89" s="1"/>
  <c r="L12" i="89"/>
  <c r="L11" i="89" s="1"/>
  <c r="L10" i="89" s="1"/>
  <c r="K12" i="89"/>
  <c r="K11" i="89" s="1"/>
  <c r="K10" i="89" s="1"/>
  <c r="J12" i="89"/>
  <c r="J11" i="89" s="1"/>
  <c r="J10" i="89" s="1"/>
  <c r="I12" i="89"/>
  <c r="I11" i="89" s="1"/>
  <c r="I10" i="89" s="1"/>
  <c r="H12" i="89"/>
  <c r="H11" i="89" s="1"/>
  <c r="H10" i="89" s="1"/>
  <c r="C12" i="89"/>
  <c r="C11" i="89" s="1"/>
  <c r="C10" i="89" s="1"/>
  <c r="S11" i="89"/>
  <c r="S10" i="89" s="1"/>
  <c r="P11" i="89"/>
  <c r="P10" i="89" s="1"/>
  <c r="F11" i="89"/>
  <c r="F10" i="89" s="1"/>
  <c r="D11" i="89"/>
  <c r="D10" i="89" s="1"/>
  <c r="V3" i="89"/>
  <c r="U3" i="89"/>
  <c r="T3" i="89"/>
  <c r="S3" i="89"/>
  <c r="R3" i="89"/>
  <c r="Q3" i="89"/>
  <c r="L3" i="89"/>
  <c r="K3" i="89"/>
  <c r="J3" i="89"/>
  <c r="I3" i="89"/>
  <c r="H3" i="89"/>
  <c r="G3" i="89"/>
  <c r="F3" i="89"/>
  <c r="E3" i="89"/>
  <c r="D3" i="89"/>
  <c r="C3" i="89"/>
  <c r="G20" i="106" l="1"/>
  <c r="F20" i="106"/>
  <c r="U10" i="89"/>
  <c r="E31" i="89"/>
  <c r="E22" i="89"/>
  <c r="G12" i="89"/>
  <c r="G11" i="89" s="1"/>
  <c r="G10" i="89" s="1"/>
  <c r="V11" i="89"/>
  <c r="V10" i="89" s="1"/>
  <c r="H21" i="88"/>
  <c r="H12" i="88"/>
  <c r="H15" i="88"/>
  <c r="H16" i="88"/>
  <c r="H18" i="88"/>
  <c r="H19" i="88"/>
  <c r="H20" i="88"/>
  <c r="H24" i="88"/>
  <c r="H25" i="88"/>
  <c r="H26" i="88"/>
  <c r="H32" i="88"/>
  <c r="H37" i="88"/>
  <c r="H38" i="88"/>
  <c r="H39" i="88"/>
  <c r="H41" i="88"/>
  <c r="H43" i="88"/>
  <c r="H44" i="88"/>
  <c r="H47" i="88"/>
  <c r="H49" i="88"/>
  <c r="H50" i="88"/>
  <c r="H60" i="88"/>
  <c r="H61" i="88"/>
  <c r="H62" i="88"/>
  <c r="H63" i="88"/>
  <c r="H67" i="88"/>
  <c r="H68" i="88"/>
  <c r="G12" i="88"/>
  <c r="G15" i="88"/>
  <c r="G16" i="88"/>
  <c r="G18" i="88"/>
  <c r="G19" i="88"/>
  <c r="G20" i="88"/>
  <c r="G21" i="88"/>
  <c r="G24" i="88"/>
  <c r="G25" i="88"/>
  <c r="G26" i="88"/>
  <c r="G34" i="88"/>
  <c r="G37" i="88"/>
  <c r="G38" i="88"/>
  <c r="G39" i="88"/>
  <c r="G41" i="88"/>
  <c r="G42" i="88"/>
  <c r="G43" i="88"/>
  <c r="G44" i="88"/>
  <c r="G47" i="88"/>
  <c r="G49" i="88"/>
  <c r="G50" i="88"/>
  <c r="G60" i="88"/>
  <c r="G61" i="88"/>
  <c r="G62" i="88"/>
  <c r="G63" i="88"/>
  <c r="G64" i="88"/>
  <c r="G67" i="88"/>
  <c r="G68" i="88"/>
  <c r="E14" i="88"/>
  <c r="G32" i="88"/>
  <c r="E73" i="88"/>
  <c r="E59" i="88"/>
  <c r="E58" i="88" s="1"/>
  <c r="E52" i="88"/>
  <c r="E48" i="88"/>
  <c r="E46" i="88"/>
  <c r="E36" i="88"/>
  <c r="G50" i="87"/>
  <c r="G48" i="87" s="1"/>
  <c r="I56" i="87"/>
  <c r="P48" i="87"/>
  <c r="F69" i="87"/>
  <c r="H69" i="87" s="1"/>
  <c r="I49" i="87"/>
  <c r="I52" i="87"/>
  <c r="I53" i="87"/>
  <c r="I54" i="87"/>
  <c r="I57" i="87"/>
  <c r="I58" i="87"/>
  <c r="I62" i="87"/>
  <c r="I65" i="87"/>
  <c r="I70" i="87"/>
  <c r="G17" i="87"/>
  <c r="G27" i="87"/>
  <c r="G25" i="87" s="1"/>
  <c r="L12" i="87"/>
  <c r="L13" i="87"/>
  <c r="L15" i="87"/>
  <c r="L16" i="87"/>
  <c r="L19" i="87"/>
  <c r="L20" i="87"/>
  <c r="L26" i="87"/>
  <c r="L27" i="87"/>
  <c r="G30" i="87"/>
  <c r="L30" i="87" s="1"/>
  <c r="L31" i="87"/>
  <c r="L32" i="87"/>
  <c r="E50" i="87"/>
  <c r="E69" i="87"/>
  <c r="L51" i="87"/>
  <c r="L52" i="87"/>
  <c r="L53" i="87"/>
  <c r="L54" i="87"/>
  <c r="L55" i="87"/>
  <c r="L56" i="87"/>
  <c r="L57" i="87"/>
  <c r="L58" i="87"/>
  <c r="E60" i="87"/>
  <c r="E59" i="87" s="1"/>
  <c r="L61" i="87"/>
  <c r="L65" i="87"/>
  <c r="L66" i="87"/>
  <c r="L67" i="87"/>
  <c r="L70" i="87"/>
  <c r="D50" i="87"/>
  <c r="D60" i="87"/>
  <c r="I60" i="87" s="1"/>
  <c r="D64" i="87"/>
  <c r="I64" i="87" s="1"/>
  <c r="I51" i="87"/>
  <c r="F50" i="87"/>
  <c r="H50" i="87" s="1"/>
  <c r="I67" i="87"/>
  <c r="F46" i="88"/>
  <c r="F52" i="88"/>
  <c r="F48" i="88"/>
  <c r="I44" i="88"/>
  <c r="I43" i="88"/>
  <c r="F33" i="88"/>
  <c r="D52" i="88"/>
  <c r="D46" i="88"/>
  <c r="F59" i="88"/>
  <c r="F31" i="88"/>
  <c r="F73" i="88"/>
  <c r="D73" i="88"/>
  <c r="H64" i="88"/>
  <c r="D59" i="88"/>
  <c r="I49" i="88"/>
  <c r="G65" i="88"/>
  <c r="I61" i="88"/>
  <c r="I60" i="88"/>
  <c r="C59" i="88"/>
  <c r="I53" i="88"/>
  <c r="C52" i="88"/>
  <c r="C48" i="88"/>
  <c r="I47" i="88"/>
  <c r="C46" i="88"/>
  <c r="I42" i="88"/>
  <c r="D40" i="88"/>
  <c r="I40" i="88" s="1"/>
  <c r="C40" i="88"/>
  <c r="I39" i="88"/>
  <c r="I38" i="88"/>
  <c r="I37" i="88"/>
  <c r="D36" i="88"/>
  <c r="C36" i="88"/>
  <c r="I34" i="88"/>
  <c r="D33" i="88"/>
  <c r="C33" i="88"/>
  <c r="I32" i="88"/>
  <c r="D31" i="88"/>
  <c r="C31" i="88"/>
  <c r="C30" i="88"/>
  <c r="I24" i="88"/>
  <c r="I23" i="88"/>
  <c r="I22" i="88"/>
  <c r="H22" i="88"/>
  <c r="I20" i="88"/>
  <c r="I19" i="88"/>
  <c r="I17" i="88"/>
  <c r="I16" i="88"/>
  <c r="I15" i="88"/>
  <c r="D14" i="88"/>
  <c r="C10" i="88"/>
  <c r="K70" i="87"/>
  <c r="K67" i="87"/>
  <c r="K65" i="87"/>
  <c r="K58" i="87"/>
  <c r="K57" i="87"/>
  <c r="K56" i="87"/>
  <c r="K54" i="87"/>
  <c r="K53" i="87"/>
  <c r="K52" i="87"/>
  <c r="K51" i="87"/>
  <c r="K32" i="87"/>
  <c r="K31" i="87"/>
  <c r="D30" i="87"/>
  <c r="K30" i="87"/>
  <c r="K26" i="87"/>
  <c r="D25" i="87"/>
  <c r="K20" i="87"/>
  <c r="K19" i="87"/>
  <c r="D17" i="87"/>
  <c r="K16" i="87"/>
  <c r="K15" i="87"/>
  <c r="K13" i="87"/>
  <c r="K12" i="87"/>
  <c r="D9" i="87"/>
  <c r="D8" i="87" s="1"/>
  <c r="F33" i="45"/>
  <c r="E53" i="48" s="1"/>
  <c r="E20" i="45"/>
  <c r="E16" i="45"/>
  <c r="E17" i="45"/>
  <c r="D14" i="48"/>
  <c r="D19" i="48"/>
  <c r="D33" i="48"/>
  <c r="D8" i="48" s="1"/>
  <c r="D7" i="48" s="1"/>
  <c r="E19" i="48"/>
  <c r="E14" i="48"/>
  <c r="E33" i="48"/>
  <c r="F20" i="45"/>
  <c r="E14" i="106" s="1"/>
  <c r="F16" i="45"/>
  <c r="F17" i="45"/>
  <c r="F22" i="45"/>
  <c r="F23" i="45"/>
  <c r="C19" i="48"/>
  <c r="D26" i="45"/>
  <c r="C16" i="48" s="1"/>
  <c r="C14" i="48" s="1"/>
  <c r="D25" i="44"/>
  <c r="D29" i="45"/>
  <c r="D30" i="45"/>
  <c r="D32" i="45"/>
  <c r="D33" i="45"/>
  <c r="C51" i="48" s="1"/>
  <c r="E26" i="45"/>
  <c r="E29" i="45"/>
  <c r="E30" i="45"/>
  <c r="F29" i="45"/>
  <c r="F30" i="45"/>
  <c r="F32" i="45"/>
  <c r="E52" i="48" s="1"/>
  <c r="C26" i="45"/>
  <c r="C27" i="45"/>
  <c r="C32" i="45"/>
  <c r="C33" i="45"/>
  <c r="C34" i="45"/>
  <c r="D22" i="45"/>
  <c r="D23" i="45"/>
  <c r="C23" i="45"/>
  <c r="C21" i="45"/>
  <c r="C22" i="45"/>
  <c r="D20" i="45"/>
  <c r="C20" i="45"/>
  <c r="C19" i="45"/>
  <c r="D17" i="45"/>
  <c r="D16" i="45"/>
  <c r="C17" i="45"/>
  <c r="C16" i="45"/>
  <c r="F15" i="44"/>
  <c r="D31" i="44"/>
  <c r="C25" i="44"/>
  <c r="C31" i="44"/>
  <c r="E15" i="44"/>
  <c r="E9" i="44" s="1"/>
  <c r="D15" i="44"/>
  <c r="D9" i="44" s="1"/>
  <c r="D8" i="44" s="1"/>
  <c r="C20" i="81"/>
  <c r="C30" i="81"/>
  <c r="C27" i="81"/>
  <c r="C19" i="81"/>
  <c r="C17" i="81" s="1"/>
  <c r="C32" i="81" s="1"/>
  <c r="C31" i="81" s="1"/>
  <c r="C29" i="81"/>
  <c r="O90" i="80"/>
  <c r="Q89" i="80"/>
  <c r="O89" i="80"/>
  <c r="M89" i="80"/>
  <c r="CR88" i="80"/>
  <c r="Q88" i="80"/>
  <c r="O88" i="80"/>
  <c r="I88" i="80"/>
  <c r="CR87" i="80"/>
  <c r="Q87" i="80"/>
  <c r="O87" i="80"/>
  <c r="I87" i="80"/>
  <c r="CR86" i="80"/>
  <c r="Q86" i="80"/>
  <c r="O86" i="80"/>
  <c r="I86" i="80"/>
  <c r="CR85" i="80"/>
  <c r="Q85" i="80"/>
  <c r="O85" i="80"/>
  <c r="I85" i="80"/>
  <c r="E85" i="80"/>
  <c r="E78" i="80" s="1"/>
  <c r="E75" i="80" s="1"/>
  <c r="CR84" i="80"/>
  <c r="Q84" i="80"/>
  <c r="O84" i="80"/>
  <c r="I84" i="80"/>
  <c r="CR83" i="80"/>
  <c r="Q83" i="80"/>
  <c r="O83" i="80"/>
  <c r="I83" i="80"/>
  <c r="CR82" i="80"/>
  <c r="Q82" i="80"/>
  <c r="O82" i="80"/>
  <c r="I82" i="80"/>
  <c r="CR81" i="80"/>
  <c r="Q81" i="80"/>
  <c r="O81" i="80"/>
  <c r="I81" i="80"/>
  <c r="CR80" i="80"/>
  <c r="Q80" i="80"/>
  <c r="O80" i="80"/>
  <c r="I80" i="80"/>
  <c r="CR79" i="80"/>
  <c r="Q79" i="80"/>
  <c r="O79" i="80"/>
  <c r="I79" i="80"/>
  <c r="G78" i="80"/>
  <c r="CR78" i="80"/>
  <c r="H78" i="80"/>
  <c r="O78" i="80" s="1"/>
  <c r="Q78" i="80"/>
  <c r="I78" i="80"/>
  <c r="CR77" i="80"/>
  <c r="Q77" i="80"/>
  <c r="P77" i="80"/>
  <c r="O77" i="80"/>
  <c r="M77" i="80"/>
  <c r="I77" i="80"/>
  <c r="CR76" i="80"/>
  <c r="Q76" i="80"/>
  <c r="P76" i="80"/>
  <c r="O76" i="80"/>
  <c r="M76" i="80"/>
  <c r="I76" i="80"/>
  <c r="G75" i="80"/>
  <c r="P75" i="80" s="1"/>
  <c r="F75" i="80"/>
  <c r="CR75" i="80"/>
  <c r="CQ75" i="80"/>
  <c r="H75" i="80"/>
  <c r="C75" i="80"/>
  <c r="Q75" i="80"/>
  <c r="O75" i="80"/>
  <c r="M75" i="80"/>
  <c r="I75" i="80"/>
  <c r="D75" i="80"/>
  <c r="CR74" i="80"/>
  <c r="E74" i="80"/>
  <c r="CR73" i="80"/>
  <c r="Q73" i="80"/>
  <c r="O73" i="80"/>
  <c r="I73" i="80"/>
  <c r="CR72" i="80"/>
  <c r="Q72" i="80"/>
  <c r="O72" i="80"/>
  <c r="I72" i="80"/>
  <c r="CR71" i="80"/>
  <c r="Q71" i="80"/>
  <c r="O71" i="80"/>
  <c r="I71" i="80"/>
  <c r="CR70" i="80"/>
  <c r="Q70" i="80"/>
  <c r="O70" i="80"/>
  <c r="I70" i="80"/>
  <c r="G69" i="80"/>
  <c r="F69" i="80"/>
  <c r="Q69" i="80"/>
  <c r="O69" i="80"/>
  <c r="I69" i="80"/>
  <c r="F68" i="80"/>
  <c r="H68" i="80"/>
  <c r="CR67" i="80"/>
  <c r="Q67" i="80"/>
  <c r="O67" i="80"/>
  <c r="I67" i="80"/>
  <c r="CR66" i="80"/>
  <c r="Q66" i="80"/>
  <c r="O66" i="80"/>
  <c r="I66" i="80"/>
  <c r="CR65" i="80"/>
  <c r="Q65" i="80"/>
  <c r="O65" i="80"/>
  <c r="I65" i="80"/>
  <c r="CR64" i="80"/>
  <c r="Q64" i="80"/>
  <c r="O64" i="80"/>
  <c r="M64" i="80"/>
  <c r="I64" i="80"/>
  <c r="CR63" i="80"/>
  <c r="Q63" i="80"/>
  <c r="O63" i="80"/>
  <c r="M63" i="80"/>
  <c r="I63" i="80"/>
  <c r="CR62" i="80"/>
  <c r="Q62" i="80"/>
  <c r="O62" i="80"/>
  <c r="I62" i="80"/>
  <c r="CR61" i="80"/>
  <c r="Q61" i="80"/>
  <c r="O61" i="80"/>
  <c r="I61" i="80"/>
  <c r="CR60" i="80"/>
  <c r="H60" i="80"/>
  <c r="O60" i="80" s="1"/>
  <c r="Q60" i="80"/>
  <c r="I60" i="80"/>
  <c r="CR59" i="80"/>
  <c r="Q59" i="80"/>
  <c r="O59" i="80"/>
  <c r="I59" i="80"/>
  <c r="G58" i="80"/>
  <c r="F58" i="80"/>
  <c r="H58" i="80"/>
  <c r="O58" i="80" s="1"/>
  <c r="Q58" i="80"/>
  <c r="E58" i="80"/>
  <c r="G57" i="80"/>
  <c r="F57" i="80"/>
  <c r="F51" i="80" s="1"/>
  <c r="F50" i="80" s="1"/>
  <c r="C57" i="80"/>
  <c r="Q57" i="80"/>
  <c r="O57" i="80"/>
  <c r="E57" i="80"/>
  <c r="G56" i="80"/>
  <c r="G52" i="80" s="1"/>
  <c r="CR56" i="80"/>
  <c r="H56" i="80"/>
  <c r="Q56" i="80"/>
  <c r="O56" i="80"/>
  <c r="I56" i="80"/>
  <c r="CR55" i="80"/>
  <c r="Q55" i="80"/>
  <c r="O55" i="80"/>
  <c r="I55" i="80"/>
  <c r="CR54" i="80"/>
  <c r="Q54" i="80"/>
  <c r="O54" i="80"/>
  <c r="I54" i="80"/>
  <c r="C53" i="80"/>
  <c r="C52" i="80"/>
  <c r="C51" i="80"/>
  <c r="C50" i="80" s="1"/>
  <c r="CT53" i="80"/>
  <c r="G53" i="80"/>
  <c r="F53" i="80"/>
  <c r="CR53" i="80"/>
  <c r="H53" i="80"/>
  <c r="I53" i="80"/>
  <c r="E53" i="80"/>
  <c r="E52" i="80" s="1"/>
  <c r="E51" i="80" s="1"/>
  <c r="E50" i="80" s="1"/>
  <c r="F52" i="80"/>
  <c r="H52" i="80"/>
  <c r="D50" i="80"/>
  <c r="F49" i="80"/>
  <c r="E49" i="80" s="1"/>
  <c r="G49" i="80"/>
  <c r="H49" i="80"/>
  <c r="O49" i="80" s="1"/>
  <c r="Q49" i="80"/>
  <c r="P49" i="80"/>
  <c r="M49" i="80"/>
  <c r="CR48" i="80"/>
  <c r="F8" i="80"/>
  <c r="F12" i="80"/>
  <c r="F34" i="80"/>
  <c r="F40" i="80"/>
  <c r="M40" i="80" s="1"/>
  <c r="Q48" i="80"/>
  <c r="O48" i="80"/>
  <c r="I48" i="80"/>
  <c r="CR47" i="80"/>
  <c r="Q47" i="80"/>
  <c r="P47" i="80"/>
  <c r="O47" i="80"/>
  <c r="N47" i="80"/>
  <c r="M47" i="80"/>
  <c r="I47" i="80"/>
  <c r="CR46" i="80"/>
  <c r="Q46" i="80"/>
  <c r="P46" i="80"/>
  <c r="O46" i="80"/>
  <c r="N46" i="80"/>
  <c r="M46" i="80"/>
  <c r="I46" i="80"/>
  <c r="CR45" i="80"/>
  <c r="Q45" i="80"/>
  <c r="O45" i="80"/>
  <c r="I45" i="80"/>
  <c r="CR44" i="80"/>
  <c r="Q44" i="80"/>
  <c r="P44" i="80"/>
  <c r="O44" i="80"/>
  <c r="N44" i="80"/>
  <c r="M44" i="80"/>
  <c r="I44" i="80"/>
  <c r="CR43" i="80"/>
  <c r="R43" i="80"/>
  <c r="Q43" i="80"/>
  <c r="P43" i="80"/>
  <c r="O43" i="80"/>
  <c r="N43" i="80"/>
  <c r="M43" i="80"/>
  <c r="I43" i="80"/>
  <c r="E43" i="80"/>
  <c r="CR42" i="80"/>
  <c r="Q42" i="80"/>
  <c r="P42" i="80"/>
  <c r="O42" i="80"/>
  <c r="N42" i="80"/>
  <c r="M42" i="80"/>
  <c r="I42" i="80"/>
  <c r="CR41" i="80"/>
  <c r="R41" i="80"/>
  <c r="Q41" i="80"/>
  <c r="P41" i="80"/>
  <c r="O41" i="80"/>
  <c r="N41" i="80"/>
  <c r="M41" i="80"/>
  <c r="I41" i="80"/>
  <c r="E41" i="80"/>
  <c r="G40" i="80"/>
  <c r="CR40" i="80"/>
  <c r="H40" i="80"/>
  <c r="N40" i="80"/>
  <c r="L40" i="80"/>
  <c r="I40" i="80"/>
  <c r="E40" i="80"/>
  <c r="CR39" i="80"/>
  <c r="H39" i="80"/>
  <c r="O39" i="80" s="1"/>
  <c r="Q39" i="80"/>
  <c r="P39" i="80"/>
  <c r="N39" i="80"/>
  <c r="M39" i="80"/>
  <c r="I39" i="80"/>
  <c r="E39" i="80"/>
  <c r="CR38" i="80"/>
  <c r="Q38" i="80"/>
  <c r="P38" i="80"/>
  <c r="O38" i="80"/>
  <c r="N38" i="80"/>
  <c r="M38" i="80"/>
  <c r="I38" i="80"/>
  <c r="CR37" i="80"/>
  <c r="Q37" i="80"/>
  <c r="P37" i="80"/>
  <c r="O37" i="80"/>
  <c r="N37" i="80"/>
  <c r="M37" i="80"/>
  <c r="I37" i="80"/>
  <c r="CR36" i="80"/>
  <c r="H36" i="80"/>
  <c r="Q36" i="80"/>
  <c r="P36" i="80"/>
  <c r="O36" i="80"/>
  <c r="N36" i="80"/>
  <c r="M36" i="80"/>
  <c r="I36" i="80"/>
  <c r="E36" i="80"/>
  <c r="E34" i="80" s="1"/>
  <c r="G35" i="80"/>
  <c r="CR35" i="80"/>
  <c r="H35" i="80"/>
  <c r="H34" i="80" s="1"/>
  <c r="Q34" i="80" s="1"/>
  <c r="Q35" i="80"/>
  <c r="P35" i="80"/>
  <c r="N35" i="80"/>
  <c r="M35" i="80"/>
  <c r="I35" i="80"/>
  <c r="E35" i="80"/>
  <c r="G34" i="80"/>
  <c r="N34" i="80" s="1"/>
  <c r="CR34" i="80"/>
  <c r="P34" i="80"/>
  <c r="O34" i="80"/>
  <c r="M34" i="80"/>
  <c r="L34" i="80"/>
  <c r="I34" i="80"/>
  <c r="CR33" i="80"/>
  <c r="Q33" i="80"/>
  <c r="P33" i="80"/>
  <c r="O33" i="80"/>
  <c r="N33" i="80"/>
  <c r="M33" i="80"/>
  <c r="I33" i="80"/>
  <c r="E33" i="80"/>
  <c r="CR32" i="80"/>
  <c r="Q32" i="80"/>
  <c r="P32" i="80"/>
  <c r="O32" i="80"/>
  <c r="N32" i="80"/>
  <c r="M32" i="80"/>
  <c r="I32" i="80"/>
  <c r="E32" i="80"/>
  <c r="CR31" i="80"/>
  <c r="Q31" i="80"/>
  <c r="P31" i="80"/>
  <c r="O31" i="80"/>
  <c r="N31" i="80"/>
  <c r="M31" i="80"/>
  <c r="I31" i="80"/>
  <c r="E31" i="80"/>
  <c r="CR30" i="80"/>
  <c r="Q30" i="80"/>
  <c r="P30" i="80"/>
  <c r="O30" i="80"/>
  <c r="N30" i="80"/>
  <c r="M30" i="80"/>
  <c r="I30" i="80"/>
  <c r="E30" i="80"/>
  <c r="CR29" i="80"/>
  <c r="Q29" i="80"/>
  <c r="P29" i="80"/>
  <c r="O29" i="80"/>
  <c r="N29" i="80"/>
  <c r="M29" i="80"/>
  <c r="I29" i="80"/>
  <c r="E29" i="80"/>
  <c r="CR28" i="80"/>
  <c r="Q28" i="80"/>
  <c r="P28" i="80"/>
  <c r="O28" i="80"/>
  <c r="N28" i="80"/>
  <c r="M28" i="80"/>
  <c r="I28" i="80"/>
  <c r="E28" i="80"/>
  <c r="CR27" i="80"/>
  <c r="Q27" i="80"/>
  <c r="P27" i="80"/>
  <c r="O27" i="80"/>
  <c r="N27" i="80"/>
  <c r="M27" i="80"/>
  <c r="I27" i="80"/>
  <c r="E27" i="80"/>
  <c r="CR26" i="80"/>
  <c r="Q26" i="80"/>
  <c r="P26" i="80"/>
  <c r="O26" i="80"/>
  <c r="N26" i="80"/>
  <c r="M26" i="80"/>
  <c r="I26" i="80"/>
  <c r="E26" i="80"/>
  <c r="CR25" i="80"/>
  <c r="Q25" i="80"/>
  <c r="P25" i="80"/>
  <c r="O25" i="80"/>
  <c r="N25" i="80"/>
  <c r="M25" i="80"/>
  <c r="I25" i="80"/>
  <c r="E25" i="80"/>
  <c r="G24" i="80"/>
  <c r="CR24" i="80"/>
  <c r="Q24" i="80"/>
  <c r="P24" i="80"/>
  <c r="O24" i="80"/>
  <c r="N24" i="80"/>
  <c r="M24" i="80"/>
  <c r="I24" i="80"/>
  <c r="E24" i="80"/>
  <c r="CR23" i="80"/>
  <c r="Q23" i="80"/>
  <c r="P23" i="80"/>
  <c r="O23" i="80"/>
  <c r="N23" i="80"/>
  <c r="M23" i="80"/>
  <c r="I23" i="80"/>
  <c r="E23" i="80"/>
  <c r="CR22" i="80"/>
  <c r="R22" i="80"/>
  <c r="Q22" i="80"/>
  <c r="P22" i="80"/>
  <c r="O22" i="80"/>
  <c r="N22" i="80"/>
  <c r="M22" i="80"/>
  <c r="I22" i="80"/>
  <c r="E22" i="80"/>
  <c r="CR21" i="80"/>
  <c r="Q21" i="80"/>
  <c r="P21" i="80"/>
  <c r="O21" i="80"/>
  <c r="N21" i="80"/>
  <c r="M21" i="80"/>
  <c r="I21" i="80"/>
  <c r="E21" i="80"/>
  <c r="CR20" i="80"/>
  <c r="Q20" i="80"/>
  <c r="P20" i="80"/>
  <c r="O20" i="80"/>
  <c r="N20" i="80"/>
  <c r="M20" i="80"/>
  <c r="I20" i="80"/>
  <c r="E20" i="80"/>
  <c r="E19" i="80" s="1"/>
  <c r="CR19" i="80"/>
  <c r="H19" i="80"/>
  <c r="Q19" i="80"/>
  <c r="P19" i="80"/>
  <c r="O19" i="80"/>
  <c r="N19" i="80"/>
  <c r="M19" i="80"/>
  <c r="L19" i="80"/>
  <c r="I19" i="80"/>
  <c r="CR18" i="80"/>
  <c r="Q18" i="80"/>
  <c r="P18" i="80"/>
  <c r="O18" i="80"/>
  <c r="N18" i="80"/>
  <c r="M18" i="80"/>
  <c r="I18" i="80"/>
  <c r="CR17" i="80"/>
  <c r="Q17" i="80"/>
  <c r="P17" i="80"/>
  <c r="O17" i="80"/>
  <c r="N17" i="80"/>
  <c r="M17" i="80"/>
  <c r="I17" i="80"/>
  <c r="E17" i="80"/>
  <c r="CR16" i="80"/>
  <c r="Q16" i="80"/>
  <c r="O16" i="80"/>
  <c r="I16" i="80"/>
  <c r="E16" i="80"/>
  <c r="CR15" i="80"/>
  <c r="Q15" i="80"/>
  <c r="P15" i="80"/>
  <c r="O15" i="80"/>
  <c r="N15" i="80"/>
  <c r="M15" i="80"/>
  <c r="I15" i="80"/>
  <c r="E15" i="80"/>
  <c r="CR14" i="80"/>
  <c r="Q14" i="80"/>
  <c r="P14" i="80"/>
  <c r="O14" i="80"/>
  <c r="N14" i="80"/>
  <c r="M14" i="80"/>
  <c r="I14" i="80"/>
  <c r="E14" i="80"/>
  <c r="CR13" i="80"/>
  <c r="Q13" i="80"/>
  <c r="P13" i="80"/>
  <c r="O13" i="80"/>
  <c r="N13" i="80"/>
  <c r="M13" i="80"/>
  <c r="I13" i="80"/>
  <c r="E13" i="80"/>
  <c r="H12" i="80"/>
  <c r="H11" i="80" s="1"/>
  <c r="C12" i="80"/>
  <c r="O12" i="80" s="1"/>
  <c r="Q12" i="80"/>
  <c r="G12" i="80"/>
  <c r="G11" i="80" s="1"/>
  <c r="N12" i="80"/>
  <c r="L12" i="80"/>
  <c r="L11" i="80" s="1"/>
  <c r="I12" i="80"/>
  <c r="E12" i="80"/>
  <c r="H10" i="80"/>
  <c r="L10" i="80"/>
  <c r="L7" i="80" s="1"/>
  <c r="L6" i="80" s="1"/>
  <c r="D10" i="80"/>
  <c r="Q9" i="80"/>
  <c r="O9" i="80"/>
  <c r="I9" i="80"/>
  <c r="H8" i="80"/>
  <c r="C8" i="80"/>
  <c r="G8" i="80"/>
  <c r="I8" i="80" s="1"/>
  <c r="E8" i="80"/>
  <c r="D8" i="80"/>
  <c r="CO5" i="80"/>
  <c r="R6" i="80"/>
  <c r="D6" i="80"/>
  <c r="AU2" i="80"/>
  <c r="AU3" i="80" s="1"/>
  <c r="AT3" i="80"/>
  <c r="C10" i="81"/>
  <c r="T19" i="83"/>
  <c r="T17" i="83" s="1"/>
  <c r="T18" i="83"/>
  <c r="V17" i="83"/>
  <c r="T20" i="83"/>
  <c r="D11" i="83"/>
  <c r="H11" i="83"/>
  <c r="L11" i="83"/>
  <c r="S11" i="83"/>
  <c r="L20" i="83"/>
  <c r="K20" i="83"/>
  <c r="G20" i="83"/>
  <c r="J9" i="75"/>
  <c r="D17" i="83"/>
  <c r="E17" i="83"/>
  <c r="E11" i="83" s="1"/>
  <c r="G17" i="83"/>
  <c r="H17" i="83"/>
  <c r="I17" i="83"/>
  <c r="I11" i="83" s="1"/>
  <c r="J17" i="83"/>
  <c r="M17" i="83"/>
  <c r="N17" i="83"/>
  <c r="O17" i="83"/>
  <c r="O11" i="83" s="1"/>
  <c r="Q17" i="83"/>
  <c r="Q11" i="83" s="1"/>
  <c r="R17" i="83"/>
  <c r="R11" i="83" s="1"/>
  <c r="S17" i="83"/>
  <c r="U17" i="83"/>
  <c r="U11" i="83"/>
  <c r="C17" i="83"/>
  <c r="C11" i="83" s="1"/>
  <c r="P19" i="83"/>
  <c r="L19" i="83"/>
  <c r="L17" i="83"/>
  <c r="F19" i="83"/>
  <c r="K19" i="83"/>
  <c r="P18" i="83"/>
  <c r="P17" i="83" s="1"/>
  <c r="F18" i="83"/>
  <c r="F16" i="83"/>
  <c r="N16" i="83"/>
  <c r="N11" i="83" s="1"/>
  <c r="D16" i="83"/>
  <c r="M15" i="83"/>
  <c r="K15" i="83"/>
  <c r="J14" i="83"/>
  <c r="M14" i="83" s="1"/>
  <c r="K14" i="83" s="1"/>
  <c r="G14" i="83"/>
  <c r="T13" i="83"/>
  <c r="V13" i="83" s="1"/>
  <c r="M13" i="83"/>
  <c r="K13" i="83"/>
  <c r="G13" i="83"/>
  <c r="A13" i="83"/>
  <c r="A14" i="83"/>
  <c r="A15" i="83"/>
  <c r="P12" i="83"/>
  <c r="V12" i="83" s="1"/>
  <c r="T12" i="83" s="1"/>
  <c r="J12" i="83"/>
  <c r="G12" i="83"/>
  <c r="M12" i="83"/>
  <c r="M11" i="83" s="1"/>
  <c r="K12" i="83"/>
  <c r="G10" i="83"/>
  <c r="H10" i="83" s="1"/>
  <c r="I10" i="83" s="1"/>
  <c r="J10" i="83" s="1"/>
  <c r="K10" i="83" s="1"/>
  <c r="L10" i="83" s="1"/>
  <c r="M10" i="83" s="1"/>
  <c r="N10" i="83" s="1"/>
  <c r="O10" i="83" s="1"/>
  <c r="P10" i="83" s="1"/>
  <c r="Q10" i="83" s="1"/>
  <c r="R10" i="83" s="1"/>
  <c r="S10" i="83" s="1"/>
  <c r="T10" i="83" s="1"/>
  <c r="U10" i="83" s="1"/>
  <c r="V10" i="83" s="1"/>
  <c r="W10" i="83" s="1"/>
  <c r="E44" i="76"/>
  <c r="E42" i="75"/>
  <c r="H15" i="79"/>
  <c r="H16" i="79"/>
  <c r="H17" i="79"/>
  <c r="H19" i="79"/>
  <c r="H20" i="79"/>
  <c r="H22" i="79"/>
  <c r="H24" i="79"/>
  <c r="H26" i="79"/>
  <c r="H28" i="79"/>
  <c r="H30" i="79"/>
  <c r="H31" i="79"/>
  <c r="H32" i="79"/>
  <c r="H35" i="79"/>
  <c r="H36" i="79"/>
  <c r="H37" i="79"/>
  <c r="H40" i="79"/>
  <c r="H41" i="79"/>
  <c r="H44" i="79"/>
  <c r="H45" i="79"/>
  <c r="H46" i="79"/>
  <c r="H47" i="79"/>
  <c r="H48" i="79"/>
  <c r="K47" i="79"/>
  <c r="D42" i="79"/>
  <c r="H42" i="79"/>
  <c r="D38" i="79"/>
  <c r="D49" i="79"/>
  <c r="G15" i="79"/>
  <c r="G16" i="79"/>
  <c r="G17" i="79"/>
  <c r="G19" i="79"/>
  <c r="G20" i="79"/>
  <c r="G22" i="79"/>
  <c r="G23" i="79"/>
  <c r="G24" i="79"/>
  <c r="G26" i="79"/>
  <c r="G27" i="79"/>
  <c r="G30" i="79"/>
  <c r="G31" i="79"/>
  <c r="G33" i="79"/>
  <c r="G35" i="79"/>
  <c r="G37" i="79"/>
  <c r="G45" i="79"/>
  <c r="G46" i="79"/>
  <c r="G47" i="79"/>
  <c r="G48" i="79"/>
  <c r="D14" i="79"/>
  <c r="H14" i="79"/>
  <c r="D43" i="79"/>
  <c r="H43" i="79" s="1"/>
  <c r="D39" i="79"/>
  <c r="H39" i="79"/>
  <c r="D29" i="79"/>
  <c r="H29" i="79" s="1"/>
  <c r="D25" i="79"/>
  <c r="H25" i="79"/>
  <c r="D21" i="79"/>
  <c r="H21" i="79" s="1"/>
  <c r="D18" i="79"/>
  <c r="H18" i="79"/>
  <c r="D13" i="79"/>
  <c r="H13" i="79" s="1"/>
  <c r="D12" i="79"/>
  <c r="H12" i="79"/>
  <c r="E52" i="79"/>
  <c r="E49" i="79"/>
  <c r="E48" i="79"/>
  <c r="I48" i="79" s="1"/>
  <c r="J48" i="79"/>
  <c r="F47" i="79"/>
  <c r="E47" i="79"/>
  <c r="I47" i="79" s="1"/>
  <c r="J47" i="79"/>
  <c r="J46" i="79"/>
  <c r="I46" i="79"/>
  <c r="J45" i="79"/>
  <c r="I45" i="79"/>
  <c r="F44" i="79"/>
  <c r="J44" i="79"/>
  <c r="C44" i="79"/>
  <c r="F43" i="79"/>
  <c r="E43" i="79"/>
  <c r="J43" i="79"/>
  <c r="E39" i="79"/>
  <c r="J37" i="79"/>
  <c r="I37" i="79"/>
  <c r="J35" i="79"/>
  <c r="I35" i="79"/>
  <c r="F34" i="79"/>
  <c r="E34" i="79"/>
  <c r="C34" i="79"/>
  <c r="J33" i="79"/>
  <c r="I33" i="79"/>
  <c r="J31" i="79"/>
  <c r="I31" i="79"/>
  <c r="J30" i="79"/>
  <c r="I30" i="79"/>
  <c r="F29" i="79"/>
  <c r="E29" i="79"/>
  <c r="I29" i="79" s="1"/>
  <c r="J29" i="79"/>
  <c r="C29" i="79"/>
  <c r="J27" i="79"/>
  <c r="I27" i="79"/>
  <c r="J26" i="79"/>
  <c r="I26" i="79"/>
  <c r="F25" i="79"/>
  <c r="J25" i="79" s="1"/>
  <c r="E25" i="79"/>
  <c r="C25" i="79"/>
  <c r="G25" i="79"/>
  <c r="J24" i="79"/>
  <c r="I24" i="79"/>
  <c r="J23" i="79"/>
  <c r="I23" i="79"/>
  <c r="J22" i="79"/>
  <c r="I22" i="79"/>
  <c r="F21" i="79"/>
  <c r="E21" i="79"/>
  <c r="I21" i="79" s="1"/>
  <c r="J21" i="79"/>
  <c r="C21" i="79"/>
  <c r="J20" i="79"/>
  <c r="I20" i="79"/>
  <c r="J19" i="79"/>
  <c r="I19" i="79"/>
  <c r="F18" i="79"/>
  <c r="J18" i="79" s="1"/>
  <c r="E18" i="79"/>
  <c r="C18" i="79"/>
  <c r="J17" i="79"/>
  <c r="I17" i="79"/>
  <c r="J16" i="79"/>
  <c r="I16" i="79"/>
  <c r="J15" i="79"/>
  <c r="I15" i="79"/>
  <c r="F14" i="79"/>
  <c r="E14" i="79"/>
  <c r="J14" i="79"/>
  <c r="C14" i="79"/>
  <c r="C10" i="79" s="1"/>
  <c r="C9" i="79" s="1"/>
  <c r="F13" i="79"/>
  <c r="E13" i="79"/>
  <c r="J13" i="79"/>
  <c r="C13" i="79"/>
  <c r="F12" i="79"/>
  <c r="E12" i="79"/>
  <c r="I12" i="79" s="1"/>
  <c r="J12" i="79"/>
  <c r="C12" i="79"/>
  <c r="F11" i="79"/>
  <c r="E11" i="79"/>
  <c r="E9" i="79" s="1"/>
  <c r="C11" i="79"/>
  <c r="F10" i="79"/>
  <c r="E10" i="79"/>
  <c r="D47" i="75"/>
  <c r="H47" i="75" s="1"/>
  <c r="F129" i="43"/>
  <c r="G129" i="43"/>
  <c r="E129" i="43"/>
  <c r="F127" i="43"/>
  <c r="G127" i="43"/>
  <c r="E127" i="43"/>
  <c r="F121" i="43"/>
  <c r="G121" i="43"/>
  <c r="E121" i="43"/>
  <c r="G15" i="76"/>
  <c r="G16" i="76"/>
  <c r="G17" i="76"/>
  <c r="G19" i="76"/>
  <c r="G20" i="76"/>
  <c r="G22" i="76"/>
  <c r="G23" i="76"/>
  <c r="G24" i="76"/>
  <c r="G26" i="76"/>
  <c r="G27" i="76"/>
  <c r="G30" i="76"/>
  <c r="G31" i="76"/>
  <c r="G33" i="76"/>
  <c r="G35" i="76"/>
  <c r="G37" i="76"/>
  <c r="G44" i="76"/>
  <c r="G45" i="76"/>
  <c r="G46" i="76"/>
  <c r="F15" i="76"/>
  <c r="F16" i="76"/>
  <c r="F17" i="76"/>
  <c r="F19" i="76"/>
  <c r="F20" i="76"/>
  <c r="F22" i="76"/>
  <c r="F23" i="76"/>
  <c r="F24" i="76"/>
  <c r="F26" i="76"/>
  <c r="F27" i="76"/>
  <c r="F30" i="76"/>
  <c r="F31" i="76"/>
  <c r="F33" i="76"/>
  <c r="F35" i="76"/>
  <c r="F37" i="76"/>
  <c r="F45" i="76"/>
  <c r="F46" i="76"/>
  <c r="I24" i="75"/>
  <c r="I34" i="75"/>
  <c r="I35" i="75"/>
  <c r="I36" i="75"/>
  <c r="I39" i="75"/>
  <c r="I42" i="75"/>
  <c r="I51" i="75"/>
  <c r="I92" i="75"/>
  <c r="I121" i="75"/>
  <c r="I122" i="75"/>
  <c r="I123" i="75"/>
  <c r="I125" i="75"/>
  <c r="I127" i="75"/>
  <c r="I128" i="75"/>
  <c r="I130" i="75"/>
  <c r="I131" i="75"/>
  <c r="H10" i="75"/>
  <c r="H11" i="75"/>
  <c r="H15" i="75"/>
  <c r="H17" i="75"/>
  <c r="H18" i="75"/>
  <c r="H20" i="75"/>
  <c r="H21" i="75"/>
  <c r="H22" i="75"/>
  <c r="H24" i="75"/>
  <c r="H25" i="75"/>
  <c r="H26" i="75"/>
  <c r="H28" i="75"/>
  <c r="H29" i="75"/>
  <c r="H30" i="75"/>
  <c r="H31" i="75"/>
  <c r="H34" i="75"/>
  <c r="H35" i="75"/>
  <c r="H36" i="75"/>
  <c r="H37" i="75"/>
  <c r="H38" i="75"/>
  <c r="H39" i="75"/>
  <c r="H41" i="75"/>
  <c r="H42" i="75"/>
  <c r="H43" i="75"/>
  <c r="H44" i="75"/>
  <c r="H45" i="75"/>
  <c r="H46" i="75"/>
  <c r="H48" i="75"/>
  <c r="H49" i="75"/>
  <c r="H50" i="75"/>
  <c r="H51" i="75"/>
  <c r="H53" i="75"/>
  <c r="H54" i="75"/>
  <c r="H57" i="75"/>
  <c r="H58" i="75"/>
  <c r="H59" i="75"/>
  <c r="H60" i="75"/>
  <c r="H61" i="75"/>
  <c r="H63" i="75"/>
  <c r="H64" i="75"/>
  <c r="H65" i="75"/>
  <c r="H66" i="75"/>
  <c r="H67" i="75"/>
  <c r="H68" i="75"/>
  <c r="H69" i="75"/>
  <c r="H70" i="75"/>
  <c r="H71" i="75"/>
  <c r="H73" i="75"/>
  <c r="H74" i="75"/>
  <c r="H75" i="75"/>
  <c r="H77" i="75"/>
  <c r="H78" i="75"/>
  <c r="H79" i="75"/>
  <c r="H80" i="75"/>
  <c r="H81" i="75"/>
  <c r="H82" i="75"/>
  <c r="H83" i="75"/>
  <c r="H85" i="75"/>
  <c r="H86" i="75"/>
  <c r="H89" i="75"/>
  <c r="H90" i="75"/>
  <c r="H91" i="75"/>
  <c r="H92" i="75"/>
  <c r="H96" i="75"/>
  <c r="H100" i="75"/>
  <c r="H104" i="75"/>
  <c r="H106" i="75"/>
  <c r="H107" i="75"/>
  <c r="H109" i="75"/>
  <c r="H110" i="75"/>
  <c r="H117" i="75"/>
  <c r="H119" i="75"/>
  <c r="H121" i="75"/>
  <c r="H122" i="75"/>
  <c r="H123" i="75"/>
  <c r="H125" i="75"/>
  <c r="H128" i="75"/>
  <c r="H130" i="75"/>
  <c r="F32" i="75"/>
  <c r="E32" i="75" s="1"/>
  <c r="D32" i="75"/>
  <c r="H32" i="75" s="1"/>
  <c r="G56" i="75"/>
  <c r="D56" i="75"/>
  <c r="E71" i="75"/>
  <c r="I71" i="75"/>
  <c r="C62" i="75"/>
  <c r="C56" i="75" s="1"/>
  <c r="H62" i="75"/>
  <c r="F40" i="75"/>
  <c r="C72" i="75"/>
  <c r="C76" i="75"/>
  <c r="C14" i="75"/>
  <c r="C13" i="75" s="1"/>
  <c r="C27" i="75"/>
  <c r="C40" i="75"/>
  <c r="C84" i="75"/>
  <c r="C87" i="75"/>
  <c r="J8" i="75" s="1"/>
  <c r="C9" i="75"/>
  <c r="C94" i="75"/>
  <c r="C102" i="75"/>
  <c r="C108" i="75"/>
  <c r="C112" i="75"/>
  <c r="C120" i="75"/>
  <c r="C118" i="75"/>
  <c r="C127" i="75"/>
  <c r="C129" i="75"/>
  <c r="C126" i="75" s="1"/>
  <c r="G21" i="78"/>
  <c r="D52" i="78"/>
  <c r="D49" i="78"/>
  <c r="D48" i="78"/>
  <c r="D43" i="78" s="1"/>
  <c r="E47" i="78"/>
  <c r="E43" i="78" s="1"/>
  <c r="D47" i="78"/>
  <c r="E44" i="78"/>
  <c r="C44" i="78"/>
  <c r="C43" i="78"/>
  <c r="C7" i="78" s="1"/>
  <c r="C6" i="78" s="1"/>
  <c r="D39" i="78"/>
  <c r="E34" i="78"/>
  <c r="D34" i="78"/>
  <c r="C34" i="78"/>
  <c r="E29" i="78"/>
  <c r="D29" i="78"/>
  <c r="C29" i="78"/>
  <c r="E25" i="78"/>
  <c r="D25" i="78"/>
  <c r="C25" i="78"/>
  <c r="E21" i="78"/>
  <c r="D21" i="78"/>
  <c r="C21" i="78"/>
  <c r="E18" i="78"/>
  <c r="D18" i="78"/>
  <c r="C18" i="78"/>
  <c r="E14" i="78"/>
  <c r="D14" i="78"/>
  <c r="C14" i="78"/>
  <c r="E13" i="78"/>
  <c r="D13" i="78"/>
  <c r="C13" i="78"/>
  <c r="E12" i="78"/>
  <c r="D12" i="78"/>
  <c r="C12" i="78"/>
  <c r="E11" i="78"/>
  <c r="D11" i="78"/>
  <c r="C11" i="78"/>
  <c r="E10" i="78"/>
  <c r="D10" i="78"/>
  <c r="D8" i="78" s="1"/>
  <c r="C10" i="78"/>
  <c r="C9" i="78" s="1"/>
  <c r="E8" i="78"/>
  <c r="E10" i="75"/>
  <c r="E11" i="75"/>
  <c r="E9" i="75" s="1"/>
  <c r="I9" i="75" s="1"/>
  <c r="F15" i="75"/>
  <c r="E15" i="75"/>
  <c r="I15" i="75" s="1"/>
  <c r="F20" i="75"/>
  <c r="F19" i="75" s="1"/>
  <c r="F14" i="75" s="1"/>
  <c r="E21" i="75"/>
  <c r="I21" i="75"/>
  <c r="F22" i="75"/>
  <c r="E22" i="75" s="1"/>
  <c r="I22" i="75" s="1"/>
  <c r="E23" i="75"/>
  <c r="E24" i="75"/>
  <c r="F25" i="75"/>
  <c r="E25" i="75" s="1"/>
  <c r="I25" i="75" s="1"/>
  <c r="F28" i="75"/>
  <c r="E29" i="75"/>
  <c r="I29" i="75"/>
  <c r="F30" i="75"/>
  <c r="E30" i="75" s="1"/>
  <c r="I30" i="75"/>
  <c r="E31" i="75"/>
  <c r="I31" i="75" s="1"/>
  <c r="E41" i="75"/>
  <c r="I41" i="75" s="1"/>
  <c r="E43" i="75"/>
  <c r="I43" i="75" s="1"/>
  <c r="E44" i="75"/>
  <c r="I44" i="75"/>
  <c r="E45" i="75"/>
  <c r="I45" i="75" s="1"/>
  <c r="E46" i="75"/>
  <c r="I46" i="75" s="1"/>
  <c r="E48" i="75"/>
  <c r="I48" i="75"/>
  <c r="E49" i="75"/>
  <c r="I49" i="75" s="1"/>
  <c r="E50" i="75"/>
  <c r="I50" i="75" s="1"/>
  <c r="E53" i="75"/>
  <c r="I53" i="75" s="1"/>
  <c r="E54" i="75"/>
  <c r="I54" i="75" s="1"/>
  <c r="F57" i="75"/>
  <c r="E58" i="75"/>
  <c r="I58" i="75" s="1"/>
  <c r="F59" i="75"/>
  <c r="E59" i="75"/>
  <c r="I59" i="75" s="1"/>
  <c r="F60" i="75"/>
  <c r="E60" i="75" s="1"/>
  <c r="I60" i="75" s="1"/>
  <c r="E61" i="75"/>
  <c r="I61" i="75" s="1"/>
  <c r="F62" i="75"/>
  <c r="E62" i="75" s="1"/>
  <c r="I62" i="75"/>
  <c r="E63" i="75"/>
  <c r="I63" i="75" s="1"/>
  <c r="E64" i="75"/>
  <c r="I64" i="75"/>
  <c r="E65" i="75"/>
  <c r="I65" i="75" s="1"/>
  <c r="E66" i="75"/>
  <c r="I66" i="75"/>
  <c r="E67" i="75"/>
  <c r="I67" i="75" s="1"/>
  <c r="E68" i="75"/>
  <c r="I68" i="75"/>
  <c r="E69" i="75"/>
  <c r="I69" i="75" s="1"/>
  <c r="E73" i="75"/>
  <c r="I73" i="75" s="1"/>
  <c r="E74" i="75"/>
  <c r="E72" i="75" s="1"/>
  <c r="I72" i="75" s="1"/>
  <c r="G72" i="75"/>
  <c r="G55" i="75" s="1"/>
  <c r="E77" i="75"/>
  <c r="I77" i="75" s="1"/>
  <c r="E78" i="75"/>
  <c r="E79" i="75"/>
  <c r="I79" i="75" s="1"/>
  <c r="F80" i="75"/>
  <c r="E81" i="75"/>
  <c r="I81" i="75" s="1"/>
  <c r="E82" i="75"/>
  <c r="I82" i="75"/>
  <c r="E83" i="75"/>
  <c r="I83" i="75" s="1"/>
  <c r="E85" i="75"/>
  <c r="I85" i="75"/>
  <c r="E86" i="75"/>
  <c r="E87" i="75"/>
  <c r="I87" i="75" s="1"/>
  <c r="E88" i="75"/>
  <c r="E89" i="75"/>
  <c r="I89" i="75"/>
  <c r="E90" i="75"/>
  <c r="I90" i="75" s="1"/>
  <c r="E91" i="75"/>
  <c r="I91" i="75"/>
  <c r="E95" i="75"/>
  <c r="I95" i="75" s="1"/>
  <c r="E96" i="75"/>
  <c r="I96" i="75" s="1"/>
  <c r="E97" i="75"/>
  <c r="I97" i="75" s="1"/>
  <c r="E98" i="75"/>
  <c r="E94" i="75" s="1"/>
  <c r="E99" i="75"/>
  <c r="E100" i="75"/>
  <c r="I100" i="75" s="1"/>
  <c r="E103" i="75"/>
  <c r="I103" i="75" s="1"/>
  <c r="E104" i="75"/>
  <c r="I104" i="75" s="1"/>
  <c r="E106" i="75"/>
  <c r="I106" i="75" s="1"/>
  <c r="E107" i="75"/>
  <c r="E109" i="75"/>
  <c r="I109" i="75" s="1"/>
  <c r="E110" i="75"/>
  <c r="E108" i="75" s="1"/>
  <c r="I108" i="75" s="1"/>
  <c r="E111" i="75"/>
  <c r="E113" i="75"/>
  <c r="I113" i="75" s="1"/>
  <c r="E115" i="75"/>
  <c r="E116" i="75"/>
  <c r="I116" i="75" s="1"/>
  <c r="E117" i="75"/>
  <c r="I117" i="75" s="1"/>
  <c r="E119" i="75"/>
  <c r="E120" i="75"/>
  <c r="E124" i="75"/>
  <c r="E127" i="75"/>
  <c r="E126" i="75" s="1"/>
  <c r="E129" i="75"/>
  <c r="D19" i="75"/>
  <c r="H19" i="75" s="1"/>
  <c r="D14" i="75"/>
  <c r="H14" i="75"/>
  <c r="D27" i="75"/>
  <c r="H27" i="75" s="1"/>
  <c r="D13" i="75"/>
  <c r="D40" i="75"/>
  <c r="H40" i="75" s="1"/>
  <c r="D52" i="75"/>
  <c r="H52" i="75"/>
  <c r="D72" i="75"/>
  <c r="H72" i="75" s="1"/>
  <c r="D76" i="75"/>
  <c r="H76" i="75"/>
  <c r="D84" i="75"/>
  <c r="D87" i="75"/>
  <c r="J11" i="75" s="1"/>
  <c r="D9" i="75"/>
  <c r="H9" i="75" s="1"/>
  <c r="D95" i="75"/>
  <c r="H95" i="75"/>
  <c r="D97" i="75"/>
  <c r="D94" i="75" s="1"/>
  <c r="D98" i="75"/>
  <c r="H98" i="75" s="1"/>
  <c r="D99" i="75"/>
  <c r="H99" i="75"/>
  <c r="D103" i="75"/>
  <c r="D102" i="75" s="1"/>
  <c r="H102" i="75" s="1"/>
  <c r="D105" i="75"/>
  <c r="H105" i="75" s="1"/>
  <c r="D108" i="75"/>
  <c r="H108" i="75" s="1"/>
  <c r="D111" i="75"/>
  <c r="H111" i="75" s="1"/>
  <c r="D113" i="75"/>
  <c r="H113" i="75" s="1"/>
  <c r="D115" i="75"/>
  <c r="H115" i="75"/>
  <c r="D116" i="75"/>
  <c r="D120" i="75"/>
  <c r="H120" i="75" s="1"/>
  <c r="D124" i="75"/>
  <c r="H124" i="75" s="1"/>
  <c r="D127" i="75"/>
  <c r="D129" i="75"/>
  <c r="H129" i="75" s="1"/>
  <c r="E47" i="76"/>
  <c r="E43" i="76"/>
  <c r="F47" i="75"/>
  <c r="F52" i="75"/>
  <c r="F72" i="75"/>
  <c r="F84" i="75"/>
  <c r="F9" i="75"/>
  <c r="F94" i="75"/>
  <c r="F93" i="75" s="1"/>
  <c r="F105" i="75"/>
  <c r="F102" i="75"/>
  <c r="F108" i="75"/>
  <c r="F114" i="75"/>
  <c r="F112" i="75"/>
  <c r="F120" i="75"/>
  <c r="F118" i="75"/>
  <c r="F124" i="75"/>
  <c r="F127" i="75"/>
  <c r="F129" i="75"/>
  <c r="F126" i="75"/>
  <c r="G9" i="75"/>
  <c r="G14" i="75"/>
  <c r="G27" i="75"/>
  <c r="G13" i="75"/>
  <c r="G12" i="75" s="1"/>
  <c r="G8" i="75" s="1"/>
  <c r="G40" i="75"/>
  <c r="G47" i="75"/>
  <c r="G52" i="75"/>
  <c r="G84" i="75"/>
  <c r="G94" i="75"/>
  <c r="G105" i="75"/>
  <c r="G102" i="75" s="1"/>
  <c r="G108" i="75"/>
  <c r="G114" i="75"/>
  <c r="G112" i="75" s="1"/>
  <c r="G118" i="75"/>
  <c r="E14" i="76"/>
  <c r="E11" i="76"/>
  <c r="G11" i="76" s="1"/>
  <c r="D48" i="76"/>
  <c r="G48" i="76" s="1"/>
  <c r="D47" i="76"/>
  <c r="D43" i="76" s="1"/>
  <c r="F43" i="76" s="1"/>
  <c r="F47" i="76"/>
  <c r="D14" i="76"/>
  <c r="F14" i="76" s="1"/>
  <c r="D11" i="76"/>
  <c r="F11" i="76"/>
  <c r="D49" i="76"/>
  <c r="D52" i="76"/>
  <c r="E75" i="75"/>
  <c r="I75" i="75" s="1"/>
  <c r="E70" i="75"/>
  <c r="I70" i="75" s="1"/>
  <c r="D12" i="76"/>
  <c r="F12" i="76" s="1"/>
  <c r="D13" i="76"/>
  <c r="C15" i="44"/>
  <c r="C18" i="44"/>
  <c r="C44" i="76"/>
  <c r="F44" i="76" s="1"/>
  <c r="E13" i="76"/>
  <c r="G13" i="76"/>
  <c r="C13" i="76"/>
  <c r="E12" i="76"/>
  <c r="G12" i="76" s="1"/>
  <c r="C12" i="76"/>
  <c r="C11" i="76"/>
  <c r="C14" i="76"/>
  <c r="C10" i="76" s="1"/>
  <c r="C9" i="76" s="1"/>
  <c r="D25" i="76"/>
  <c r="E25" i="76"/>
  <c r="G25" i="76" s="1"/>
  <c r="C25" i="76"/>
  <c r="E26" i="75"/>
  <c r="I26" i="75" s="1"/>
  <c r="E18" i="76"/>
  <c r="G18" i="76" s="1"/>
  <c r="C18" i="76"/>
  <c r="E21" i="76"/>
  <c r="G21" i="76"/>
  <c r="C21" i="76"/>
  <c r="E29" i="76"/>
  <c r="C29" i="76"/>
  <c r="E34" i="76"/>
  <c r="G34" i="76" s="1"/>
  <c r="C34" i="76"/>
  <c r="G56" i="43"/>
  <c r="F56" i="43"/>
  <c r="E56" i="43"/>
  <c r="G17" i="43"/>
  <c r="G27" i="43" s="1"/>
  <c r="G29" i="43" s="1"/>
  <c r="F17" i="43"/>
  <c r="F27" i="43" s="1"/>
  <c r="F29" i="43" s="1"/>
  <c r="E17" i="43"/>
  <c r="E27" i="43" s="1"/>
  <c r="E29" i="43" s="1"/>
  <c r="D39" i="76"/>
  <c r="D34" i="76"/>
  <c r="F34" i="76"/>
  <c r="D29" i="76"/>
  <c r="F29" i="76"/>
  <c r="D21" i="76"/>
  <c r="F21" i="76"/>
  <c r="D18" i="76"/>
  <c r="F18" i="76"/>
  <c r="E18" i="75"/>
  <c r="I18" i="75"/>
  <c r="E17" i="75"/>
  <c r="I17" i="75"/>
  <c r="E37" i="75"/>
  <c r="I37" i="75"/>
  <c r="E38" i="75"/>
  <c r="I38" i="75"/>
  <c r="B1" i="75"/>
  <c r="E20" i="75"/>
  <c r="I20" i="75" s="1"/>
  <c r="F9" i="44"/>
  <c r="F8" i="44" s="1"/>
  <c r="G29" i="76"/>
  <c r="F25" i="76"/>
  <c r="I110" i="75"/>
  <c r="C93" i="75"/>
  <c r="C55" i="75"/>
  <c r="C12" i="75"/>
  <c r="C8" i="75" s="1"/>
  <c r="C7" i="75" s="1"/>
  <c r="H56" i="75"/>
  <c r="I129" i="75"/>
  <c r="C43" i="76"/>
  <c r="F13" i="76"/>
  <c r="F48" i="76"/>
  <c r="E10" i="76"/>
  <c r="H97" i="75"/>
  <c r="H13" i="75"/>
  <c r="I124" i="75"/>
  <c r="I119" i="75"/>
  <c r="E114" i="75"/>
  <c r="I115" i="75"/>
  <c r="I111" i="75"/>
  <c r="I107" i="75"/>
  <c r="I99" i="75"/>
  <c r="E80" i="75"/>
  <c r="I80" i="75" s="1"/>
  <c r="F76" i="75"/>
  <c r="I78" i="75"/>
  <c r="E76" i="75"/>
  <c r="I76" i="75" s="1"/>
  <c r="F56" i="75"/>
  <c r="F55" i="75" s="1"/>
  <c r="E57" i="75"/>
  <c r="E40" i="75"/>
  <c r="I40" i="75"/>
  <c r="D9" i="78"/>
  <c r="D7" i="78" s="1"/>
  <c r="D6" i="78" s="1"/>
  <c r="H87" i="75"/>
  <c r="G21" i="79"/>
  <c r="G13" i="79"/>
  <c r="G47" i="76"/>
  <c r="I11" i="79"/>
  <c r="I13" i="79"/>
  <c r="I18" i="79"/>
  <c r="I25" i="79"/>
  <c r="I34" i="79"/>
  <c r="D10" i="79"/>
  <c r="H10" i="79" s="1"/>
  <c r="G29" i="79"/>
  <c r="G18" i="79"/>
  <c r="G12" i="79"/>
  <c r="I57" i="75"/>
  <c r="E56" i="75"/>
  <c r="I56" i="75" s="1"/>
  <c r="E9" i="76"/>
  <c r="E8" i="76"/>
  <c r="E7" i="76"/>
  <c r="E6" i="76" s="1"/>
  <c r="E55" i="75"/>
  <c r="G14" i="106" l="1"/>
  <c r="F14" i="106"/>
  <c r="E51" i="48"/>
  <c r="C18" i="45"/>
  <c r="C25" i="45"/>
  <c r="E51" i="88"/>
  <c r="J50" i="87"/>
  <c r="E8" i="44"/>
  <c r="G47" i="87"/>
  <c r="J47" i="87" s="1"/>
  <c r="E9" i="88"/>
  <c r="E8" i="88" s="1"/>
  <c r="K19" i="88"/>
  <c r="I52" i="88"/>
  <c r="I36" i="88"/>
  <c r="C51" i="88"/>
  <c r="D48" i="88"/>
  <c r="I48" i="88" s="1"/>
  <c r="D51" i="88"/>
  <c r="G40" i="88"/>
  <c r="H31" i="88"/>
  <c r="C35" i="88"/>
  <c r="H48" i="88"/>
  <c r="G36" i="88"/>
  <c r="G33" i="88"/>
  <c r="I21" i="88"/>
  <c r="H40" i="88"/>
  <c r="H65" i="88"/>
  <c r="G59" i="88"/>
  <c r="F14" i="88"/>
  <c r="C29" i="88"/>
  <c r="C28" i="88" s="1"/>
  <c r="D35" i="88"/>
  <c r="C45" i="88"/>
  <c r="H36" i="88"/>
  <c r="E31" i="88"/>
  <c r="G46" i="88"/>
  <c r="G17" i="88"/>
  <c r="H10" i="88"/>
  <c r="K50" i="87"/>
  <c r="E47" i="87"/>
  <c r="E45" i="87" s="1"/>
  <c r="K27" i="87"/>
  <c r="K62" i="87"/>
  <c r="I71" i="87"/>
  <c r="L71" i="87"/>
  <c r="D69" i="87"/>
  <c r="I69" i="87" s="1"/>
  <c r="D59" i="87"/>
  <c r="D47" i="87" s="1"/>
  <c r="E12" i="89"/>
  <c r="E11" i="89" s="1"/>
  <c r="W11" i="89" s="1"/>
  <c r="W10" i="89" s="1"/>
  <c r="D12" i="48"/>
  <c r="D10" i="48" s="1"/>
  <c r="C12" i="48"/>
  <c r="C10" i="48" s="1"/>
  <c r="F31" i="45"/>
  <c r="D31" i="45"/>
  <c r="F31" i="44"/>
  <c r="E33" i="45"/>
  <c r="D53" i="48" s="1"/>
  <c r="D24" i="44"/>
  <c r="D15" i="45"/>
  <c r="D10" i="45" s="1"/>
  <c r="D9" i="45" s="1"/>
  <c r="C31" i="45"/>
  <c r="C24" i="45" s="1"/>
  <c r="C24" i="44"/>
  <c r="C13" i="44"/>
  <c r="C9" i="44"/>
  <c r="C8" i="44" s="1"/>
  <c r="D27" i="45"/>
  <c r="D25" i="45" s="1"/>
  <c r="D24" i="45" s="1"/>
  <c r="F15" i="45"/>
  <c r="D18" i="44"/>
  <c r="D13" i="44" s="1"/>
  <c r="C15" i="45"/>
  <c r="E32" i="45"/>
  <c r="D52" i="48" s="1"/>
  <c r="D19" i="45"/>
  <c r="D18" i="45" s="1"/>
  <c r="E31" i="44"/>
  <c r="C7" i="76"/>
  <c r="C6" i="76" s="1"/>
  <c r="C8" i="76"/>
  <c r="I94" i="75"/>
  <c r="G93" i="75"/>
  <c r="G7" i="75" s="1"/>
  <c r="H94" i="75"/>
  <c r="C8" i="79"/>
  <c r="F9" i="79"/>
  <c r="F8" i="79"/>
  <c r="J10" i="79"/>
  <c r="I44" i="79"/>
  <c r="C43" i="79"/>
  <c r="G44" i="79"/>
  <c r="H38" i="79"/>
  <c r="D11" i="79"/>
  <c r="D34" i="79"/>
  <c r="G11" i="83"/>
  <c r="F11" i="80"/>
  <c r="P12" i="80"/>
  <c r="M12" i="80"/>
  <c r="R45" i="80"/>
  <c r="CR49" i="80"/>
  <c r="N49" i="80"/>
  <c r="Q52" i="80"/>
  <c r="O52" i="80"/>
  <c r="Q53" i="80"/>
  <c r="O53" i="80"/>
  <c r="E46" i="87"/>
  <c r="L60" i="87"/>
  <c r="E8" i="79"/>
  <c r="I8" i="79" s="1"/>
  <c r="E105" i="75"/>
  <c r="I105" i="75" s="1"/>
  <c r="H103" i="75"/>
  <c r="D55" i="75"/>
  <c r="H55" i="75" s="1"/>
  <c r="E19" i="75"/>
  <c r="D126" i="75"/>
  <c r="H127" i="75"/>
  <c r="H116" i="75"/>
  <c r="D114" i="75"/>
  <c r="H84" i="75"/>
  <c r="E47" i="75"/>
  <c r="I47" i="75" s="1"/>
  <c r="I11" i="75"/>
  <c r="C8" i="78"/>
  <c r="I32" i="75"/>
  <c r="I98" i="75"/>
  <c r="J11" i="83"/>
  <c r="K18" i="83"/>
  <c r="K17" i="83" s="1"/>
  <c r="F17" i="83"/>
  <c r="F11" i="83" s="1"/>
  <c r="K11" i="83"/>
  <c r="P11" i="83"/>
  <c r="T11" i="83"/>
  <c r="H7" i="80"/>
  <c r="Q8" i="80"/>
  <c r="O8" i="80"/>
  <c r="Q40" i="80"/>
  <c r="O40" i="80"/>
  <c r="G51" i="80"/>
  <c r="CR52" i="80"/>
  <c r="I52" i="80"/>
  <c r="G10" i="79"/>
  <c r="G14" i="79"/>
  <c r="D118" i="75"/>
  <c r="H118" i="75" s="1"/>
  <c r="G14" i="76"/>
  <c r="D10" i="76"/>
  <c r="I86" i="75"/>
  <c r="E84" i="75"/>
  <c r="I84" i="75" s="1"/>
  <c r="E19" i="45"/>
  <c r="E18" i="45" s="1"/>
  <c r="I120" i="75"/>
  <c r="E112" i="75"/>
  <c r="E118" i="75"/>
  <c r="G43" i="76"/>
  <c r="E28" i="75"/>
  <c r="F27" i="75"/>
  <c r="F13" i="75" s="1"/>
  <c r="F12" i="75" s="1"/>
  <c r="F8" i="75" s="1"/>
  <c r="F7" i="75" s="1"/>
  <c r="I9" i="79"/>
  <c r="E7" i="79"/>
  <c r="I14" i="79"/>
  <c r="H51" i="80"/>
  <c r="E102" i="75"/>
  <c r="I102" i="75" s="1"/>
  <c r="I74" i="75"/>
  <c r="E52" i="75"/>
  <c r="I52" i="75" s="1"/>
  <c r="J10" i="75"/>
  <c r="E9" i="78"/>
  <c r="E7" i="78" s="1"/>
  <c r="I10" i="79"/>
  <c r="J11" i="79"/>
  <c r="J34" i="79"/>
  <c r="V11" i="83"/>
  <c r="E11" i="80"/>
  <c r="E10" i="80" s="1"/>
  <c r="E7" i="80" s="1"/>
  <c r="E6" i="80" s="1"/>
  <c r="G10" i="80"/>
  <c r="N11" i="80"/>
  <c r="I49" i="80"/>
  <c r="CR57" i="80"/>
  <c r="Q68" i="80"/>
  <c r="O68" i="80"/>
  <c r="K60" i="87"/>
  <c r="H23" i="88"/>
  <c r="G23" i="88"/>
  <c r="E15" i="45"/>
  <c r="I46" i="88"/>
  <c r="H46" i="88"/>
  <c r="F45" i="88"/>
  <c r="I10" i="75"/>
  <c r="C11" i="80"/>
  <c r="C10" i="80" s="1"/>
  <c r="C7" i="80" s="1"/>
  <c r="C6" i="80" s="1"/>
  <c r="O35" i="80"/>
  <c r="P40" i="80"/>
  <c r="E12" i="48"/>
  <c r="E10" i="48" s="1"/>
  <c r="E8" i="48" s="1"/>
  <c r="E7" i="48" s="1"/>
  <c r="G8" i="48" s="1"/>
  <c r="D30" i="88"/>
  <c r="I31" i="88"/>
  <c r="H59" i="88"/>
  <c r="I59" i="88"/>
  <c r="I57" i="80"/>
  <c r="CR58" i="80"/>
  <c r="I58" i="80"/>
  <c r="CR69" i="80"/>
  <c r="G68" i="80"/>
  <c r="C14" i="88"/>
  <c r="H33" i="88"/>
  <c r="I33" i="88"/>
  <c r="F30" i="88"/>
  <c r="K64" i="87"/>
  <c r="L64" i="87"/>
  <c r="D9" i="88"/>
  <c r="I50" i="87"/>
  <c r="F47" i="87"/>
  <c r="L25" i="87"/>
  <c r="G9" i="87"/>
  <c r="K25" i="87"/>
  <c r="L50" i="87"/>
  <c r="G48" i="88"/>
  <c r="I59" i="87"/>
  <c r="G69" i="87"/>
  <c r="J69" i="87" s="1"/>
  <c r="K71" i="87"/>
  <c r="L17" i="87"/>
  <c r="K17" i="87"/>
  <c r="E35" i="88"/>
  <c r="G35" i="88" s="1"/>
  <c r="G58" i="88"/>
  <c r="H34" i="88"/>
  <c r="G22" i="88"/>
  <c r="G10" i="88"/>
  <c r="H17" i="88"/>
  <c r="E45" i="88"/>
  <c r="G45" i="88" s="1"/>
  <c r="F10" i="45" l="1"/>
  <c r="F9" i="45" s="1"/>
  <c r="E11" i="106"/>
  <c r="E27" i="44"/>
  <c r="D17" i="104"/>
  <c r="D11" i="104" s="1"/>
  <c r="D10" i="104" s="1"/>
  <c r="D21" i="106"/>
  <c r="C9" i="88"/>
  <c r="C8" i="88" s="1"/>
  <c r="G33" i="48"/>
  <c r="F27" i="44"/>
  <c r="E25" i="44"/>
  <c r="E24" i="44" s="1"/>
  <c r="E27" i="45"/>
  <c r="E25" i="45" s="1"/>
  <c r="D37" i="44"/>
  <c r="K47" i="87"/>
  <c r="Q48" i="87"/>
  <c r="J48" i="87"/>
  <c r="H47" i="87"/>
  <c r="T55" i="87"/>
  <c r="D48" i="87"/>
  <c r="I47" i="87"/>
  <c r="D14" i="45"/>
  <c r="I14" i="88"/>
  <c r="K15" i="88"/>
  <c r="F9" i="88"/>
  <c r="D45" i="88"/>
  <c r="G31" i="88"/>
  <c r="E30" i="88"/>
  <c r="G30" i="88" s="1"/>
  <c r="D29" i="88"/>
  <c r="D28" i="88" s="1"/>
  <c r="D8" i="88" s="1"/>
  <c r="G14" i="88"/>
  <c r="G9" i="88"/>
  <c r="M52" i="87"/>
  <c r="D45" i="87"/>
  <c r="E10" i="89"/>
  <c r="C8" i="48"/>
  <c r="C7" i="48" s="1"/>
  <c r="C37" i="44"/>
  <c r="D51" i="48"/>
  <c r="E31" i="45"/>
  <c r="C10" i="45"/>
  <c r="C9" i="45" s="1"/>
  <c r="C14" i="45"/>
  <c r="H30" i="88"/>
  <c r="F29" i="88"/>
  <c r="F28" i="88" s="1"/>
  <c r="I30" i="88"/>
  <c r="I10" i="80"/>
  <c r="N10" i="80"/>
  <c r="G7" i="80"/>
  <c r="E6" i="78"/>
  <c r="E6" i="79"/>
  <c r="I6" i="79" s="1"/>
  <c r="I7" i="79"/>
  <c r="G50" i="80"/>
  <c r="CR51" i="80"/>
  <c r="I51" i="80"/>
  <c r="H114" i="75"/>
  <c r="D112" i="75"/>
  <c r="Q10" i="80"/>
  <c r="H34" i="79"/>
  <c r="G34" i="79"/>
  <c r="I43" i="79"/>
  <c r="G43" i="79"/>
  <c r="J9" i="79"/>
  <c r="F7" i="79"/>
  <c r="H35" i="88"/>
  <c r="I35" i="88"/>
  <c r="L69" i="87"/>
  <c r="K69" i="87"/>
  <c r="L9" i="87"/>
  <c r="K9" i="87"/>
  <c r="G8" i="87"/>
  <c r="H58" i="88"/>
  <c r="I58" i="88"/>
  <c r="F51" i="88"/>
  <c r="H45" i="88"/>
  <c r="I45" i="88"/>
  <c r="I118" i="75"/>
  <c r="E14" i="75"/>
  <c r="I19" i="75"/>
  <c r="H11" i="79"/>
  <c r="G11" i="79"/>
  <c r="D9" i="79"/>
  <c r="C7" i="79"/>
  <c r="C6" i="79" s="1"/>
  <c r="D12" i="75"/>
  <c r="I114" i="75"/>
  <c r="E10" i="45"/>
  <c r="E9" i="45" s="1"/>
  <c r="O10" i="80"/>
  <c r="Q51" i="80"/>
  <c r="O51" i="80"/>
  <c r="H50" i="80"/>
  <c r="I112" i="75"/>
  <c r="F18" i="44"/>
  <c r="F13" i="44" s="1"/>
  <c r="F14" i="44" s="1"/>
  <c r="F19" i="45"/>
  <c r="Q11" i="80"/>
  <c r="D9" i="76"/>
  <c r="F10" i="76"/>
  <c r="D8" i="76"/>
  <c r="Q7" i="80"/>
  <c r="H6" i="80"/>
  <c r="O7" i="80"/>
  <c r="H14" i="88"/>
  <c r="K59" i="87"/>
  <c r="L59" i="87"/>
  <c r="I55" i="75"/>
  <c r="E93" i="75"/>
  <c r="G45" i="87"/>
  <c r="G46" i="87"/>
  <c r="J46" i="87" s="1"/>
  <c r="M46" i="87"/>
  <c r="L47" i="87"/>
  <c r="G51" i="88"/>
  <c r="F45" i="87"/>
  <c r="I68" i="80"/>
  <c r="CR68" i="80"/>
  <c r="I11" i="80"/>
  <c r="I28" i="75"/>
  <c r="E27" i="75"/>
  <c r="I27" i="75" s="1"/>
  <c r="O11" i="80"/>
  <c r="H126" i="75"/>
  <c r="I126" i="75"/>
  <c r="P11" i="80"/>
  <c r="F10" i="80"/>
  <c r="M11" i="80"/>
  <c r="J8" i="79"/>
  <c r="G10" i="76"/>
  <c r="E10" i="106" l="1"/>
  <c r="G11" i="106"/>
  <c r="F11" i="106"/>
  <c r="F18" i="45"/>
  <c r="F14" i="45" s="1"/>
  <c r="Q14" i="45" s="1"/>
  <c r="E13" i="106"/>
  <c r="E24" i="45"/>
  <c r="I25" i="45" s="1"/>
  <c r="D19" i="106"/>
  <c r="J10" i="104"/>
  <c r="H10" i="104"/>
  <c r="C11" i="104"/>
  <c r="G17" i="104"/>
  <c r="F17" i="104"/>
  <c r="F27" i="45"/>
  <c r="F25" i="44"/>
  <c r="F24" i="44" s="1"/>
  <c r="F37" i="44" s="1"/>
  <c r="E37" i="44"/>
  <c r="E14" i="45"/>
  <c r="J45" i="87"/>
  <c r="K45" i="87"/>
  <c r="H45" i="87"/>
  <c r="I45" i="87"/>
  <c r="D46" i="87"/>
  <c r="I48" i="87"/>
  <c r="H9" i="88"/>
  <c r="I9" i="88"/>
  <c r="E29" i="88"/>
  <c r="E28" i="88" s="1"/>
  <c r="P50" i="87"/>
  <c r="F46" i="87"/>
  <c r="I93" i="75"/>
  <c r="K8" i="87"/>
  <c r="L8" i="87"/>
  <c r="N7" i="80"/>
  <c r="G6" i="80"/>
  <c r="I7" i="80"/>
  <c r="F9" i="76"/>
  <c r="D7" i="76"/>
  <c r="G9" i="76"/>
  <c r="I29" i="88"/>
  <c r="H29" i="88"/>
  <c r="Q50" i="80"/>
  <c r="O50" i="80"/>
  <c r="H112" i="75"/>
  <c r="D93" i="75"/>
  <c r="H93" i="75" s="1"/>
  <c r="CR50" i="80"/>
  <c r="I50" i="80"/>
  <c r="P10" i="80"/>
  <c r="M10" i="80"/>
  <c r="F7" i="80"/>
  <c r="L48" i="87"/>
  <c r="M55" i="87"/>
  <c r="P47" i="87"/>
  <c r="M50" i="87"/>
  <c r="O6" i="80"/>
  <c r="CR5" i="80"/>
  <c r="Q6" i="80"/>
  <c r="CO7" i="80"/>
  <c r="H51" i="88"/>
  <c r="I51" i="88"/>
  <c r="L45" i="87"/>
  <c r="H12" i="75"/>
  <c r="D8" i="75"/>
  <c r="F8" i="76"/>
  <c r="G8" i="76"/>
  <c r="G9" i="79"/>
  <c r="H9" i="79"/>
  <c r="D8" i="79"/>
  <c r="D7" i="79"/>
  <c r="E13" i="75"/>
  <c r="I14" i="75"/>
  <c r="J7" i="79"/>
  <c r="F6" i="79"/>
  <c r="J6" i="79" s="1"/>
  <c r="F25" i="45" l="1"/>
  <c r="F24" i="45" s="1"/>
  <c r="H25" i="45" s="1"/>
  <c r="E21" i="106"/>
  <c r="E12" i="106"/>
  <c r="G13" i="106"/>
  <c r="F13" i="106"/>
  <c r="G10" i="106"/>
  <c r="F10" i="106"/>
  <c r="C10" i="104"/>
  <c r="D18" i="106"/>
  <c r="G11" i="104"/>
  <c r="F11" i="104"/>
  <c r="H24" i="44"/>
  <c r="P14" i="45"/>
  <c r="G29" i="88"/>
  <c r="I46" i="87"/>
  <c r="H46" i="87"/>
  <c r="D7" i="75"/>
  <c r="H7" i="75" s="1"/>
  <c r="H8" i="75"/>
  <c r="I6" i="80"/>
  <c r="CV3" i="80"/>
  <c r="N6" i="80"/>
  <c r="H8" i="79"/>
  <c r="G8" i="79"/>
  <c r="H7" i="79"/>
  <c r="D6" i="79"/>
  <c r="G7" i="79"/>
  <c r="F6" i="80"/>
  <c r="P7" i="80"/>
  <c r="M7" i="80"/>
  <c r="F7" i="76"/>
  <c r="G7" i="76"/>
  <c r="D6" i="76"/>
  <c r="I13" i="75"/>
  <c r="E12" i="75"/>
  <c r="G28" i="88"/>
  <c r="G8" i="88"/>
  <c r="K46" i="87"/>
  <c r="L46" i="87"/>
  <c r="H28" i="88"/>
  <c r="I28" i="88"/>
  <c r="F8" i="88"/>
  <c r="G12" i="106" l="1"/>
  <c r="F12" i="106"/>
  <c r="E9" i="106"/>
  <c r="F21" i="106"/>
  <c r="E19" i="106"/>
  <c r="G21" i="106"/>
  <c r="F10" i="104"/>
  <c r="G10" i="104"/>
  <c r="U45" i="87"/>
  <c r="Q24" i="44"/>
  <c r="R46" i="87"/>
  <c r="T43" i="87"/>
  <c r="F6" i="76"/>
  <c r="G6" i="76"/>
  <c r="I12" i="75"/>
  <c r="E8" i="75"/>
  <c r="P6" i="80"/>
  <c r="M6" i="80"/>
  <c r="R48" i="80"/>
  <c r="W8" i="80"/>
  <c r="I8" i="88"/>
  <c r="H8" i="88"/>
  <c r="H6" i="79"/>
  <c r="G6" i="79"/>
  <c r="F9" i="106" l="1"/>
  <c r="G9" i="106"/>
  <c r="F19" i="106"/>
  <c r="E18" i="106"/>
  <c r="G19" i="106"/>
  <c r="I8" i="75"/>
  <c r="E7" i="75"/>
  <c r="F18" i="106" l="1"/>
  <c r="G18" i="106"/>
  <c r="L5" i="75"/>
  <c r="I7" i="75"/>
  <c r="G7" i="78"/>
  <c r="G5" i="78"/>
</calcChain>
</file>

<file path=xl/sharedStrings.xml><?xml version="1.0" encoding="utf-8"?>
<sst xmlns="http://schemas.openxmlformats.org/spreadsheetml/2006/main" count="2647" uniqueCount="1475">
  <si>
    <t>Chi từ nguồn tăng thu trên địa bàn</t>
  </si>
  <si>
    <t>CHƯƠNG TRÌNH MỤC TIÊU QUỐC GIA</t>
  </si>
  <si>
    <t>Chương trình giảm nghèo bền vững</t>
  </si>
  <si>
    <t xml:space="preserve"> - HT ĐT CSHT các huyện nghèo, xã ĐBKK</t>
  </si>
  <si>
    <t xml:space="preserve">Chương trình xây dựng nông thôn mới </t>
  </si>
  <si>
    <t xml:space="preserve"> - Vốn đầu tư</t>
  </si>
  <si>
    <t xml:space="preserve"> - Vốn sự nghiệp</t>
  </si>
  <si>
    <t>CHI THỰC HIỆN MỘT SỐ MT, NHIỆM VỤ KHÁC</t>
  </si>
  <si>
    <t>Chương trình 135</t>
  </si>
  <si>
    <t>Trung tâm Chính trị (5 BC)</t>
  </si>
  <si>
    <t>Sự nghiệp Truyền thanh -Truyền hình (13BC)</t>
  </si>
  <si>
    <t>Phòng Tài nguyên - Môi trường huyện (6 biên chế)</t>
  </si>
  <si>
    <t>Văn phòng Huyện ủy (28 biên chế)</t>
  </si>
  <si>
    <t>Chuyển vốn cho phòng Giao dịch Ngân hàng CSXH</t>
  </si>
  <si>
    <t>Chi sự nghiệp khoa học công nghệ</t>
  </si>
  <si>
    <t xml:space="preserve"> - Hỗ trợ phát triển  đa dạng hóa sinh kế</t>
  </si>
  <si>
    <t>- Số gia đình có anh hùng lực lượng vũ trang</t>
  </si>
  <si>
    <t>- Số gia đình có người hoạt động kháng chiến</t>
  </si>
  <si>
    <t>- Số gia đình có người có công giúp đỡ cách mạng</t>
  </si>
  <si>
    <t>- Người bị nhiễm chất độc màu da cam</t>
  </si>
  <si>
    <t>hộ</t>
  </si>
  <si>
    <t>Trong đó: Số hộ gia đình dân tộc thiểu số nghèo</t>
  </si>
  <si>
    <t>đoàn</t>
  </si>
  <si>
    <t>- Số đoàn nghệ thuật truyền thống</t>
  </si>
  <si>
    <t>đội</t>
  </si>
  <si>
    <t>di sản</t>
  </si>
  <si>
    <t>Mẫu biểu số 29.1</t>
  </si>
  <si>
    <t xml:space="preserve">TỔNG THU NSNN TRÊN ĐỊA BÀN </t>
  </si>
  <si>
    <t>Thu từ hoạt động xuất khẩu, nhập khẩu</t>
  </si>
  <si>
    <t>Thu viện trợ không hoàn lại</t>
  </si>
  <si>
    <t xml:space="preserve">TỔNG THU NGÂN SÁCH ĐỊA PHƯƠNG </t>
  </si>
  <si>
    <t xml:space="preserve">Thu NSĐP được hưởng theo phân cấp </t>
  </si>
  <si>
    <t>Các khoản thu NSĐP hưởng 100%</t>
  </si>
  <si>
    <t xml:space="preserve"> + Phát triển sản xuất, đa dạng hóa sinh kế</t>
  </si>
  <si>
    <t xml:space="preserve"> + Nhân rộng mô hình giảm nghèo</t>
  </si>
  <si>
    <t xml:space="preserve"> - Hỗ trợ đầu tư cơ sở hạ tầng cho các xã ĐBKK, các thôn bản 
ĐBKK (duy tu, bảo dưỡng)</t>
  </si>
  <si>
    <t>Truyền thông về giảm nghèo và thông tin</t>
  </si>
  <si>
    <t xml:space="preserve"> + Truyền thông về giảm nghèo</t>
  </si>
  <si>
    <t xml:space="preserve"> + Giảm nghèo về thông tin</t>
  </si>
  <si>
    <t>Nâng cao năng lực, giám sát đánh giá thực hiện chương trình</t>
  </si>
  <si>
    <t xml:space="preserve"> + Hỗ trợ đào tạo nghề lao động nông thôn</t>
  </si>
  <si>
    <t xml:space="preserve"> + Chi phí quản lý</t>
  </si>
  <si>
    <t xml:space="preserve"> - Đầu tư cơ sở hạ tầng các xã ĐBKK, các thôn bản</t>
  </si>
  <si>
    <t xml:space="preserve"> - Hỗ trợ lao động thuộc hộ nghèo, cận nghèo</t>
  </si>
  <si>
    <t xml:space="preserve"> - Thu cấp quyền sử dụng đất ngân sách tỉnh hưởng</t>
  </si>
  <si>
    <t xml:space="preserve"> - Thu cấp quyền sử dụng đất ngân sách huyện hưởng</t>
  </si>
  <si>
    <t>ƯỚC THỰC HIỆN CẢ NĂM 2018</t>
  </si>
  <si>
    <t>DỰ TOÁN NĂM 2019</t>
  </si>
  <si>
    <t>Chi đầu tư từ nguồn thu cấp quyền sử dụng đất</t>
  </si>
  <si>
    <t xml:space="preserve"> + Phụ cấp khuyến nông thôn bản (143BC)</t>
  </si>
  <si>
    <t xml:space="preserve"> - Trạm khuyến nông - Khuyến ngư (7BC)</t>
  </si>
  <si>
    <t xml:space="preserve"> -  Hỗ trợ thú y xã</t>
  </si>
  <si>
    <t xml:space="preserve"> - Kinh phí bảo vệ đất trồng lúa</t>
  </si>
  <si>
    <t>Sự nghiệp Giáo dục(1.152 BC)</t>
  </si>
  <si>
    <t>DỰ TOÁN CHI NGÂN SÁCH ĐỊA PHƯƠNG NĂM 2019</t>
  </si>
  <si>
    <t>Phòng Tài chính - Kế hoạch (11 biên chế)</t>
  </si>
  <si>
    <t>Các khoản thu phân chia NSĐP theo tỷ lệ %</t>
  </si>
  <si>
    <t>Thu bổ sung từ ngân sách cấp trên</t>
  </si>
  <si>
    <t>Thu bổ sung cân đối ngân sách</t>
  </si>
  <si>
    <t>Thu bổ sung có mục tiêu</t>
  </si>
  <si>
    <t>Thu kết dư</t>
  </si>
  <si>
    <t>Thu chuyển nguồn từ năm trước chuyển sang</t>
  </si>
  <si>
    <t>TỔNG CHI NGÂN SÁCH ĐỊA PHƯƠNG</t>
  </si>
  <si>
    <t>Tổng chi cân đối ngân sách địa phương</t>
  </si>
  <si>
    <t>Chi đầu tư phát triển (1)</t>
  </si>
  <si>
    <t>Chi bổ sung quỹ dự trữ tài chính</t>
  </si>
  <si>
    <t>Dự phòng ngân sách</t>
  </si>
  <si>
    <t>Chi tạo nguồn thực hiện CCTL</t>
  </si>
  <si>
    <t xml:space="preserve">Chi từ nguồn bổ sung có mục tiêu </t>
  </si>
  <si>
    <t>Chi thực hiện các chế độ, chính sách</t>
  </si>
  <si>
    <t>Chi thực hiện các chương trình mục tiêu quốc gia</t>
  </si>
  <si>
    <t>Chi chuyển nguồn sang năm sau</t>
  </si>
  <si>
    <t>Mẫu biểu 29.2</t>
  </si>
  <si>
    <t>Chi từ nguồn bổ sung có mục tiêu</t>
  </si>
  <si>
    <t>D</t>
  </si>
  <si>
    <t>E</t>
  </si>
  <si>
    <t>TỔNG MỨC VAY CỦA NGÂN SÁCH ĐỊA PHƯƠNG</t>
  </si>
  <si>
    <t>F</t>
  </si>
  <si>
    <t>TRẢ NỢ GỐC VAY CỦA NGÂN SÁCH ĐỊA PHƯƠNG</t>
  </si>
  <si>
    <t>Mẫu biểu số 32</t>
  </si>
  <si>
    <t>TỔNG CHI NGÂN SÁCH ĐỊA PHƯƠNG QUẢN LÝ (I+II)</t>
  </si>
  <si>
    <t>CHI CÂN ĐỐI NGÂN SÁCH ĐỊA PHƯƠNG</t>
  </si>
  <si>
    <t>Chi đầu tư và hỗ trợ vốn cho các doanh nghiệp cung cấp sản phẩm, dịch vụ công ích do Nhà nước đặt hàng, các tổ chức kinh tế, các tổ chức tài chính của địa phương theo quy định của pháp luật</t>
  </si>
  <si>
    <t>1.2.1</t>
  </si>
  <si>
    <t>Chi đầu tư phát triển của các dự án phân theo nguồn vốn</t>
  </si>
  <si>
    <t>Chi đầu tư XDCB vốn trong nước</t>
  </si>
  <si>
    <t>Chi đầu tư từ nguồn thu tiền sử dụng đất</t>
  </si>
  <si>
    <t>Chi đầu tư từ nguồn thu xổ số kiến thiết</t>
  </si>
  <si>
    <t>Chi đầu tư từ nguồn bội chi ngân sách địa phương</t>
  </si>
  <si>
    <t>1.2.2</t>
  </si>
  <si>
    <t>Chi đầu tư phát triển phân theo lĩnh vực</t>
  </si>
  <si>
    <t>Chi khoa học và công nghệ</t>
  </si>
  <si>
    <t>Chi quốc phòng</t>
  </si>
  <si>
    <t>Chi an ninh</t>
  </si>
  <si>
    <t>Chi y tế, dân số và gia đình</t>
  </si>
  <si>
    <t>e</t>
  </si>
  <si>
    <t>Chi văn hóa thông tin</t>
  </si>
  <si>
    <t>g</t>
  </si>
  <si>
    <t>Chi phát thanh, truyền hình</t>
  </si>
  <si>
    <t>h</t>
  </si>
  <si>
    <t xml:space="preserve">Chi thể dục thể thao </t>
  </si>
  <si>
    <t>i</t>
  </si>
  <si>
    <t>Chi bảo vệ môi trường</t>
  </si>
  <si>
    <t>k</t>
  </si>
  <si>
    <t>Chi hoạt động kinh tế</t>
  </si>
  <si>
    <t>l</t>
  </si>
  <si>
    <t>Chi hoạt động quản lý nhà nước, Đảng, đoàn thể</t>
  </si>
  <si>
    <t>m</t>
  </si>
  <si>
    <t>MẪU BIỂU SỐ 08</t>
  </si>
  <si>
    <t xml:space="preserve"> Đơn vị: Triệu đồng</t>
  </si>
  <si>
    <t>Số</t>
  </si>
  <si>
    <t>Kinh phí</t>
  </si>
  <si>
    <t>50%  tăng thu NSĐP (không kể thu tiền sử dụng đất, xổ số kiến thiết) dự toán 2018 so dự toán 2017 tỉnh giao</t>
  </si>
  <si>
    <t>Quyết định đầu tư ban đầu hoặc QĐ đầu tư điều chỉnh đã được Thủ tướng Chính phủ giao KH các năm</t>
  </si>
  <si>
    <t>Kế hoạch trung hạn giai đoạn 2016-2020 đã giao</t>
  </si>
  <si>
    <t>Số quyết định ngày, tháng, năm ban hành</t>
  </si>
  <si>
    <t xml:space="preserve">TMĐT </t>
  </si>
  <si>
    <t>Kế hoạch năm hiện hành được giao</t>
  </si>
  <si>
    <t>Số vốn kéo dài các năm trước sang năm hiện hành (nếu có)</t>
  </si>
  <si>
    <t>Thu hồi các khoản ứng trước</t>
  </si>
  <si>
    <t>Thanh toán nợ XDCB</t>
  </si>
  <si>
    <t>2015-2016</t>
  </si>
  <si>
    <t>2016-2018</t>
  </si>
  <si>
    <t>Xã Tả Sìn Thàng</t>
  </si>
  <si>
    <t>Tuyến đường Sính Phình - Trung Thu - Lao Xả Phình - Tả Sìn Thàng (từ Bản Phô, xã Trung Thu đến thôn 3, xã Lao Xả Phình), huyện Tủa Chùa</t>
  </si>
  <si>
    <t>Tuyến đường Sính Phình - Trung Thu - Lao Xả Phình - Tả Sìn Thàng (Từ trung tâm xã Lao Xả Phình đi thôn 3 hướng sang Trung Thu)</t>
  </si>
  <si>
    <t>Nâng cấp mặt đường UBND xã Mường Đun - Nà Sa - Bản Túc</t>
  </si>
  <si>
    <t>Nhà Văn hóa xã Mường Đun</t>
  </si>
  <si>
    <t>Đoạn đầu đường dân sinh Đèo Gió - Vàng Chua đến km2 đường Trung Thu - Lao Xả Phình</t>
  </si>
  <si>
    <t>Hết nhu cầu chi</t>
  </si>
  <si>
    <t>Đường giao thông Háng Tàu - Phiêng Páng, xã Sính Phình</t>
  </si>
  <si>
    <t>Đường giao thông nội thôn thôn bản Phô, xã Trung Thu</t>
  </si>
  <si>
    <t>Đường giao thông nội thôn thôn Háng Pàng, xã Huổi Só</t>
  </si>
  <si>
    <t>Đường giao thông (thôn Háng Sung 2) xuống cánh đồng Chiếu Tính, xã Tả Phìn</t>
  </si>
  <si>
    <t>Đường từ nhà ông Mùa A Làng đến sân thôn Văn hóa truyền thống của xã Xá Nhè</t>
  </si>
  <si>
    <t>Nhà văn hóa thôn Huổi Ca, xã Huổi Só</t>
  </si>
  <si>
    <t>Tuyến đường từ ngã 3 Páo Tỉnh Làng 2 đi Páo Tỉnh Làng 1, xã Tả Sìn Thàng</t>
  </si>
  <si>
    <t>Tuyến đường Tà Dung đi Chiếu Tính, xã Tả Phìn</t>
  </si>
  <si>
    <t>Tuyến đường từ ngã 3 Sính Phình đi thôn Dê Giàng, xã Sính Phình</t>
  </si>
  <si>
    <t>368 ngày 29/3/2016</t>
  </si>
  <si>
    <t>358 ngày 28/3/2016</t>
  </si>
  <si>
    <t>680 ngày 08/8/2017</t>
  </si>
  <si>
    <t>679 ngày 08/8/2017</t>
  </si>
  <si>
    <t>678 ngày 08/8/2017</t>
  </si>
  <si>
    <t xml:space="preserve">Ghi chú: * Đề nghị các dự án ghi rõ dự kiến năm hoàn thành để có cơ sở xác định số dự án hoàn thành trong các năm </t>
  </si>
  <si>
    <t>Nguồn tiết kiệm chi gắn với thực hiện các giải pháp sắp xếp tổ chức bộ máy, tinh giản biên chế, đổi mới hoạt động đơn vị sự nghiệp công lập theo Nghị quyết số 18,19 (nếu có)</t>
  </si>
  <si>
    <t>Tổng nhu cầu kinh phí tăng thêm để thực hiện cải cách tiền lương theo Nghị định số  47/2017/NĐ-CP và Nghị định số 76/2017/NĐ-CP tính đủ 12 tháng</t>
  </si>
  <si>
    <t>Tổng nhu cầu kinh phí tăng thêm để thực hiện cải cách tiền lương 1,39 triệu đồng/tháng</t>
  </si>
  <si>
    <t>Quỹ tiền lương, phụ cấp tăng thêm đối với cán bộ công chức khu vực hành chính, sự nghiệp</t>
  </si>
  <si>
    <t xml:space="preserve">Quỹ lương, phụ cấp tăng thêm đối với cán bộ chuyên trách và công chức cấp xã </t>
  </si>
  <si>
    <t>Hoạt động phí tăng thêm đối với đại biểu hội đồng nhân dân các cấp</t>
  </si>
  <si>
    <t>Quỹ trợ cấp tăng thêm đối với cán bộ xã nghỉ việc hưởng trợ cấp hàng tháng theo NĐ 76/2017/NĐ-CP</t>
  </si>
  <si>
    <t>Kinh phí tăng thêm để thực hiện chế độ đối với cán bộ không chuyên trách cấp xã, thôn và tổ dân phố</t>
  </si>
  <si>
    <t>f</t>
  </si>
  <si>
    <t xml:space="preserve">Kinh phí tăng thêm để thực hiện phụ cấp trách nhiệm đối với cấp uỷ viên các cấp theo QĐ số 169-QĐ/TW  ngày 24/6/2008 </t>
  </si>
  <si>
    <t>Kinh phí tăng thêm thực hiện chế độ bồi dưỡng phục vụ hoạt động cấp uỷ thuộc cấp tỉnh theo Quy định số 09-QĐ/VPTW</t>
  </si>
  <si>
    <t>Nhu cầu thực hiện một số loại phụ cấp, trợ cấp theo quy định:</t>
  </si>
  <si>
    <t xml:space="preserve">Kinh phí tăng, giảm do điều chỉnh địa bàn vùng KTXH ĐBKK năm 2017 theo Quyết định số 131/QĐ-TTg và Quyết định số 582/QĐ-TTg của Thủ tướng Chính phủ tính đủ 12 tháng </t>
  </si>
  <si>
    <t>Nhu cầu kinh phí thực hiện chính sách tinh giản biên chế năm 2018 theo NĐ số 108/2014/NĐ-CP ngày 20/11/2014 (Đối tượng đã được Bộ Nội vụ thẩm định)</t>
  </si>
  <si>
    <t>Nhu cầu kinh phí thực hiện chính sách nghỉ hưu trước tuổi năm 2018 theo NĐ số 26/2015/NĐ-CP ngày 09/3/2015</t>
  </si>
  <si>
    <t xml:space="preserve">CHÊNH LỆCH NHU CẦU VÀ NGUỒN THỰC HIỆN CCTL 2018 </t>
  </si>
  <si>
    <t>Phần thiếu nguồn ngân sách tỉnh bổ sung</t>
  </si>
  <si>
    <t>Nguồn thực hiện cải cách tiền lương còn dư</t>
  </si>
  <si>
    <t>NHU CẦU KINH PHÍ THỰC HIỆN CÁC CHÍNH SÁCH AN SINH XÃ HỘI NĂM 2018 TĂNG THÊM SO VỚI SỐ BỐ TRÍ CÂN ĐỐI NSĐP NĂM 2018</t>
  </si>
  <si>
    <t xml:space="preserve">PHẦN NS TỈNH HỖ TRỢ TỐI ĐA THỰC HIỆN CÁC CHÍNH SÁCH AN SINH XÃ HỘI TĂNG THÊM SO VỚI SỐ BỐ TRÍ CÂN ĐỐI NSĐP NĂM 2018 </t>
  </si>
  <si>
    <t xml:space="preserve">NGUỒN KINH PHÍ THỰC HIỆN CCTL NĂM 2018 CÒN DƯ ĐỂ CHI TRẢ THAY PHẦN NS TỈNH HỖ TRỢ THỰC HIỆN CÁC CHÍNH SÁCH AN SINH XÃ HỘI </t>
  </si>
  <si>
    <t xml:space="preserve">NGUỒN KINH PHÍ THỰC HIỆN CCTL NĂM 2018 CÒN DƯ SAU KHI ĐẢM BẢO CÁC CHÍNH SÁCH AN SINH XÃ HỘI </t>
  </si>
  <si>
    <t>MẪU BIỂU SỐ 10</t>
  </si>
  <si>
    <t>TỔNG HỢP KINH PHÍ THỰC HIỆN CÁC CHÍNH SÁCH, CHẾ ĐỘ NĂM 2017, 2018 VÀ DỰ KIẾN NHU CẦU KINH PHÍ NĂM 2019</t>
  </si>
  <si>
    <t>Chính sách, chế độ</t>
  </si>
  <si>
    <t>Tình hình thực hiện năm 2018</t>
  </si>
  <si>
    <t>Dự kiến nhu cầu kinh phí thực hiện năm 2019</t>
  </si>
  <si>
    <t>Số đối tượng</t>
  </si>
  <si>
    <t>Kinh phí thực hiện</t>
  </si>
  <si>
    <t>Nhu cầu kinh phí</t>
  </si>
  <si>
    <t>Số kinh phí đã bố trí</t>
  </si>
  <si>
    <t>Số kinh phí còn thiếu</t>
  </si>
  <si>
    <t>Số kinh phí còn dư (nếu có)</t>
  </si>
  <si>
    <t>Bao gồm</t>
  </si>
  <si>
    <t>Bố trí trong chi cân đối NSĐP (nếu có)</t>
  </si>
  <si>
    <t>NSTW bổ sung có mục tiêu</t>
  </si>
  <si>
    <t>NSĐP</t>
  </si>
  <si>
    <t>NSTW hỗ trợ</t>
  </si>
  <si>
    <t>Tổng cộng</t>
  </si>
  <si>
    <t>Biểu 35</t>
  </si>
  <si>
    <t>Quyết định đầu tư được cấp có thẩm quyền giao kế hoạch các năm</t>
  </si>
  <si>
    <t>Trong đó: NSĐP</t>
  </si>
  <si>
    <t>Thu hồi các khoản vốn ứng trước</t>
  </si>
  <si>
    <t>Hệ thống thoát nước bản Tả Phìn 2, xã Tả Phìn</t>
  </si>
  <si>
    <t>806 ngày 21/5/2018</t>
  </si>
  <si>
    <t>Duy tu sửa chữa tuyến đường giao thông trung tâm xã Sín Chải</t>
  </si>
  <si>
    <t>Chính sách trẻ ăn trưa</t>
  </si>
  <si>
    <t>Hỗ trợ chi phí học tập, cấp bù miễn giảm học phí theo NĐ 86</t>
  </si>
  <si>
    <t>Chế độ học sinh bán trú theo NĐ 116</t>
  </si>
  <si>
    <t>Chính sách khuyết tật theo  42/2013/TTLT-BGDĐT-BLĐTBXH-BTC</t>
  </si>
  <si>
    <t>Chính sách 102/QĐ-TTG</t>
  </si>
  <si>
    <t xml:space="preserve">Chính sách người có uy tín </t>
  </si>
  <si>
    <t>Tặng quà nhân dịp tết nguyên đán, tết dân tộc thiểu số</t>
  </si>
  <si>
    <t xml:space="preserve">Thăm hỏi vật chất khi ốm đau </t>
  </si>
  <si>
    <t xml:space="preserve"> - Phòng chống Ma tuý</t>
  </si>
  <si>
    <t>Thực hiện chính sách an sinh xã hội theo nghị định 136/2013/nđ-cp, luật người cao tuổi và luật người khuyết tật</t>
  </si>
  <si>
    <t>n</t>
  </si>
  <si>
    <t>Chi khác</t>
  </si>
  <si>
    <t>Chi sự nghiệp y tế, dân số và gia đình</t>
  </si>
  <si>
    <t>Chi sự nghiệp văn hóa thông tin</t>
  </si>
  <si>
    <t>Chi sự nghiệp phát thanh, truyền hình</t>
  </si>
  <si>
    <t>Chi sự nghiệp thể dục thể thao</t>
  </si>
  <si>
    <t>Chi sự nghiệp bảo vệ môi trường</t>
  </si>
  <si>
    <t>Chi trả nợ lãi do chính quyền địa phương vay</t>
  </si>
  <si>
    <t>Chi tạo nguồn cải cách tiền lương</t>
  </si>
  <si>
    <t>Chi đầu tư thực hiện các chương trình mục tiêu, nhiệm vụ khác</t>
  </si>
  <si>
    <t>BỘI CHI NGÂN SÁCH ĐỊA PHƯƠNG/BỘI THU NGÂN SÁCH ĐỊA PHƯƠNG</t>
  </si>
  <si>
    <t>CHI CHUYỂN NGUỒN SANG NĂM SAU CỦA NGÂN SÁCH ĐỊA PHƯƠNG</t>
  </si>
  <si>
    <t>Đơn vị: Triệu đồng</t>
  </si>
  <si>
    <t>STT</t>
  </si>
  <si>
    <t>Nội dung</t>
  </si>
  <si>
    <t>Dự toán</t>
  </si>
  <si>
    <t>Ước thực hiện</t>
  </si>
  <si>
    <t>A</t>
  </si>
  <si>
    <t>B</t>
  </si>
  <si>
    <t>I</t>
  </si>
  <si>
    <t>Thu nội địa</t>
  </si>
  <si>
    <t>1.1</t>
  </si>
  <si>
    <t>II</t>
  </si>
  <si>
    <t>Thu từ dầu thô</t>
  </si>
  <si>
    <t>Tổng số</t>
  </si>
  <si>
    <t>III</t>
  </si>
  <si>
    <t>IV</t>
  </si>
  <si>
    <t>V</t>
  </si>
  <si>
    <t>Chi bảo đảm xã hội</t>
  </si>
  <si>
    <t>Chi đầu tư phát triển</t>
  </si>
  <si>
    <t>Chi thường xuyên</t>
  </si>
  <si>
    <t>TỔNG SỐ</t>
  </si>
  <si>
    <t>a</t>
  </si>
  <si>
    <t>b</t>
  </si>
  <si>
    <t>c</t>
  </si>
  <si>
    <t>Chi giáo dục - đào tạo và dạy nghề</t>
  </si>
  <si>
    <t>1.2</t>
  </si>
  <si>
    <t>C</t>
  </si>
  <si>
    <t>d</t>
  </si>
  <si>
    <t>Trong đó</t>
  </si>
  <si>
    <t>Sự nghiệp giao thông</t>
  </si>
  <si>
    <t>đ</t>
  </si>
  <si>
    <t>NỘI DUNG</t>
  </si>
  <si>
    <t>Trong đó:</t>
  </si>
  <si>
    <t>VI</t>
  </si>
  <si>
    <t>TT</t>
  </si>
  <si>
    <t>%</t>
  </si>
  <si>
    <t>- Số huyện thuộc Chương trình 30a</t>
  </si>
  <si>
    <t>- Số huyện đạt chuẩn nông thôn mới (lũy kế)</t>
  </si>
  <si>
    <t>Mẫu biểu số 28</t>
  </si>
  <si>
    <t>Đơn vị tính</t>
  </si>
  <si>
    <t>Chỉ tiêu kế hoạch giai đoạn 2016-2020</t>
  </si>
  <si>
    <t>Thực hiện năm 2017</t>
  </si>
  <si>
    <t>Diện tích</t>
  </si>
  <si>
    <t xml:space="preserve">Dân số </t>
  </si>
  <si>
    <t>- Dân số đô thị</t>
  </si>
  <si>
    <t>- Dân số đồng bằng</t>
  </si>
  <si>
    <t>- Dân số miền núi - vùng đồng bào dân tộc ở đồng bằng, vùng sâu</t>
  </si>
  <si>
    <t>- Dân số vùng cao - hải đảo</t>
  </si>
  <si>
    <t xml:space="preserve">- Tốc độ tăng dân số </t>
  </si>
  <si>
    <t>- Dân số trong độ tuổi đến trường từ 18 tuổi trở xuống</t>
  </si>
  <si>
    <t>- Dân số sinh sống ở các loại đô thị:</t>
  </si>
  <si>
    <t>+ Loại đặc biệt</t>
  </si>
  <si>
    <t>+ Loại I</t>
  </si>
  <si>
    <t>+ Loại II</t>
  </si>
  <si>
    <t>+ Loại III</t>
  </si>
  <si>
    <t>+ Loại IV</t>
  </si>
  <si>
    <t>+ Loại V</t>
  </si>
  <si>
    <t>- Dân số là người dân tộc thiểu số</t>
  </si>
  <si>
    <t>- Dân số nhập cư vãng lai</t>
  </si>
  <si>
    <t xml:space="preserve">Đơn vị hành chính cấp huyện </t>
  </si>
  <si>
    <t>- Số đô thị loại I (thuộc tỉnh)</t>
  </si>
  <si>
    <t>- Số đô thị loại II</t>
  </si>
  <si>
    <t>- Số đô thị loại III</t>
  </si>
  <si>
    <t>- Số đô thị loại IV</t>
  </si>
  <si>
    <t>- Số đô thị loại V</t>
  </si>
  <si>
    <t>- Số huyện đảo không có đơn vị hành chính xã</t>
  </si>
  <si>
    <t>'</t>
  </si>
  <si>
    <t xml:space="preserve">Đơn vị hành chính cấp xã </t>
  </si>
  <si>
    <t>- Xã biên giới</t>
  </si>
  <si>
    <t>+ Xã biên giới giáp Lào, Campuchia</t>
  </si>
  <si>
    <t>+ Xã biên giới giáp Trung Quốc</t>
  </si>
  <si>
    <t>- Xã đảo</t>
  </si>
  <si>
    <t>- Số xã thuộc huyện 30a</t>
  </si>
  <si>
    <t>- Số xã đạt chuẩn nông thôn mới (lũy kế)</t>
  </si>
  <si>
    <t xml:space="preserve">Số đơn vị hành chính mang tính đặc thù </t>
  </si>
  <si>
    <t xml:space="preserve">                - cấp huyện</t>
  </si>
  <si>
    <t>Tốc độ tăng tổng sản phẩm trong nước (GRDP)</t>
  </si>
  <si>
    <t>- Ngành nông lâm thủy sản</t>
  </si>
  <si>
    <t>Cơ cấu kinh tế (giá hiện hành)</t>
  </si>
  <si>
    <t>- Giá trị sản xuất ngành nông lâm thủy sản</t>
  </si>
  <si>
    <t>- Tỷ trọng giá trị sản xuất ngành công nghiệp xây dựng</t>
  </si>
  <si>
    <t xml:space="preserve"> + Phụ cấp khuyến nông xã (24BC)</t>
  </si>
  <si>
    <t>Nhà khách Uỷ ban (5 BC)</t>
  </si>
  <si>
    <t>Tổ chức phát triển quỹ đất (4 BC)</t>
  </si>
  <si>
    <t xml:space="preserve">Văn phòng HĐND&amp;UBND huyện (21 biên chế) </t>
  </si>
  <si>
    <t>Phòng Giáo dục và Đào tạo huyện (9 biên chế)</t>
  </si>
  <si>
    <t>Phòng Y tế  huyện (3 biên chế)</t>
  </si>
  <si>
    <t>Phòng Dân tộc huyện (4 biên chế)</t>
  </si>
  <si>
    <t>- Tỷ trọng giá trị sản xuất ngành nông lâm thủy sản</t>
  </si>
  <si>
    <t>- Tỷ trọng giá trị ngành dịch vụ</t>
  </si>
  <si>
    <t>Chỉ số giá tiêu dùng (CPI)</t>
  </si>
  <si>
    <t>Kim ngạch xuất nhập khẩu</t>
  </si>
  <si>
    <t>Số doanh nghiệp</t>
  </si>
  <si>
    <t>- Số vốn bình quân/doanh nghiệp</t>
  </si>
  <si>
    <t>- Số doanh nghiệp nhỏ và vừa</t>
  </si>
  <si>
    <t>Giải quyết việc làm</t>
  </si>
  <si>
    <t>Số lượt khách du lịch</t>
  </si>
  <si>
    <t xml:space="preserve">Chi khác </t>
  </si>
  <si>
    <t>Chương trình đảm bảo trật tự an toàn giao, phòng cháy chữa cháy, phòng chống tội phạm và ma tuý</t>
  </si>
  <si>
    <t>Chương trình mục tiêu phát triển lâm nghiệp bền vững</t>
  </si>
  <si>
    <t>Chương trình mục tiêu giáo dục nghề nghiệp - việc làm và an toàn lao động</t>
  </si>
  <si>
    <t>phòng chống ma tuý</t>
  </si>
  <si>
    <t>phòng chống tội phạm</t>
  </si>
  <si>
    <t>Số người nghèo theo chuẩn nghèo quốc gia</t>
  </si>
  <si>
    <t>lượt người</t>
  </si>
  <si>
    <t>- Số người nghèo theo tiêu chí thu nhập</t>
  </si>
  <si>
    <t>- Số người nghèo do thiếu hụt tiếp cận dịch vụ xã hội cơ bản</t>
  </si>
  <si>
    <t>Giáo dục, đào tạo</t>
  </si>
  <si>
    <t>+ Học sinh Dân tộc nội trú</t>
  </si>
  <si>
    <t>+ Học sinh bán trú</t>
  </si>
  <si>
    <t>+ Đối tượng được hưởng chính sách miễn, giảm học phí theo quy định</t>
  </si>
  <si>
    <t>- Số trường đại học, cao đẳng, dạy nghề công lập do địa phương quản lý</t>
  </si>
  <si>
    <t>Y tế:</t>
  </si>
  <si>
    <t>- Số đối tượng mua BHYT</t>
  </si>
  <si>
    <t>+ Trẻ em dưới 6 tuổi</t>
  </si>
  <si>
    <t>+ Đối tượng bảo trợ xã hội</t>
  </si>
  <si>
    <t>+ Người thuộc hộ nghèo</t>
  </si>
  <si>
    <t>+ Kinh phí mua thẻ khám chữa bệnh người nghèo, người dân tộc thiểu số, người sống vùng có điều kiện KTXH ĐBKK</t>
  </si>
  <si>
    <t>Triệu đồng</t>
  </si>
  <si>
    <t xml:space="preserve">+ Người hiến bộ phận cơ thể </t>
  </si>
  <si>
    <t>+ Học sinh, sinh viên</t>
  </si>
  <si>
    <t>+ Đối tượng cựu chiến binh, người trực tiếp tham gia kháng chiến chống Mỹ cứu nước, người tham gia chiến tranh bảo vệ Tổ quốc, làm nhiệm vụ quốc tế ở Campuchia, giúp bạn Lào, thanh niên xung phong</t>
  </si>
  <si>
    <t>+ Người thuộc hộ gia đình cận nghèo</t>
  </si>
  <si>
    <t>+ Người thuộc hộ gia đình nông, lâm, ngư nghiệp có mức sống trung bình</t>
  </si>
  <si>
    <t>Chỉ tiêu bảo đảm xã hội</t>
  </si>
  <si>
    <t>- Trung tâm bảo trợ xã hội</t>
  </si>
  <si>
    <t>- Số đối tượng sống tại trung tâm bảo trợ xã hội</t>
  </si>
  <si>
    <t xml:space="preserve">- Đối tượng cứu trợ xã hội không tập trung </t>
  </si>
  <si>
    <t xml:space="preserve">- Số gia đình liệt sỹ </t>
  </si>
  <si>
    <t xml:space="preserve">- Số gia đình có công với đất nước </t>
  </si>
  <si>
    <t xml:space="preserve">- Số hộ gia đình dân tộc thiểu số </t>
  </si>
  <si>
    <t>- Tổng số đối tượng bảo trợ xã hội được hưởng trợ cấp xã hội</t>
  </si>
  <si>
    <t>Văn hóa thông tin</t>
  </si>
  <si>
    <t>- Số đoàn nghệ thuật chuyên nghiệp</t>
  </si>
  <si>
    <t xml:space="preserve">- Số đội thông tin lưu động </t>
  </si>
  <si>
    <t>- Di sản văn hóa thế giới</t>
  </si>
  <si>
    <t>- Di sản văn hóa cấp quốc gia</t>
  </si>
  <si>
    <t>Phát thanh, truyền hình</t>
  </si>
  <si>
    <t>Số huyện ở miền núi-vùng đồng bào dân tộc ở đồng bằng, vùng sâu có trạm phát lại phát thanh truyền hình</t>
  </si>
  <si>
    <t>Thể dục thể thao</t>
  </si>
  <si>
    <t>- Số vận động viên đạt thành tích cao cấp quốc gia</t>
  </si>
  <si>
    <t>- Số vận động viên khuyết tật tham gia các giải do Trung ương tổ chức</t>
  </si>
  <si>
    <t xml:space="preserve">Trong đó: Chi cân đối ngân sách địa phương tính tỷ lệ điều tiết, số bổ sung cân đối từ ngân sách trung ương cho ngân sách địa phương </t>
  </si>
  <si>
    <t xml:space="preserve">Chi đầu tư phát triển còn lại </t>
  </si>
  <si>
    <t>Biểu số : 01</t>
  </si>
  <si>
    <t xml:space="preserve"> NỘI DUNG </t>
  </si>
  <si>
    <t>TỔNG THU NGÂN SÁCH  ĐỊA PHƯƠNG</t>
  </si>
  <si>
    <t>THU NGÂN SÁCH TRÊN ĐỊA BÀN</t>
  </si>
  <si>
    <t xml:space="preserve"> - Thu NS trên địa bàn huyện và xã hưởng</t>
  </si>
  <si>
    <t xml:space="preserve"> + Ngân sách  huyện hưởng  </t>
  </si>
  <si>
    <t xml:space="preserve"> + Ngân sách xã hưởng </t>
  </si>
  <si>
    <t xml:space="preserve"> - Ngân sách tỉnh hưởng </t>
  </si>
  <si>
    <t xml:space="preserve"> - Ngân sách trung ương hưởng</t>
  </si>
  <si>
    <t xml:space="preserve"> Thuế  ngoài quốc doanh </t>
  </si>
  <si>
    <t xml:space="preserve"> - Thuế GTGT huyện hưởng</t>
  </si>
  <si>
    <t xml:space="preserve"> - Thuế TN DN huyện hưởng</t>
  </si>
  <si>
    <t xml:space="preserve"> - Thuế tài nguyên huyện hưởng</t>
  </si>
  <si>
    <t xml:space="preserve"> Lệ phí trước bạ  </t>
  </si>
  <si>
    <t xml:space="preserve"> - Ngân sách huyện hưởng </t>
  </si>
  <si>
    <t xml:space="preserve"> - Ngân sách  xã  hưởng  </t>
  </si>
  <si>
    <t xml:space="preserve">  Thuế thu nhập cá nhân </t>
  </si>
  <si>
    <t xml:space="preserve"> - Ngân sách  huyện hưởng </t>
  </si>
  <si>
    <t xml:space="preserve"> - Ngân sách xã hưởng  </t>
  </si>
  <si>
    <t xml:space="preserve"> Thu tiền sử dụng đất  </t>
  </si>
  <si>
    <t xml:space="preserve"> Phí và lệ phí  </t>
  </si>
  <si>
    <t xml:space="preserve"> - Ngân sách Trung ương </t>
  </si>
  <si>
    <t>Thu cấp quyền khai thác khoán sản</t>
  </si>
  <si>
    <t xml:space="preserve"> Thu khác ngân sách  </t>
  </si>
  <si>
    <t xml:space="preserve"> - Ngân sách TW hưởng</t>
  </si>
  <si>
    <t xml:space="preserve"> - Ngân sách tỉnh hưởng  </t>
  </si>
  <si>
    <t xml:space="preserve"> - Ngân sách huyện hưởng  </t>
  </si>
  <si>
    <t>Thu hồi các khoản chi năm trước</t>
  </si>
  <si>
    <t xml:space="preserve"> - Ngân sách trung ương hưởng</t>
  </si>
  <si>
    <t xml:space="preserve"> - Ngân sách huyện hưởng</t>
  </si>
  <si>
    <t xml:space="preserve"> Thu bổ sung từ NS cấp trên  </t>
  </si>
  <si>
    <t xml:space="preserve"> - Bổ sung trợ cấp cân đối ngân sách</t>
  </si>
  <si>
    <t xml:space="preserve"> - Bổ sung các chương trình, mục tiêu quốc gia và dự án 
bằng nguồn vốn trong nước</t>
  </si>
  <si>
    <t xml:space="preserve"> - Bổ sung có mục tiêu bằng vốn trong nước để thực hiện 
các nhiệm vụ phát triển kinh tế xã hội và chính sách</t>
  </si>
  <si>
    <t>Thu chuyển nguồn năm trước</t>
  </si>
  <si>
    <t xml:space="preserve"> - Ngân sách huyện</t>
  </si>
  <si>
    <t xml:space="preserve"> - Ngân sách xã</t>
  </si>
  <si>
    <t>Thu kết dư ngân sách</t>
  </si>
  <si>
    <t xml:space="preserve"> - Thuế sử dụng đất phi nông nghiệp</t>
  </si>
  <si>
    <t>Đơn vị tính: Triệu đồng</t>
  </si>
  <si>
    <t>Năng lực TK</t>
  </si>
  <si>
    <t>Số QĐ (ngày, tháng năm)</t>
  </si>
  <si>
    <t>Tổng mức đầu tư</t>
  </si>
  <si>
    <t>Tổng tất cả các nguồn vốn</t>
  </si>
  <si>
    <t>Thanh toán nợ đọng XDCB</t>
  </si>
  <si>
    <t>Tổng (tất cả các nguồn vốn)</t>
  </si>
  <si>
    <t>Chương trình 30a</t>
  </si>
  <si>
    <t>I.1</t>
  </si>
  <si>
    <t>Mường Báng</t>
  </si>
  <si>
    <t>Trung Thu</t>
  </si>
  <si>
    <t>Mường Đun</t>
  </si>
  <si>
    <t xml:space="preserve">Chi đầu tư phát triển </t>
  </si>
  <si>
    <t>CHI CHI CỤC THUẾ HUYỆN</t>
  </si>
  <si>
    <t>PHÒNG TÀI CHÍNH KẾ HOẠCH</t>
  </si>
  <si>
    <t>THỦ TRƯỞNG ĐƠN VỊ</t>
  </si>
  <si>
    <t>DỰ TOÁN 
NĂM 2018</t>
  </si>
  <si>
    <t>UB Mặt trận Tổ quốc (6BC)</t>
  </si>
  <si>
    <t>Chi hỗ trợ</t>
  </si>
  <si>
    <t xml:space="preserve"> -</t>
  </si>
  <si>
    <t>Tỷ lệ so sánh năm 2019 với ước thực hiện năm 2018</t>
  </si>
  <si>
    <t>Tỷ lệ So sánh ước thực hiện với dự toán 2018</t>
  </si>
  <si>
    <t>Xá Nhè</t>
  </si>
  <si>
    <t>I.2</t>
  </si>
  <si>
    <t>SO VỚI CÙNG KỲ NĂM TRƯỚC</t>
  </si>
  <si>
    <t>Tỷ lệ so sánh cùng kỳ năm trước</t>
  </si>
  <si>
    <t xml:space="preserve"> - Bổ sung có mục tiêu bằng vốn trong nước để thực hiện 
các nhiệm vụ phát triển kinh tế xã hội </t>
  </si>
  <si>
    <t>Lao Xả Phình</t>
  </si>
  <si>
    <t>Tuyến Xá Nhè - Pàng Nhang - Sông A, xã Xá Nhè</t>
  </si>
  <si>
    <t>DỰ TOÁN 
 GIAO NĂM 2018</t>
  </si>
  <si>
    <t>DỰ TOÁN THU NGÂN SÁCH ĐỊA PHƯƠNG NĂM 2019</t>
  </si>
  <si>
    <t>Tuyến Páo Tỉnh Làng II - Tà Tâu, xã Tả Sìn Thàng</t>
  </si>
  <si>
    <t xml:space="preserve">Tuyến C3 đi Trung Thu tại km6 Thôn 2 rẽ Háng Pàng  </t>
  </si>
  <si>
    <t>Trạm y tế xã Sính Phình</t>
  </si>
  <si>
    <t>Sính Phình</t>
  </si>
  <si>
    <t>Nhà Văn hóa xã Tủa Thàng</t>
  </si>
  <si>
    <t>Tủa Thàng</t>
  </si>
  <si>
    <t>Nhà Văn hóa xã Tả Phìn</t>
  </si>
  <si>
    <t>Tả Phìn</t>
  </si>
  <si>
    <t>Nhà Văn hóa xã Lao Xả Phình</t>
  </si>
  <si>
    <t>Nhà Văn hóa xã Sín Chải</t>
  </si>
  <si>
    <t>Sín Chải</t>
  </si>
  <si>
    <t>Nhà lớp học mầm non thôn Pàng Nhang, xã Xá Nhè</t>
  </si>
  <si>
    <t>Nhà văn hóa xã Sính Phình</t>
  </si>
  <si>
    <t>Tả Sìn Thàng</t>
  </si>
  <si>
    <t>2017-2018</t>
  </si>
  <si>
    <t>Thị trấn</t>
  </si>
  <si>
    <t>2018-2019</t>
  </si>
  <si>
    <t>Nhà lớp học mầm non thôn Tủa Chử Phùng, xã Tả Phìn</t>
  </si>
  <si>
    <t>Đường nội thôn Pàng Dề B, xã Xá Nhè</t>
  </si>
  <si>
    <t>Nhà Văn hóa bản Kép, xã Mường Đun</t>
  </si>
  <si>
    <t>Nhà Văn hóa Bản Loọng Phạ, xã Mường Đun</t>
  </si>
  <si>
    <t>Nhà văn hóa thôn Tủa Thàng</t>
  </si>
  <si>
    <t>Nhà Văn Hóa thôn Phi Giàng 2, xã Tủa Thàng</t>
  </si>
  <si>
    <t>Nhà Văn hóa thôn Tù Cha, xã Huổi Só</t>
  </si>
  <si>
    <t>Đường nội thôn Khó Sầu đến Háng Sung 2, xã Tả Phìn</t>
  </si>
  <si>
    <t>Nhà Văn hóa thôn Trung Gầu Bua, xã Sín Chải</t>
  </si>
  <si>
    <t>2016-2017</t>
  </si>
  <si>
    <t>Nhà Văn hóa đội 10, xã Mường Báng</t>
  </si>
  <si>
    <t>Nhà Văn hóa Đội 6, xã Mường Báng</t>
  </si>
  <si>
    <t>Đường giao thông nội thôn Tủa Thàng</t>
  </si>
  <si>
    <t>Đường ngõ xóm từ nhà ông Cở đến nhà ông Sinh, xã Huổi Só</t>
  </si>
  <si>
    <t>Nhà Văn hóa thôn Háng Sung 1, xã Tả Phìn</t>
  </si>
  <si>
    <t>Nhà Văn hóa thôn Páo Tỉnh Làng 1, xã Tả Sìn Thàng</t>
  </si>
  <si>
    <t>Đường trục thôn Lồng Sử Phình từ ngã 3 Cáng Chua 1 đến nhà trưởng thôn, xã Sín Chải</t>
  </si>
  <si>
    <t>Xã Sín Chải</t>
  </si>
  <si>
    <t>Xã Mường Đun</t>
  </si>
  <si>
    <t>367 ngày 29/3/2016</t>
  </si>
  <si>
    <t>Thu từ ngân sách cấp dưới</t>
  </si>
  <si>
    <t>THU NGÂN SÁCH  ĐP HƯỞNG THEO PHÂN CẤP</t>
  </si>
  <si>
    <t>DỰ TOÁN 2019</t>
  </si>
  <si>
    <t>ƯỚC THỰC HIỆN NĂM 2018</t>
  </si>
  <si>
    <t>Kết dư ngân sách</t>
  </si>
  <si>
    <t>Kinh phí  hỗ trợ hộ nghèo, hộ chính sách tiền điện</t>
  </si>
  <si>
    <t>Ngân sách xã</t>
  </si>
  <si>
    <t>Chương trình đảm bảo trật tự ATGT, phòng cháy chữa cháy, phòng chống tội phạm và ma tuý</t>
  </si>
  <si>
    <t xml:space="preserve"> - Phòng chống Tội phạm</t>
  </si>
  <si>
    <t>Kinh phí thực hiện đảm bảo trật tự an toàn giao thông</t>
  </si>
  <si>
    <t xml:space="preserve">Chương trình mục tiêu phát triển lâm nghiệp bền vững </t>
  </si>
  <si>
    <t>Ghi thu, chi vốn viện trợ</t>
  </si>
  <si>
    <t>Chương trình mục tiêu hỗ trợ phát triển hệ thống trợ giúp xã hội và chương trình mục tiêu giáo dục dạy nghề - việc làm và an toàn lao động</t>
  </si>
  <si>
    <t>Chương trình mục tiêu trợ giúp xã hội</t>
  </si>
  <si>
    <t xml:space="preserve"> Dự án phát triển hệ thống bảo vệ trẻ em</t>
  </si>
  <si>
    <t>Chương trình mục tiêu Giáo dục nghề nghiệp - việc làm và an toàn lao động</t>
  </si>
  <si>
    <t xml:space="preserve"> Dự án phát triển thị trường lao động và việc làm</t>
  </si>
  <si>
    <t>Kinh phí người có công cách mạng</t>
  </si>
  <si>
    <t xml:space="preserve"> - Chăm sóc , giao khoán, bảo vệ rừng</t>
  </si>
  <si>
    <t xml:space="preserve"> - Hỗ trợ đầu tư cơ sở hạ tầng (duy tu, bảo dưỡng CSHT)</t>
  </si>
  <si>
    <t>Tỷ lệ so sánh thực hiện 6 tháng so với dự toán giao</t>
  </si>
  <si>
    <t>Biểu số: 02</t>
  </si>
  <si>
    <t>BIỂU CHI NGÂN SÁCH ĐỊA PHƯƠNG 6 THÁNG ĐẦU NĂM 2018</t>
  </si>
  <si>
    <t>(kèm theo Báo cáo số          /BC-UBND ngày         tháng         năm 2018 của UBND huyện Tủa Chùa)</t>
  </si>
  <si>
    <t>DỰ TOÁN NGÂN SÁCH HUYỆN</t>
  </si>
  <si>
    <t>DỰ TOÁN GIAO BỔ SUNG</t>
  </si>
  <si>
    <t>THỰC HIỆN ĐẾN 15/5/2018</t>
  </si>
  <si>
    <t>ƯỚC THỰC HIỆN CẢ NĂM</t>
  </si>
  <si>
    <t>TỶ LỆ TH/DT</t>
  </si>
  <si>
    <t>THỰC HIỆN ĐẾN 28/02/2018</t>
  </si>
  <si>
    <t>Tỷ lệ TH/TH 5 tháng đầu năm 2017</t>
  </si>
  <si>
    <t>Tỷ lệ thực hiện so với cùng kỳ năm 2017</t>
  </si>
  <si>
    <t>TỶ LỆ ƯỚC TH/DT</t>
  </si>
  <si>
    <t>LŨY KẾ TỪ ĐẦU NĂM</t>
  </si>
  <si>
    <t>Đầu tư từ nguồn thu cấp quyền sử dụng đất</t>
  </si>
  <si>
    <t>Sự nghiệp kinh tế</t>
  </si>
  <si>
    <t xml:space="preserve"> 1.1</t>
  </si>
  <si>
    <t>Sự nghiệp nông nghiệp</t>
  </si>
  <si>
    <t xml:space="preserve"> - Trạm Khuyến nông - Khuyến ngư </t>
  </si>
  <si>
    <t xml:space="preserve"> - Hỗ trợ sản xuất nông nghiệp</t>
  </si>
  <si>
    <t xml:space="preserve"> - Kinh phí bảo vệ và phát triển đất trồng lúa</t>
  </si>
  <si>
    <t xml:space="preserve"> 1.2</t>
  </si>
  <si>
    <t xml:space="preserve"> 1.3</t>
  </si>
  <si>
    <t xml:space="preserve"> 1.4</t>
  </si>
  <si>
    <t xml:space="preserve"> - Kiến thiết thị chính</t>
  </si>
  <si>
    <t xml:space="preserve"> - Văn phòng đăng ký quyền sử dụng đất</t>
  </si>
  <si>
    <t xml:space="preserve"> - Nhà khách UBND huyện</t>
  </si>
  <si>
    <t xml:space="preserve"> - Tổ chức PTQĐ</t>
  </si>
  <si>
    <t xml:space="preserve">Sự nghiệp giáo dục </t>
  </si>
  <si>
    <t>Sự nghiệp đào tạo</t>
  </si>
  <si>
    <t xml:space="preserve"> - Trung tâm bồi dưỡng chính trị</t>
  </si>
  <si>
    <t xml:space="preserve"> - Trung tâm dạy nghề</t>
  </si>
  <si>
    <t xml:space="preserve">Sự nghiệp VH-TT huyện </t>
  </si>
  <si>
    <t xml:space="preserve">Sự nghiệp TDTT </t>
  </si>
  <si>
    <t xml:space="preserve">Sự nghiệp xã hội </t>
  </si>
  <si>
    <t xml:space="preserve">Sự nghiệp Truyền thanh - Truyền hình </t>
  </si>
  <si>
    <t>Ban chỉ đạo 160</t>
  </si>
  <si>
    <t>Khối Đoàn thể</t>
  </si>
  <si>
    <t xml:space="preserve">An ninh - Quốc phòng </t>
  </si>
  <si>
    <t>Ban Quản lý dự án huyện</t>
  </si>
  <si>
    <t xml:space="preserve">Phòng giao dịch Ngân hàng CSXH huyện </t>
  </si>
  <si>
    <t>Chi cục Thi hành án huyện</t>
  </si>
  <si>
    <t xml:space="preserve">Chi khác ngân sách địa phương </t>
  </si>
  <si>
    <t>Chi bổ sung cân đối ngân sách xã</t>
  </si>
  <si>
    <t xml:space="preserve"> Vốn đầu tư</t>
  </si>
  <si>
    <t>1.1.1</t>
  </si>
  <si>
    <t xml:space="preserve"> + Đầu tư cơ sở hạ tầng</t>
  </si>
  <si>
    <t xml:space="preserve"> + Hỗ trợ sản xuất tạo việc làm tăng thu nhập</t>
  </si>
  <si>
    <t>1.1.2</t>
  </si>
  <si>
    <t xml:space="preserve"> Vốn sự nghiệp</t>
  </si>
  <si>
    <t>Dự án 1: Chương trình 30a</t>
  </si>
  <si>
    <t xml:space="preserve"> - Tiểu dự án 1: Hỗ trợ đầu tư cơ sở hạ tầng các huyện nghèo (duy tu, bảo dưỡng)</t>
  </si>
  <si>
    <t xml:space="preserve">  - Tiểu dự án 3: Hỗ trợ phát triển sản xuất, đa dạng hóa sinh kế và nhân rộng mô hình giảm nghèo</t>
  </si>
  <si>
    <t xml:space="preserve"> - Tiểu dự án 4: Hỗ trợ lao động thuộc hộ nghèo, hộ cận nghèo, hộ đồng bào DTTS đi làm việc có thời hạn ở nước ngoài</t>
  </si>
  <si>
    <t>Kè bảo vệ đất sản xuất khu vực đội 7, xã Mường Báng</t>
  </si>
  <si>
    <t>Sửa chữa Trụ sở Đảng ủy, HĐND &amp; UBND xã Mường Báng</t>
  </si>
  <si>
    <t>Hệ thống điện trang trí từ ngã ba trụ sở liên cơ Phòng Tài nguyện và Môi trường - Phòng Kinh tế và Hạ tầng lên trụ sở Huyện Ủy, trụ sở HĐND&amp;UBND huyện</t>
  </si>
  <si>
    <t>Lát vỉa hè từ nhà văn hóa tổ dân phố Đồng Tâm đến ngã ba chợ (nhà ông Thiện)</t>
  </si>
  <si>
    <t>Trụ sở bộ phận làm việc một cửa UBND xã Sín Chải</t>
  </si>
  <si>
    <t>Cải tạo, sửa chữa, nâng cấp một số hạng mục trụ sở HĐND &amp; UBND huyện</t>
  </si>
  <si>
    <t>Kè chống sạt lở cánh đồng Tà Là Cáo, xã Sính Phình</t>
  </si>
  <si>
    <t>Nâng cấp tuyến đường Trung tâm xã Sính Phình đi Đề Dê Hu</t>
  </si>
  <si>
    <t>Nâng cấp tuyến đường từ thôn Dê Dàng 1, xã Sính Phình đến ngã ba giao tuyến C3 đi Trung Thu</t>
  </si>
  <si>
    <t>Nâng cấp tuyến đường giao thông từ đội 7 sang đội 5, đội 6 xã Mường Báng</t>
  </si>
  <si>
    <t>Nâng cấp tuyến đường nội thôn Lọng Phạ (trụ sở xã mới), xã Mường Đun</t>
  </si>
  <si>
    <t>Nâng cấp, sửa chữa một số hạng mục phụ trợ + phòng lễ tân Nhà khách UBND huyện</t>
  </si>
  <si>
    <t>Lát vỉa hè một số tuyến đường còn lại trên địa bàn thị trấn Tủa Chùa</t>
  </si>
  <si>
    <t>Nâng cấp tuyến đường bê tông từ nhà ông Thế đến nhà ông Sơn Phương, tổ dân phố Thắng Lợi 1, thị trấn Tủa Chùa</t>
  </si>
  <si>
    <t>Nâng cấp tuyến đường từ nhà ông Tiễn Châm đến nhà ông Thào Chờ Dí và nhánh từ nhà bà Lành đến nhà bà Ái Khày, tổ dân phố Thành Công, thị trấn Tủa Chùa</t>
  </si>
  <si>
    <t>Khắc phục hậu quả thiên tai tuyến đường Sín Chải - Huổi Loóng (Huổi Só), huyện Tủa Chùa</t>
  </si>
  <si>
    <t>Sửa chữa, khắc phục hậu quả thiên tai công trình thủy lợi Đề Bâu, xã Trung Thu</t>
  </si>
  <si>
    <t>1067 ngày 30/10/2017</t>
  </si>
  <si>
    <t>1068 ngày 30/10/2017</t>
  </si>
  <si>
    <t>1069 ngày 30/10/2017</t>
  </si>
  <si>
    <t>1072 ngày 30/10/2017</t>
  </si>
  <si>
    <t>1071 ngày 30/10/2017</t>
  </si>
  <si>
    <t>Khởi công mới năm 2019</t>
  </si>
  <si>
    <t>2019-2020</t>
  </si>
  <si>
    <t>Nâng cấp, sửa chữa thủy lợi Bản Hột, xã Mường Đun</t>
  </si>
  <si>
    <t>Bê tông hóa đường nội thôn Háng Pàng tuyến nhà Bà Hoa - Nhà ông Chu, xã Huổi Só</t>
  </si>
  <si>
    <t>Đường giao thông Đở Khó Pàng đi Tà Mông Sua, xã Sín Chải</t>
  </si>
  <si>
    <t>Nhà Văn hóa thôn Pá Ỏ, xã Mường Đun</t>
  </si>
  <si>
    <t>Đường dân sinh thôn Cáng Chua, xã Sín Chải</t>
  </si>
  <si>
    <t>Đường từ nhà ông Nhè thôn Sông Ún đến thôn Háng Tơ Mang 1,2, xã Mường Báng</t>
  </si>
  <si>
    <t>Đường từ ngã ba Co Kham vào thôn Háng Trở 2, xã Mường Báng</t>
  </si>
  <si>
    <t>Đường vào trạm Y tế, Trụ sở mới UBND xã Mường Đun</t>
  </si>
  <si>
    <t>Tuyến đường từ thôn Trung Thu - đến thôn Nhè Sua Háng, xã Trung Thu</t>
  </si>
  <si>
    <t>Tuyến đường từ trung tâm xã đến thôn 1, xã Lao Xả Phình</t>
  </si>
  <si>
    <t>Thủy lợi Trung Màng Mủ, xã Tả Sìn Thàng</t>
  </si>
  <si>
    <t>Nhà Văn hóa thôn Tà Dê, xã Tả Phìn</t>
  </si>
  <si>
    <t>Nối tiếp từ trường Mầm non Bản Hẹ 1 đến ngã 3 đường nhựa Tà Huổi Tráng</t>
  </si>
  <si>
    <t>Thuỷ lợi đầu nguồn Háng Chu - Nhà ông Hạng A Giao (Đề Tâu), xã Mường Đun</t>
  </si>
  <si>
    <t>Thủy nông nối Mương Mẹo - Thẳm Đán (Bản Kép), xã Mường Đun</t>
  </si>
  <si>
    <t>Đường giao thông từ ngã ba Làng Vùa 2 đi Làng Vùa 1, xã Tủa Thàng</t>
  </si>
  <si>
    <t>Bê tông hoá đường nội thôn thôn 2 từ nhà ông Dánh đến nhà ông Lý A Binh, xã Huổi Só</t>
  </si>
  <si>
    <t>Tuyến đường từ ngã ba C3 thôn Ta Pao đến thôn 1, xã Sính Phình</t>
  </si>
  <si>
    <t>Nhà văn hoá thôn Háng Khúa, xã Sín Chải</t>
  </si>
  <si>
    <t>Đập đầu mối số 2 thủy lợi Pàng Nhang, xã Xá Nhè</t>
  </si>
  <si>
    <t>Đường nội thôn Bản Đun từ nhà ông Viên đến nhà ông Thín</t>
  </si>
  <si>
    <t>Đường ngõ xóm từ nhà ông Cỏng đến nhà ông Cở, xã Huổi Só</t>
  </si>
  <si>
    <t>Đường trục thôn từ thôn Tà Chinh đến thôn Háng Súa, xã Tả Sìn Thàng</t>
  </si>
  <si>
    <t>Đường Khó Trò Tổng đến Ngã ba nhà ông Giàng A Thanh thôn Sín Chải, xã Sín Chải</t>
  </si>
  <si>
    <t>Đường nội thôn Chế Cu Nhe, xã Sín Chải</t>
  </si>
  <si>
    <t>Đường trục thôn từ trường tiểu học Sín Sủ 1 đến cuối bản Sín Sủ, xã Xá Nhè</t>
  </si>
  <si>
    <t>Đường từ quán ông Tủa thôn Sông A 2 lên nhà ông Chính thôn Sông A 1, xã Xá Nhè</t>
  </si>
  <si>
    <t>DỰ TOÁN THU NGÂN SÁCH ĐỊA PHƯƠNG NĂM 2020</t>
  </si>
  <si>
    <t>(kèm theo Báo cáo số:           /BC-UBND ngày      tháng 7 năm 2019 của UBND huyện Tủa Chùa)</t>
  </si>
  <si>
    <t>DỰ TOÁN 
 GIAO NĂM 2019</t>
  </si>
  <si>
    <t>THỰC HIỆN 30 THÁNG 6 NĂM 2019</t>
  </si>
  <si>
    <t>ƯỚC THỰC HIỆN CẢ NĂM 2019</t>
  </si>
  <si>
    <t>Tỷ lệ So sánh ước thực hiện với dự toán 2019</t>
  </si>
  <si>
    <t>Dự toán năm 2020</t>
  </si>
  <si>
    <t>Chi bổ sung ngân sách cấp dưới</t>
  </si>
  <si>
    <t>Chi nộp trả ngân sách cấp trên</t>
  </si>
  <si>
    <t>(kèm theo Báo cáo số:           /BC-UBND ngày            tháng 7 năm 2019 của UBND huyện Tủa Chùa)</t>
  </si>
  <si>
    <t>DỰ KIẾN NGUỒN THỰC HIỆN CẢI CÁCH TIỀN LƯƠNG  NĂM 2018 CÒN DƯ ĐỂ THỰC HIỆN CÁC CHÍNH SÁCH AN SINH XÃ HỘI DO TRUNG ƯƠNG BAN HÀNH NĂM 2020</t>
  </si>
  <si>
    <t>NHU CẦU VÀ NGUỒN THỰC HIỆN CCTL NĂM 2019</t>
  </si>
  <si>
    <t>NGUỒN THỰC HIỆN CẢI CÁCH TIỀN LƯƠNG NĂM 2019</t>
  </si>
  <si>
    <t>50%  tăng thu NSĐP (không kể thu tiền sử dụng đất, xổ số kiến thiết) thực hiện 2018 so dự toán tỉnh giao năm 2019</t>
  </si>
  <si>
    <t>Số tiết kiệm 10% chi thường xuyên dự toán năm 2019</t>
  </si>
  <si>
    <t>Số thu được huy động từ nguồn để lại đơn vị năm 2019:</t>
  </si>
  <si>
    <t>Nguồn thực hiện cải cách tiền lương năm 2018 chưa sử dụng hết chuyển sang 2019</t>
  </si>
  <si>
    <t>TỔNG NHU CẦU NĂM 2019</t>
  </si>
  <si>
    <t>Năm 2020</t>
  </si>
  <si>
    <t>Dự án 2: Chương trình 135</t>
  </si>
  <si>
    <t xml:space="preserve"> - Tiểu dự án 1: Hỗ trợ đầu tư cơ sở hạ tầng cho các xã ĐBKK, xã biên giới; các thôn bản ĐBKK (duy tu, bảo dưỡng)</t>
  </si>
  <si>
    <t xml:space="preserve"> - Tiểu dự án 2: Hỗ trợ phát triển sản xuất, đa dạng hóa sinh kế và nhân rộng mô hình giảm nghèo các xã ĐBKK, xã biên giới; các thôn, bản ĐBKK</t>
  </si>
  <si>
    <t>1.2.3</t>
  </si>
  <si>
    <t>Dự án 4: Truyền thông và giảm nghèo về thông tin</t>
  </si>
  <si>
    <t>1.2.4</t>
  </si>
  <si>
    <t>Dự án 5: Nâng cao năng lực và giám sát, đánh giá thực hiện Chương trình</t>
  </si>
  <si>
    <t>Giám sát, đánh giá</t>
  </si>
  <si>
    <t>Chương trình xây dựng nông thôn mới</t>
  </si>
  <si>
    <t>Vốn đầu tư</t>
  </si>
  <si>
    <t>Vốn sự nghiệp</t>
  </si>
  <si>
    <t xml:space="preserve"> - Hỗ trợ trực tiếp cho các xã, bao gồm: Kinh phí hỗ trợ dự án phát triển sản xuất liên kết theo chuỗi giá trị, gắn sản xuất với tiêu thụ sản phẩm; chi hỗ trợ xây dựng nhà tiêu hợp vệ sinh; chi hỗ trợ xây dựng chuồng trại chăn nuôi hợp vệ sinh; chi hỗ trợ xây dựng hố rác để tự phân loại và xử lý chất thải rắn tại gia đình</t>
  </si>
  <si>
    <t xml:space="preserve"> - Chi phí Ban chỉ đạo</t>
  </si>
  <si>
    <t xml:space="preserve"> - Hỗ trợ đào tạo nghề</t>
  </si>
  <si>
    <t>Dự án Giảm nghèo các tỉnh miền núi phía Bắc giai đoạn 2 (2010-2015) tỉnh Điện Biên</t>
  </si>
  <si>
    <t>CHI THỰC HIỆN MỤC TIÊU, NHIỆM VỤ KHÁC</t>
  </si>
  <si>
    <t>Chương trình mục tiêu tái cơ cấu kinh tế nông nghiệp và phòng chống giảm nhẹ thiên tai, ổn định đời sống dân cư</t>
  </si>
  <si>
    <t>CT mục tiêu tái cơ cấu kinh tế nông nghiệp và phòng chống giảm nhẹ thiên tai, ổn định đời sống dân cư (Chương trình theo QĐ 1776)</t>
  </si>
  <si>
    <t>Bổ sung mục tiêu (vốn sự nghiệp)</t>
  </si>
  <si>
    <t xml:space="preserve"> -  Phòng chống ma tuý</t>
  </si>
  <si>
    <t>Biểu số 94/CK-NSNN</t>
  </si>
  <si>
    <t>ƯỚC THỰC HIỆN THU NGÂN SÁCH NHÀ NƯỚC 06 THÁNG NĂM 2018</t>
  </si>
  <si>
    <t xml:space="preserve"> (Kèm theo Quyết định số       /QĐ-UBND ngày 18/8/2017 của UBND huyện Tuần Giáo)</t>
  </si>
  <si>
    <t xml:space="preserve">Dự toán năm </t>
  </si>
  <si>
    <t>Ước thực hiện 6 tháng năm 2017</t>
  </si>
  <si>
    <t>So sánh ước thực hiện với (%)</t>
  </si>
  <si>
    <t>Dự toán năm</t>
  </si>
  <si>
    <t>Cùng kỳ năm trước</t>
  </si>
  <si>
    <t>4=2/1</t>
  </si>
  <si>
    <t>5=2/3</t>
  </si>
  <si>
    <t>TỔNG THU NSNN TRÊN ĐỊA BÀN</t>
  </si>
  <si>
    <t>Thu từ khu vực doanh nghiệp nhà nước</t>
  </si>
  <si>
    <t>Thu từ khu vực doanh nghiệp có vốn đầu tư nước ngoài</t>
  </si>
  <si>
    <t>Thu từ khu vực kinh tế ngoài quốc doanh</t>
  </si>
  <si>
    <t>Thuế thu nhập cá nhân</t>
  </si>
  <si>
    <t>Thuế bảo vệ môi trường</t>
  </si>
  <si>
    <t>Lệ phí trước bạ</t>
  </si>
  <si>
    <t>Thu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</si>
  <si>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</si>
  <si>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</si>
  <si>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</si>
  <si>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</si>
  <si>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</si>
  <si>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</si>
  <si>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</si>
  <si>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cấp quyền khai thác khoáng sản</t>
  </si>
  <si>
    <t>Thu từ hoạt động xổ số kiến thiết</t>
  </si>
  <si>
    <t>Thu khác ngân sách</t>
  </si>
  <si>
    <t>Thu phạt ATGT</t>
  </si>
  <si>
    <t>Các khoản khác</t>
  </si>
  <si>
    <t>Thu từ quỹ đất công ích, hoa lợi công sản khác</t>
  </si>
  <si>
    <t>Thu viện trợ</t>
  </si>
  <si>
    <t xml:space="preserve">THU NGÂN SÁCH HUYỆN ĐƯỢC HƯỞNG THEO PHÂN CẤP </t>
  </si>
  <si>
    <t>Từ các khoản thu phân chia</t>
  </si>
  <si>
    <t>Các khoản thu ngân sách huyện được hưởng 100%</t>
  </si>
  <si>
    <t>Dự toán HĐND huyện giao</t>
  </si>
  <si>
    <t>4=3/1</t>
  </si>
  <si>
    <t>5=3/2</t>
  </si>
  <si>
    <t>THU NGÂN SÁCH ĐỊA PHƯƠNG</t>
  </si>
  <si>
    <t>so tỉnh giao</t>
  </si>
  <si>
    <t>THU NSNN TRÊN ĐỊA BÀN</t>
  </si>
  <si>
    <t>*</t>
  </si>
  <si>
    <t>Thu ngân sách huyện, xã hưởng</t>
  </si>
  <si>
    <t>Thu từ khu vực CTN, dịch vụ ngoài quốc doanh</t>
  </si>
  <si>
    <t>Thuế giá trị gia tăng</t>
  </si>
  <si>
    <t>Thuế thu nhập doanh nghiệp</t>
  </si>
  <si>
    <t>Thuế tài nguyên</t>
  </si>
  <si>
    <t>Loại trừ đất</t>
  </si>
  <si>
    <t>Thu cấp quyền SD đất</t>
  </si>
  <si>
    <t>Thu từ đầu giá đất</t>
  </si>
  <si>
    <t>Thu ngân sách trung ương hưởng</t>
  </si>
  <si>
    <t>Thu ngân sách tỉnh hưởng</t>
  </si>
  <si>
    <t>Bổ sung cân đối</t>
  </si>
  <si>
    <t>Bổ sung có mục tiêu</t>
  </si>
  <si>
    <t>Thu chuyển nguồn ngân sách</t>
  </si>
  <si>
    <t>Thu ngân sách cấp dưới nộp trả</t>
  </si>
  <si>
    <t>Chi sự nghiệp môi trường</t>
  </si>
  <si>
    <t>TỔNG CHI NGÂN SÁCH ĐP</t>
  </si>
  <si>
    <t>CHI CÂN ĐỐI NGÂN SÁCH</t>
  </si>
  <si>
    <t>CHI ĐẦU TƯ PHÁT TRIỂN</t>
  </si>
  <si>
    <t>Đầu tư XDCB từ nguồn thu SD đất</t>
  </si>
  <si>
    <t>2.1</t>
  </si>
  <si>
    <t>2.2</t>
  </si>
  <si>
    <t>2.3</t>
  </si>
  <si>
    <t>Chi sự nghiệp giáo dục - đào tạo và dạy nghề</t>
  </si>
  <si>
    <t>2.4</t>
  </si>
  <si>
    <t>Chi sự nghiệp khoa học và công nghệ</t>
  </si>
  <si>
    <t>2.5</t>
  </si>
  <si>
    <t>2.6</t>
  </si>
  <si>
    <t>2.7</t>
  </si>
  <si>
    <t>2.8</t>
  </si>
  <si>
    <t>2.9</t>
  </si>
  <si>
    <t>Chi sự nghiệp kinh tế</t>
  </si>
  <si>
    <t>2.10</t>
  </si>
  <si>
    <t>Chi quản lý hành chính</t>
  </si>
  <si>
    <t>Chi đảm bảo xã hội</t>
  </si>
  <si>
    <t>Chi tạo nguồn CCTL</t>
  </si>
  <si>
    <t>CHI CHƯƠNG TRÌNH MỤC TIÊU QUỐC GIA</t>
  </si>
  <si>
    <t>CHƯƠNG TRÌNH GIẢM NGHÈO BỀN VỮNG</t>
  </si>
  <si>
    <t>VỐN ĐẦU TƯ</t>
  </si>
  <si>
    <t>Đầu tư cơ sở hạ tầng</t>
  </si>
  <si>
    <t>VỐN SỰ NGHIỆP</t>
  </si>
  <si>
    <t>Tiểu dự án 1: Hỗ trợ đầu tư cơ sở hạ tầng các huyện nghèo (duy tu, bảo dưỡng)</t>
  </si>
  <si>
    <t>Tiểu dự án 3: Hỗ trợ phát triển sản xuất, đa dạng hóa sinh kế và nhân rộng mô hình giảm nghèo</t>
  </si>
  <si>
    <t>Tiểu dự án 4: Hỗ trợ lao động thuộc hộ nghèo, hộ cận nghèo, hộ đồng bào DTTS đi làm việc có thời hạn ở nước ngoài</t>
  </si>
  <si>
    <t xml:space="preserve"> Tiểu dự án 1: Hỗ trợ đầu tư cơ sở hạ tầng cho các xã ĐBKK, xã biên giới; các thôn bản ĐBKK (duy tu, bảo dưỡng)</t>
  </si>
  <si>
    <t>Tiểu dự án 2: Hỗ trợ phát triển sản xuất, đa dạng hóa sinh kế và nhân rộng mô hình giảm nghèo các xã ĐBKK, xã biên giới; các thôn, bản ĐBKK</t>
  </si>
  <si>
    <t>CHƯƠNG TRÌNH XÂY DỰNG NÔNG THÔN MỚI</t>
  </si>
  <si>
    <t>Hỗ trợ trực tiếp cho các xã, bao gồm: Kinh phí hỗ trợ dự án phát triển sản xuất liên kết theo chuỗi giá trị, gắn sản xuất với tiêu thụ sản phẩm; chi hỗ trợ xây dựng nhà tiêu hợp vệ sinh; chi hỗ trợ xây dựng chuồng trại chăn nuôi hợp vệ sinh; chi hỗ trợ xây dựng hố rác để tự phân loại và xử lý chất thải rắn tại gia đình</t>
  </si>
  <si>
    <t>Chi phí Ban chỉ đạo</t>
  </si>
  <si>
    <t>BỔ SUNG MỤC TIÊU (VỐN ĐẦU TƯ)</t>
  </si>
  <si>
    <t>BỔ SUNG MỤC TIÊU (VỐN SỰ NGHIỆP)</t>
  </si>
  <si>
    <t>XDCB bằng vốn trong nước</t>
  </si>
  <si>
    <t>Chi chuyển nguồn</t>
  </si>
  <si>
    <t>CHI BỔ SUNG NGÂN SÁCH CẤP DƯỚI</t>
  </si>
  <si>
    <t>CHI NỘP TRẢ NGÂN SÁCH CẤP TRÊN</t>
  </si>
  <si>
    <t>Dự án 1: chương trình 30a</t>
  </si>
  <si>
    <t>Dự án 2: chương trình 135</t>
  </si>
  <si>
    <t>Dự án 4: truyền thông và giảm nghèo về thông tin</t>
  </si>
  <si>
    <t>Dự án 5: nâng cao năng lực và giám sát, đánh giá thực hiện chương trình</t>
  </si>
  <si>
    <t xml:space="preserve"> - Phòng chống tội phạm</t>
  </si>
  <si>
    <t xml:space="preserve"> +</t>
  </si>
  <si>
    <t>THỰC HIỆN ĐẾN NGÀY 30/6/2018</t>
  </si>
  <si>
    <t>TỶ LỆ ƯỚC THỰC HIỆN /DT</t>
  </si>
  <si>
    <t xml:space="preserve"> - Kinh phí hỗ trợ chính sách thực hiện theo Nghị định số 86</t>
  </si>
  <si>
    <t xml:space="preserve"> - Kinh phí hỗ trợ học sinh bán trú, trường PTDT bán trú theo Nghị định số 116/2016/NĐ-CP</t>
  </si>
  <si>
    <t>Trung Giáo dục nghề nghiệp - Giáo dục thường xuyên huyện (18bc)</t>
  </si>
  <si>
    <t>(kèm theo Báo cáo số: 220/BC-UBND ngày 03 tháng 7 năm 2018 của UBND huyện Tủa Chùa)</t>
  </si>
  <si>
    <t>Ban quản lý dự án các công huyện</t>
  </si>
  <si>
    <t>2017-2019</t>
  </si>
  <si>
    <t>Nhà lớp học các trường mầm non: Tủa Thàng số 2, Trung Thu, Tả Phìn, Tả Sìn Thàng, huyện Tủa Chùa</t>
  </si>
  <si>
    <t>2018-2020</t>
  </si>
  <si>
    <t xml:space="preserve"> -  Hỗ trợ thú y xã (24 người)</t>
  </si>
  <si>
    <t>(kèm theo Báo cáo số:           /BC-UBND ngày            tháng 7 năm 2018 của UBND huyện Tủa Chùa)</t>
  </si>
  <si>
    <t>Sự nghiệp Thể thao</t>
  </si>
  <si>
    <t>Phòng Nông nghiệp và PTNT (12 biên chế)</t>
  </si>
  <si>
    <t>Phòng Văn hóa - Thông tin huyện (3 biên chế)</t>
  </si>
  <si>
    <t>Phòng Kinh tế và Hạ tầng huyện (10 biên chế)</t>
  </si>
  <si>
    <t xml:space="preserve"> - Hỗ trợ phát triển sản xuất, đa dạng hóa sinh kế và nhân rộng mô hình giảm nghèo các xã ĐBKK, các thôn ĐBKK</t>
  </si>
  <si>
    <t xml:space="preserve"> -Nhân rộng mô hình giảm nghèo</t>
  </si>
  <si>
    <t xml:space="preserve"> - Hỗ trợ sản xuất tạo việc làm tăng thu nhập</t>
  </si>
  <si>
    <t xml:space="preserve"> + Hỗ trợ trực tiếp  cho các xã</t>
  </si>
  <si>
    <t xml:space="preserve">Chương trình mục tiêu Tái cơ cấu kinh tế nông nghiệp và phòng chống giảm nhẹ thiên tai, ổn định đời sống dân cư </t>
  </si>
  <si>
    <t>Danh mục dự án</t>
  </si>
  <si>
    <t>Địa điểm XD</t>
  </si>
  <si>
    <t>Thời gian KC-HT</t>
  </si>
  <si>
    <t>Ghi chú</t>
  </si>
  <si>
    <t>Tổng số (tất cả các nguồn vốn)</t>
  </si>
  <si>
    <t>Trong đó: NSTW</t>
  </si>
  <si>
    <t>ha</t>
  </si>
  <si>
    <t>- Đất nông nghiệp</t>
  </si>
  <si>
    <t>- Đất lâm nghiệp</t>
  </si>
  <si>
    <t>- Diện tích khu bảo tồn thiên nhiên</t>
  </si>
  <si>
    <t>- Diện tích rừng tự nhiên</t>
  </si>
  <si>
    <t>- Diện tích trồng lúa</t>
  </si>
  <si>
    <t>người</t>
  </si>
  <si>
    <t>- Trẻ em dưới 6 tuổi</t>
  </si>
  <si>
    <t>huyện</t>
  </si>
  <si>
    <t>đô thị</t>
  </si>
  <si>
    <t>xã</t>
  </si>
  <si>
    <t>đơn vị</t>
  </si>
  <si>
    <t>Trong đó: - cấp tỉnh</t>
  </si>
  <si>
    <t>- Ngành công nghiệp xây dựng</t>
  </si>
  <si>
    <t>- Ngành dịch vụ</t>
  </si>
  <si>
    <t>- Giá trị sản xuất ngành công nghiệp xây dựng</t>
  </si>
  <si>
    <t>tỷ đồng</t>
  </si>
  <si>
    <t>- Giá trị ngành dịch vụ</t>
  </si>
  <si>
    <t>triệu USD</t>
  </si>
  <si>
    <t>- Kim ngạch xuất khẩu</t>
  </si>
  <si>
    <t>- Kim ngạch nhập khẩu</t>
  </si>
  <si>
    <t>doanh nghiệp</t>
  </si>
  <si>
    <t>- Tỷ lệ nghèo</t>
  </si>
  <si>
    <t>- Số giáo viên</t>
  </si>
  <si>
    <t>- Số học sinh</t>
  </si>
  <si>
    <t>học sinh</t>
  </si>
  <si>
    <t>trường</t>
  </si>
  <si>
    <t>- Cơ sở khám chữa bệnh</t>
  </si>
  <si>
    <t>cơ sở</t>
  </si>
  <si>
    <t>- Số giường bệnh</t>
  </si>
  <si>
    <t>giường</t>
  </si>
  <si>
    <t>+ Giường bệnh cấp tỉnh</t>
  </si>
  <si>
    <t>+ Giường bệnh cấp huyện</t>
  </si>
  <si>
    <t>+ Giường phòng khám khu vực</t>
  </si>
  <si>
    <t>+ Giường y tế xã phường</t>
  </si>
  <si>
    <t xml:space="preserve">người </t>
  </si>
  <si>
    <t>- Số gia đình bệnh binh</t>
  </si>
  <si>
    <t>gia đình</t>
  </si>
  <si>
    <t>- Số gia đình thương binh</t>
  </si>
  <si>
    <t>- Số gia đình có Bà mẹ Việt Nam anh hùng</t>
  </si>
  <si>
    <t>Phụ lục 2: Biểu số 03</t>
  </si>
  <si>
    <t>Đơn vị tính: Đồng</t>
  </si>
  <si>
    <t>TỔNG CỘNG</t>
  </si>
  <si>
    <t xml:space="preserve">HUYỆN </t>
  </si>
  <si>
    <t>XÃ</t>
  </si>
  <si>
    <t>TỔNG CHI NGÂN SÁCH</t>
  </si>
  <si>
    <t>CÁC KHOẢN CHI CÂN ĐỐI NGÂN SÁCH</t>
  </si>
  <si>
    <t>CHI ĐẦU TƯ</t>
  </si>
  <si>
    <t>CÁC KHOẢN CHI THƯỜNG XUYÊN</t>
  </si>
  <si>
    <t>Sự Nghiệp kinh tế</t>
  </si>
  <si>
    <t>Sự nghiệp Nông nghiệp</t>
  </si>
  <si>
    <t xml:space="preserve">Trong đó: </t>
  </si>
  <si>
    <t xml:space="preserve"> - Hỗ trợ giống sản xuất nông nghiệp</t>
  </si>
  <si>
    <t xml:space="preserve"> + Hỗ trợ giống nông nghiệp</t>
  </si>
  <si>
    <t>Hoạt động quy hoạch tổng thể PTKT- XH</t>
  </si>
  <si>
    <t>Sự nghiệp thủy lợi</t>
  </si>
  <si>
    <t>Trong đó : +  Kinh phí miễn giảm thủy lợi phí</t>
  </si>
  <si>
    <t>Sự nghiệp kinh tế khác</t>
  </si>
  <si>
    <t>Văn phòng ĐKQSD đất (6 BC)</t>
  </si>
  <si>
    <t>Kiến thiết thị chính</t>
  </si>
  <si>
    <t xml:space="preserve"> -  Hỗ trợ tiền ăn trưa cho trẻ em 3-5 tuổi</t>
  </si>
  <si>
    <t xml:space="preserve"> - Kinh phí thực hiện chính sách giáo dục đối với người khuyết tật theo Thông tư liên tịch số 42/2013/TTLT - BLĐTBXH-BTC</t>
  </si>
  <si>
    <t xml:space="preserve"> + Hỗ trợ chi phí học tập</t>
  </si>
  <si>
    <t xml:space="preserve"> + Cấp bù miễm giảm học phí</t>
  </si>
  <si>
    <t>Sự nghiệp Đào tạo</t>
  </si>
  <si>
    <r>
      <t xml:space="preserve">Sự nghiệp VHTT </t>
    </r>
    <r>
      <rPr>
        <sz val="12"/>
        <rFont val="Times New Roman"/>
        <family val="1"/>
      </rPr>
      <t>(12BC)</t>
    </r>
  </si>
  <si>
    <t>Sự nghiệp môi trường</t>
  </si>
  <si>
    <t>VII</t>
  </si>
  <si>
    <t>Sự nghiệp xã hội (1BC)</t>
  </si>
  <si>
    <t>VIII</t>
  </si>
  <si>
    <t>Đảm bảo xã hội</t>
  </si>
  <si>
    <t>Nghị định 67, Nghị định 13, BHYT cho đối tượng BTXH, Luật NCT</t>
  </si>
  <si>
    <t xml:space="preserve">Chi thường xuyên cho Đảm bảo xã hội </t>
  </si>
  <si>
    <t>Người có uy tín</t>
  </si>
  <si>
    <t>IX</t>
  </si>
  <si>
    <t>Trợ cước trợ giá</t>
  </si>
  <si>
    <t>Hỗ trợ giống, muối theo quyết định 102</t>
  </si>
  <si>
    <t>X</t>
  </si>
  <si>
    <t>XI</t>
  </si>
  <si>
    <t>Quản lý hành chính</t>
  </si>
  <si>
    <t>XI.1</t>
  </si>
  <si>
    <t>Quản lý nhà nước</t>
  </si>
  <si>
    <t>Phòng Tư pháp  (3 biên chế)</t>
  </si>
  <si>
    <t>Thanh tra huyện (4 biên chế)</t>
  </si>
  <si>
    <t>Phòng Nội vụ huyện (8 biên chế)</t>
  </si>
  <si>
    <t>Phòng LĐTB&amp;XH huyện (8 biên chế)</t>
  </si>
  <si>
    <t>XI.2</t>
  </si>
  <si>
    <t>Ngân sách Đảng</t>
  </si>
  <si>
    <t>Ban 160</t>
  </si>
  <si>
    <t>XI.3</t>
  </si>
  <si>
    <t>Khối đoàn thể</t>
  </si>
  <si>
    <t xml:space="preserve"> Huyện Đoàn (4BC) </t>
  </si>
  <si>
    <t xml:space="preserve"> Hội Phụ nữ  (4BC)</t>
  </si>
  <si>
    <t xml:space="preserve"> Hội Nông dân  (4BC)</t>
  </si>
  <si>
    <t xml:space="preserve"> Hội Cựu chiến binh  (3BC) </t>
  </si>
  <si>
    <t xml:space="preserve">Hội Cựu thanh niên xung phong </t>
  </si>
  <si>
    <t>XII</t>
  </si>
  <si>
    <t>An ninh - Quốc phòng</t>
  </si>
  <si>
    <t xml:space="preserve"> - An ninh</t>
  </si>
  <si>
    <t xml:space="preserve"> - Quốc phòng</t>
  </si>
  <si>
    <t>XIII</t>
  </si>
  <si>
    <t>Ban quản lý dự án giảm nghèo</t>
  </si>
  <si>
    <t>Chi khác ngân sách địa phương</t>
  </si>
  <si>
    <t>Dự phòng Ngân sách</t>
  </si>
  <si>
    <t>BÁO CÁO QUỸ LƯƠNG, PHỤ CẤP, TRỢ CẤP, CÁC KHOẢN ĐÓNG GÓP NĂM 2020</t>
  </si>
  <si>
    <t xml:space="preserve">Đơn vị: Triệu đồng </t>
  </si>
  <si>
    <t>Stt</t>
  </si>
  <si>
    <t xml:space="preserve">Nội dung </t>
  </si>
  <si>
    <t>BC được cấp có thẩm quyền giao hoặc phê duyệt năm 2020</t>
  </si>
  <si>
    <t>Tổng số đối tượng hưởng lương có mặt đến 01/7/2020</t>
  </si>
  <si>
    <t>Quỹ tiền lương, phụ cấp và các khoản đóng góp Theo tiền lương 1,49 (1 tháng - tháng 7/2020)</t>
  </si>
  <si>
    <t>Quỹ lương 1 năm</t>
  </si>
  <si>
    <t>Mức lương theo ngạch,   bậc chức vụ</t>
  </si>
  <si>
    <t>Tổng các khoản phụ cấp</t>
  </si>
  <si>
    <t xml:space="preserve">Bao gồm </t>
  </si>
  <si>
    <t xml:space="preserve"> Các khoản đóng góp BHXH,BHYT, KPCĐ</t>
  </si>
  <si>
    <t>Phụ cấp khu vực</t>
  </si>
  <si>
    <t xml:space="preserve">Phụ cấp chức vụ </t>
  </si>
  <si>
    <t xml:space="preserve">Phụ cấp Thâm niên vượt khung </t>
  </si>
  <si>
    <t xml:space="preserve">P.cấp ưu đãi ngành </t>
  </si>
  <si>
    <t xml:space="preserve"> Phụ cấp thu hút</t>
  </si>
  <si>
    <t xml:space="preserve">Phụ cấp công tác lâu năm </t>
  </si>
  <si>
    <t xml:space="preserve">Phụ cấp công vụ </t>
  </si>
  <si>
    <t xml:space="preserve">Phụ cấp đảng, đoàn thể </t>
  </si>
  <si>
    <t xml:space="preserve">Phụ cấp Thâm niên nghề </t>
  </si>
  <si>
    <t xml:space="preserve"> Phụ cấp đặc biệt</t>
  </si>
  <si>
    <t>Phụ cấp độc hại</t>
  </si>
  <si>
    <t xml:space="preserve">Phụ cấp bảo lưu </t>
  </si>
  <si>
    <t>Phụ cấp trách nhiệm</t>
  </si>
  <si>
    <t>Phụ cấp HĐND, khác</t>
  </si>
  <si>
    <t>Khu vực HCSN, Đảng, Đoàn thể</t>
  </si>
  <si>
    <t>SN Giáo dục - Đào tạo</t>
  </si>
  <si>
    <t>Sự nghiệp y tế</t>
  </si>
  <si>
    <t>Khoa học công nghệ</t>
  </si>
  <si>
    <t>SN Văn hoá TT</t>
  </si>
  <si>
    <t>SN phát thanh TH</t>
  </si>
  <si>
    <t>SN Thể dục thể thao</t>
  </si>
  <si>
    <t xml:space="preserve">Sự nghiệp kinh tế </t>
  </si>
  <si>
    <t xml:space="preserve"> - Quản lý NN</t>
  </si>
  <si>
    <t xml:space="preserve"> - Đảng, đoàn thể</t>
  </si>
  <si>
    <t xml:space="preserve">CB Chuyên trách - CC cấp xã </t>
  </si>
  <si>
    <t>Phụ cấp đại biểu HĐND các cấp</t>
  </si>
  <si>
    <t xml:space="preserve"> + Cấp tỉnh</t>
  </si>
  <si>
    <t xml:space="preserve"> + Cấp huyện</t>
  </si>
  <si>
    <t xml:space="preserve"> + Cấp xã </t>
  </si>
  <si>
    <t>Phụ cấp trách nhiệm cấp ủy</t>
  </si>
  <si>
    <t xml:space="preserve"> + Ủy viên cấp tỉnh</t>
  </si>
  <si>
    <t xml:space="preserve"> + Ủy viên cấp huyện</t>
  </si>
  <si>
    <t xml:space="preserve"> + Ủy viên cấp xã</t>
  </si>
  <si>
    <t>CÁN BỘ XÃ NGHỈ VIỆC</t>
  </si>
  <si>
    <t>Các chức danh còn lại</t>
  </si>
  <si>
    <t>MẪU BIỂU SỐ 11</t>
  </si>
  <si>
    <t>DỰ KIẾN NHU CẦU VÀ NGUỒN THỰC HIỆN CẢI CÁCH TIỀN LƯƠNG NĂM 2020</t>
  </si>
  <si>
    <t>Đơn vị: triệu đồng</t>
  </si>
  <si>
    <t>NHU CẦU VÀ NGUỒN THỰC HIỆN CCTL NĂM 2020</t>
  </si>
  <si>
    <t>NGUỒN THỰC HIỆN CẢI CÁCH TIỀN LƯƠNG NĂM 2020</t>
  </si>
  <si>
    <t>70% tăng thu NSĐP thực hiện 2019 so dự toán UBND tỉnh giao năm 2019</t>
  </si>
  <si>
    <t>50%  tăng thu NSĐP (không kể thu tiền sử dụng đất, xổ số kiến thiết; thu tiền thuê đất một lần được nhà đầu tư ứng trước để bồi thường, giải phóng mặt bằng và thu từ xử lý tài sản công tại cơ quan, tổ chức, đơn vị được cơ quan có thẩm quyền quyết định sử dụng để chi đầu tư theo quy định; thu tiền bảo vệ và phát triển đất trồng lúa; phí tham quan các khu di tích, di sản thế giới; phí sử dụng công trình kết cấu hạ tầng, công trình dịch vụ, tiện ích công cộng trong khu vực cửa khẩu, phí bảo vệ môi trường đối với khai thác khoáng sản; thu từ quỹ đất công ích, thu hoa lợi, công sản tại xã và thu tiền cho thuê, cho thuê mua, bán nhà thuộc sở hữu nhà nước) dự toán 2020 so dự toán 2019 UBND tỉnh giao</t>
  </si>
  <si>
    <t>50%  tăng thu NSĐP (không kể thu tiền sử dụng đất) dự toán 2019 so dự toán 2018 UBND tỉnh giao</t>
  </si>
  <si>
    <t>50%  tăng thu NSĐP (không kể thu tiền sử dụng đất) dự toán 2018 so dự toán 2017 UBND tỉnh giao</t>
  </si>
  <si>
    <t>Số tiết kiệm 10% chi thường xuyên dự toán năm 2017</t>
  </si>
  <si>
    <t>Số tiết kiệm 10% chi thường xuyên dự toán tăng thêm năm 2020 so với năm 2017 theo Quyết định giao dự toán năm 2020 của Bộ trưởng Bộ Tài chính</t>
  </si>
  <si>
    <t>Số thu được huy động từ nguồn để lại đơn vị năm 2020:</t>
  </si>
  <si>
    <t>Nguồn huy động từ các đơn vị tự đảm bảo:</t>
  </si>
  <si>
    <t>+ Học phí</t>
  </si>
  <si>
    <t>+ Viện phí</t>
  </si>
  <si>
    <t>+ Nguồn thu khác</t>
  </si>
  <si>
    <t>Nguồn huy động từ các đơn vị chưa tự đảm bảo chi thường xuyên:</t>
  </si>
  <si>
    <t>Nguồn tiết kiệm chi gắn với thực hiện các giải pháp sắp xếp tổ chức bộ máy, tinh giản biên chế, đổi mới hoạt động đơn vị sự nghiệp công lập theo Nghị quyết số 18, 19 năm 2020</t>
  </si>
  <si>
    <t>+ Từ việc tinh giản biên chế, tổ chức lại bộ máy</t>
  </si>
  <si>
    <t>+ Từ việc sát nhập các đầu mối, cơ quan, đơn vị</t>
  </si>
  <si>
    <t>+ Từ việc thay đổi cơ chế tự chủ của đơn vị sự nghiệp</t>
  </si>
  <si>
    <t>+ Từ việc sát nhập các xã không đủ điều kiện tiêu chuẩn</t>
  </si>
  <si>
    <t>Nguồn thực hiện cải cách tiền lương năm 2019 chưa sử dụng hết chuyển sang 2020</t>
  </si>
  <si>
    <t>Nguồn bổ sung từ ngân sách tỉnh năm 2020</t>
  </si>
  <si>
    <t>TỔNG NHU CẦU CẢI CÁCH TIỀN LƯƠNG NĂM 2020</t>
  </si>
  <si>
    <t>Tổng nhu cầu kinh phí tăng thêm để thực hiện cải cách tiền lương theo Nghị định số 72/2018/NĐ-CP và Nghị định số 88/2018/NĐ-CP, tính đủ 12 tháng</t>
  </si>
  <si>
    <t>Tổng nhu cầu kinh phí tăng thêm để thực hiện cải cách tiền lương theo Nghị định số 38/2019/NĐ-CP và Nghị định số 44/2019/NĐ-CP, tính đủ 12 tháng</t>
  </si>
  <si>
    <t>Trong đó: nhu cầu tăng thêm đối với các đơn vị sự nghiệp tự đảm bảo</t>
  </si>
  <si>
    <t>Quỹ trợ cấp tăng thêm đối với cán bộ xã nghỉ việc hưởng trợ cấp hàng tháng theo NĐ .../2019/NĐ-CP</t>
  </si>
  <si>
    <t>Kinh phí tăng thêm thực hiện chế độ đối với cán bộ không chuyên trách cấp xã, thôn và tổ dân phố</t>
  </si>
  <si>
    <t>Kinh phí tăng thêm thực hiện chế độ bồi dưỡng phục vụ hoạt động cấp uỷ thuộc cấp tỉnh theo Quy định 09-QĐ/VPTW ngày 22/9/2017</t>
  </si>
  <si>
    <t>Kinh phí tăng, giảm do điều chỉnh địa bàn vùng KTXH ĐBKK năm 2017 theo Quyết định số 131/QĐ-TTg và Quyết định số 582/QĐ-TTg của Thủ tướng Chính phủ tính đủ 12 tháng</t>
  </si>
  <si>
    <t>Nhu cầu kinh phí thực hiện chính sách tinh giản biên chế năm 2020 theo NĐ số 108/2014/NĐ-CP ngày 20/11/2014</t>
  </si>
  <si>
    <t>Nhu cầu kinh phí thực hiện chính sách nghỉ hưu trước tuổi năm 2020 theo NĐ số 26/2014/NĐ-CP ngày 09/3/2015</t>
  </si>
  <si>
    <t xml:space="preserve">Kinh phí giảm do điểu chỉnh mức khoán đối với cán bộ, công chức cấp xã theo Nghị định số 34/2019/NĐ-CP của Chính phủ </t>
  </si>
  <si>
    <t>Kinh phí giảm do điểu chỉnh mức khoán đối với người hoạt động không chuyên trách ở cấp xã, thôn, bản theo Quyết định 33/2019/QĐ-UBND của UBND tỉnh</t>
  </si>
  <si>
    <t>Kinh phí giảm do thực hiện Nghị định 76/2019/NĐ-CP</t>
  </si>
  <si>
    <t>CHÊNH LỆCH NHU CẦU VÀ NGUỒN THỰC HIỆN CẢI CÁCH TIỀN LƯƠNG NĂM 2020</t>
  </si>
  <si>
    <t>Phần thiếu nguồn ngân sách tỉnh hỗ trợ</t>
  </si>
  <si>
    <t xml:space="preserve">NGUỒN KINH PHÍ THỰC HIỆN CCTL NĂM 2020 CÒN DƯ SAU KHI ĐẢM BẢO CÁC CHÍNH SÁCH AN SINH XÃ HỘI VÀ CÁC CHÍNH SÁCH THEO NGHỊ QUYẾT SỐ 42/NQ-CP NGÀY 09/4/2020 CỦA CHÍNH PHỦ </t>
  </si>
  <si>
    <t>TỔNG HỢP KINH PHÍ GIẢM  THEO NGHỊ ĐỊNH SỐ 34/2019/NĐ-CP - CÁN BỘ, CÔNG CHỨC CẤP XÃ</t>
  </si>
  <si>
    <t>MẪU BIỂU SỐ 12</t>
  </si>
  <si>
    <t>Chỉ tiêu</t>
  </si>
  <si>
    <t>Tổng số đơn vị hành chính cấp xã</t>
  </si>
  <si>
    <t>Số lượng cán bộ, công chức cấp xã theo Nghị định 92/2009/NĐ-CP</t>
  </si>
  <si>
    <t>Số lượng công chức cấp xã có mặt 1/7/2020</t>
  </si>
  <si>
    <t>Số lượng cán bộ, công chức cấp xã theo quy định tại Nghị định 34/2019/NĐ-CP</t>
  </si>
  <si>
    <t>Số lượng cán bộ, công chức cấp xã giảm</t>
  </si>
  <si>
    <t>Qũy lương, phụ cấp, các khoản đóng góp giảm 1 tháng (lương 1,49)</t>
  </si>
  <si>
    <t>Quỹ lương, phụ cấp giảm năm 2020
(lương 1,49)</t>
  </si>
  <si>
    <t>Định biên theo Nghị định 92/2009/NĐ-CP</t>
  </si>
  <si>
    <t>Hệ số lương ngạch bậc bình quân</t>
  </si>
  <si>
    <t>Hệ số phụ cấp bình quân</t>
  </si>
  <si>
    <t>Tỷ lệ phụ cấp tính các khoản đóng góp</t>
  </si>
  <si>
    <t>Định biên theo Nghị định 34/2019/NĐ-CP</t>
  </si>
  <si>
    <t>3=1x2</t>
  </si>
  <si>
    <t>9=1x8</t>
  </si>
  <si>
    <t>Xã loại 1</t>
  </si>
  <si>
    <t>Xã loại 2</t>
  </si>
  <si>
    <t>Xã loại 3</t>
  </si>
  <si>
    <t>MẪU BIỂU SỐ 13</t>
  </si>
  <si>
    <t>TỔNG HỢP KINH PHÍ TĂNG, GIẢM CHẾ ĐỘ PHỤ CẤP ĐỐI VỚI CÁN BỘ KHÔNG CHUYÊN TRÁCH CẤP XÃ, THÔN, BẢN VÀ TỔ DÂN PHỐ; BẢO VỆ DÂN PHỐ NĂM 2020 THEO QUYẾT ĐỊNH 33/2019/QĐ-UBND</t>
  </si>
  <si>
    <t>ĐVT: Triệu đồng</t>
  </si>
  <si>
    <t>Chức danh</t>
  </si>
  <si>
    <t>Thực hiện theo Quyết định số 10/2015/QĐ-UBND 
(thực hiện theo Mức lương cơ sở 1,39 triệu đồng/tháng)</t>
  </si>
  <si>
    <t>Thực hiện theo Quyết định số 33/2019/QĐ-UBND
(thực hiện theo Mức lương cơ sở 1,49 triệu đồng/tháng)</t>
  </si>
  <si>
    <t>Chênh lệch một tháng</t>
  </si>
  <si>
    <t>Số tháng tiết kiệm được</t>
  </si>
  <si>
    <t>Kinh phí tiết kiệm được</t>
  </si>
  <si>
    <t>Tổng số người làm việc theo QĐ số 10/2015/QĐ-UBND (số lượng đã tính kinh phí)</t>
  </si>
  <si>
    <t>Hệ số phụ cấp hiện hưởng theo QĐ số 10/2015/ QĐ-UBND (người/tháng)</t>
  </si>
  <si>
    <t>BHYT tăng thêm do tăng lương cơ sở (người/tháng)</t>
  </si>
  <si>
    <t xml:space="preserve">Hỗ trợ BH XH  đối với những người hoạt động không chuyên trách cấp xã (14% lương cơ sở/người/tháng) </t>
  </si>
  <si>
    <t>Kinh phí đã được phân bổ (theo mức lương 1,39 triệu đồng)</t>
  </si>
  <si>
    <t>Tổng số người làm việc theo QĐ số 33/2019/QĐ-UBND</t>
  </si>
  <si>
    <t>Hệ số phụ cấp hiện hưởng theo QĐ số 33/2019/ QĐ-UBND (người/tháng)</t>
  </si>
  <si>
    <t xml:space="preserve">BHYT tăng thêm do tăng lương cơ sở </t>
  </si>
  <si>
    <t xml:space="preserve">Hỗ trợ BH XH  đối với những người hoạt động không chuyên trách cấp xã (14% lương cơ sở /người/tháng) </t>
  </si>
  <si>
    <t>Nhu cầu kinh phí tính (theo mức lương 1,49)</t>
  </si>
  <si>
    <t>c1</t>
  </si>
  <si>
    <t>c2</t>
  </si>
  <si>
    <t>c3=c1*3%*1,39</t>
  </si>
  <si>
    <t>c4=c1*14%*1,39</t>
  </si>
  <si>
    <t>c5=c1*c2+c3+c4</t>
  </si>
  <si>
    <t>c6</t>
  </si>
  <si>
    <t>c7</t>
  </si>
  <si>
    <t>c8=c6*3%*1,49</t>
  </si>
  <si>
    <t>c9=c6*14%*1,49</t>
  </si>
  <si>
    <t>c10=c6*c7+c8+c9</t>
  </si>
  <si>
    <t>c11=c10-c5</t>
  </si>
  <si>
    <t>c12</t>
  </si>
  <si>
    <t>c13=c11*c12</t>
  </si>
  <si>
    <t>c14</t>
  </si>
  <si>
    <t xml:space="preserve">Những người hoạt động không chuyên trách cấp xã </t>
  </si>
  <si>
    <t>Chủ tịch Hội người cao tuổi</t>
  </si>
  <si>
    <t>Chủ tịch Hội chữ thập đỏ</t>
  </si>
  <si>
    <t>Phó trưởng công an (nơi chưa bố trí LL CA chính quy)</t>
  </si>
  <si>
    <t xml:space="preserve"> Phó Chỉ huy trưởng quân sự</t>
  </si>
  <si>
    <t>Cán bộ kế hoạch giao thông, thuỷ lợi, nông, lâm……</t>
  </si>
  <si>
    <t>Cán bộ lao động thương binh xã hội</t>
  </si>
  <si>
    <t>Cán bộ tổ chức Đảng</t>
  </si>
  <si>
    <t>Cán bộ kiểm tra Đảng</t>
  </si>
  <si>
    <t>Cán bộ tuyên giáo</t>
  </si>
  <si>
    <t>Phó Chủ tịch Ủy ban Mặt trận tổ quốc</t>
  </si>
  <si>
    <t>Phó các Đoàn thể (4 đoàn thể)</t>
  </si>
  <si>
    <t>Cán bộ văn phòng Đảng uỷ</t>
  </si>
  <si>
    <t>Thủ quỹ - văn thư - lưu trữ</t>
  </si>
  <si>
    <t>Cán bộ Thi đua - Khen thưởng - Dân tộc - Tôn giáo</t>
  </si>
  <si>
    <t>Cán bộ phụ trách Đài truyền thanh</t>
  </si>
  <si>
    <t>Cán bộ Quản lý Nhà Văn hoá</t>
  </si>
  <si>
    <t xml:space="preserve"> Phó Chủ tịch Hội người cao tuổi</t>
  </si>
  <si>
    <t xml:space="preserve"> Phó Chủ tịch Hội chữ thập đỏ</t>
  </si>
  <si>
    <t xml:space="preserve"> Công an viên thường trực </t>
  </si>
  <si>
    <t>Người giúp việc cho đảng uỷ</t>
  </si>
  <si>
    <t xml:space="preserve">Khoán kinh phí hoạt động/năm/xã (UBMTTQ, Đoàn TN, Hội LHPN, Hội ND, Hội CCB) không chuyên trách cấp xã </t>
  </si>
  <si>
    <t xml:space="preserve">III </t>
  </si>
  <si>
    <t xml:space="preserve">Những người hoạt động không chuyên trách ở thôn, bản và tổ dân phố </t>
  </si>
  <si>
    <t>Đối với những thôn, bản  thuộc xã trọng điểm, phức tạp về an ninh trật tự; xã biên giới; xã loại 1, loại 2.</t>
  </si>
  <si>
    <t xml:space="preserve"> Bí thư chi bộ</t>
  </si>
  <si>
    <t>Trưởng thôn, bản, tổ dân phố</t>
  </si>
  <si>
    <t>Trưởng Ban công tác mặt trận</t>
  </si>
  <si>
    <t>Chi Hội trưởng  hội Phụ Nữ</t>
  </si>
  <si>
    <t>Bí thư  chi đoàn thanh niên CS HCM</t>
  </si>
  <si>
    <t>Chi Hội trưởng hội Cựu chiến binh</t>
  </si>
  <si>
    <t xml:space="preserve"> Chi Hội trưởng hội Nông dân</t>
  </si>
  <si>
    <t xml:space="preserve">Đối với những thôn, bản  thuộc xã còn lại </t>
  </si>
  <si>
    <t xml:space="preserve">Các chức danh khác </t>
  </si>
  <si>
    <t xml:space="preserve"> Công an viên</t>
  </si>
  <si>
    <t>Thôn đội trưởng</t>
  </si>
  <si>
    <t xml:space="preserve"> Trưởng Ban bảo vệ dân phố</t>
  </si>
  <si>
    <t xml:space="preserve"> Phó trưởng ban bảo vệ dân phố</t>
  </si>
  <si>
    <t xml:space="preserve"> Tổ trưởng Tổ bảo vệ dân phố</t>
  </si>
  <si>
    <t xml:space="preserve"> Tổ viên Tổ bảo vệ dân phố</t>
  </si>
  <si>
    <t>MẪU BIỂU SỐ 14</t>
  </si>
  <si>
    <t>TỔNG HỢP PHỤ CẤP TIỀN LƯƠNG GIẢM DO THỰC HIỆN NGHỊ ĐỊNH SỐ 76/2019/NĐ-CP, TỈNH ĐIỆN BIÊN</t>
  </si>
  <si>
    <t xml:space="preserve">TT   </t>
  </si>
  <si>
    <t xml:space="preserve">Họ và tên </t>
  </si>
  <si>
    <t>Hệ số lương và phụ cấp chức vụ</t>
  </si>
  <si>
    <t>Phụ cấp bị giảm trừ 1 tháng (triệu đồng)</t>
  </si>
  <si>
    <t>Kinh phí giảm trừ cả năm (triệu đồng)</t>
  </si>
  <si>
    <t>Hệ số lương</t>
  </si>
  <si>
    <t>Phụ cấp thâm niên vượt khung</t>
  </si>
  <si>
    <t>Phụ cấp chức vụ</t>
  </si>
  <si>
    <t>Phụ cấp thu hút</t>
  </si>
  <si>
    <t>Phụ cấp lâu năm</t>
  </si>
  <si>
    <t>Phụ cấp ưu đãi</t>
  </si>
  <si>
    <t>1=2+3+4</t>
  </si>
  <si>
    <t>5=6+7+8</t>
  </si>
  <si>
    <t>9=5*12 tháng</t>
  </si>
  <si>
    <t>MẪU BIỂU SỐ 15</t>
  </si>
  <si>
    <t>BÁO CÁO KẾT QUẢ THỰC HIỆN CHẾ ĐỘ PHỤ CẤP ĐỐI VỚI CÁN BỘ KHÔNG CHUYÊN TRÁCH CẤP XÃ, THÔN VÀ TỔ DÂN PHỐ NĂM 2020</t>
  </si>
  <si>
    <t xml:space="preserve">Số lượng </t>
  </si>
  <si>
    <t xml:space="preserve"> I</t>
  </si>
  <si>
    <t xml:space="preserve"> Xã, phường, thị trấn</t>
  </si>
  <si>
    <t xml:space="preserve"> Xã loại I</t>
  </si>
  <si>
    <t xml:space="preserve"> Xã loại II</t>
  </si>
  <si>
    <t xml:space="preserve"> Xã loại III</t>
  </si>
  <si>
    <t xml:space="preserve"> Thôn, tổ dân phố</t>
  </si>
  <si>
    <t xml:space="preserve"> Số xã biên giới</t>
  </si>
  <si>
    <t xml:space="preserve"> - Thôn thuộc xã biên giới</t>
  </si>
  <si>
    <t>Số xã có thôn có 350 hộ gia đình rở lên, xã trọng điểm, phức tạp về an ninh trật tự theo Quyết định của cơ quan có thẩm quyền</t>
  </si>
  <si>
    <t xml:space="preserve"> - Thôn có 350 hộ gia đình rở lên, xã trọng điểm, phức tạp về an ninh trật tự theo Quyết định của cơ quan có thẩm quyền</t>
  </si>
  <si>
    <t xml:space="preserve"> Số xã, phường còn lại</t>
  </si>
  <si>
    <t xml:space="preserve"> - Tổ dân phố, bản thuộc phường, thị trấn</t>
  </si>
  <si>
    <t xml:space="preserve"> - Thôn, bản còn lại</t>
  </si>
  <si>
    <t>TÌNH HÌNH THỰC HIỆN CÁC DỰ ÁN ĐẦU TƯ SỬ DỤNG VỐN CÂN ĐỐI NGÂN SÁCH ĐỊA PHƯƠNG (CẤP HUYỆN) NĂM 2020 VÀ DỰ KIẾN KẾ HOẠCH NĂM 2021</t>
  </si>
  <si>
    <t>Kế hoạch năm 2020 được giao</t>
  </si>
  <si>
    <t>Lũy kế vốn bố trí đến hết kế hoạch năm 2020</t>
  </si>
  <si>
    <t>Kế hoạch trung hạn 5 năm 2021 - 2025</t>
  </si>
  <si>
    <t>Dự kiến kế hoạch năm 2021</t>
  </si>
  <si>
    <t>Biểu 33</t>
  </si>
  <si>
    <t>Thực hiện năm 2019</t>
  </si>
  <si>
    <t>Giải ngân từ 01/01/2020 đến 30/6/2020</t>
  </si>
  <si>
    <t>Ước thực hiện năm 2020</t>
  </si>
  <si>
    <t>MỘT SỐ CHỈ TIÊU KINH TẾ - XÃ HỘI CƠ BẢN NĂM 2021</t>
  </si>
  <si>
    <t>Năm 2021</t>
  </si>
  <si>
    <t>CÂN ĐỐI NGÂN SÁCH ĐỊA PHƯƠNG NĂM 2021</t>
  </si>
  <si>
    <t>Dự toán năm 2021</t>
  </si>
  <si>
    <t>(Kèm theo Báo cáo số           /BC-UBND ngày           /          /2020 của UBND huyện Tủa Chùa)</t>
  </si>
  <si>
    <t>Ước TH năm 2020</t>
  </si>
  <si>
    <t>Sự nghiệp Giáo dục</t>
  </si>
  <si>
    <t>TÌNH HÌNH THỰC HIỆN CÁC DỰ ÁN ĐẦU TƯ SỬ DỤNG VỐN NSTW BỔ SUNG CÓ MỤC TIÊU CHO NSĐP (VỐN TRONG NƯỚC) NĂM 2020 (NĂM HIỆN HÀNH) (1) VÀ DỰ KIẾN KẾ HOẠCH NĂM 2021 CỦA ĐỊA PHƯƠNG</t>
  </si>
  <si>
    <t>(Kèm theo Báo cáo số                 /BC-UBND ngày             /8/2020 của UBND huyện Tủa Chùa)</t>
  </si>
  <si>
    <t>VỐN CÂN ĐỐI NGÂN SÁCH TỈNH</t>
  </si>
  <si>
    <t>Các dự án hoàn thành bàn giao đưa vào sử dụng</t>
  </si>
  <si>
    <t>Trường Mầm non THCS Sín Chải (GĐ II)</t>
  </si>
  <si>
    <t>2012-2018</t>
  </si>
  <si>
    <t>Trụ sở Đảng ủy - HĐND&amp;UBND xã Xá Nhè</t>
  </si>
  <si>
    <t>1368 ngày 28/10/2016</t>
  </si>
  <si>
    <t>Trụ sở  xã Mường Đun</t>
  </si>
  <si>
    <t>Trụ sở  xã Sính Phình</t>
  </si>
  <si>
    <t>Nâng cấp, mở rộng trụ sở huyện ủy</t>
  </si>
  <si>
    <t>Đường Củ Dỉ Sang (xã Tả Sìn Thàng) - Lầu Câu Phình (xã Lao Xả Phình), huyện Tủa Chùa</t>
  </si>
  <si>
    <t>1237 ngày 4/10/2016</t>
  </si>
  <si>
    <t>Xây dựng đường vào và các công trình phụ trợ thuộc di tích cấp Quốc gia, danh lam thắng cảnh hang đông Xá Nhè và Khó Chua La, xã Xá Nhè, huyện Tủa Chùa</t>
  </si>
  <si>
    <t>1385 ngày 28/10/2016</t>
  </si>
  <si>
    <t>Khởi công mới năm 2018</t>
  </si>
  <si>
    <t>Trường Mầm non Thị trấn Tủa Chùa</t>
  </si>
  <si>
    <t>979 ngày 26/10/2017</t>
  </si>
  <si>
    <t>I.3</t>
  </si>
  <si>
    <t>Trụ sở làm việc phòng Văn hóa - TT huyện</t>
  </si>
  <si>
    <t>1016 ngày 31/10/2018</t>
  </si>
  <si>
    <t>Kè chống sạt lở đất, đá thuộc Dự án bố trí ổn định dân cư vùng thiên tai Bản Hột, xã Mường Đun, huyện Tủa Chùa đến năm 2020</t>
  </si>
  <si>
    <t>667 ngày 09/7/2019</t>
  </si>
  <si>
    <t>I.4</t>
  </si>
  <si>
    <t>Dự án bố trí ổn định dân cư vùng thiên tai bản Hột, xã Mường Đun, huyện Tủa Chùa, tỉnh Điện Biên đến năm 2020</t>
  </si>
  <si>
    <t>I.5</t>
  </si>
  <si>
    <t>Chuẩn bị đầu tư</t>
  </si>
  <si>
    <t>Kè chống sạt lở suối Huổi Luông, thôn Bản Hột</t>
  </si>
  <si>
    <t>2021-2023</t>
  </si>
  <si>
    <t>Nhà máy xử lý rác thải huyện Tủa Chùa</t>
  </si>
  <si>
    <t>Trường mầm non Thị trấn Tủa Chùa (Giai đoạn 2)</t>
  </si>
  <si>
    <t>Nâng cấp các tuyến A,B,C đường nội thị thị trấn Tủa Chùa</t>
  </si>
  <si>
    <t>Đường trục D đường nội thị thị trấn Tủa Chùa (từ phía sau Trạm Y tế thị trấn đi qua phía sau trụ sở HĐND và UBND huyện, đấu nối đoạn cuối trục A giáp Hồ Tông Lệnh)</t>
  </si>
  <si>
    <t>Đường trục Đ đường nội thị thị trấn Tủa Chùa (đấu nối từ cầu Dốc Vàng đi qua phía sau chợ trung tâm, đến trung tâm GDTX huyện)</t>
  </si>
  <si>
    <t>CHƯƠNG TRÌNH 30A</t>
  </si>
  <si>
    <t>HTPTSX tạo việc làm, tăng thu nhập</t>
  </si>
  <si>
    <t>Các dự án hoàn thành</t>
  </si>
  <si>
    <t>Đường dân sinh ra khu sản xuất đấu nối đoạn đường dân sinh Đông Phi -  Háng Tơ Mang, xã Mường Báng</t>
  </si>
  <si>
    <t>355 ngày 28/3/2016</t>
  </si>
  <si>
    <t>357 ngày 28/3/2016</t>
  </si>
  <si>
    <t>366 ngày 28/3/2016</t>
  </si>
  <si>
    <t>1070 ngày 30/10/2017</t>
  </si>
  <si>
    <t>Nhà văn hóa xã Mường Báng</t>
  </si>
  <si>
    <t>217 ngày 30/10/2018</t>
  </si>
  <si>
    <t>**</t>
  </si>
  <si>
    <t>Dự án đang triển khai thực hiện</t>
  </si>
  <si>
    <t>Tuyến đường Sính Phình - Trung Thu - Lao Xả Phình - Tả Sìn Thàng (từ thôn 1 đi thôn Đề Hái, xã Sính Phình)</t>
  </si>
  <si>
    <t>1006 ngày 30/10/2018</t>
  </si>
  <si>
    <t>Tuyến đường Sính Phình - Trung Thu - Lao Xả Phình - Tả Sìn Thàng (từ thôn Đề Hái đi thôn Nhè Xua Háng, xã Trung Thu)</t>
  </si>
  <si>
    <t>1007 ngày 30/10/2018</t>
  </si>
  <si>
    <t>Tuyến đường Sính Phình - Trung Thu - Lao Xả Phình - Tả Sìn Thàng (từ thôn Lầu Câu Phình đến ngã ba đường Tả Phìn - Tả Sìn Thàng)</t>
  </si>
  <si>
    <t>1094 ngày 29/10/2019</t>
  </si>
  <si>
    <t>1091 ngày 29/10/2019</t>
  </si>
  <si>
    <t>1093 ngày 29/10/2019</t>
  </si>
  <si>
    <t>287 ngày 30/10/2019</t>
  </si>
  <si>
    <t>1038 ngày 25/10/2019</t>
  </si>
  <si>
    <t>Đoạn đầu đường dân sinh Đèo gió - Vàng Chua đến Km2 đường Trung Thu - Lao Xả Phình huyện Tủa Chùa</t>
  </si>
  <si>
    <t>1372 ngày 28/10/2016</t>
  </si>
  <si>
    <t>CHƯƠNG TRÌNH 135</t>
  </si>
  <si>
    <t>Các dự án khởi công mới năm 2019</t>
  </si>
  <si>
    <t>Thủy lợi Bản Kép, xã Mường Đun</t>
  </si>
  <si>
    <t>159 ngày 10/7/2018</t>
  </si>
  <si>
    <t>Tuyến đường từ thôn 1 đi thôn Lầu Câu Phình, xã Lao Xả Phình</t>
  </si>
  <si>
    <t>56 ngày 10/7/2018</t>
  </si>
  <si>
    <t>Tuyến đường từ thôn Nhè Sua Háng, xã Trung Thu đi thôn 2, xã Sính Phình</t>
  </si>
  <si>
    <t>75 ngày 10/7/2018</t>
  </si>
  <si>
    <t>Đường nội đồng thôn Tà Si Láng tuyến nhà ông Đông - Ruộng Ông Bẻ, xã Tủa Thàng</t>
  </si>
  <si>
    <t>55 ngày 10/7/2018</t>
  </si>
  <si>
    <t>Đường từ ngã ba chợ đến Pàng Dề B (nhà ông Giao), xã Xá Nhè</t>
  </si>
  <si>
    <t>15 ngày 29/6/2018</t>
  </si>
  <si>
    <t>Đường từ Phiêng Quảng ra khu sản xuất, xã Xá Nhè</t>
  </si>
  <si>
    <t>87 ngày 30/10/2018</t>
  </si>
  <si>
    <t>Đường từ nhà ông Hờ vào bản Hẹ 2, xã Xá Nhè</t>
  </si>
  <si>
    <t>86 ngày 30/10/2018</t>
  </si>
  <si>
    <t>,</t>
  </si>
  <si>
    <t>Nhà ở bán trú trường Tiểu học xã Xá Nhè</t>
  </si>
  <si>
    <t>88 ngày 30/10/2018</t>
  </si>
  <si>
    <t>89 ngày 30/10/2018</t>
  </si>
  <si>
    <t>285 ngày 30/10/2018</t>
  </si>
  <si>
    <t>286 ngày 30/10/2018</t>
  </si>
  <si>
    <t xml:space="preserve">Đường nội đồng thôn Làng Vùa 2 tuyến nhà ông Phừ - cánh đồng Háng Á nhà ông Súa, xã Tủa Thàng </t>
  </si>
  <si>
    <t>310 ngày 30/10/2018</t>
  </si>
  <si>
    <t>15 ngày 30/10/2018</t>
  </si>
  <si>
    <t>348 ngày 30/10/2018</t>
  </si>
  <si>
    <t>350 ngày 30/10/2018</t>
  </si>
  <si>
    <t xml:space="preserve">Đường nội đồng thôn Háng Sung 1 tuyến Nhà ông Thào A Sang - Chớ Tính, xã Tả Phìn </t>
  </si>
  <si>
    <t>256 ngày 30/10/2018</t>
  </si>
  <si>
    <t xml:space="preserve">Nhà văn hóa thôn Háng Sung 2, xã Tả Phìn </t>
  </si>
  <si>
    <t>257 ngày 30/10/2018</t>
  </si>
  <si>
    <t>289 ngày 30/10/2018</t>
  </si>
  <si>
    <t>Các dự án khởi công mới năm 2020 (dự phòng 10%)</t>
  </si>
  <si>
    <t>137 ngày 10/6/2019</t>
  </si>
  <si>
    <t>161 ngày 10/6/2019</t>
  </si>
  <si>
    <t>186 ngày 28/6/2019</t>
  </si>
  <si>
    <t>146 ngày 28/6/2019</t>
  </si>
  <si>
    <t>CHƯƠNG TRÌNH XD NÔNG THÔN MỚI</t>
  </si>
  <si>
    <t>Các dự án khởi công mới năm 2018</t>
  </si>
  <si>
    <t>78a ngày 22/6/2018</t>
  </si>
  <si>
    <t>77a ngày 22/6/2018</t>
  </si>
  <si>
    <t>91 ngày 12/7/2018</t>
  </si>
  <si>
    <t>90 ngày 12/7/2018</t>
  </si>
  <si>
    <t>145a ngày 22/6/2018</t>
  </si>
  <si>
    <t>142 ngày 16/8/2018</t>
  </si>
  <si>
    <t>200a ngày 16/8/2018</t>
  </si>
  <si>
    <t>133a ngày 17/8/2018</t>
  </si>
  <si>
    <t>167 ngày 18/7/2018</t>
  </si>
  <si>
    <t>62 ngày 30/10/2018</t>
  </si>
  <si>
    <t>61 ngày 30/10/2018</t>
  </si>
  <si>
    <t>168a ngày 17/8/2018</t>
  </si>
  <si>
    <t>168b ngày 17/8/2018</t>
  </si>
  <si>
    <t>242 ngày 6/8/2018</t>
  </si>
  <si>
    <t>184a ngày 12/7/2018</t>
  </si>
  <si>
    <t>272a ngày 31/10/2018</t>
  </si>
  <si>
    <t>272b ngày 31/10/2018</t>
  </si>
  <si>
    <t>272c ngày 31/10/2018</t>
  </si>
  <si>
    <t>272d ngày 31/10/2018</t>
  </si>
  <si>
    <t>578 ngày 31/10/2018</t>
  </si>
  <si>
    <t>579 ngày 31/10/2018</t>
  </si>
  <si>
    <t>311 ngày 31/10/2018</t>
  </si>
  <si>
    <t>17 ngày 31/10/2018</t>
  </si>
  <si>
    <t>347 ngày 30/10/2018</t>
  </si>
  <si>
    <t>349 ngày 30/10/2018</t>
  </si>
  <si>
    <t>225 ngày 30/10/2018</t>
  </si>
  <si>
    <t>235 ngày 30/10/2018</t>
  </si>
  <si>
    <t>265 ngày 31/10/2018</t>
  </si>
  <si>
    <t>479 ngày 11/10/2019</t>
  </si>
  <si>
    <t>47a ngày 18/3/2019</t>
  </si>
  <si>
    <t>50a ngày 19/3/2019</t>
  </si>
  <si>
    <t>52a ngày 19/3/2019</t>
  </si>
  <si>
    <t>01 ngày 17/3/2019</t>
  </si>
  <si>
    <t>02 ngày 17/3/2019</t>
  </si>
  <si>
    <t>16 ngày 31/10/2018</t>
  </si>
  <si>
    <t>02 ngày 29/4/2019</t>
  </si>
  <si>
    <t>03 ngày 29/4/2019</t>
  </si>
  <si>
    <t>106 ngày 13/3/2019</t>
  </si>
  <si>
    <t>105 ngày 13/3/2019</t>
  </si>
  <si>
    <t>***</t>
  </si>
  <si>
    <t>Các dự án khởi công mới năm 2020</t>
  </si>
  <si>
    <t>206 ngày 30/10/2019</t>
  </si>
  <si>
    <t>204 ngày 30/10/2019</t>
  </si>
  <si>
    <t>28 ngày 31/10/2019</t>
  </si>
  <si>
    <t>****</t>
  </si>
  <si>
    <t>Vốn chưa phân bổ chi tiết</t>
  </si>
  <si>
    <t>VỐN TRÁI PHIỂU CHÍNH PHỦ (Thực hiện Đề án kiến cố hóa trường lớp học và nhà công vụ cho giáo viên)</t>
  </si>
  <si>
    <t>Nhà lớp học các trường PTDTBT tiểu học: Xá Nhè, Trung Thu, Tả Sìn Thàng, Tả Phìn, các trường tiểu học: số 1 Sính Phình, Tủa Thàng số 2, huyện Tủa Chùa</t>
  </si>
  <si>
    <t>2017-2020</t>
  </si>
  <si>
    <t>Nhà lớp học các trường PTDTBT tiểu học: Sín Chải, Lao Xả Phình, Huổi Só và các trường tiểu học số 2 Sính Phình, huyện Tủa Chùa</t>
  </si>
  <si>
    <t>VỐN THEO QUYẾT ĐỊNH 1776/2012/QĐ-TTg</t>
  </si>
  <si>
    <t>Hạng mục giao thông và hệ thống thoát nước</t>
  </si>
  <si>
    <t>281 ngày 13/4/2015</t>
  </si>
  <si>
    <t xml:space="preserve">Hạng mục san nền bố trí dân cư </t>
  </si>
  <si>
    <t>493 ngày 25/6/2015</t>
  </si>
  <si>
    <t>VỐN THEO NGHỊ QUYẾT SỐ 37</t>
  </si>
  <si>
    <t>2018-2022</t>
  </si>
  <si>
    <t>VỐN SỔ XỐ KIẾN THIẾT</t>
  </si>
  <si>
    <t>Trường mầm non xã Lao Xả Phình</t>
  </si>
  <si>
    <t>993 ngày 30/10/2018</t>
  </si>
  <si>
    <t>VỐN QŨY BẢO TRÌ ĐƯỜNG BỘ TỈNH ĐIỆN BIÊN</t>
  </si>
  <si>
    <t xml:space="preserve">Sửa chữa nền, mặt đường và hệ thống thoát nước tuyến đường Sính Phình - Tả Sìn Thàng </t>
  </si>
  <si>
    <t>TP-TST</t>
  </si>
  <si>
    <t>1109 ngày 01/7/2019</t>
  </si>
  <si>
    <t xml:space="preserve">Sử lý một số vị trí mất an toàn giao thông, sửa chữa hư hỏng nền, mặt đường, công trình thoát nước đường Tả Sìn Thàng - Sín Chải </t>
  </si>
  <si>
    <t>TST-SC</t>
  </si>
  <si>
    <t>897 ngày 10/7/2020</t>
  </si>
  <si>
    <t>(kèm theo Báo cáo số:           /BC-UBND ngày            tháng 8 năm 2020 của UBND huyện Tủa Chùa)</t>
  </si>
  <si>
    <t>Số vốn kéo dài các năm trước sang năm 2020  (nếu có)</t>
  </si>
  <si>
    <t>Chợ trung tâm Thị trấn (giai đoạn 2), thị trấn Tủa Chùa</t>
  </si>
  <si>
    <t>2016-2021</t>
  </si>
  <si>
    <t>3336  ngày  09/12/2016</t>
  </si>
  <si>
    <t>Nối tiếp đường nội cụm trung tâm xã Tả Sìn Thàng đến dốc Cáng tỷ (tuyến đường Tả Sìn Thàng - Sín Chải)</t>
  </si>
  <si>
    <t>2317 ngày 15/8/2017</t>
  </si>
  <si>
    <t>1037 ngày 29/6/2018</t>
  </si>
  <si>
    <t>1038 ngày 29/6/2018</t>
  </si>
  <si>
    <t>1039 ngày 29/6/2018</t>
  </si>
  <si>
    <t>2518a ngày 26/10/2018</t>
  </si>
  <si>
    <t>2419 ngày 12/10/2018</t>
  </si>
  <si>
    <t>2615 ngày 20/11/2018</t>
  </si>
  <si>
    <t>73a ngày 29/10/2018</t>
  </si>
  <si>
    <t>73b ngày 29/10/2018</t>
  </si>
  <si>
    <t>San nền trường mầm non Mường Đun, xã Mường Đun, huyện Tủa Chùa</t>
  </si>
  <si>
    <t>2303 ngày 25/9/2018</t>
  </si>
  <si>
    <t>2526a ngày 31/10/2018</t>
  </si>
  <si>
    <t>2522a ngày 31/10/2018</t>
  </si>
  <si>
    <t>2523a ngày 31/10/2018</t>
  </si>
  <si>
    <t>2527a ngày 31/10/2018</t>
  </si>
  <si>
    <t>2519a ngày 29/10/2018</t>
  </si>
  <si>
    <t>2520a ngày 29/10/2018</t>
  </si>
  <si>
    <t>2525a ngày 31/10/2018</t>
  </si>
  <si>
    <t>2528a ngày 31/10/2018</t>
  </si>
  <si>
    <t>Nâng cấp, sửa chữa Nhà văn hóa, Nhà thi đấu thể thao huyện Tủa Chùa</t>
  </si>
  <si>
    <t>2410 ngày 31/10/2019</t>
  </si>
  <si>
    <t>Nâng cấp, cải tạo sân vận động huyện Tủa Chùa</t>
  </si>
  <si>
    <t>2411 ngày 31/10/2019</t>
  </si>
  <si>
    <t>Đầu tư xây dựng, nâng cấp hệ thống đèn chiếu sáng các tuyến đường nội thị thị trấn Tủa Chùa</t>
  </si>
  <si>
    <t>2412 ngày 31/10/2019</t>
  </si>
  <si>
    <t>Nâng cấp, sửa chữa trụ sở UBND xã Tả Phìn</t>
  </si>
  <si>
    <t>2392a ngày 30/10/2019</t>
  </si>
  <si>
    <t>Nâng cấp, sửa chữa trụ sở UBND xã Lao Xả Phình</t>
  </si>
  <si>
    <t>2393a ngày 30/10/2019</t>
  </si>
  <si>
    <t>Khắc phục hậu quả bão lũ năm 2018 tại các trường học trên địa bàn các xã: Trung Thu, Sính Phình, Mường Báng huyện Tủa Chùa</t>
  </si>
  <si>
    <t>TT-SP-MB</t>
  </si>
  <si>
    <t>2019</t>
  </si>
  <si>
    <t>758 ngày 23/4/2019</t>
  </si>
  <si>
    <t>Sửa chữa, nâng cấp cải tạo trường PTDTBT tiểu học Tả Sìn Thàng, xã Tả Sìn Thàng, huyện Tủa Chùa</t>
  </si>
  <si>
    <t>763 ngày 23/4/2019</t>
  </si>
  <si>
    <t>Sửa chữa, cải tạo, nâng cấp các trường trên địa bàn xã Sính Phình, huyện Tủa Chùa</t>
  </si>
  <si>
    <t>785 ngày 26/4/2019</t>
  </si>
  <si>
    <t>Sửa chữa, cải tạo, nâng cấp trường tiểu học thị trấn và tiểu học Xá Nhè, huyện Tủa Chùa</t>
  </si>
  <si>
    <t>764 ngày 23/4/2019</t>
  </si>
  <si>
    <t>Sửa chữa, nâng cấp và cải tạo công trình trường Mầm non Tủa Thàng số 1, xã Tủa Thàng, huyện Tủa Chùa</t>
  </si>
  <si>
    <t>2020</t>
  </si>
  <si>
    <t>23 ngày 10/01/2020</t>
  </si>
  <si>
    <t>Sửa chữa, cải tạo, nâng cấp công trình trường PTDTBT Tủa Thàng và trường mầm non Tủa Thàng số 2, xã Tủa Thàng, huyện Tủa Chùa</t>
  </si>
  <si>
    <t>21 ngày 10/01/2020</t>
  </si>
  <si>
    <t>Sửa chữa, cải tạo, nâng cấp và mở rộng công trình các trường học trên địa bàn xã Sính Phình, huyện Tủa Chùa</t>
  </si>
  <si>
    <t>22 ngày 10/01/2020</t>
  </si>
  <si>
    <t>SC-HS</t>
  </si>
  <si>
    <t>2653 ngày 29/11/2018</t>
  </si>
  <si>
    <t>2639 ngày 26/11/2018</t>
  </si>
  <si>
    <t>Khắc phục hậu quả thiên tai Thủy lợi Bản Hột, xã Mường Đun, huyện Tủa Chùa</t>
  </si>
  <si>
    <t>536 ngày 19/5/2020</t>
  </si>
  <si>
    <t>Khắc phục hậu quả thiên tai Thủy lợi và Nước sinh hoạt Tả Phìn, xã Tả Phìn, huyện Tủa Chùa</t>
  </si>
  <si>
    <t>476 ngày 21/4/2020</t>
  </si>
  <si>
    <t>Khắc phục hậu quả thiên tai một số tuyến đường Thị trấn - Sín Chải; Thị trấn - Xá Nhè - Mường Đun - Tủa Thàng - Huổi Só - Huổi Loóng)</t>
  </si>
  <si>
    <t>TT-SC-XN-MĐ-TT-HS</t>
  </si>
  <si>
    <t>319 ngày 16/3/2020</t>
  </si>
  <si>
    <t>Kè chống sạt lở đường vào nghĩa trang nhân dân thị trấn Tủa Chùa, huyện Tủa Chùa</t>
  </si>
  <si>
    <t>318a ngày 16/3/2020</t>
  </si>
  <si>
    <t>ƯỚC THỰC HIỆN THU NGÂN SÁCH NHÀ NƯỚC NĂM 2020</t>
  </si>
  <si>
    <t>NGÂN SÁCH ĐP HƯỞNG THEO PHÂN CẤP</t>
  </si>
  <si>
    <t>Ngân sách huyện hưởng</t>
  </si>
  <si>
    <t>Ngân sách xã hưởng</t>
  </si>
  <si>
    <t>6=4/1</t>
  </si>
  <si>
    <t>ƯỚC THỰC HIỆN CHI NGÂN SÁCH ĐỊA PHƯƠNG  NĂM 2020</t>
  </si>
  <si>
    <t>Ước thực hiện  năm 2020</t>
  </si>
  <si>
    <t>(kèm theo Báo cáo số        /BC-UBND ngày             tháng             năm 2020 của UBND huyện Tủa Chùa)</t>
  </si>
  <si>
    <t>Trung tâm Văn hóa - Truyền thanh- Truyền hình</t>
  </si>
  <si>
    <t>5.1</t>
  </si>
  <si>
    <t>Chương trình mục tiêu hỗ trợ phát triển hệ thống trợ giúp xã hội</t>
  </si>
  <si>
    <t>5.2</t>
  </si>
  <si>
    <t>Chi đầu tư từ nguồn vốn khác</t>
  </si>
  <si>
    <t xml:space="preserve"> Chương trình mục tiêu giáo dục dạy nghề - việc làm và an toàn lao động</t>
  </si>
  <si>
    <t>Kinh phí dịch tả lợn châu phi</t>
  </si>
  <si>
    <t>Chương trình mục tiêu phát triển văn hóa</t>
  </si>
  <si>
    <t>So sánh  (%)</t>
  </si>
  <si>
    <t>So sánh (%)</t>
  </si>
  <si>
    <t>(Kèm theo Báo cáo số           /BC-UBND ngày           /            /2020 của UBND huyện Tủa Chùa)</t>
  </si>
  <si>
    <t>TOÀN HUYỆN</t>
  </si>
  <si>
    <t xml:space="preserve"> + Nguyên bí thư, chủ tịch</t>
  </si>
  <si>
    <t xml:space="preserve"> + Nguyên phó bí thư, Phó chủ tịch, Thường trực đảng ủy, Ủy viên, Thư ký UBND, Thư ký HĐND, Xã đội trưởng</t>
  </si>
  <si>
    <t>Thực hiện năm 2020</t>
  </si>
  <si>
    <t>BIỂU TỔNG HỢP DỰ TOÁN CHI NSĐP NĂM 2021</t>
  </si>
  <si>
    <t>Địa phương hưởng theo phân cấp</t>
  </si>
  <si>
    <t>Dự toán
 tỉnh giao</t>
  </si>
  <si>
    <t>Thực hiện 15/11/2020</t>
  </si>
  <si>
    <t>Thực hiện/ tỉnh giao</t>
  </si>
  <si>
    <t>Thực hiện/ huyện giao</t>
  </si>
  <si>
    <t>7=4/2</t>
  </si>
  <si>
    <t>8=5/1</t>
  </si>
  <si>
    <t>(kèm theo Báo cáo số                      /BC-UBND ngày             tháng              năm 2020 của UBND huyện Tủa Chùa)</t>
  </si>
  <si>
    <t>Ước TH/ tỉnh giao</t>
  </si>
  <si>
    <t>Ước TH/ huyện giao</t>
  </si>
  <si>
    <t>9=5/2</t>
  </si>
  <si>
    <t>10=5/3</t>
  </si>
  <si>
    <t>Phụ biểu số 01</t>
  </si>
  <si>
    <t>Phụ biểu số 02</t>
  </si>
  <si>
    <t>Biểu số: 04</t>
  </si>
  <si>
    <t>ƯỚC THỰC HIỆN CHI NGÂN SÁCH CẤP XÃ  NĂM 2020</t>
  </si>
  <si>
    <t>Tên đơn vị</t>
  </si>
  <si>
    <t>Thực hiện tháng 15/11/2020</t>
  </si>
  <si>
    <t>So sánh TH/DT (%)</t>
  </si>
  <si>
    <t>So sánh  ước TH/DT
(%)</t>
  </si>
  <si>
    <t>Chi CTMT; nhiệm vụ khác</t>
  </si>
  <si>
    <t>Các khoản chi cân đối</t>
  </si>
  <si>
    <t>Chi chương trình mục tiêu</t>
  </si>
  <si>
    <t>1=2+3</t>
  </si>
  <si>
    <t>4=5+6</t>
  </si>
  <si>
    <t>7=8+9</t>
  </si>
  <si>
    <t>10=4/1</t>
  </si>
  <si>
    <t>11=7/1</t>
  </si>
  <si>
    <t>8=5/2</t>
  </si>
  <si>
    <t>9=6/3</t>
  </si>
  <si>
    <t>UBND Thị trấn Tủa Chùa</t>
  </si>
  <si>
    <t>UBND xã Mường Báng</t>
  </si>
  <si>
    <t>UBND xã Xá Nhè</t>
  </si>
  <si>
    <t>UBND xã Mường Đun</t>
  </si>
  <si>
    <t>UBND xã Tủa Thàng</t>
  </si>
  <si>
    <t>UBND xã Huổi Só</t>
  </si>
  <si>
    <t>UBND xã Sín Chải</t>
  </si>
  <si>
    <t>UBND xã Tả Sìn Thàng</t>
  </si>
  <si>
    <t>UBND xã Tả Phìn</t>
  </si>
  <si>
    <t>UBND xã Lao Xả Phình</t>
  </si>
  <si>
    <t>UBND xã Trung Thu</t>
  </si>
  <si>
    <t>UBND xã Sính Phình</t>
  </si>
  <si>
    <t>Biểu số: 03</t>
  </si>
  <si>
    <t>ƯỚC THỰC HIỆN THU NGÂN SÁCH CẤP XÃ  NĂM 2020</t>
  </si>
  <si>
    <t>(kèm theo Báo cáo số             /BC-UBND ngày           /11/2020 của UBND huyện Tủa Chùa)</t>
  </si>
  <si>
    <t>Trong đó thu  trên địa bàn</t>
  </si>
  <si>
    <t>Tổng số thực hiện</t>
  </si>
  <si>
    <t xml:space="preserve">Trong đó thu trên địa bàn </t>
  </si>
  <si>
    <t>Tổng số ước thực hiện</t>
  </si>
  <si>
    <t>Thu trên địa bàn</t>
  </si>
  <si>
    <t>Thu chuyển nguồn</t>
  </si>
  <si>
    <t>11= 4/1</t>
  </si>
  <si>
    <t>12=5/2</t>
  </si>
  <si>
    <t>13=6/1</t>
  </si>
  <si>
    <t>14=7/2</t>
  </si>
  <si>
    <t>15=8/3</t>
  </si>
  <si>
    <t>Thu địa bàn cân đối NS</t>
  </si>
  <si>
    <t>UBND Thị trấn</t>
  </si>
  <si>
    <t>Thu từ tiền đấu giá đất</t>
  </si>
  <si>
    <t>(Kèm theo Báo cáo số           /BC-UBND ngày       /            /2020 của UBND huyện Tủa Chùa)</t>
  </si>
  <si>
    <t>Biểu mẫu số 15 - NĐ 31/2017/NĐ-CP</t>
  </si>
  <si>
    <t xml:space="preserve"> CÂN ĐỐI NGÂN SÁCH ĐỊA PHƯƠNG NĂM 2021</t>
  </si>
  <si>
    <t>So sánh</t>
  </si>
  <si>
    <t>Tuyệt đối</t>
  </si>
  <si>
    <t>Tương đối (%)</t>
  </si>
  <si>
    <t>4=3-2</t>
  </si>
  <si>
    <t>TỔNG NGUỒN THU NSĐP</t>
  </si>
  <si>
    <t>Thu NSĐP được hưởng theo phân cấp</t>
  </si>
  <si>
    <t>Thu NSĐP hưởng 100%</t>
  </si>
  <si>
    <t>TỔNG CHI NSĐP</t>
  </si>
  <si>
    <t>Tổng chi cân đối NSĐP</t>
  </si>
  <si>
    <t>Chi các chương trình mục tiêu, nhiệm vụ</t>
  </si>
  <si>
    <t>Chi các chương trình mục tiêu quốc gia</t>
  </si>
  <si>
    <t>Hỗ trợ sản xuất tạo việc làm tăng thu nhập</t>
  </si>
  <si>
    <t>Đầu tư cơ sở hạ tầng cho các xã ĐBKK</t>
  </si>
  <si>
    <t>Tiểu dự án 1: Hỗ trợ đầu tư cơ sở hạ tầng cho các xã ĐBKK, xã biên giới; các thôn bản ĐBKK (duy tu, bảo dưỡng)</t>
  </si>
  <si>
    <t>Chương trình xây dựng nôn thôn mới</t>
  </si>
  <si>
    <t xml:space="preserve"> Hỗ trợ trực tiếp cho các xã, bao gồm: Kinh phí hỗ trợ dự án phát triển sản xuất liên kết theo chuỗi giá trị, gắn sản xuất với tiêu thụ sản phẩm; đào tạo nghề lao động nông thôn 1 lớp/1 xã ;chi hỗ trợ xây dựng nhà tiêu hợp vệ sinh; chi hỗ trợ xây dựng chuồng trại chăn nuôi hợp vệ sinh; chi hỗ trợ xây dựng hố rác để tự phân loại và xử lý chất thải rắn tại gia đình</t>
  </si>
  <si>
    <t>Hỗ trợ đào tạo nghề</t>
  </si>
  <si>
    <t xml:space="preserve">Phòng chống ma túy </t>
  </si>
  <si>
    <t>Phòng chống tội phạm</t>
  </si>
  <si>
    <t>KP thực hiện nhiệm vụ đảm bảo trật tự an toàn giao thông</t>
  </si>
  <si>
    <t>Chương trình mục tiêu tái cơ cấu kinh tế nông nghiệp và phòng chống giảm nhẹ thiên tai, ổn định đời sống dân cư (Chương trình theo Quyết định 1776)</t>
  </si>
  <si>
    <t>Dự án phát triển hệ thống bảo vệ trẻ em</t>
  </si>
  <si>
    <t>Dự án hỗ trợ mục tiêu quốc gia bình đẳng giới</t>
  </si>
  <si>
    <t>Dự án phát triển thị trường lao động và việc làm</t>
  </si>
  <si>
    <t>Ghi thu, ghi chi vốn viện trợ</t>
  </si>
  <si>
    <t>Hỗ trợ người có công cách mạng</t>
  </si>
  <si>
    <t>Chương trình tái cơ cấu kinh tế nông nghiệp và phòng chống giảm nhẹ thiên tai, ổn định đời sống dân cư vốn sự nghiệp</t>
  </si>
  <si>
    <t xml:space="preserve">KP khắc phục hậu quả  thiên tai từ nguồn dự phòng </t>
  </si>
  <si>
    <t>Hỗ trợ Người có công với cách mạng về nhà ở</t>
  </si>
  <si>
    <t>2.11</t>
  </si>
  <si>
    <t>Biểu mẫu số 16 - NĐ 31/2017/NĐ-CP</t>
  </si>
  <si>
    <t>Ước thực hiện so với dự toán 2017</t>
  </si>
  <si>
    <t>Tổng thu NSNN</t>
  </si>
  <si>
    <t>Thu NSĐP</t>
  </si>
  <si>
    <t>5=3/1</t>
  </si>
  <si>
    <t>6=4/2</t>
  </si>
  <si>
    <t>TỔNG THU NSNN</t>
  </si>
  <si>
    <t>Thu từ khu vực DNNN do địa phương quản lý</t>
  </si>
  <si>
    <t xml:space="preserve">Thu phí, lệ phí </t>
  </si>
  <si>
    <t>Thu phí, lệ phí ngân sách Trung ương hưởng</t>
  </si>
  <si>
    <t>Thu phí, lệ phí ngân sách TW hưởng</t>
  </si>
  <si>
    <t xml:space="preserve"> - Thu tiền cấp quyền sử dụng đất</t>
  </si>
  <si>
    <t>Trong đó: + Trên địa bàn thị trấn</t>
  </si>
  <si>
    <t xml:space="preserve">                 + Trên địa bàn các xã</t>
  </si>
  <si>
    <t xml:space="preserve"> - Thu đấu giá đất</t>
  </si>
  <si>
    <t>Thu tiền cấp quyền khai thác khoáng sản</t>
  </si>
  <si>
    <t>Tr.đó: - Thu ngân sách Trung ương, tỉnh</t>
  </si>
  <si>
    <t xml:space="preserve">           - Thu khác (cân đối NS huyện)</t>
  </si>
  <si>
    <t>Thu hải quan</t>
  </si>
  <si>
    <t>DỰ TOÁN THU NGÂN SÁCH NHÀ NƯỚC THEO LĨNH VỰC NĂM 2021</t>
  </si>
  <si>
    <t xml:space="preserve"> (kèm theo Báo cáo số:           /BC-UBND ngày        /11/2020 của UBND huyện Tủa Chùa) </t>
  </si>
  <si>
    <t>Biểu mẫu số 17 - NĐ 31/2017/NĐ-CP</t>
  </si>
  <si>
    <t>3=2-1</t>
  </si>
  <si>
    <t>CHI CÂN ĐỐI NSĐP</t>
  </si>
  <si>
    <t>Đầu tư hạ tầng từ nguồn thu cấp quyền sử dụng đất</t>
  </si>
  <si>
    <t xml:space="preserve">Đầu tư hạ tầng từ nguồn thu đấu giá đất </t>
  </si>
  <si>
    <t>Chi sự nghiệp khoa học, công nghệ</t>
  </si>
  <si>
    <t>CHI CHƯƠNG TRÌNH MỤC TIÊU, NHIỆM VỤ</t>
  </si>
  <si>
    <t xml:space="preserve"> Chương trình giảm nghèo bền vững</t>
  </si>
  <si>
    <t>Hỗ trợ trực tiếp cho các xã, bao gồm: Kinh phí hỗ trợ dự án phát triển sản xuất liên kết theo chuỗi giá trị, gắn sản xuất với tiêu thụ sản phẩm; đào tạo nghề lao động nông thôn 1 lớp/1 xã ;chi hỗ trợ xây dựng nhà tiêu hợp vệ sinh; chi hỗ trợ xây dựng chuồng trại chăn nuôi hợp vệ sinh; chi hỗ trợ xây dựng hố rác để tự phân loại và xử lý chất thải rắn tại gia đình</t>
  </si>
  <si>
    <t xml:space="preserve">Dự án giảm nghèo các tỉnh miền núi phía Bắc giai đoạn 2 
</t>
  </si>
  <si>
    <t>Bổ sung mục tiêu vốn đầu tư</t>
  </si>
  <si>
    <t>Bổ sung mục tiêu vốn sự nghiệp</t>
  </si>
  <si>
    <t>Chương trình tái cơ cấu kinh tế nông nghiệp và phòng chống giảm nhẹ thiên tai, ổn định đời sống dân cư</t>
  </si>
  <si>
    <t>Chương trình mục tiêu văn hóa</t>
  </si>
  <si>
    <t>DỰ TOÁN CHI NGÂN SÁCH ĐỊA PHƯƠNG THEO CƠ CẤU CHI NĂM 2021</t>
  </si>
  <si>
    <t>Ước TH 
năm 2020</t>
  </si>
  <si>
    <t>Dự toán 
năm 2020</t>
  </si>
  <si>
    <t>Dự toán 
năm 2021</t>
  </si>
  <si>
    <t>Chi đầu tư xây dựng vốn cơ dựng vốn trong nước</t>
  </si>
  <si>
    <t>Thực hiện 11 tháng</t>
  </si>
  <si>
    <t>Chi Giáo dục - Đào tạo và dạy nghề</t>
  </si>
  <si>
    <t>Đơn vị tính: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</si>
</sst>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0_);_(* \(#,##0\);_(* &quot;-&quot;_);_(@_)"/>
    <numFmt numFmtId="43" formatCode="_(* #,##0.00_);_(* \(#,##0.00\);_(* &quot;-&quot;??_);_(@_)"/>
    <numFmt numFmtId="164" formatCode="_-* #,##0.00\ _₫_-;\-* #,##0.00\ _₫_-;_-* &quot;-&quot;??\ _₫_-;_-@_-"/>
    <numFmt numFmtId="165" formatCode="_(* #,##0.0_);_(* \(#,##0.0\);_(* &quot;-&quot;??_);_(@_)"/>
    <numFmt numFmtId="166" formatCode="_(* #,##0_);_(* \(#,##0\);_(* &quot;-&quot;??_);_(@_)"/>
    <numFmt numFmtId="167" formatCode="0.0"/>
    <numFmt numFmtId="168" formatCode="_(* #,##0.000_);_(* \(#,##0.000\);_(* &quot;-&quot;??_);_(@_)"/>
    <numFmt numFmtId="169" formatCode="0.00;[Red]0.00"/>
    <numFmt numFmtId="170" formatCode="_-* #,##0\ _₫_-;\-* #,##0\ _₫_-;_-* &quot;-&quot;??\ _₫_-;_-@_-"/>
    <numFmt numFmtId="171" formatCode="#,##0.0"/>
    <numFmt numFmtId="172" formatCode="#,##0.000"/>
    <numFmt numFmtId="173" formatCode="_-* #,##0.00\ _₫_-;\-* #,##0.00\ _₫_-;_-* &quot;-&quot;&quot;?&quot;&quot;?&quot;\ _₫_-;_-@_-"/>
    <numFmt numFmtId="174" formatCode="0.0%"/>
    <numFmt numFmtId="175" formatCode="_(* #,##0.0_);_(* \(#,##0.0\);_(* &quot;-&quot;?_);_(@_)"/>
    <numFmt numFmtId="176" formatCode="_-* #,##0.0\ _₫_-;\-* #,##0.0\ _₫_-;_-* &quot;-&quot;?\ _₫_-;_-@_-"/>
    <numFmt numFmtId="177" formatCode="0.0000%"/>
    <numFmt numFmtId="178" formatCode="#,##0;\-#,##0;&quot;-&quot;"/>
    <numFmt numFmtId="179" formatCode="#,##0.00;\-#,##0.00;&quot;-&quot;"/>
    <numFmt numFmtId="180" formatCode="#,##0.000\ &quot;₫&quot;"/>
    <numFmt numFmtId="181" formatCode="#,##0.0000"/>
    <numFmt numFmtId="182" formatCode="#,##0.000;\-#,##0.000;&quot;-&quot;"/>
    <numFmt numFmtId="183" formatCode="#,##0.00000;\-#,##0.00000;&quot;-&quot;"/>
    <numFmt numFmtId="184" formatCode="#,##0.000000"/>
    <numFmt numFmtId="185" formatCode="_-* #,##0\ _₫_-;\-* #,##0\ _₫_-;_-* &quot;-&quot;&quot;?&quot;&quot;?&quot;\ _₫_-;_-@_-"/>
    <numFmt numFmtId="186" formatCode="0.000"/>
    <numFmt numFmtId="187" formatCode="_(* #,##0.00000_);_(* \(#,##0.00000\);_(* &quot;-&quot;??_);_(@_)"/>
    <numFmt numFmtId="188" formatCode="_(* #,##0.0000_);_(* \(#,##0.0000\);_(* &quot;-&quot;??_);_(@_)"/>
    <numFmt numFmtId="189" formatCode="#,##0.00000"/>
    <numFmt numFmtId="190" formatCode="_-* #,##0.000\ _€_-;\-* #,##0.000\ _€_-;_-* &quot;-&quot;??\ _€_-;_-@_-"/>
    <numFmt numFmtId="191" formatCode="_-* #,##0\ _€_-;\-* #,##0\ _€_-;_-* &quot;-&quot;??\ _€_-;_-@_-"/>
  </numFmts>
  <fonts count="93">
    <font>
      <sz val="11"/>
      <color theme="1"/>
      <name val="times new roman"/>
      <family val="2"/>
      <charset val="163"/>
    </font>
    <font>
      <sz val="11"/>
      <color indexed="8"/>
      <name val="Calibri"/>
      <family val="2"/>
    </font>
    <font>
      <sz val="11"/>
      <color indexed="8"/>
      <name val="Calibri"/>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2"/>
      <color indexed="8"/>
      <name val="Times New Roman"/>
      <family val="1"/>
    </font>
    <font>
      <i/>
      <sz val="12"/>
      <color indexed="8"/>
      <name val="Times New Roman"/>
      <family val="1"/>
    </font>
    <font>
      <b/>
      <sz val="11"/>
      <color indexed="8"/>
      <name val="times new roman"/>
      <family val="1"/>
    </font>
    <font>
      <sz val="12"/>
      <name val="Times New Roman"/>
      <family val="1"/>
    </font>
    <font>
      <b/>
      <i/>
      <sz val="12"/>
      <name val="Times New Roman"/>
      <family val="1"/>
    </font>
    <font>
      <b/>
      <sz val="14"/>
      <name val="Times New Roman"/>
      <family val="1"/>
    </font>
    <font>
      <sz val="8"/>
      <name val="times new roman"/>
      <family val="2"/>
      <charset val="163"/>
    </font>
    <font>
      <sz val="11"/>
      <color indexed="8"/>
      <name val="times new roman"/>
      <family val="2"/>
      <charset val="163"/>
    </font>
    <font>
      <sz val="10"/>
      <name val="Times New Roman"/>
      <family val="1"/>
    </font>
    <font>
      <b/>
      <sz val="10"/>
      <name val="Times New Roman"/>
      <family val="1"/>
    </font>
    <font>
      <sz val="13"/>
      <name val="Times New Roman"/>
      <family val="1"/>
    </font>
    <font>
      <sz val="10"/>
      <name val=".VnTime"/>
      <family val="2"/>
    </font>
    <font>
      <sz val="11"/>
      <name val="Times New Roman"/>
      <family val="1"/>
    </font>
    <font>
      <sz val="14"/>
      <name val="Times New Roman"/>
      <family val="1"/>
    </font>
    <font>
      <i/>
      <sz val="14"/>
      <name val="Times New Roman"/>
      <family val="1"/>
    </font>
    <font>
      <b/>
      <sz val="13"/>
      <name val="Times New Roman"/>
      <family val="1"/>
    </font>
    <font>
      <sz val="10"/>
      <name val="Arial"/>
      <family val="2"/>
    </font>
    <font>
      <sz val="12"/>
      <name val="Times New Roman"/>
      <family val="1"/>
      <charset val="163"/>
    </font>
    <font>
      <sz val="10"/>
      <name val="Helv"/>
      <family val="2"/>
    </font>
    <font>
      <sz val="10"/>
      <name val="Arial"/>
      <family val="2"/>
    </font>
    <font>
      <sz val="11"/>
      <color indexed="8"/>
      <name val="Arial"/>
      <family val="2"/>
    </font>
    <font>
      <i/>
      <sz val="14"/>
      <color indexed="8"/>
      <name val="Times New Roman"/>
      <family val="1"/>
    </font>
    <font>
      <sz val="11"/>
      <color indexed="8"/>
      <name val="Times New Roman"/>
      <family val="1"/>
    </font>
    <font>
      <b/>
      <i/>
      <sz val="14"/>
      <name val="Times New Roman"/>
      <family val="1"/>
    </font>
    <font>
      <i/>
      <sz val="11"/>
      <color indexed="8"/>
      <name val="Times New Roman"/>
      <family val="1"/>
    </font>
    <font>
      <sz val="11"/>
      <color indexed="8"/>
      <name val="times new roman"/>
      <family val="2"/>
      <charset val="163"/>
    </font>
    <font>
      <sz val="12"/>
      <color indexed="10"/>
      <name val="Times New Roman"/>
      <family val="1"/>
    </font>
    <font>
      <b/>
      <sz val="11"/>
      <name val="Times New Roman"/>
      <family val="1"/>
    </font>
    <font>
      <i/>
      <sz val="13"/>
      <name val="Times New Roman"/>
      <family val="1"/>
    </font>
    <font>
      <sz val="8"/>
      <name val="Times New Roman"/>
      <family val="1"/>
    </font>
    <font>
      <b/>
      <sz val="12"/>
      <name val="Times New Roman"/>
      <family val="1"/>
      <charset val="163"/>
    </font>
    <font>
      <sz val="10"/>
      <name val="Times New Roman"/>
      <family val="1"/>
      <charset val="163"/>
    </font>
    <font>
      <sz val="12"/>
      <name val=".VnTime"/>
      <family val="2"/>
    </font>
    <font>
      <sz val="13"/>
      <name val=".VnTime"/>
      <family val="2"/>
    </font>
    <font>
      <sz val="12"/>
      <name val=".VnArial Narrow"/>
      <family val="2"/>
    </font>
    <font>
      <b/>
      <sz val="12"/>
      <name val=".VnTime"/>
      <family val="2"/>
    </font>
    <font>
      <sz val="14"/>
      <color indexed="8"/>
      <name val="Times New Roman"/>
      <family val="1"/>
    </font>
    <font>
      <b/>
      <sz val="13"/>
      <name val="Times New Roman"/>
      <family val="1"/>
      <charset val="163"/>
    </font>
    <font>
      <b/>
      <sz val="14"/>
      <name val="Times New Roman"/>
      <family val="1"/>
      <charset val="163"/>
    </font>
    <font>
      <b/>
      <sz val="16"/>
      <color indexed="8"/>
      <name val="Times New Roman"/>
      <family val="1"/>
    </font>
    <font>
      <i/>
      <sz val="14"/>
      <color indexed="8"/>
      <name val="Times New Roman"/>
      <family val="1"/>
    </font>
    <font>
      <b/>
      <sz val="12"/>
      <color indexed="8"/>
      <name val="Times New Roman"/>
      <family val="1"/>
    </font>
    <font>
      <sz val="10"/>
      <color indexed="8"/>
      <name val="Times New Roman"/>
      <family val="1"/>
    </font>
    <font>
      <sz val="12"/>
      <color indexed="8"/>
      <name val="Times New Roman"/>
      <family val="1"/>
    </font>
    <font>
      <sz val="12"/>
      <color indexed="8"/>
      <name val="Times New Roman"/>
      <family val="1"/>
      <charset val="163"/>
    </font>
    <font>
      <b/>
      <i/>
      <sz val="14"/>
      <color indexed="8"/>
      <name val="Times New Roman"/>
      <family val="1"/>
    </font>
    <font>
      <sz val="14"/>
      <color indexed="9"/>
      <name val="Times New Roman"/>
      <family val="1"/>
    </font>
    <font>
      <sz val="11"/>
      <color indexed="8"/>
      <name val="Calibri"/>
      <family val="2"/>
      <charset val="163"/>
    </font>
    <font>
      <sz val="12"/>
      <name val="Times New Roman"/>
      <family val="1"/>
    </font>
    <font>
      <sz val="13"/>
      <color indexed="10"/>
      <name val="Times New Roman"/>
      <family val="1"/>
    </font>
    <font>
      <b/>
      <i/>
      <sz val="13"/>
      <name val="Times New Roman"/>
      <family val="1"/>
    </font>
    <font>
      <sz val="10"/>
      <color indexed="8"/>
      <name val="MS Sans Serif"/>
      <family val="2"/>
    </font>
    <font>
      <b/>
      <sz val="16"/>
      <name val="Times New Roman"/>
      <family val="1"/>
    </font>
    <font>
      <b/>
      <sz val="10"/>
      <color indexed="8"/>
      <name val="Times New Roman"/>
      <family val="1"/>
    </font>
    <font>
      <b/>
      <i/>
      <sz val="10"/>
      <name val="Times New Roman"/>
      <family val="1"/>
    </font>
    <font>
      <i/>
      <sz val="10"/>
      <name val="Times New Roman"/>
      <family val="1"/>
    </font>
    <font>
      <b/>
      <sz val="10"/>
      <color rgb="FF002060"/>
      <name val="Times New Roman"/>
      <family val="1"/>
    </font>
    <font>
      <sz val="10"/>
      <color rgb="FF002060"/>
      <name val="Times New Roman"/>
      <family val="1"/>
    </font>
    <font>
      <i/>
      <sz val="10"/>
      <color rgb="FF002060"/>
      <name val="Times New Roman"/>
      <family val="1"/>
    </font>
    <font>
      <b/>
      <sz val="10"/>
      <color indexed="9"/>
      <name val="Times New Roman"/>
      <family val="1"/>
    </font>
    <font>
      <sz val="10"/>
      <color indexed="9"/>
      <name val="Times New Roman"/>
      <family val="1"/>
    </font>
    <font>
      <b/>
      <sz val="10"/>
      <color indexed="10"/>
      <name val="Times New Roman"/>
      <family val="1"/>
    </font>
    <font>
      <sz val="10"/>
      <color indexed="10"/>
      <name val="Times New Roman"/>
      <family val="1"/>
    </font>
    <font>
      <sz val="11"/>
      <color theme="1"/>
      <name val="Times New Roman"/>
      <family val="1"/>
    </font>
    <font>
      <b/>
      <sz val="12.5"/>
      <name val="Times New Roman"/>
      <family val="1"/>
    </font>
    <font>
      <sz val="12.5"/>
      <name val="Times New Roman"/>
      <family val="1"/>
    </font>
    <font>
      <b/>
      <i/>
      <sz val="12.5"/>
      <name val="Times New Roman"/>
      <family val="1"/>
    </font>
    <font>
      <i/>
      <sz val="14"/>
      <name val="Times New Roman"/>
      <family val="1"/>
      <charset val="163"/>
    </font>
    <font>
      <b/>
      <sz val="12"/>
      <name val=".VnArial Narrow"/>
      <family val="2"/>
    </font>
    <font>
      <b/>
      <u/>
      <sz val="12"/>
      <name val="Times New Roman"/>
      <family val="1"/>
    </font>
    <font>
      <b/>
      <u/>
      <sz val="10"/>
      <name val="Times New Roman"/>
      <family val="1"/>
    </font>
    <font>
      <sz val="12"/>
      <color theme="1"/>
      <name val="Times New Roman"/>
      <family val="2"/>
    </font>
    <font>
      <b/>
      <sz val="9"/>
      <name val="Times New Roman"/>
      <family val="1"/>
    </font>
    <font>
      <b/>
      <sz val="10"/>
      <name val="Times New Roman"/>
      <family val="1"/>
      <charset val="163"/>
    </font>
    <font>
      <sz val="12"/>
      <color rgb="FFFF0000"/>
      <name val="Times New Roman"/>
      <family val="1"/>
    </font>
    <font>
      <b/>
      <sz val="13"/>
      <color indexed="8"/>
      <name val="Calibri"/>
      <family val="2"/>
    </font>
    <font>
      <i/>
      <sz val="12.5"/>
      <name val="Times New Roman"/>
      <family val="1"/>
    </font>
    <font>
      <b/>
      <sz val="14"/>
      <color indexed="8"/>
      <name val="Times New Roman"/>
      <family val="1"/>
    </font>
    <font>
      <i/>
      <sz val="11"/>
      <color theme="1"/>
      <name val="Times New Roman"/>
      <family val="1"/>
    </font>
    <font>
      <i/>
      <sz val="11"/>
      <name val="Times New Roman"/>
      <family val="1"/>
    </font>
    <font>
      <b/>
      <sz val="12"/>
      <name val="Times New Romanh"/>
    </font>
    <font>
      <sz val="14"/>
      <name val=".VnTime"/>
      <family val="2"/>
    </font>
    <font>
      <sz val="14"/>
      <name val="Times New Roman"/>
      <family val="1"/>
      <charset val="163"/>
    </font>
    <font>
      <sz val="12"/>
      <color indexed="8"/>
      <name val="Times New Roman"/>
      <family val="2"/>
    </font>
    <font>
      <i/>
      <sz val="10"/>
      <color indexed="10"/>
      <name val="Times New Roman"/>
      <family val="1"/>
    </font>
    <font>
      <b/>
      <i/>
      <sz val="10"/>
      <color indexed="10"/>
      <name val="Times New Roman"/>
      <family val="1"/>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8"/>
      </left>
      <right/>
      <top/>
      <bottom/>
      <diagonal/>
    </border>
    <border>
      <left style="thin">
        <color indexed="64"/>
      </left>
      <right/>
      <top style="medium">
        <color indexed="64"/>
      </top>
      <bottom/>
      <diagonal/>
    </border>
  </borders>
  <cellStyleXfs count="51">
    <xf numFmtId="0" fontId="0" fillId="0" borderId="0"/>
    <xf numFmtId="0" fontId="20" fillId="0" borderId="0"/>
    <xf numFmtId="0" fontId="1" fillId="0" borderId="0"/>
    <xf numFmtId="0" fontId="20" fillId="0" borderId="0"/>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73" fontId="55" fillId="0" borderId="0" applyFont="0" applyFill="0" applyBorder="0" applyAlignment="0" applyProtection="0"/>
    <xf numFmtId="43" fontId="20" fillId="0" borderId="0" applyFont="0" applyFill="0" applyBorder="0" applyAlignment="0" applyProtection="0"/>
    <xf numFmtId="41" fontId="14" fillId="0" borderId="0" applyFont="0" applyFill="0" applyBorder="0" applyAlignment="0" applyProtection="0"/>
    <xf numFmtId="43" fontId="1" fillId="0" borderId="0" applyFont="0" applyFill="0" applyBorder="0" applyAlignment="0" applyProtection="0"/>
    <xf numFmtId="0" fontId="25" fillId="0" borderId="0"/>
    <xf numFmtId="0" fontId="27" fillId="0" borderId="0"/>
    <xf numFmtId="0" fontId="27" fillId="0" borderId="0"/>
    <xf numFmtId="0" fontId="27" fillId="0" borderId="0"/>
    <xf numFmtId="0" fontId="54" fillId="0" borderId="0"/>
    <xf numFmtId="0" fontId="38" fillId="0" borderId="0"/>
    <xf numFmtId="0" fontId="39" fillId="0" borderId="0"/>
    <xf numFmtId="0" fontId="41" fillId="0" borderId="0"/>
    <xf numFmtId="0" fontId="10" fillId="0" borderId="0"/>
    <xf numFmtId="0" fontId="1" fillId="0" borderId="0"/>
    <xf numFmtId="0" fontId="10" fillId="0" borderId="0"/>
    <xf numFmtId="0" fontId="41" fillId="0" borderId="0"/>
    <xf numFmtId="0" fontId="41" fillId="0" borderId="0"/>
    <xf numFmtId="0" fontId="26" fillId="0" borderId="0"/>
    <xf numFmtId="0" fontId="40" fillId="0" borderId="0"/>
    <xf numFmtId="0" fontId="58" fillId="0" borderId="0"/>
    <xf numFmtId="0" fontId="25" fillId="0" borderId="0"/>
    <xf numFmtId="9" fontId="32" fillId="0" borderId="0" applyFont="0" applyFill="0" applyBorder="0" applyAlignment="0" applyProtection="0"/>
    <xf numFmtId="0" fontId="18" fillId="0" borderId="0" applyNumberFormat="0" applyFill="0" applyBorder="0" applyAlignment="0" applyProtection="0"/>
    <xf numFmtId="0" fontId="25" fillId="0" borderId="0"/>
    <xf numFmtId="0" fontId="18" fillId="0" borderId="0" applyNumberFormat="0" applyFill="0" applyBorder="0" applyAlignment="0" applyProtection="0"/>
    <xf numFmtId="43" fontId="26" fillId="0" borderId="0" applyFont="0" applyFill="0" applyBorder="0" applyAlignment="0" applyProtection="0"/>
    <xf numFmtId="0" fontId="41" fillId="0" borderId="0"/>
    <xf numFmtId="0" fontId="39" fillId="0" borderId="0"/>
    <xf numFmtId="0" fontId="15" fillId="0" borderId="0"/>
    <xf numFmtId="0" fontId="39" fillId="0" borderId="0"/>
    <xf numFmtId="0" fontId="78" fillId="0" borderId="0"/>
    <xf numFmtId="173" fontId="10" fillId="0" borderId="0" applyFont="0" applyFill="0" applyBorder="0" applyAlignment="0" applyProtection="0"/>
    <xf numFmtId="0" fontId="39" fillId="0" borderId="0"/>
    <xf numFmtId="0" fontId="90" fillId="0" borderId="0"/>
    <xf numFmtId="0" fontId="23" fillId="0" borderId="0"/>
    <xf numFmtId="43" fontId="90" fillId="0" borderId="0" applyFont="0" applyFill="0" applyBorder="0" applyAlignment="0" applyProtection="0"/>
    <xf numFmtId="0" fontId="90" fillId="0" borderId="0"/>
  </cellStyleXfs>
  <cellXfs count="1373">
    <xf numFmtId="0" fontId="0" fillId="0" borderId="0" xfId="0"/>
    <xf numFmtId="0" fontId="0" fillId="0" borderId="0" xfId="0" applyAlignment="1"/>
    <xf numFmtId="0" fontId="6" fillId="0" borderId="0" xfId="0" applyFont="1" applyAlignment="1">
      <alignment vertical="center"/>
    </xf>
    <xf numFmtId="0" fontId="8" fillId="0" borderId="0" xfId="0" applyFont="1" applyAlignment="1">
      <alignment horizontal="righ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6" fillId="0" borderId="0" xfId="0" applyFont="1" applyAlignment="1">
      <alignment horizontal="righ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166" fontId="7" fillId="0" borderId="1" xfId="4" applyNumberFormat="1" applyFont="1" applyBorder="1" applyAlignment="1">
      <alignment horizontal="center" vertical="center" wrapText="1"/>
    </xf>
    <xf numFmtId="0" fontId="10" fillId="0" borderId="0" xfId="0" applyFont="1" applyFill="1"/>
    <xf numFmtId="0" fontId="15" fillId="0" borderId="0" xfId="0" applyFont="1" applyFill="1"/>
    <xf numFmtId="166" fontId="6" fillId="0" borderId="1" xfId="0" applyNumberFormat="1" applyFont="1" applyBorder="1" applyAlignment="1">
      <alignment horizontal="center" vertical="center" wrapText="1"/>
    </xf>
    <xf numFmtId="166" fontId="7" fillId="0" borderId="1" xfId="4" applyNumberFormat="1" applyFont="1" applyBorder="1" applyAlignment="1">
      <alignment horizontal="right" vertical="center" wrapText="1"/>
    </xf>
    <xf numFmtId="166" fontId="6" fillId="0" borderId="1" xfId="4" applyNumberFormat="1" applyFont="1" applyBorder="1" applyAlignment="1">
      <alignment horizontal="center" vertical="center" wrapText="1"/>
    </xf>
    <xf numFmtId="166" fontId="0" fillId="0" borderId="0" xfId="0" applyNumberFormat="1"/>
    <xf numFmtId="168" fontId="6" fillId="0" borderId="2" xfId="4" applyNumberFormat="1" applyFont="1" applyFill="1" applyBorder="1" applyAlignment="1">
      <alignment horizontal="center" vertical="center" wrapText="1"/>
    </xf>
    <xf numFmtId="167" fontId="7" fillId="0" borderId="1" xfId="0" applyNumberFormat="1" applyFont="1" applyBorder="1" applyAlignment="1">
      <alignment horizontal="right" vertical="center" wrapText="1"/>
    </xf>
    <xf numFmtId="166" fontId="6" fillId="0" borderId="1" xfId="4" applyNumberFormat="1" applyFont="1" applyBorder="1" applyAlignment="1">
      <alignment horizontal="right" vertical="center" wrapText="1"/>
    </xf>
    <xf numFmtId="166" fontId="7" fillId="0" borderId="1" xfId="0" applyNumberFormat="1" applyFont="1" applyBorder="1" applyAlignment="1">
      <alignment horizontal="center" vertical="center" wrapText="1"/>
    </xf>
    <xf numFmtId="166" fontId="0" fillId="0" borderId="0" xfId="4" applyNumberFormat="1" applyFont="1"/>
    <xf numFmtId="0" fontId="9" fillId="0" borderId="0" xfId="0" applyFont="1"/>
    <xf numFmtId="0" fontId="19" fillId="0" borderId="0" xfId="0" applyFont="1" applyFill="1"/>
    <xf numFmtId="166" fontId="19" fillId="0" borderId="0" xfId="4" applyNumberFormat="1" applyFont="1" applyFill="1"/>
    <xf numFmtId="0" fontId="20" fillId="0" borderId="0" xfId="0" applyFont="1" applyFill="1" applyBorder="1"/>
    <xf numFmtId="0" fontId="20" fillId="0" borderId="0" xfId="0" applyFont="1" applyFill="1"/>
    <xf numFmtId="43" fontId="3" fillId="0" borderId="1" xfId="4" applyFont="1" applyFill="1" applyBorder="1" applyAlignment="1">
      <alignment horizontal="center" vertical="center" wrapText="1"/>
    </xf>
    <xf numFmtId="43" fontId="22" fillId="0" borderId="1" xfId="4" applyFont="1" applyFill="1" applyBorder="1" applyAlignment="1">
      <alignment horizontal="center" vertical="center" wrapText="1"/>
    </xf>
    <xf numFmtId="166" fontId="22" fillId="0" borderId="1" xfId="4" applyNumberFormat="1" applyFont="1" applyFill="1" applyBorder="1" applyAlignment="1">
      <alignment horizontal="center"/>
    </xf>
    <xf numFmtId="166" fontId="22" fillId="0" borderId="1" xfId="4" applyNumberFormat="1" applyFont="1" applyFill="1" applyBorder="1" applyAlignment="1">
      <alignment vertical="center" wrapText="1"/>
    </xf>
    <xf numFmtId="166" fontId="3" fillId="0" borderId="1" xfId="4" applyNumberFormat="1" applyFont="1" applyFill="1" applyBorder="1" applyAlignment="1">
      <alignment vertical="center" wrapText="1"/>
    </xf>
    <xf numFmtId="43" fontId="17" fillId="0" borderId="0" xfId="4" applyFont="1" applyFill="1" applyBorder="1"/>
    <xf numFmtId="166" fontId="3" fillId="0" borderId="1" xfId="4" applyNumberFormat="1" applyFont="1" applyFill="1" applyBorder="1" applyAlignment="1">
      <alignment horizontal="right"/>
    </xf>
    <xf numFmtId="43" fontId="12" fillId="0" borderId="0" xfId="4" applyFont="1" applyFill="1" applyBorder="1"/>
    <xf numFmtId="166" fontId="10" fillId="0" borderId="1" xfId="4" applyNumberFormat="1" applyFont="1" applyFill="1" applyBorder="1" applyAlignment="1">
      <alignment horizontal="right"/>
    </xf>
    <xf numFmtId="43" fontId="20" fillId="0" borderId="0" xfId="4" applyFont="1" applyFill="1" applyBorder="1"/>
    <xf numFmtId="166" fontId="10" fillId="0" borderId="1" xfId="4" applyNumberFormat="1" applyFont="1" applyFill="1" applyBorder="1" applyAlignment="1">
      <alignment vertical="center" wrapText="1"/>
    </xf>
    <xf numFmtId="43" fontId="3" fillId="0" borderId="1" xfId="4" applyFont="1" applyFill="1" applyBorder="1" applyAlignment="1">
      <alignment horizontal="left"/>
    </xf>
    <xf numFmtId="166" fontId="3" fillId="0" borderId="1" xfId="4" applyNumberFormat="1" applyFont="1" applyFill="1" applyBorder="1" applyAlignment="1">
      <alignment horizontal="center"/>
    </xf>
    <xf numFmtId="43" fontId="3" fillId="0" borderId="1" xfId="4" applyFont="1" applyFill="1" applyBorder="1"/>
    <xf numFmtId="166" fontId="10" fillId="0" borderId="1" xfId="4" applyNumberFormat="1" applyFont="1" applyFill="1" applyBorder="1" applyAlignment="1">
      <alignment horizontal="center"/>
    </xf>
    <xf numFmtId="43" fontId="10" fillId="0" borderId="1" xfId="4" applyFont="1" applyFill="1" applyBorder="1"/>
    <xf numFmtId="43" fontId="10" fillId="0" borderId="1" xfId="4" applyFont="1" applyFill="1" applyBorder="1" applyAlignment="1"/>
    <xf numFmtId="0" fontId="10" fillId="0" borderId="1" xfId="0" applyFont="1" applyFill="1" applyBorder="1"/>
    <xf numFmtId="166" fontId="5" fillId="0" borderId="1" xfId="4" applyNumberFormat="1" applyFont="1" applyFill="1" applyBorder="1" applyAlignment="1">
      <alignment horizontal="center"/>
    </xf>
    <xf numFmtId="43" fontId="5" fillId="0" borderId="1" xfId="4" applyFont="1" applyFill="1" applyBorder="1"/>
    <xf numFmtId="166" fontId="5" fillId="0" borderId="1" xfId="4" applyNumberFormat="1" applyFont="1" applyFill="1" applyBorder="1" applyAlignment="1">
      <alignment horizontal="right"/>
    </xf>
    <xf numFmtId="43" fontId="10" fillId="0" borderId="1" xfId="4" applyFont="1" applyFill="1" applyBorder="1" applyAlignment="1">
      <alignment horizontal="left" wrapText="1"/>
    </xf>
    <xf numFmtId="43" fontId="5" fillId="0" borderId="1" xfId="4" applyFont="1" applyFill="1" applyBorder="1" applyAlignment="1">
      <alignment horizontal="left" wrapText="1"/>
    </xf>
    <xf numFmtId="0" fontId="10" fillId="0" borderId="1" xfId="0" applyFont="1" applyFill="1" applyBorder="1" applyAlignment="1">
      <alignment wrapText="1"/>
    </xf>
    <xf numFmtId="43" fontId="15" fillId="0" borderId="1" xfId="4" applyFont="1" applyFill="1" applyBorder="1" applyAlignment="1">
      <alignment horizontal="left"/>
    </xf>
    <xf numFmtId="43" fontId="10" fillId="0" borderId="1" xfId="4" applyFont="1" applyFill="1" applyBorder="1" applyAlignment="1">
      <alignment horizontal="left"/>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3" fillId="0" borderId="1" xfId="0" applyFont="1" applyFill="1" applyBorder="1"/>
    <xf numFmtId="0" fontId="20" fillId="0" borderId="1" xfId="0" applyFont="1" applyFill="1" applyBorder="1"/>
    <xf numFmtId="43" fontId="5" fillId="0" borderId="1" xfId="4" applyFont="1" applyFill="1" applyBorder="1" applyAlignment="1"/>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xf>
    <xf numFmtId="166" fontId="20" fillId="0" borderId="0" xfId="4" applyNumberFormat="1" applyFont="1" applyFill="1"/>
    <xf numFmtId="0" fontId="12" fillId="0" borderId="1" xfId="0" applyFont="1" applyFill="1" applyBorder="1"/>
    <xf numFmtId="0" fontId="3" fillId="0" borderId="1" xfId="0" applyFont="1" applyFill="1" applyBorder="1" applyAlignment="1">
      <alignment wrapText="1"/>
    </xf>
    <xf numFmtId="166" fontId="6" fillId="0" borderId="2" xfId="0" applyNumberFormat="1" applyFont="1" applyFill="1" applyBorder="1" applyAlignment="1">
      <alignment horizontal="center" vertical="center" wrapText="1"/>
    </xf>
    <xf numFmtId="166" fontId="3" fillId="0" borderId="3" xfId="4" applyNumberFormat="1" applyFont="1" applyFill="1" applyBorder="1" applyAlignment="1">
      <alignment horizontal="center" vertical="center"/>
    </xf>
    <xf numFmtId="43" fontId="3" fillId="0" borderId="3" xfId="4" applyFont="1" applyFill="1" applyBorder="1" applyAlignment="1">
      <alignment horizontal="center" vertical="center"/>
    </xf>
    <xf numFmtId="43" fontId="3" fillId="0" borderId="3" xfId="4" applyFont="1" applyFill="1" applyBorder="1" applyAlignment="1">
      <alignment horizontal="center" vertical="center" wrapText="1"/>
    </xf>
    <xf numFmtId="0" fontId="16" fillId="0" borderId="0" xfId="0" applyFont="1" applyFill="1"/>
    <xf numFmtId="166" fontId="16" fillId="0" borderId="0" xfId="0" applyNumberFormat="1" applyFont="1" applyFill="1"/>
    <xf numFmtId="43" fontId="12" fillId="0" borderId="1" xfId="4" applyFont="1" applyFill="1" applyBorder="1" applyAlignment="1">
      <alignment horizontal="left" vertical="center"/>
    </xf>
    <xf numFmtId="166" fontId="12" fillId="0" borderId="1" xfId="4" applyNumberFormat="1" applyFont="1" applyFill="1" applyBorder="1" applyAlignment="1">
      <alignment horizontal="center" vertical="center"/>
    </xf>
    <xf numFmtId="43" fontId="12" fillId="0" borderId="1" xfId="4" applyFont="1" applyFill="1" applyBorder="1" applyAlignment="1">
      <alignment horizontal="left" vertical="center" wrapText="1"/>
    </xf>
    <xf numFmtId="0" fontId="12" fillId="0" borderId="0" xfId="0" applyFont="1" applyFill="1" applyAlignment="1">
      <alignment vertical="center"/>
    </xf>
    <xf numFmtId="166" fontId="12" fillId="0" borderId="1" xfId="4" applyNumberFormat="1" applyFont="1" applyFill="1" applyBorder="1" applyAlignment="1">
      <alignment horizontal="center" vertical="center" wrapText="1"/>
    </xf>
    <xf numFmtId="166" fontId="20" fillId="0" borderId="1" xfId="4" applyNumberFormat="1" applyFont="1" applyFill="1" applyBorder="1"/>
    <xf numFmtId="166" fontId="20" fillId="0" borderId="1" xfId="4" applyNumberFormat="1" applyFont="1" applyFill="1" applyBorder="1" applyAlignment="1">
      <alignment horizontal="center"/>
    </xf>
    <xf numFmtId="166" fontId="21" fillId="0" borderId="1" xfId="4" applyNumberFormat="1" applyFont="1" applyFill="1" applyBorder="1" applyAlignment="1">
      <alignment horizontal="center" vertical="center"/>
    </xf>
    <xf numFmtId="43" fontId="20" fillId="0" borderId="1" xfId="4" applyFont="1" applyFill="1" applyBorder="1" applyAlignment="1">
      <alignment vertical="center"/>
    </xf>
    <xf numFmtId="166" fontId="20" fillId="0" borderId="1" xfId="4" applyNumberFormat="1" applyFont="1" applyFill="1" applyBorder="1" applyAlignment="1">
      <alignment horizontal="center" vertical="center"/>
    </xf>
    <xf numFmtId="43" fontId="12" fillId="0" borderId="1" xfId="4" applyFont="1" applyFill="1" applyBorder="1" applyAlignment="1">
      <alignment vertical="center"/>
    </xf>
    <xf numFmtId="166" fontId="12" fillId="0" borderId="1" xfId="4" applyNumberFormat="1" applyFont="1" applyFill="1" applyBorder="1" applyAlignment="1">
      <alignment horizontal="center"/>
    </xf>
    <xf numFmtId="166" fontId="12" fillId="0" borderId="1" xfId="4" applyNumberFormat="1" applyFont="1" applyFill="1" applyBorder="1"/>
    <xf numFmtId="0" fontId="12" fillId="0" borderId="0" xfId="0" applyFont="1" applyFill="1"/>
    <xf numFmtId="43" fontId="24" fillId="0" borderId="1" xfId="4" applyFont="1" applyFill="1" applyBorder="1" applyAlignment="1">
      <alignment horizontal="left"/>
    </xf>
    <xf numFmtId="43" fontId="24" fillId="0" borderId="1" xfId="4" applyFont="1" applyFill="1" applyBorder="1" applyAlignment="1">
      <alignment horizontal="left" wrapText="1"/>
    </xf>
    <xf numFmtId="0" fontId="24" fillId="0" borderId="1" xfId="0" applyFont="1" applyFill="1" applyBorder="1" applyAlignment="1">
      <alignment horizontal="left" wrapText="1"/>
    </xf>
    <xf numFmtId="0" fontId="12" fillId="0" borderId="1" xfId="0" applyFont="1" applyFill="1" applyBorder="1" applyAlignment="1">
      <alignment horizontal="center"/>
    </xf>
    <xf numFmtId="0" fontId="20" fillId="0" borderId="1" xfId="0" applyFont="1" applyFill="1" applyBorder="1" applyAlignment="1">
      <alignment horizontal="left"/>
    </xf>
    <xf numFmtId="0" fontId="12" fillId="0" borderId="1" xfId="0" applyFont="1" applyFill="1" applyBorder="1" applyAlignment="1">
      <alignment horizontal="left"/>
    </xf>
    <xf numFmtId="0" fontId="20" fillId="0" borderId="1" xfId="0" applyFont="1" applyFill="1" applyBorder="1" applyAlignment="1">
      <alignment horizontal="center"/>
    </xf>
    <xf numFmtId="0" fontId="10" fillId="0" borderId="0" xfId="0" applyFont="1" applyFill="1" applyAlignment="1">
      <alignment horizontal="center"/>
    </xf>
    <xf numFmtId="166" fontId="10" fillId="0" borderId="0" xfId="4" applyNumberFormat="1" applyFont="1" applyFill="1"/>
    <xf numFmtId="166" fontId="12" fillId="0" borderId="3" xfId="4" applyNumberFormat="1" applyFont="1" applyFill="1" applyBorder="1" applyAlignment="1">
      <alignment horizontal="center" vertical="center" wrapText="1"/>
    </xf>
    <xf numFmtId="0" fontId="4" fillId="0" borderId="1" xfId="0" applyFont="1" applyBorder="1" applyAlignment="1">
      <alignment horizontal="center" vertical="center" wrapText="1"/>
    </xf>
    <xf numFmtId="166" fontId="4" fillId="0" borderId="1" xfId="4" applyNumberFormat="1" applyFont="1" applyBorder="1" applyAlignment="1">
      <alignment horizontal="center" vertical="center" wrapText="1"/>
    </xf>
    <xf numFmtId="0" fontId="4" fillId="0" borderId="0" xfId="0" applyFont="1" applyAlignment="1">
      <alignment vertical="center"/>
    </xf>
    <xf numFmtId="43" fontId="0" fillId="0" borderId="0" xfId="4" applyFont="1"/>
    <xf numFmtId="0" fontId="4" fillId="0" borderId="1" xfId="0" applyFont="1" applyBorder="1" applyAlignment="1">
      <alignment vertical="center" wrapText="1"/>
    </xf>
    <xf numFmtId="166" fontId="4" fillId="0" borderId="1" xfId="4" applyNumberFormat="1" applyFont="1" applyBorder="1" applyAlignment="1">
      <alignment horizontal="right" vertical="center" wrapText="1"/>
    </xf>
    <xf numFmtId="0" fontId="29" fillId="0" borderId="0" xfId="0" applyFont="1"/>
    <xf numFmtId="43" fontId="4" fillId="0" borderId="1" xfId="4" applyNumberFormat="1" applyFont="1" applyBorder="1" applyAlignment="1">
      <alignment horizontal="center" vertical="center" wrapText="1"/>
    </xf>
    <xf numFmtId="165" fontId="4" fillId="0" borderId="1" xfId="4" applyNumberFormat="1" applyFont="1" applyBorder="1" applyAlignment="1">
      <alignment horizontal="center" vertical="center" wrapText="1"/>
    </xf>
    <xf numFmtId="0" fontId="10" fillId="0" borderId="0" xfId="0" applyFont="1" applyFill="1" applyAlignment="1">
      <alignment vertical="center"/>
    </xf>
    <xf numFmtId="0" fontId="3" fillId="0" borderId="0" xfId="0" applyFont="1" applyFill="1" applyAlignment="1">
      <alignment vertical="center"/>
    </xf>
    <xf numFmtId="43" fontId="10" fillId="0" borderId="0" xfId="4" applyFont="1" applyFill="1" applyAlignment="1">
      <alignment vertical="center"/>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6" fontId="10" fillId="0" borderId="1" xfId="4"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166" fontId="10" fillId="0" borderId="1" xfId="4" applyNumberFormat="1" applyFont="1" applyFill="1" applyBorder="1" applyAlignment="1">
      <alignment vertical="center"/>
    </xf>
    <xf numFmtId="0" fontId="10" fillId="0" borderId="1" xfId="0" applyFont="1" applyFill="1" applyBorder="1" applyAlignment="1">
      <alignment vertical="center"/>
    </xf>
    <xf numFmtId="166" fontId="30" fillId="0" borderId="1" xfId="4" applyNumberFormat="1" applyFont="1" applyFill="1" applyBorder="1" applyAlignment="1">
      <alignment horizontal="center" vertical="center"/>
    </xf>
    <xf numFmtId="43" fontId="30" fillId="0" borderId="1" xfId="4" applyFont="1" applyFill="1" applyBorder="1" applyAlignment="1">
      <alignment vertical="center"/>
    </xf>
    <xf numFmtId="166" fontId="30" fillId="0" borderId="1" xfId="4" applyNumberFormat="1" applyFont="1" applyFill="1" applyBorder="1" applyAlignment="1">
      <alignment horizontal="center"/>
    </xf>
    <xf numFmtId="0" fontId="30" fillId="0" borderId="0" xfId="0" applyFont="1" applyFill="1"/>
    <xf numFmtId="166" fontId="30" fillId="0" borderId="1" xfId="4" applyNumberFormat="1" applyFont="1" applyFill="1" applyBorder="1" applyAlignment="1">
      <alignment horizontal="center" vertical="center" wrapText="1"/>
    </xf>
    <xf numFmtId="43" fontId="30" fillId="0" borderId="1" xfId="4"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3" fillId="0" borderId="1" xfId="0" applyNumberFormat="1" applyFont="1" applyFill="1" applyBorder="1" applyAlignment="1">
      <alignment horizontal="justify" vertical="center" wrapText="1"/>
    </xf>
    <xf numFmtId="0" fontId="3" fillId="0" borderId="1" xfId="0" applyFont="1" applyFill="1" applyBorder="1" applyAlignment="1">
      <alignment horizontal="center"/>
    </xf>
    <xf numFmtId="0" fontId="20" fillId="0" borderId="2" xfId="0" applyFont="1" applyFill="1" applyBorder="1"/>
    <xf numFmtId="43" fontId="10" fillId="0" borderId="0" xfId="4" applyFont="1" applyFill="1" applyBorder="1"/>
    <xf numFmtId="43" fontId="21" fillId="0" borderId="0" xfId="4" applyFont="1" applyFill="1" applyBorder="1"/>
    <xf numFmtId="43" fontId="12" fillId="0" borderId="0" xfId="4" applyFont="1" applyFill="1" applyBorder="1" applyAlignment="1">
      <alignment horizontal="center"/>
    </xf>
    <xf numFmtId="0" fontId="12" fillId="0" borderId="0" xfId="0" applyFont="1" applyFill="1" applyBorder="1"/>
    <xf numFmtId="0" fontId="3" fillId="0" borderId="0" xfId="0" applyFont="1" applyFill="1" applyBorder="1"/>
    <xf numFmtId="0" fontId="10" fillId="0" borderId="0" xfId="0" applyFont="1" applyFill="1" applyBorder="1"/>
    <xf numFmtId="0" fontId="11" fillId="0" borderId="0" xfId="0" applyFont="1" applyFill="1" applyBorder="1"/>
    <xf numFmtId="0" fontId="5" fillId="0" borderId="0" xfId="0" applyFont="1" applyFill="1" applyBorder="1"/>
    <xf numFmtId="166" fontId="12" fillId="0" borderId="0" xfId="0" applyNumberFormat="1" applyFont="1" applyFill="1" applyAlignment="1">
      <alignment vertical="center"/>
    </xf>
    <xf numFmtId="0" fontId="0" fillId="0" borderId="0" xfId="0" applyFill="1" applyAlignment="1"/>
    <xf numFmtId="0" fontId="6" fillId="0" borderId="0" xfId="0" applyFont="1" applyFill="1" applyAlignment="1">
      <alignment horizontal="right" vertical="center"/>
    </xf>
    <xf numFmtId="0" fontId="0" fillId="0" borderId="0" xfId="0" applyFill="1"/>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1" fillId="0" borderId="0" xfId="0" applyFont="1" applyFill="1"/>
    <xf numFmtId="0" fontId="6" fillId="0" borderId="1" xfId="0" applyFont="1" applyFill="1" applyBorder="1" applyAlignment="1">
      <alignment vertical="center" wrapText="1"/>
    </xf>
    <xf numFmtId="16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166" fontId="7" fillId="0" borderId="1" xfId="0" applyNumberFormat="1" applyFont="1" applyFill="1" applyBorder="1" applyAlignment="1">
      <alignment horizontal="center" vertical="center" wrapText="1"/>
    </xf>
    <xf numFmtId="166" fontId="0" fillId="0" borderId="0" xfId="0" applyNumberFormat="1" applyFill="1"/>
    <xf numFmtId="166" fontId="7" fillId="0" borderId="1" xfId="4" applyNumberFormat="1" applyFont="1" applyFill="1" applyBorder="1" applyAlignment="1">
      <alignment horizontal="center" vertical="center" wrapText="1"/>
    </xf>
    <xf numFmtId="166" fontId="7" fillId="0" borderId="1" xfId="4" applyNumberFormat="1" applyFont="1" applyFill="1" applyBorder="1" applyAlignment="1">
      <alignment horizontal="right" vertical="center" wrapText="1"/>
    </xf>
    <xf numFmtId="2" fontId="6" fillId="0" borderId="1" xfId="0" applyNumberFormat="1" applyFont="1" applyFill="1" applyBorder="1" applyAlignment="1">
      <alignment horizontal="right" vertical="center" wrapText="1"/>
    </xf>
    <xf numFmtId="166" fontId="6" fillId="0" borderId="1" xfId="4" applyNumberFormat="1" applyFont="1" applyFill="1" applyBorder="1" applyAlignment="1">
      <alignment horizontal="center" vertical="center" wrapText="1"/>
    </xf>
    <xf numFmtId="166" fontId="6" fillId="0" borderId="1" xfId="4" applyNumberFormat="1" applyFont="1" applyFill="1" applyBorder="1" applyAlignment="1">
      <alignment horizontal="right" vertical="center" wrapText="1"/>
    </xf>
    <xf numFmtId="0" fontId="9" fillId="0" borderId="0" xfId="0" applyFont="1" applyFill="1"/>
    <xf numFmtId="0" fontId="8" fillId="0" borderId="0" xfId="0" applyFont="1" applyFill="1" applyAlignment="1">
      <alignment vertical="center"/>
    </xf>
    <xf numFmtId="0" fontId="31" fillId="0" borderId="0" xfId="0" applyFont="1"/>
    <xf numFmtId="166" fontId="33" fillId="0" borderId="1" xfId="4" applyNumberFormat="1" applyFont="1" applyBorder="1" applyAlignment="1">
      <alignment horizontal="center" vertical="center" wrapText="1"/>
    </xf>
    <xf numFmtId="166" fontId="3" fillId="0" borderId="1" xfId="0" applyNumberFormat="1" applyFont="1" applyFill="1" applyBorder="1" applyAlignment="1">
      <alignment horizontal="left" vertical="center" wrapText="1"/>
    </xf>
    <xf numFmtId="0" fontId="3" fillId="0" borderId="0" xfId="0" applyFont="1" applyFill="1" applyAlignment="1">
      <alignment horizontal="center"/>
    </xf>
    <xf numFmtId="166" fontId="34" fillId="0" borderId="1" xfId="0" applyNumberFormat="1" applyFont="1" applyFill="1" applyBorder="1" applyAlignment="1">
      <alignment horizontal="center" vertical="center" wrapText="1"/>
    </xf>
    <xf numFmtId="9" fontId="34" fillId="0" borderId="1" xfId="35" applyFont="1" applyFill="1" applyBorder="1" applyAlignment="1">
      <alignment horizontal="center" vertical="center" wrapText="1"/>
    </xf>
    <xf numFmtId="9" fontId="19" fillId="0" borderId="1" xfId="35" applyFont="1" applyFill="1" applyBorder="1" applyAlignment="1">
      <alignment horizontal="center" vertical="center" wrapText="1"/>
    </xf>
    <xf numFmtId="43" fontId="22" fillId="0" borderId="1" xfId="4" applyFont="1" applyFill="1" applyBorder="1" applyAlignment="1">
      <alignment horizontal="left" vertical="center" wrapText="1"/>
    </xf>
    <xf numFmtId="0" fontId="12" fillId="0" borderId="0" xfId="0" applyFont="1" applyFill="1" applyAlignment="1">
      <alignment horizontal="right"/>
    </xf>
    <xf numFmtId="166" fontId="3" fillId="0" borderId="1" xfId="4" applyNumberFormat="1" applyFont="1" applyFill="1" applyBorder="1" applyAlignment="1">
      <alignment horizontal="center" vertical="center"/>
    </xf>
    <xf numFmtId="0" fontId="19" fillId="0" borderId="4" xfId="0" applyFont="1" applyFill="1" applyBorder="1"/>
    <xf numFmtId="166" fontId="20" fillId="0" borderId="4" xfId="4" applyNumberFormat="1" applyFont="1" applyFill="1" applyBorder="1"/>
    <xf numFmtId="0" fontId="20" fillId="0" borderId="4" xfId="0" applyFont="1" applyFill="1" applyBorder="1"/>
    <xf numFmtId="0" fontId="19" fillId="0" borderId="0" xfId="0" applyFont="1" applyFill="1" applyBorder="1"/>
    <xf numFmtId="166" fontId="20" fillId="0" borderId="0" xfId="4" applyNumberFormat="1" applyFont="1" applyFill="1" applyBorder="1"/>
    <xf numFmtId="0" fontId="12" fillId="0" borderId="0" xfId="0" applyFont="1" applyFill="1" applyAlignment="1"/>
    <xf numFmtId="166" fontId="12" fillId="0" borderId="0" xfId="4" applyNumberFormat="1" applyFont="1" applyFill="1" applyAlignment="1"/>
    <xf numFmtId="9" fontId="20" fillId="0" borderId="0" xfId="35" applyFont="1" applyFill="1"/>
    <xf numFmtId="43" fontId="20" fillId="0" borderId="0" xfId="4" applyFont="1" applyFill="1"/>
    <xf numFmtId="0" fontId="35" fillId="0" borderId="0" xfId="0" applyFont="1" applyFill="1" applyAlignment="1"/>
    <xf numFmtId="166" fontId="35" fillId="0" borderId="0" xfId="4" applyNumberFormat="1" applyFont="1" applyFill="1" applyAlignment="1"/>
    <xf numFmtId="166" fontId="20" fillId="0" borderId="0" xfId="35" applyNumberFormat="1" applyFont="1" applyFill="1"/>
    <xf numFmtId="166" fontId="36" fillId="0" borderId="0" xfId="4" applyNumberFormat="1" applyFont="1" applyFill="1"/>
    <xf numFmtId="166" fontId="21" fillId="0" borderId="5" xfId="9" applyNumberFormat="1" applyFont="1" applyFill="1" applyBorder="1" applyAlignment="1"/>
    <xf numFmtId="166" fontId="21" fillId="0" borderId="5" xfId="4" applyNumberFormat="1" applyFont="1" applyFill="1" applyBorder="1" applyAlignment="1"/>
    <xf numFmtId="9" fontId="3" fillId="0" borderId="6" xfId="35" applyFont="1" applyFill="1" applyBorder="1" applyAlignment="1">
      <alignment horizontal="center" vertical="center" wrapText="1"/>
    </xf>
    <xf numFmtId="166" fontId="10" fillId="0" borderId="0" xfId="4" applyNumberFormat="1" applyFont="1" applyFill="1" applyAlignment="1">
      <alignment vertical="center"/>
    </xf>
    <xf numFmtId="166" fontId="10" fillId="0" borderId="0" xfId="0" applyNumberFormat="1" applyFont="1" applyFill="1" applyAlignment="1">
      <alignment vertical="center"/>
    </xf>
    <xf numFmtId="166" fontId="3" fillId="0" borderId="1" xfId="4" applyNumberFormat="1" applyFont="1" applyFill="1" applyBorder="1" applyAlignment="1">
      <alignment vertical="center"/>
    </xf>
    <xf numFmtId="9" fontId="3" fillId="0" borderId="1" xfId="0" applyNumberFormat="1" applyFont="1" applyFill="1" applyBorder="1" applyAlignment="1">
      <alignment vertical="center"/>
    </xf>
    <xf numFmtId="9" fontId="3" fillId="0" borderId="1" xfId="35" applyFont="1" applyFill="1" applyBorder="1" applyAlignment="1">
      <alignment vertical="center"/>
    </xf>
    <xf numFmtId="166" fontId="3" fillId="0" borderId="0" xfId="4" applyNumberFormat="1" applyFont="1" applyFill="1" applyAlignment="1">
      <alignment vertical="center"/>
    </xf>
    <xf numFmtId="166" fontId="3" fillId="0" borderId="1" xfId="4" applyNumberFormat="1" applyFont="1" applyFill="1" applyBorder="1" applyAlignment="1">
      <alignment horizontal="left" vertical="center"/>
    </xf>
    <xf numFmtId="166" fontId="3" fillId="0" borderId="0" xfId="0" applyNumberFormat="1" applyFont="1" applyFill="1" applyAlignment="1">
      <alignment vertical="center"/>
    </xf>
    <xf numFmtId="9" fontId="10" fillId="0" borderId="1" xfId="0" applyNumberFormat="1" applyFont="1" applyFill="1" applyBorder="1" applyAlignment="1">
      <alignment vertical="center"/>
    </xf>
    <xf numFmtId="43" fontId="3" fillId="0" borderId="1" xfId="4" applyFont="1" applyFill="1" applyBorder="1" applyAlignment="1">
      <alignment vertical="center"/>
    </xf>
    <xf numFmtId="43" fontId="3" fillId="0" borderId="0" xfId="4" applyFont="1" applyFill="1" applyAlignment="1">
      <alignment vertical="center"/>
    </xf>
    <xf numFmtId="9" fontId="10" fillId="0" borderId="1" xfId="35" applyFont="1" applyFill="1" applyBorder="1" applyAlignment="1">
      <alignment vertical="center"/>
    </xf>
    <xf numFmtId="43" fontId="3" fillId="0" borderId="1" xfId="4" applyFont="1" applyFill="1" applyBorder="1" applyAlignment="1">
      <alignment horizontal="left" vertical="center"/>
    </xf>
    <xf numFmtId="43" fontId="10" fillId="0" borderId="1" xfId="4" applyFont="1" applyFill="1" applyBorder="1" applyAlignment="1">
      <alignment vertical="center"/>
    </xf>
    <xf numFmtId="1" fontId="3" fillId="0" borderId="1" xfId="4" applyNumberFormat="1" applyFont="1" applyFill="1" applyBorder="1" applyAlignment="1">
      <alignment horizontal="center" vertical="center"/>
    </xf>
    <xf numFmtId="166" fontId="3" fillId="2" borderId="1" xfId="4" applyNumberFormat="1" applyFont="1" applyFill="1" applyBorder="1" applyAlignment="1">
      <alignment vertical="center"/>
    </xf>
    <xf numFmtId="166" fontId="10" fillId="2" borderId="1" xfId="4" applyNumberFormat="1" applyFont="1" applyFill="1" applyBorder="1" applyAlignment="1">
      <alignment vertical="center"/>
    </xf>
    <xf numFmtId="43" fontId="3" fillId="0" borderId="1" xfId="4" applyFont="1" applyFill="1" applyBorder="1" applyAlignment="1">
      <alignment vertical="center" wrapText="1"/>
    </xf>
    <xf numFmtId="1" fontId="24" fillId="0" borderId="1" xfId="4" applyNumberFormat="1" applyFont="1" applyFill="1" applyBorder="1" applyAlignment="1">
      <alignment horizontal="center" vertical="center"/>
    </xf>
    <xf numFmtId="43" fontId="24" fillId="0" borderId="1" xfId="4" applyFont="1" applyFill="1" applyBorder="1" applyAlignment="1">
      <alignment vertical="center"/>
    </xf>
    <xf numFmtId="166" fontId="24" fillId="0" borderId="1" xfId="4" applyNumberFormat="1" applyFont="1" applyFill="1" applyBorder="1" applyAlignment="1">
      <alignment horizontal="center" vertical="center"/>
    </xf>
    <xf numFmtId="166" fontId="24" fillId="2" borderId="1" xfId="4" applyNumberFormat="1" applyFont="1" applyFill="1" applyBorder="1" applyAlignment="1">
      <alignment vertical="center"/>
    </xf>
    <xf numFmtId="166" fontId="24" fillId="0" borderId="1" xfId="4" applyNumberFormat="1" applyFont="1" applyFill="1" applyBorder="1" applyAlignment="1">
      <alignment vertical="center"/>
    </xf>
    <xf numFmtId="166" fontId="24" fillId="0" borderId="0" xfId="4" applyNumberFormat="1" applyFont="1" applyFill="1" applyAlignment="1">
      <alignment vertical="center"/>
    </xf>
    <xf numFmtId="43" fontId="24" fillId="0" borderId="0" xfId="4" applyFont="1" applyFill="1" applyAlignment="1">
      <alignment vertical="center"/>
    </xf>
    <xf numFmtId="3" fontId="10" fillId="0" borderId="0" xfId="0" applyNumberFormat="1" applyFont="1" applyFill="1" applyAlignment="1">
      <alignment vertical="center"/>
    </xf>
    <xf numFmtId="166" fontId="10" fillId="0" borderId="6" xfId="4" applyNumberFormat="1" applyFont="1" applyFill="1" applyBorder="1" applyAlignment="1">
      <alignment vertical="center"/>
    </xf>
    <xf numFmtId="166" fontId="10" fillId="2" borderId="1" xfId="0" applyNumberFormat="1" applyFont="1" applyFill="1" applyBorder="1" applyAlignment="1">
      <alignment vertical="center"/>
    </xf>
    <xf numFmtId="43" fontId="5" fillId="0" borderId="1" xfId="4" applyFont="1" applyFill="1" applyBorder="1" applyAlignment="1">
      <alignment vertical="center"/>
    </xf>
    <xf numFmtId="166" fontId="5" fillId="0" borderId="1" xfId="4" applyNumberFormat="1" applyFont="1" applyFill="1" applyBorder="1" applyAlignment="1">
      <alignment horizontal="center" vertical="center"/>
    </xf>
    <xf numFmtId="166" fontId="5" fillId="2" borderId="1" xfId="4" applyNumberFormat="1" applyFont="1" applyFill="1" applyBorder="1" applyAlignment="1">
      <alignment vertical="center"/>
    </xf>
    <xf numFmtId="0" fontId="5" fillId="0" borderId="1" xfId="0" applyFont="1" applyFill="1" applyBorder="1" applyAlignment="1">
      <alignment vertical="center"/>
    </xf>
    <xf numFmtId="166" fontId="5" fillId="0" borderId="1" xfId="4" applyNumberFormat="1" applyFont="1" applyFill="1" applyBorder="1" applyAlignment="1">
      <alignment vertical="center"/>
    </xf>
    <xf numFmtId="0" fontId="5" fillId="0" borderId="0" xfId="0" applyFont="1" applyFill="1" applyAlignment="1">
      <alignment vertical="center"/>
    </xf>
    <xf numFmtId="166" fontId="5" fillId="0" borderId="0" xfId="4" applyNumberFormat="1" applyFont="1" applyFill="1" applyAlignment="1">
      <alignment vertical="center"/>
    </xf>
    <xf numFmtId="1" fontId="10" fillId="0" borderId="1" xfId="4" applyNumberFormat="1" applyFont="1" applyFill="1" applyBorder="1" applyAlignment="1">
      <alignment horizontal="center" vertical="center"/>
    </xf>
    <xf numFmtId="170" fontId="10" fillId="0" borderId="0" xfId="0" applyNumberFormat="1" applyFont="1" applyFill="1" applyAlignment="1">
      <alignment vertical="center"/>
    </xf>
    <xf numFmtId="0" fontId="3" fillId="0" borderId="1" xfId="1" applyFont="1" applyFill="1" applyBorder="1" applyAlignment="1">
      <alignment vertical="center" wrapText="1"/>
    </xf>
    <xf numFmtId="0" fontId="5" fillId="0" borderId="1" xfId="1" applyFont="1" applyFill="1" applyBorder="1" applyAlignment="1">
      <alignment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166" fontId="37" fillId="0" borderId="1" xfId="4" applyNumberFormat="1" applyFont="1" applyFill="1" applyBorder="1" applyAlignment="1">
      <alignment vertical="center"/>
    </xf>
    <xf numFmtId="166" fontId="37" fillId="2" borderId="1" xfId="4" applyNumberFormat="1" applyFont="1" applyFill="1" applyBorder="1" applyAlignment="1">
      <alignment vertical="center"/>
    </xf>
    <xf numFmtId="0" fontId="10" fillId="0" borderId="1" xfId="0" applyNumberFormat="1" applyFont="1" applyFill="1" applyBorder="1" applyAlignment="1">
      <alignment horizontal="justify" vertical="center" wrapText="1"/>
    </xf>
    <xf numFmtId="0" fontId="3" fillId="0" borderId="0" xfId="0" applyFont="1" applyFill="1" applyAlignment="1">
      <alignment horizontal="center" vertical="center"/>
    </xf>
    <xf numFmtId="9" fontId="10" fillId="0" borderId="0" xfId="35" applyFont="1" applyFill="1" applyAlignment="1">
      <alignment vertical="center"/>
    </xf>
    <xf numFmtId="43" fontId="16" fillId="0" borderId="1" xfId="4" applyFont="1" applyFill="1" applyBorder="1" applyAlignment="1">
      <alignment horizontal="center" vertical="center" wrapText="1"/>
    </xf>
    <xf numFmtId="0" fontId="15" fillId="0" borderId="1" xfId="0" applyFont="1" applyFill="1" applyBorder="1" applyAlignment="1">
      <alignment vertical="center"/>
    </xf>
    <xf numFmtId="166" fontId="15" fillId="0" borderId="0" xfId="4" applyNumberFormat="1" applyFont="1" applyFill="1"/>
    <xf numFmtId="166" fontId="16" fillId="0" borderId="0" xfId="4" applyNumberFormat="1" applyFont="1" applyFill="1"/>
    <xf numFmtId="166" fontId="12" fillId="0" borderId="0" xfId="4" applyNumberFormat="1" applyFont="1" applyFill="1" applyAlignment="1">
      <alignment vertical="center"/>
    </xf>
    <xf numFmtId="166" fontId="30" fillId="0" borderId="0" xfId="4" applyNumberFormat="1" applyFont="1" applyFill="1"/>
    <xf numFmtId="166" fontId="12" fillId="0" borderId="0" xfId="4" applyNumberFormat="1" applyFont="1" applyFill="1"/>
    <xf numFmtId="43" fontId="3" fillId="0" borderId="1" xfId="4" applyFont="1" applyFill="1" applyBorder="1" applyAlignment="1">
      <alignment horizontal="left" vertical="center" wrapText="1"/>
    </xf>
    <xf numFmtId="43" fontId="11" fillId="0" borderId="1" xfId="4" applyFont="1" applyFill="1" applyBorder="1" applyAlignment="1">
      <alignment horizontal="left" vertical="center" wrapText="1"/>
    </xf>
    <xf numFmtId="43" fontId="11" fillId="0" borderId="1" xfId="4" applyFont="1" applyFill="1" applyBorder="1" applyAlignment="1">
      <alignment vertical="center"/>
    </xf>
    <xf numFmtId="0" fontId="10" fillId="0" borderId="1" xfId="0" applyFont="1" applyFill="1" applyBorder="1" applyAlignment="1">
      <alignment horizontal="left" wrapText="1"/>
    </xf>
    <xf numFmtId="0" fontId="10" fillId="0" borderId="1" xfId="0" applyFont="1" applyFill="1" applyBorder="1" applyAlignment="1">
      <alignment horizontal="left"/>
    </xf>
    <xf numFmtId="9" fontId="3" fillId="0" borderId="1" xfId="35" applyFont="1" applyFill="1" applyBorder="1" applyAlignment="1">
      <alignment horizontal="right" vertical="center" wrapText="1"/>
    </xf>
    <xf numFmtId="9" fontId="10" fillId="0" borderId="1" xfId="35" applyFont="1" applyFill="1" applyBorder="1" applyAlignment="1">
      <alignment horizontal="right" vertical="center" wrapText="1"/>
    </xf>
    <xf numFmtId="166" fontId="20" fillId="0" borderId="0" xfId="0" applyNumberFormat="1" applyFont="1" applyFill="1" applyBorder="1"/>
    <xf numFmtId="0" fontId="4" fillId="0" borderId="0" xfId="0" applyFont="1" applyAlignment="1">
      <alignment vertical="center" wrapText="1"/>
    </xf>
    <xf numFmtId="0" fontId="37" fillId="0" borderId="0" xfId="24" applyNumberFormat="1" applyFont="1"/>
    <xf numFmtId="0" fontId="20" fillId="0" borderId="0" xfId="32" applyFont="1" applyFill="1" applyAlignment="1">
      <alignment vertical="center" wrapText="1"/>
    </xf>
    <xf numFmtId="0" fontId="3" fillId="0" borderId="0" xfId="30" applyFont="1" applyAlignment="1">
      <alignment horizontal="right"/>
    </xf>
    <xf numFmtId="0" fontId="12" fillId="0" borderId="0" xfId="30" applyFont="1" applyAlignment="1"/>
    <xf numFmtId="0" fontId="12" fillId="0" borderId="0" xfId="32" applyNumberFormat="1" applyFont="1" applyFill="1" applyBorder="1" applyAlignment="1">
      <alignment horizontal="center" vertical="center" wrapText="1"/>
    </xf>
    <xf numFmtId="0" fontId="12" fillId="0" borderId="0" xfId="32" applyNumberFormat="1" applyFont="1" applyFill="1" applyBorder="1" applyAlignment="1">
      <alignment vertical="center" wrapText="1"/>
    </xf>
    <xf numFmtId="0" fontId="12" fillId="0" borderId="0" xfId="32" applyFont="1" applyFill="1" applyBorder="1" applyAlignment="1">
      <alignment horizontal="right" vertical="center" wrapText="1"/>
    </xf>
    <xf numFmtId="0" fontId="12" fillId="0" borderId="0" xfId="25" applyFont="1" applyFill="1" applyBorder="1" applyAlignment="1">
      <alignment vertical="center" wrapText="1"/>
    </xf>
    <xf numFmtId="0" fontId="12" fillId="0" borderId="0" xfId="25" applyFont="1" applyFill="1" applyAlignment="1">
      <alignment vertical="center" wrapText="1"/>
    </xf>
    <xf numFmtId="0" fontId="21" fillId="0" borderId="0" xfId="25" applyNumberFormat="1" applyFont="1" applyFill="1" applyAlignment="1">
      <alignment vertical="center" wrapText="1"/>
    </xf>
    <xf numFmtId="0" fontId="21" fillId="0" borderId="0" xfId="25" applyNumberFormat="1" applyFont="1" applyFill="1" applyBorder="1" applyAlignment="1">
      <alignment vertical="center" wrapText="1"/>
    </xf>
    <xf numFmtId="0" fontId="34" fillId="0" borderId="3" xfId="32" applyNumberFormat="1" applyFont="1" applyFill="1" applyBorder="1" applyAlignment="1">
      <alignment horizontal="center" vertical="center" wrapText="1"/>
    </xf>
    <xf numFmtId="0" fontId="10" fillId="0" borderId="1" xfId="32" applyFont="1" applyFill="1" applyBorder="1" applyAlignment="1">
      <alignment horizontal="center" vertical="center" wrapText="1"/>
    </xf>
    <xf numFmtId="0" fontId="10" fillId="0" borderId="0" xfId="32" applyFont="1" applyFill="1" applyBorder="1" applyAlignment="1">
      <alignment vertical="center" wrapText="1"/>
    </xf>
    <xf numFmtId="0" fontId="20" fillId="0" borderId="0" xfId="32" applyFont="1" applyFill="1" applyBorder="1" applyAlignment="1">
      <alignment vertical="center" wrapText="1"/>
    </xf>
    <xf numFmtId="0" fontId="12" fillId="0" borderId="0" xfId="32" applyFont="1" applyFill="1" applyBorder="1" applyAlignment="1">
      <alignment vertical="center" wrapText="1"/>
    </xf>
    <xf numFmtId="3" fontId="20" fillId="0" borderId="0" xfId="32" applyNumberFormat="1" applyFont="1" applyFill="1" applyBorder="1" applyAlignment="1">
      <alignment vertical="center" wrapText="1"/>
    </xf>
    <xf numFmtId="0" fontId="10" fillId="0" borderId="0" xfId="32" applyFont="1" applyFill="1" applyAlignment="1">
      <alignment vertical="center" wrapText="1"/>
    </xf>
    <xf numFmtId="0" fontId="15" fillId="0" borderId="0" xfId="32" applyFont="1" applyFill="1" applyAlignment="1">
      <alignment vertical="center" wrapText="1"/>
    </xf>
    <xf numFmtId="0" fontId="20" fillId="0" borderId="0" xfId="32" applyFont="1" applyFill="1" applyAlignment="1">
      <alignment horizontal="center" vertical="center" wrapText="1"/>
    </xf>
    <xf numFmtId="0" fontId="10" fillId="0" borderId="0" xfId="32" applyFont="1" applyFill="1" applyAlignment="1">
      <alignment horizontal="left" vertical="center" wrapText="1"/>
    </xf>
    <xf numFmtId="0" fontId="10" fillId="0" borderId="0" xfId="0" applyFont="1" applyAlignment="1"/>
    <xf numFmtId="0" fontId="42" fillId="0" borderId="0" xfId="0" applyFont="1" applyAlignment="1"/>
    <xf numFmtId="0" fontId="3" fillId="0" borderId="0" xfId="0" applyFont="1" applyAlignment="1"/>
    <xf numFmtId="0" fontId="43" fillId="0" borderId="0" xfId="0" applyFont="1"/>
    <xf numFmtId="0" fontId="44" fillId="0" borderId="0" xfId="24" applyNumberFormat="1" applyFont="1"/>
    <xf numFmtId="49" fontId="24" fillId="0" borderId="0" xfId="24" applyNumberFormat="1" applyFont="1"/>
    <xf numFmtId="0" fontId="24" fillId="0" borderId="0" xfId="24" applyFont="1" applyAlignment="1"/>
    <xf numFmtId="0" fontId="24" fillId="0" borderId="0" xfId="24" applyFont="1"/>
    <xf numFmtId="0" fontId="45" fillId="0" borderId="0" xfId="24" applyFont="1" applyAlignment="1">
      <alignment horizontal="right"/>
    </xf>
    <xf numFmtId="0" fontId="24" fillId="0" borderId="0" xfId="30" applyFont="1"/>
    <xf numFmtId="0" fontId="47" fillId="0" borderId="0" xfId="0" applyFont="1"/>
    <xf numFmtId="0" fontId="48" fillId="0" borderId="0" xfId="0" applyFont="1" applyAlignment="1">
      <alignment horizontal="center" vertical="center" wrapText="1"/>
    </xf>
    <xf numFmtId="0" fontId="48"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0" xfId="0" applyFont="1" applyAlignment="1">
      <alignment horizontal="center" vertical="center" wrapText="1"/>
    </xf>
    <xf numFmtId="0" fontId="48" fillId="0" borderId="0" xfId="0" applyFont="1" applyAlignment="1">
      <alignment vertical="center" wrapText="1"/>
    </xf>
    <xf numFmtId="0" fontId="43" fillId="0" borderId="0" xfId="0" applyFont="1" applyAlignment="1">
      <alignment vertical="center" wrapText="1"/>
    </xf>
    <xf numFmtId="9" fontId="3" fillId="0" borderId="1" xfId="35" applyFont="1" applyFill="1" applyBorder="1" applyAlignment="1">
      <alignment horizontal="right" vertical="center"/>
    </xf>
    <xf numFmtId="9" fontId="10" fillId="0" borderId="1" xfId="35" applyFont="1" applyFill="1" applyBorder="1" applyAlignment="1">
      <alignment horizontal="right" vertical="center"/>
    </xf>
    <xf numFmtId="0" fontId="12" fillId="0" borderId="1" xfId="0" applyFont="1" applyFill="1" applyBorder="1" applyAlignment="1">
      <alignment vertical="center"/>
    </xf>
    <xf numFmtId="166" fontId="12" fillId="0" borderId="1" xfId="4" applyNumberFormat="1" applyFont="1" applyFill="1" applyBorder="1" applyAlignment="1">
      <alignment vertical="center"/>
    </xf>
    <xf numFmtId="166" fontId="20" fillId="0" borderId="1" xfId="4" applyNumberFormat="1" applyFont="1" applyFill="1" applyBorder="1" applyAlignment="1">
      <alignment vertical="center"/>
    </xf>
    <xf numFmtId="0" fontId="12"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vertical="center"/>
    </xf>
    <xf numFmtId="9" fontId="22" fillId="0" borderId="1" xfId="35" applyFont="1" applyFill="1" applyBorder="1" applyAlignment="1">
      <alignment vertical="center"/>
    </xf>
    <xf numFmtId="9" fontId="17" fillId="0" borderId="1" xfId="35" applyFont="1" applyFill="1" applyBorder="1" applyAlignment="1">
      <alignment vertical="center"/>
    </xf>
    <xf numFmtId="166" fontId="11" fillId="0" borderId="1" xfId="4" applyNumberFormat="1" applyFont="1" applyFill="1" applyBorder="1" applyAlignment="1">
      <alignment vertical="center"/>
    </xf>
    <xf numFmtId="166" fontId="10" fillId="0" borderId="1" xfId="0" applyNumberFormat="1" applyFont="1" applyFill="1" applyBorder="1" applyAlignment="1">
      <alignment vertical="center"/>
    </xf>
    <xf numFmtId="166" fontId="10" fillId="0" borderId="1" xfId="4" applyNumberFormat="1" applyFont="1" applyFill="1" applyBorder="1" applyAlignment="1">
      <alignment horizontal="left" vertical="center" wrapText="1"/>
    </xf>
    <xf numFmtId="166" fontId="5" fillId="0" borderId="1" xfId="4" applyNumberFormat="1" applyFont="1" applyFill="1" applyBorder="1" applyAlignment="1">
      <alignment horizontal="left" vertical="center" wrapText="1"/>
    </xf>
    <xf numFmtId="166" fontId="10" fillId="0" borderId="1" xfId="0" applyNumberFormat="1" applyFont="1" applyFill="1" applyBorder="1" applyAlignment="1">
      <alignment vertical="center" wrapText="1"/>
    </xf>
    <xf numFmtId="166" fontId="10" fillId="0" borderId="1" xfId="4" applyNumberFormat="1" applyFont="1" applyFill="1" applyBorder="1" applyAlignment="1">
      <alignment horizontal="left" vertical="center"/>
    </xf>
    <xf numFmtId="166" fontId="3" fillId="0" borderId="1" xfId="0" applyNumberFormat="1" applyFont="1" applyFill="1" applyBorder="1" applyAlignment="1">
      <alignment vertical="center" wrapText="1"/>
    </xf>
    <xf numFmtId="43" fontId="17" fillId="0" borderId="1" xfId="4" applyFont="1" applyFill="1" applyBorder="1" applyAlignment="1">
      <alignment vertical="center"/>
    </xf>
    <xf numFmtId="0" fontId="51" fillId="0" borderId="0" xfId="0" applyFont="1" applyAlignment="1">
      <alignment vertical="center" wrapText="1"/>
    </xf>
    <xf numFmtId="0" fontId="34" fillId="0" borderId="0" xfId="32" applyFont="1" applyFill="1" applyBorder="1" applyAlignment="1">
      <alignment horizontal="center" vertical="center" wrapText="1"/>
    </xf>
    <xf numFmtId="0" fontId="50"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1" xfId="0" applyFont="1" applyBorder="1" applyAlignment="1">
      <alignment vertical="center" wrapText="1"/>
    </xf>
    <xf numFmtId="0" fontId="48" fillId="0" borderId="1" xfId="0" applyFont="1" applyBorder="1" applyAlignment="1">
      <alignment vertical="center" wrapText="1"/>
    </xf>
    <xf numFmtId="0" fontId="50" fillId="0" borderId="1" xfId="0" applyFont="1" applyBorder="1" applyAlignment="1">
      <alignment vertical="center" wrapText="1"/>
    </xf>
    <xf numFmtId="3" fontId="51" fillId="0" borderId="1" xfId="0" applyNumberFormat="1" applyFont="1" applyBorder="1" applyAlignment="1">
      <alignment vertical="center" wrapText="1"/>
    </xf>
    <xf numFmtId="165" fontId="4" fillId="0" borderId="1" xfId="4" applyNumberFormat="1" applyFont="1" applyBorder="1" applyAlignment="1">
      <alignment vertical="center" wrapText="1"/>
    </xf>
    <xf numFmtId="165" fontId="48" fillId="0" borderId="1" xfId="4" applyNumberFormat="1" applyFont="1" applyBorder="1" applyAlignment="1">
      <alignment horizontal="center" vertical="center" wrapText="1"/>
    </xf>
    <xf numFmtId="165" fontId="51" fillId="0" borderId="1" xfId="4" applyNumberFormat="1" applyFont="1" applyBorder="1" applyAlignment="1">
      <alignment vertical="center" wrapText="1"/>
    </xf>
    <xf numFmtId="165" fontId="50" fillId="0" borderId="1" xfId="4" applyNumberFormat="1" applyFont="1" applyBorder="1" applyAlignment="1">
      <alignment vertical="center" wrapText="1"/>
    </xf>
    <xf numFmtId="0" fontId="3" fillId="0" borderId="1" xfId="32" applyFont="1" applyFill="1" applyBorder="1" applyAlignment="1">
      <alignment horizontal="center" vertical="center" wrapText="1"/>
    </xf>
    <xf numFmtId="0" fontId="3" fillId="0" borderId="1" xfId="32" applyFont="1" applyFill="1" applyBorder="1" applyAlignment="1">
      <alignment horizontal="left" vertical="center" wrapText="1"/>
    </xf>
    <xf numFmtId="0" fontId="3" fillId="0" borderId="1" xfId="32" applyNumberFormat="1" applyFont="1" applyFill="1" applyBorder="1" applyAlignment="1" applyProtection="1">
      <alignment horizontal="left" vertical="center" wrapText="1"/>
      <protection hidden="1"/>
    </xf>
    <xf numFmtId="3" fontId="3" fillId="0" borderId="1" xfId="32" applyNumberFormat="1" applyFont="1" applyFill="1" applyBorder="1" applyAlignment="1">
      <alignment horizontal="right" vertical="center" wrapText="1"/>
    </xf>
    <xf numFmtId="0" fontId="10" fillId="0" borderId="1" xfId="32" applyNumberFormat="1" applyFont="1" applyBorder="1" applyAlignment="1">
      <alignment vertical="center" wrapText="1"/>
    </xf>
    <xf numFmtId="3" fontId="10" fillId="0" borderId="1" xfId="32" applyNumberFormat="1" applyFont="1" applyFill="1" applyBorder="1" applyAlignment="1">
      <alignment vertical="center" wrapText="1"/>
    </xf>
    <xf numFmtId="0" fontId="3" fillId="0" borderId="1" xfId="32" applyNumberFormat="1" applyFont="1" applyBorder="1" applyAlignment="1">
      <alignment vertical="center" wrapText="1"/>
    </xf>
    <xf numFmtId="3" fontId="3" fillId="0" borderId="1" xfId="32" applyNumberFormat="1" applyFont="1" applyFill="1" applyBorder="1" applyAlignment="1">
      <alignment vertical="center" wrapText="1"/>
    </xf>
    <xf numFmtId="3" fontId="5" fillId="0" borderId="1" xfId="32" applyNumberFormat="1" applyFont="1" applyFill="1" applyBorder="1" applyAlignment="1">
      <alignment vertical="center" wrapText="1"/>
    </xf>
    <xf numFmtId="49" fontId="3" fillId="0" borderId="1" xfId="29" applyNumberFormat="1" applyFont="1" applyBorder="1" applyAlignment="1">
      <alignment vertical="center" wrapText="1"/>
    </xf>
    <xf numFmtId="3" fontId="11" fillId="0" borderId="1" xfId="32" applyNumberFormat="1" applyFont="1" applyFill="1" applyBorder="1" applyAlignment="1">
      <alignment vertical="center" wrapText="1"/>
    </xf>
    <xf numFmtId="49" fontId="10" fillId="0" borderId="1" xfId="29" applyNumberFormat="1" applyFont="1" applyBorder="1" applyAlignment="1">
      <alignment vertical="center" wrapText="1"/>
    </xf>
    <xf numFmtId="0" fontId="3" fillId="0" borderId="1" xfId="32" applyNumberFormat="1" applyFont="1" applyFill="1" applyBorder="1" applyAlignment="1">
      <alignment horizontal="left" vertical="center" wrapText="1"/>
    </xf>
    <xf numFmtId="0" fontId="10" fillId="0" borderId="1" xfId="32" applyNumberFormat="1" applyFont="1" applyFill="1" applyBorder="1" applyAlignment="1">
      <alignment horizontal="left" vertical="center" wrapText="1"/>
    </xf>
    <xf numFmtId="3" fontId="10" fillId="0" borderId="1" xfId="32" applyNumberFormat="1" applyFont="1" applyFill="1" applyBorder="1" applyAlignment="1">
      <alignment horizontal="right" vertical="center" wrapText="1"/>
    </xf>
    <xf numFmtId="0" fontId="16" fillId="0" borderId="1" xfId="32" applyFont="1" applyFill="1" applyBorder="1" applyAlignment="1">
      <alignment horizontal="center" vertical="center" wrapText="1"/>
    </xf>
    <xf numFmtId="0" fontId="16" fillId="0" borderId="1" xfId="32" applyNumberFormat="1" applyFont="1" applyFill="1" applyBorder="1" applyAlignment="1">
      <alignment horizontal="left" vertical="center" wrapText="1"/>
    </xf>
    <xf numFmtId="3" fontId="16" fillId="0" borderId="1" xfId="32" applyNumberFormat="1" applyFont="1" applyFill="1" applyBorder="1" applyAlignment="1">
      <alignment horizontal="right" vertical="center" wrapText="1"/>
    </xf>
    <xf numFmtId="166" fontId="20" fillId="0" borderId="0" xfId="0" applyNumberFormat="1" applyFont="1" applyFill="1"/>
    <xf numFmtId="3" fontId="4" fillId="0" borderId="0" xfId="0" applyNumberFormat="1" applyFont="1"/>
    <xf numFmtId="1" fontId="20" fillId="0" borderId="0" xfId="31" applyNumberFormat="1" applyFont="1" applyAlignment="1">
      <alignment vertical="center"/>
    </xf>
    <xf numFmtId="0" fontId="52" fillId="0" borderId="0" xfId="2" applyFont="1" applyAlignment="1">
      <alignment vertical="center" wrapText="1"/>
    </xf>
    <xf numFmtId="1" fontId="53" fillId="0" borderId="0" xfId="31" applyNumberFormat="1" applyFont="1" applyAlignment="1">
      <alignment vertical="center"/>
    </xf>
    <xf numFmtId="3" fontId="20" fillId="0" borderId="0" xfId="31" applyNumberFormat="1" applyFont="1" applyAlignment="1">
      <alignment vertical="center" wrapText="1"/>
    </xf>
    <xf numFmtId="0" fontId="20" fillId="0" borderId="0" xfId="20" applyFont="1" applyAlignment="1">
      <alignment horizontal="center" vertical="center"/>
    </xf>
    <xf numFmtId="0" fontId="20" fillId="0" borderId="0" xfId="38" applyFont="1" applyAlignment="1">
      <alignment horizontal="left" vertical="center" wrapText="1"/>
    </xf>
    <xf numFmtId="0" fontId="20" fillId="0" borderId="0" xfId="31" applyFont="1" applyAlignment="1">
      <alignment horizontal="center" vertical="center" wrapText="1"/>
    </xf>
    <xf numFmtId="0" fontId="20" fillId="0" borderId="0" xfId="31" quotePrefix="1" applyFont="1" applyAlignment="1">
      <alignment horizontal="center" vertical="center" wrapText="1"/>
    </xf>
    <xf numFmtId="166" fontId="20" fillId="0" borderId="0" xfId="18" applyNumberFormat="1" applyFont="1" applyAlignment="1">
      <alignment horizontal="center" vertical="center" wrapText="1"/>
    </xf>
    <xf numFmtId="166" fontId="20" fillId="0" borderId="0" xfId="17" applyNumberFormat="1" applyFont="1" applyAlignment="1">
      <alignment horizontal="center" vertical="center" wrapText="1"/>
    </xf>
    <xf numFmtId="166" fontId="20" fillId="0" borderId="0" xfId="17" quotePrefix="1" applyNumberFormat="1" applyFont="1" applyAlignment="1">
      <alignment horizontal="center" vertical="center" wrapText="1"/>
    </xf>
    <xf numFmtId="49" fontId="20" fillId="0" borderId="0" xfId="31" applyNumberFormat="1" applyFont="1" applyAlignment="1">
      <alignment horizontal="center" vertical="center"/>
    </xf>
    <xf numFmtId="1" fontId="20" fillId="0" borderId="0" xfId="31" applyNumberFormat="1" applyFont="1" applyAlignment="1">
      <alignment vertical="center" wrapText="1"/>
    </xf>
    <xf numFmtId="1" fontId="20" fillId="0" borderId="0" xfId="31" applyNumberFormat="1" applyFont="1" applyAlignment="1">
      <alignment horizontal="center" vertical="center" wrapText="1"/>
    </xf>
    <xf numFmtId="1" fontId="20" fillId="0" borderId="0" xfId="31" applyNumberFormat="1" applyFont="1" applyAlignment="1">
      <alignment horizontal="right" vertical="center"/>
    </xf>
    <xf numFmtId="49" fontId="20" fillId="0" borderId="0" xfId="31" applyNumberFormat="1" applyFont="1" applyAlignment="1">
      <alignment vertical="center"/>
    </xf>
    <xf numFmtId="0" fontId="10" fillId="0" borderId="0" xfId="0" applyNumberFormat="1" applyFont="1" applyAlignment="1"/>
    <xf numFmtId="0" fontId="10" fillId="0" borderId="0" xfId="0" applyNumberFormat="1" applyFont="1" applyFill="1" applyAlignment="1"/>
    <xf numFmtId="0" fontId="17" fillId="0" borderId="0" xfId="0" applyFont="1" applyAlignment="1">
      <alignment horizontal="right"/>
    </xf>
    <xf numFmtId="0" fontId="17" fillId="0" borderId="0" xfId="0" applyFont="1"/>
    <xf numFmtId="0" fontId="10" fillId="0" borderId="0" xfId="0" applyFont="1" applyAlignment="1">
      <alignment horizontal="right"/>
    </xf>
    <xf numFmtId="0" fontId="10" fillId="0" borderId="0" xfId="0" applyFont="1"/>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0" xfId="0" applyFont="1" applyBorder="1" applyAlignment="1">
      <alignment horizontal="center" vertical="center" wrapText="1"/>
    </xf>
    <xf numFmtId="0" fontId="10" fillId="0" borderId="11" xfId="0" applyFont="1" applyBorder="1" applyAlignment="1">
      <alignment horizontal="center" wrapText="1"/>
    </xf>
    <xf numFmtId="0" fontId="10" fillId="0" borderId="11" xfId="0" applyFont="1" applyFill="1" applyBorder="1" applyAlignment="1">
      <alignment horizontal="center" wrapText="1"/>
    </xf>
    <xf numFmtId="0" fontId="3" fillId="0" borderId="12" xfId="0" applyFont="1" applyBorder="1" applyAlignment="1">
      <alignment horizontal="center" wrapText="1"/>
    </xf>
    <xf numFmtId="0" fontId="3" fillId="0" borderId="12" xfId="0" applyFont="1" applyBorder="1" applyAlignment="1">
      <alignment wrapText="1"/>
    </xf>
    <xf numFmtId="165" fontId="3" fillId="0" borderId="12" xfId="4" applyNumberFormat="1" applyFont="1" applyBorder="1" applyAlignment="1">
      <alignment horizontal="center" wrapText="1"/>
    </xf>
    <xf numFmtId="165" fontId="3" fillId="0" borderId="12" xfId="4" applyNumberFormat="1" applyFont="1" applyFill="1" applyBorder="1" applyAlignment="1">
      <alignment horizontal="center" wrapText="1"/>
    </xf>
    <xf numFmtId="174" fontId="3" fillId="0" borderId="12" xfId="0" applyNumberFormat="1" applyFont="1" applyBorder="1" applyAlignment="1">
      <alignment horizontal="center" wrapText="1"/>
    </xf>
    <xf numFmtId="0" fontId="3" fillId="0" borderId="13" xfId="0" applyFont="1" applyBorder="1" applyAlignment="1">
      <alignment horizontal="center" wrapText="1"/>
    </xf>
    <xf numFmtId="0" fontId="3" fillId="0" borderId="13" xfId="0" applyFont="1" applyBorder="1" applyAlignment="1">
      <alignment wrapText="1"/>
    </xf>
    <xf numFmtId="165" fontId="3" fillId="0" borderId="13" xfId="4" applyNumberFormat="1" applyFont="1" applyBorder="1" applyAlignment="1">
      <alignment horizontal="center" wrapText="1"/>
    </xf>
    <xf numFmtId="165" fontId="3" fillId="0" borderId="13" xfId="4" applyNumberFormat="1" applyFont="1" applyFill="1" applyBorder="1" applyAlignment="1">
      <alignment horizontal="center" wrapText="1"/>
    </xf>
    <xf numFmtId="0" fontId="10" fillId="0" borderId="13" xfId="0" applyFont="1" applyBorder="1" applyAlignment="1">
      <alignment horizontal="center" wrapText="1"/>
    </xf>
    <xf numFmtId="0" fontId="10" fillId="0" borderId="13" xfId="0" applyFont="1" applyBorder="1" applyAlignment="1">
      <alignment wrapText="1"/>
    </xf>
    <xf numFmtId="165" fontId="10" fillId="0" borderId="13" xfId="4" applyNumberFormat="1" applyFont="1" applyBorder="1" applyAlignment="1">
      <alignment horizontal="center" wrapText="1"/>
    </xf>
    <xf numFmtId="165" fontId="10" fillId="0" borderId="13" xfId="4" applyNumberFormat="1" applyFont="1" applyFill="1" applyBorder="1" applyAlignment="1">
      <alignment horizontal="center" wrapText="1"/>
    </xf>
    <xf numFmtId="174" fontId="10" fillId="0" borderId="12" xfId="0" applyNumberFormat="1" applyFont="1" applyBorder="1" applyAlignment="1">
      <alignment horizontal="center" wrapText="1"/>
    </xf>
    <xf numFmtId="0" fontId="10" fillId="0" borderId="14" xfId="0" applyFont="1" applyBorder="1" applyAlignment="1">
      <alignment horizontal="center" wrapText="1"/>
    </xf>
    <xf numFmtId="0" fontId="10" fillId="0" borderId="14" xfId="0" applyFont="1" applyBorder="1" applyAlignment="1">
      <alignment wrapText="1"/>
    </xf>
    <xf numFmtId="165" fontId="10" fillId="3" borderId="14" xfId="4" applyNumberFormat="1" applyFont="1" applyFill="1" applyBorder="1" applyAlignment="1">
      <alignment horizontal="center" wrapText="1"/>
    </xf>
    <xf numFmtId="165" fontId="10" fillId="0" borderId="14" xfId="4" applyNumberFormat="1" applyFont="1" applyFill="1" applyBorder="1" applyAlignment="1">
      <alignment horizontal="center" wrapText="1"/>
    </xf>
    <xf numFmtId="174" fontId="10" fillId="0" borderId="15" xfId="0" applyNumberFormat="1" applyFont="1" applyBorder="1" applyAlignment="1">
      <alignment horizontal="center" wrapText="1"/>
    </xf>
    <xf numFmtId="0" fontId="10" fillId="0" borderId="0" xfId="0" applyFont="1" applyBorder="1" applyAlignment="1">
      <alignment horizontal="center" wrapText="1"/>
    </xf>
    <xf numFmtId="0" fontId="10" fillId="0" borderId="0" xfId="0" applyFont="1" applyBorder="1" applyAlignment="1">
      <alignment wrapText="1"/>
    </xf>
    <xf numFmtId="165" fontId="10" fillId="0" borderId="0" xfId="4" applyNumberFormat="1" applyFont="1" applyFill="1" applyBorder="1" applyAlignment="1">
      <alignment horizontal="center" wrapText="1"/>
    </xf>
    <xf numFmtId="174" fontId="10" fillId="0" borderId="0" xfId="0" applyNumberFormat="1" applyFont="1" applyBorder="1" applyAlignment="1">
      <alignment horizontal="center" wrapText="1"/>
    </xf>
    <xf numFmtId="0" fontId="5" fillId="0" borderId="1" xfId="0" applyFont="1" applyBorder="1" applyAlignment="1">
      <alignment horizontal="center" wrapText="1"/>
    </xf>
    <xf numFmtId="0" fontId="5" fillId="0" borderId="1" xfId="0" applyFont="1" applyFill="1" applyBorder="1" applyAlignment="1">
      <alignment horizontal="center" wrapText="1"/>
    </xf>
    <xf numFmtId="0" fontId="35" fillId="0" borderId="0" xfId="0" applyFont="1" applyAlignment="1">
      <alignment horizontal="right"/>
    </xf>
    <xf numFmtId="0" fontId="35" fillId="0" borderId="0" xfId="0" applyFont="1"/>
    <xf numFmtId="0" fontId="3" fillId="0" borderId="1" xfId="0" applyFont="1" applyBorder="1" applyAlignment="1">
      <alignment horizontal="center" wrapText="1"/>
    </xf>
    <xf numFmtId="0" fontId="3" fillId="0" borderId="1" xfId="0" applyFont="1" applyBorder="1" applyAlignment="1">
      <alignment wrapText="1"/>
    </xf>
    <xf numFmtId="166" fontId="3" fillId="0" borderId="1" xfId="4" applyNumberFormat="1" applyFont="1" applyBorder="1" applyAlignment="1">
      <alignment horizontal="center" wrapText="1"/>
    </xf>
    <xf numFmtId="9" fontId="3" fillId="0" borderId="1" xfId="0" applyNumberFormat="1" applyFont="1" applyFill="1" applyBorder="1" applyAlignment="1">
      <alignment horizontal="center" wrapText="1"/>
    </xf>
    <xf numFmtId="9" fontId="3" fillId="0" borderId="1" xfId="0" applyNumberFormat="1" applyFont="1" applyBorder="1" applyAlignment="1">
      <alignment horizontal="center" wrapText="1"/>
    </xf>
    <xf numFmtId="166" fontId="17" fillId="0" borderId="0" xfId="0" applyNumberFormat="1" applyFont="1"/>
    <xf numFmtId="174" fontId="17" fillId="0" borderId="0" xfId="35" applyNumberFormat="1" applyFont="1" applyAlignment="1">
      <alignment horizontal="right"/>
    </xf>
    <xf numFmtId="166" fontId="3" fillId="0" borderId="1" xfId="4" applyNumberFormat="1" applyFont="1" applyFill="1" applyBorder="1" applyAlignment="1">
      <alignment horizontal="center" wrapText="1"/>
    </xf>
    <xf numFmtId="166" fontId="56" fillId="0" borderId="0" xfId="0" applyNumberFormat="1" applyFont="1" applyFill="1" applyAlignment="1">
      <alignment horizontal="right"/>
    </xf>
    <xf numFmtId="0" fontId="11" fillId="0" borderId="1" xfId="0" applyFont="1" applyBorder="1" applyAlignment="1">
      <alignment horizontal="center" wrapText="1"/>
    </xf>
    <xf numFmtId="0" fontId="11" fillId="0" borderId="1" xfId="0" applyFont="1" applyBorder="1" applyAlignment="1">
      <alignment wrapText="1"/>
    </xf>
    <xf numFmtId="166" fontId="11" fillId="0" borderId="1" xfId="4" applyNumberFormat="1" applyFont="1" applyBorder="1" applyAlignment="1">
      <alignment horizontal="center" wrapText="1"/>
    </xf>
    <xf numFmtId="166" fontId="11" fillId="0" borderId="1" xfId="4" applyNumberFormat="1" applyFont="1" applyFill="1" applyBorder="1" applyAlignment="1">
      <alignment horizontal="center" wrapText="1"/>
    </xf>
    <xf numFmtId="166" fontId="57" fillId="0" borderId="0" xfId="0" applyNumberFormat="1" applyFont="1" applyAlignment="1">
      <alignment horizontal="right"/>
    </xf>
    <xf numFmtId="0" fontId="57" fillId="0" borderId="0" xfId="0" applyFont="1" applyAlignment="1">
      <alignment horizontal="right"/>
    </xf>
    <xf numFmtId="0" fontId="57" fillId="0" borderId="0" xfId="0" applyFont="1"/>
    <xf numFmtId="165" fontId="3" fillId="0" borderId="1" xfId="4" applyNumberFormat="1" applyFont="1" applyBorder="1" applyAlignment="1">
      <alignment horizontal="center" wrapText="1"/>
    </xf>
    <xf numFmtId="0" fontId="22" fillId="0" borderId="0" xfId="0" applyFont="1" applyAlignment="1">
      <alignment horizontal="right"/>
    </xf>
    <xf numFmtId="0" fontId="22" fillId="0" borderId="0" xfId="0" applyFont="1"/>
    <xf numFmtId="0" fontId="3" fillId="0" borderId="1" xfId="0" applyFont="1" applyFill="1" applyBorder="1" applyAlignment="1">
      <alignment horizontal="center" wrapText="1"/>
    </xf>
    <xf numFmtId="174" fontId="22" fillId="0" borderId="0" xfId="35" applyNumberFormat="1" applyFont="1" applyFill="1" applyAlignment="1">
      <alignment horizontal="right"/>
    </xf>
    <xf numFmtId="0" fontId="22" fillId="0" borderId="0" xfId="0" applyFont="1" applyFill="1" applyAlignment="1">
      <alignment horizontal="right"/>
    </xf>
    <xf numFmtId="0" fontId="22" fillId="0" borderId="0" xfId="0" applyFont="1" applyFill="1"/>
    <xf numFmtId="0" fontId="5" fillId="0" borderId="1" xfId="0" applyFont="1" applyBorder="1" applyAlignment="1">
      <alignment wrapText="1"/>
    </xf>
    <xf numFmtId="166" fontId="5" fillId="0" borderId="1" xfId="4" applyNumberFormat="1" applyFont="1" applyBorder="1" applyAlignment="1">
      <alignment horizontal="center" wrapText="1"/>
    </xf>
    <xf numFmtId="166" fontId="5" fillId="0" borderId="1" xfId="4" applyNumberFormat="1" applyFont="1" applyFill="1" applyBorder="1" applyAlignment="1">
      <alignment horizontal="center" wrapText="1"/>
    </xf>
    <xf numFmtId="9" fontId="5" fillId="0" borderId="1" xfId="0" applyNumberFormat="1" applyFont="1" applyFill="1" applyBorder="1" applyAlignment="1">
      <alignment horizontal="center" wrapText="1"/>
    </xf>
    <xf numFmtId="9" fontId="5" fillId="0" borderId="1" xfId="0" applyNumberFormat="1" applyFont="1" applyBorder="1" applyAlignment="1">
      <alignment horizontal="center" wrapText="1"/>
    </xf>
    <xf numFmtId="166" fontId="35" fillId="0" borderId="0" xfId="0" applyNumberFormat="1" applyFont="1" applyAlignment="1">
      <alignment horizontal="right"/>
    </xf>
    <xf numFmtId="10" fontId="22" fillId="0" borderId="0" xfId="35" applyNumberFormat="1" applyFont="1" applyFill="1" applyAlignment="1">
      <alignment horizontal="right"/>
    </xf>
    <xf numFmtId="0" fontId="10" fillId="0" borderId="1" xfId="0" applyFont="1" applyBorder="1" applyAlignment="1">
      <alignment horizontal="center" wrapText="1"/>
    </xf>
    <xf numFmtId="0" fontId="10" fillId="0" borderId="1" xfId="0" applyFont="1" applyBorder="1" applyAlignment="1">
      <alignment wrapText="1"/>
    </xf>
    <xf numFmtId="166" fontId="10" fillId="0" borderId="1" xfId="4" applyNumberFormat="1" applyFont="1" applyBorder="1" applyAlignment="1">
      <alignment horizontal="center" wrapText="1"/>
    </xf>
    <xf numFmtId="9" fontId="10" fillId="0" borderId="1" xfId="0" applyNumberFormat="1" applyFont="1" applyFill="1" applyBorder="1" applyAlignment="1">
      <alignment horizontal="center" wrapText="1"/>
    </xf>
    <xf numFmtId="9" fontId="10" fillId="0" borderId="1" xfId="0" applyNumberFormat="1" applyFont="1" applyBorder="1" applyAlignment="1">
      <alignment horizontal="center" wrapText="1"/>
    </xf>
    <xf numFmtId="166" fontId="10" fillId="0" borderId="1" xfId="4" applyNumberFormat="1" applyFont="1" applyFill="1" applyBorder="1" applyAlignment="1">
      <alignment horizontal="center" wrapText="1"/>
    </xf>
    <xf numFmtId="0" fontId="5" fillId="0" borderId="1" xfId="0" quotePrefix="1" applyFont="1" applyBorder="1" applyAlignment="1">
      <alignment horizontal="center" wrapText="1"/>
    </xf>
    <xf numFmtId="0" fontId="17" fillId="0" borderId="0" xfId="0" applyFont="1" applyFill="1"/>
    <xf numFmtId="166" fontId="57" fillId="0" borderId="0" xfId="0" applyNumberFormat="1" applyFont="1"/>
    <xf numFmtId="0" fontId="34" fillId="0" borderId="10" xfId="0" applyFont="1" applyFill="1" applyBorder="1" applyAlignment="1">
      <alignment horizontal="center" vertical="center" wrapText="1"/>
    </xf>
    <xf numFmtId="165" fontId="10" fillId="0" borderId="12" xfId="4" applyNumberFormat="1" applyFont="1" applyFill="1" applyBorder="1" applyAlignment="1">
      <alignment horizontal="center" wrapText="1"/>
    </xf>
    <xf numFmtId="165" fontId="10" fillId="0" borderId="9" xfId="4" applyNumberFormat="1" applyFont="1" applyFill="1" applyBorder="1" applyAlignment="1">
      <alignment horizontal="center" wrapText="1"/>
    </xf>
    <xf numFmtId="9" fontId="3" fillId="0" borderId="1" xfId="35" applyFont="1" applyBorder="1" applyAlignment="1">
      <alignment horizontal="center" wrapText="1"/>
    </xf>
    <xf numFmtId="9" fontId="10" fillId="0" borderId="1" xfId="35" applyFont="1" applyBorder="1" applyAlignment="1">
      <alignment horizontal="center" wrapText="1"/>
    </xf>
    <xf numFmtId="177" fontId="22" fillId="0" borderId="0" xfId="35" applyNumberFormat="1" applyFont="1" applyFill="1"/>
    <xf numFmtId="166" fontId="22" fillId="0" borderId="0" xfId="4" applyNumberFormat="1" applyFont="1" applyFill="1"/>
    <xf numFmtId="1" fontId="3" fillId="0" borderId="1" xfId="31" applyNumberFormat="1" applyFont="1" applyFill="1" applyBorder="1" applyAlignment="1">
      <alignment horizontal="center" vertical="center" wrapText="1"/>
    </xf>
    <xf numFmtId="1" fontId="3" fillId="0" borderId="1" xfId="31" applyNumberFormat="1" applyFont="1" applyFill="1" applyBorder="1" applyAlignment="1">
      <alignment vertical="center" wrapText="1"/>
    </xf>
    <xf numFmtId="1" fontId="10" fillId="0" borderId="1" xfId="31" applyNumberFormat="1" applyFont="1" applyFill="1" applyBorder="1" applyAlignment="1">
      <alignment horizontal="center" vertical="center" wrapText="1"/>
    </xf>
    <xf numFmtId="171" fontId="10" fillId="0" borderId="1" xfId="18"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3" fontId="10" fillId="0" borderId="1" xfId="0" applyNumberFormat="1" applyFont="1" applyFill="1" applyBorder="1" applyAlignment="1">
      <alignment horizontal="right" vertical="center"/>
    </xf>
    <xf numFmtId="3" fontId="16" fillId="0" borderId="0" xfId="0" applyNumberFormat="1" applyFont="1" applyFill="1" applyAlignment="1"/>
    <xf numFmtId="4" fontId="15" fillId="0" borderId="0" xfId="0" applyNumberFormat="1" applyFont="1" applyFill="1" applyAlignment="1"/>
    <xf numFmtId="3" fontId="15" fillId="0" borderId="0" xfId="0" applyNumberFormat="1" applyFont="1" applyFill="1" applyAlignment="1"/>
    <xf numFmtId="0" fontId="15" fillId="0" borderId="0" xfId="0" applyFont="1" applyFill="1" applyAlignment="1"/>
    <xf numFmtId="4" fontId="16" fillId="0" borderId="0" xfId="0" applyNumberFormat="1" applyFont="1" applyFill="1" applyAlignment="1">
      <alignment horizontal="center"/>
    </xf>
    <xf numFmtId="171" fontId="16" fillId="0" borderId="0" xfId="0" applyNumberFormat="1" applyFont="1" applyFill="1" applyAlignment="1">
      <alignment horizontal="center"/>
    </xf>
    <xf numFmtId="3" fontId="16" fillId="0" borderId="0" xfId="0" applyNumberFormat="1" applyFont="1" applyFill="1" applyAlignment="1">
      <alignment horizontal="center"/>
    </xf>
    <xf numFmtId="3" fontId="60" fillId="0" borderId="0" xfId="0" applyNumberFormat="1" applyFont="1" applyFill="1" applyAlignment="1">
      <alignment horizontal="center"/>
    </xf>
    <xf numFmtId="3" fontId="15" fillId="0" borderId="0" xfId="0" applyNumberFormat="1" applyFont="1" applyFill="1" applyAlignment="1">
      <alignment horizontal="center"/>
    </xf>
    <xf numFmtId="4" fontId="61" fillId="0" borderId="5" xfId="0" applyNumberFormat="1" applyFont="1" applyFill="1" applyBorder="1" applyAlignment="1"/>
    <xf numFmtId="4" fontId="16" fillId="0" borderId="3" xfId="0" applyNumberFormat="1" applyFont="1" applyFill="1" applyBorder="1" applyAlignment="1">
      <alignment horizontal="center" vertical="center" wrapText="1"/>
    </xf>
    <xf numFmtId="4" fontId="60" fillId="0" borderId="3" xfId="0" applyNumberFormat="1" applyFont="1" applyFill="1" applyBorder="1" applyAlignment="1">
      <alignment horizontal="center" vertical="center" wrapText="1"/>
    </xf>
    <xf numFmtId="3" fontId="62" fillId="0" borderId="1" xfId="0" applyNumberFormat="1" applyFont="1" applyFill="1" applyBorder="1" applyAlignment="1">
      <alignment horizontal="center"/>
    </xf>
    <xf numFmtId="0" fontId="63" fillId="0" borderId="0" xfId="0" applyFont="1" applyFill="1" applyAlignment="1"/>
    <xf numFmtId="0" fontId="64" fillId="0" borderId="0" xfId="0" applyFont="1" applyFill="1" applyAlignment="1"/>
    <xf numFmtId="0" fontId="16" fillId="0" borderId="0" xfId="0" applyFont="1" applyFill="1" applyAlignment="1"/>
    <xf numFmtId="178" fontId="15" fillId="0" borderId="0" xfId="0" applyNumberFormat="1" applyFont="1" applyFill="1" applyBorder="1" applyAlignment="1">
      <alignment horizontal="center"/>
    </xf>
    <xf numFmtId="4" fontId="15" fillId="0" borderId="0" xfId="0" applyNumberFormat="1" applyFont="1" applyFill="1" applyBorder="1" applyAlignment="1"/>
    <xf numFmtId="4" fontId="49" fillId="0" borderId="0" xfId="0" applyNumberFormat="1" applyFont="1" applyFill="1" applyBorder="1" applyAlignment="1"/>
    <xf numFmtId="4" fontId="66" fillId="0" borderId="0" xfId="0" applyNumberFormat="1" applyFont="1" applyFill="1" applyBorder="1" applyAlignment="1"/>
    <xf numFmtId="3" fontId="67" fillId="0" borderId="0" xfId="0" applyNumberFormat="1" applyFont="1" applyFill="1" applyBorder="1" applyAlignment="1">
      <alignment horizontal="center"/>
    </xf>
    <xf numFmtId="4" fontId="67" fillId="0" borderId="0" xfId="0" applyNumberFormat="1" applyFont="1" applyFill="1" applyBorder="1" applyAlignment="1"/>
    <xf numFmtId="4" fontId="67" fillId="0" borderId="0" xfId="0" applyNumberFormat="1" applyFont="1" applyFill="1" applyAlignment="1"/>
    <xf numFmtId="0" fontId="67" fillId="0" borderId="0" xfId="0" applyFont="1" applyFill="1" applyAlignment="1"/>
    <xf numFmtId="3" fontId="68" fillId="0" borderId="0" xfId="0" applyNumberFormat="1" applyFont="1" applyFill="1" applyBorder="1" applyAlignment="1">
      <alignment horizontal="center"/>
    </xf>
    <xf numFmtId="4" fontId="68" fillId="0" borderId="0" xfId="0" applyNumberFormat="1" applyFont="1" applyFill="1" applyBorder="1" applyAlignment="1"/>
    <xf numFmtId="3" fontId="69" fillId="0" borderId="0" xfId="0" applyNumberFormat="1" applyFont="1" applyFill="1" applyBorder="1" applyAlignment="1">
      <alignment horizontal="center"/>
    </xf>
    <xf numFmtId="4" fontId="69" fillId="0" borderId="0" xfId="0" applyNumberFormat="1" applyFont="1" applyFill="1" applyBorder="1" applyAlignment="1"/>
    <xf numFmtId="4" fontId="69" fillId="0" borderId="0" xfId="0" applyNumberFormat="1" applyFont="1" applyFill="1" applyAlignment="1"/>
    <xf numFmtId="0" fontId="69" fillId="0" borderId="0" xfId="0" applyFont="1" applyFill="1" applyAlignment="1"/>
    <xf numFmtId="3" fontId="16" fillId="0" borderId="0" xfId="0" applyNumberFormat="1" applyFont="1" applyFill="1" applyBorder="1" applyAlignment="1">
      <alignment horizontal="center"/>
    </xf>
    <xf numFmtId="4" fontId="16" fillId="0" borderId="0" xfId="0" applyNumberFormat="1" applyFont="1" applyFill="1" applyBorder="1" applyAlignment="1"/>
    <xf numFmtId="3" fontId="15" fillId="0" borderId="0" xfId="0" applyNumberFormat="1" applyFont="1" applyFill="1" applyBorder="1" applyAlignment="1">
      <alignment horizontal="center"/>
    </xf>
    <xf numFmtId="0" fontId="49" fillId="0" borderId="0" xfId="0" applyFont="1" applyFill="1" applyAlignment="1"/>
    <xf numFmtId="0" fontId="3" fillId="0" borderId="0" xfId="40" applyNumberFormat="1" applyFont="1" applyAlignment="1">
      <alignment horizontal="left" vertical="center"/>
    </xf>
    <xf numFmtId="0" fontId="17" fillId="0" borderId="0" xfId="32" applyFont="1"/>
    <xf numFmtId="0" fontId="16" fillId="0" borderId="0" xfId="32" applyFont="1" applyAlignment="1">
      <alignment horizontal="right"/>
    </xf>
    <xf numFmtId="0" fontId="3" fillId="0" borderId="0" xfId="32" applyNumberFormat="1" applyFont="1"/>
    <xf numFmtId="0" fontId="31" fillId="0" borderId="0" xfId="0" applyFont="1" applyAlignment="1">
      <alignment vertical="top" wrapText="1"/>
    </xf>
    <xf numFmtId="0" fontId="35" fillId="0" borderId="0" xfId="32" applyNumberFormat="1" applyFont="1" applyAlignment="1">
      <alignment horizontal="right"/>
    </xf>
    <xf numFmtId="0" fontId="17" fillId="0" borderId="0" xfId="32" applyFont="1" applyAlignment="1">
      <alignment wrapText="1"/>
    </xf>
    <xf numFmtId="0" fontId="3" fillId="0" borderId="0" xfId="32" applyFont="1" applyAlignment="1">
      <alignment wrapText="1"/>
    </xf>
    <xf numFmtId="0" fontId="72" fillId="0" borderId="1" xfId="32" applyFont="1" applyBorder="1" applyAlignment="1">
      <alignment horizontal="center" vertical="center" wrapText="1"/>
    </xf>
    <xf numFmtId="0" fontId="17" fillId="0" borderId="0" xfId="32" applyFont="1" applyBorder="1" applyAlignment="1">
      <alignment wrapText="1"/>
    </xf>
    <xf numFmtId="0" fontId="22" fillId="0" borderId="0" xfId="32" applyFont="1" applyAlignment="1">
      <alignment wrapText="1"/>
    </xf>
    <xf numFmtId="0" fontId="71" fillId="0" borderId="0" xfId="32" applyFont="1" applyAlignment="1">
      <alignment wrapText="1"/>
    </xf>
    <xf numFmtId="0" fontId="17" fillId="0" borderId="0" xfId="32" applyFont="1" applyAlignment="1">
      <alignment horizontal="right"/>
    </xf>
    <xf numFmtId="0" fontId="17" fillId="0" borderId="0" xfId="32" applyFont="1" applyAlignment="1">
      <alignment horizontal="center"/>
    </xf>
    <xf numFmtId="0" fontId="3" fillId="0" borderId="0" xfId="41" applyNumberFormat="1" applyFont="1" applyFill="1" applyAlignment="1"/>
    <xf numFmtId="0" fontId="10" fillId="0" borderId="0" xfId="41" applyFont="1" applyFill="1"/>
    <xf numFmtId="0" fontId="10" fillId="0" borderId="0" xfId="41" applyFont="1" applyFill="1" applyAlignment="1">
      <alignment horizontal="center"/>
    </xf>
    <xf numFmtId="0" fontId="12" fillId="0" borderId="0" xfId="41" applyNumberFormat="1" applyFont="1" applyFill="1" applyAlignment="1">
      <alignment wrapText="1"/>
    </xf>
    <xf numFmtId="0" fontId="12" fillId="0" borderId="0" xfId="41" applyFont="1" applyFill="1"/>
    <xf numFmtId="0" fontId="74" fillId="0" borderId="0" xfId="40" applyNumberFormat="1" applyFont="1" applyFill="1" applyAlignment="1">
      <alignment vertical="center"/>
    </xf>
    <xf numFmtId="0" fontId="5" fillId="0" borderId="0" xfId="41" applyFont="1" applyFill="1" applyAlignment="1">
      <alignment horizontal="right"/>
    </xf>
    <xf numFmtId="0" fontId="3" fillId="0" borderId="3" xfId="41" applyNumberFormat="1" applyFont="1" applyFill="1" applyBorder="1" applyAlignment="1">
      <alignment horizontal="center" vertical="center" wrapText="1"/>
    </xf>
    <xf numFmtId="0" fontId="3" fillId="0" borderId="25" xfId="41" applyNumberFormat="1" applyFont="1" applyFill="1" applyBorder="1" applyAlignment="1">
      <alignment horizontal="center" vertical="center" wrapText="1"/>
    </xf>
    <xf numFmtId="3" fontId="16" fillId="0" borderId="0" xfId="0" applyNumberFormat="1" applyFont="1" applyFill="1"/>
    <xf numFmtId="172" fontId="15" fillId="0" borderId="0" xfId="0" applyNumberFormat="1" applyFont="1" applyFill="1"/>
    <xf numFmtId="172" fontId="16" fillId="0" borderId="0" xfId="0" applyNumberFormat="1" applyFont="1" applyFill="1"/>
    <xf numFmtId="172" fontId="15" fillId="0" borderId="0" xfId="0" applyNumberFormat="1" applyFont="1" applyFill="1" applyBorder="1" applyAlignment="1">
      <alignment horizontal="right"/>
    </xf>
    <xf numFmtId="180" fontId="16" fillId="0" borderId="3" xfId="0" applyNumberFormat="1" applyFont="1" applyFill="1" applyBorder="1" applyAlignment="1">
      <alignment horizontal="center" vertical="center" wrapText="1"/>
    </xf>
    <xf numFmtId="172" fontId="16" fillId="0" borderId="3"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3" fontId="15" fillId="0" borderId="0" xfId="0" applyNumberFormat="1" applyFont="1" applyFill="1"/>
    <xf numFmtId="172" fontId="16" fillId="0" borderId="0" xfId="0" applyNumberFormat="1" applyFont="1" applyFill="1" applyAlignment="1">
      <alignment horizontal="center"/>
    </xf>
    <xf numFmtId="0" fontId="3" fillId="0" borderId="0" xfId="42" applyFont="1" applyFill="1" applyBorder="1" applyAlignment="1">
      <alignment horizontal="left"/>
    </xf>
    <xf numFmtId="0" fontId="10" fillId="0" borderId="0" xfId="42" applyFont="1" applyFill="1" applyBorder="1"/>
    <xf numFmtId="0" fontId="15" fillId="0" borderId="0" xfId="42" applyFont="1" applyFill="1" applyBorder="1"/>
    <xf numFmtId="0" fontId="10" fillId="0" borderId="0" xfId="24" applyFont="1" applyFill="1" applyBorder="1" applyAlignment="1">
      <alignment horizontal="center"/>
    </xf>
    <xf numFmtId="0" fontId="10" fillId="0" borderId="0" xfId="24" applyFont="1" applyFill="1" applyBorder="1"/>
    <xf numFmtId="0" fontId="15" fillId="0" borderId="0" xfId="24" applyFont="1" applyFill="1" applyBorder="1"/>
    <xf numFmtId="0" fontId="16" fillId="0" borderId="0" xfId="24" applyFont="1" applyFill="1" applyBorder="1"/>
    <xf numFmtId="0" fontId="16" fillId="0" borderId="1" xfId="43" applyFont="1" applyFill="1" applyBorder="1" applyAlignment="1">
      <alignment horizontal="center" vertical="center" wrapText="1"/>
    </xf>
    <xf numFmtId="3" fontId="16" fillId="0" borderId="1" xfId="43" applyNumberFormat="1" applyFont="1" applyFill="1" applyBorder="1" applyAlignment="1">
      <alignment horizontal="center" vertical="center" wrapText="1"/>
    </xf>
    <xf numFmtId="0" fontId="16" fillId="0" borderId="1" xfId="24" applyFont="1" applyFill="1" applyBorder="1" applyAlignment="1">
      <alignment horizontal="center" vertical="center" wrapText="1"/>
    </xf>
    <xf numFmtId="3" fontId="16" fillId="0" borderId="1" xfId="24" applyNumberFormat="1" applyFont="1" applyFill="1" applyBorder="1" applyAlignment="1">
      <alignment horizontal="center" vertical="center" wrapText="1"/>
    </xf>
    <xf numFmtId="0" fontId="16" fillId="0" borderId="1" xfId="24" applyFont="1" applyFill="1" applyBorder="1" applyAlignment="1">
      <alignment horizontal="center" vertical="center"/>
    </xf>
    <xf numFmtId="0" fontId="16" fillId="0" borderId="29" xfId="24" applyFont="1" applyFill="1" applyBorder="1" applyAlignment="1">
      <alignment horizontal="center" vertical="center" wrapText="1"/>
    </xf>
    <xf numFmtId="43" fontId="16" fillId="0" borderId="29" xfId="24" applyNumberFormat="1" applyFont="1" applyFill="1" applyBorder="1" applyAlignment="1">
      <alignment horizontal="center" vertical="center" wrapText="1"/>
    </xf>
    <xf numFmtId="0" fontId="16" fillId="0" borderId="29" xfId="24" applyFont="1" applyFill="1" applyBorder="1" applyAlignment="1">
      <alignment horizontal="center" vertical="center"/>
    </xf>
    <xf numFmtId="0" fontId="79" fillId="0" borderId="26" xfId="44" applyFont="1" applyFill="1" applyBorder="1" applyAlignment="1"/>
    <xf numFmtId="43" fontId="16" fillId="0" borderId="26" xfId="39" applyFont="1" applyFill="1" applyBorder="1" applyAlignment="1">
      <alignment horizontal="center" vertical="center" wrapText="1"/>
    </xf>
    <xf numFmtId="0" fontId="16" fillId="0" borderId="26" xfId="24" applyFont="1" applyFill="1" applyBorder="1" applyAlignment="1">
      <alignment horizontal="center" vertical="center"/>
    </xf>
    <xf numFmtId="0" fontId="15" fillId="0" borderId="28" xfId="24" applyFont="1" applyFill="1" applyBorder="1" applyAlignment="1">
      <alignment horizontal="center"/>
    </xf>
    <xf numFmtId="3" fontId="15" fillId="0" borderId="28" xfId="42" applyNumberFormat="1" applyFont="1" applyFill="1" applyBorder="1" applyAlignment="1">
      <alignment horizontal="left"/>
    </xf>
    <xf numFmtId="2" fontId="15" fillId="0" borderId="28" xfId="42" applyNumberFormat="1" applyFont="1" applyFill="1" applyBorder="1" applyAlignment="1">
      <alignment horizontal="center"/>
    </xf>
    <xf numFmtId="3" fontId="15" fillId="0" borderId="28" xfId="42" applyNumberFormat="1" applyFont="1" applyFill="1" applyBorder="1" applyAlignment="1">
      <alignment horizontal="center"/>
    </xf>
    <xf numFmtId="172" fontId="15" fillId="0" borderId="28" xfId="24" applyNumberFormat="1" applyFont="1" applyFill="1" applyBorder="1" applyAlignment="1"/>
    <xf numFmtId="0" fontId="77" fillId="0" borderId="0" xfId="24" applyFont="1" applyFill="1" applyBorder="1" applyAlignment="1"/>
    <xf numFmtId="0" fontId="15" fillId="0" borderId="0" xfId="42" applyFont="1" applyFill="1" applyBorder="1" applyAlignment="1">
      <alignment horizontal="center"/>
    </xf>
    <xf numFmtId="0" fontId="16" fillId="0" borderId="0" xfId="0" applyFont="1" applyAlignment="1">
      <alignment horizontal="right"/>
    </xf>
    <xf numFmtId="0" fontId="80" fillId="0" borderId="1" xfId="0" applyFont="1" applyBorder="1" applyAlignment="1">
      <alignment horizontal="center" vertical="center" wrapText="1"/>
    </xf>
    <xf numFmtId="0" fontId="80"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166" fontId="7" fillId="0" borderId="1" xfId="4" applyNumberFormat="1" applyFont="1" applyFill="1" applyBorder="1" applyAlignment="1">
      <alignment horizontal="center" wrapText="1"/>
    </xf>
    <xf numFmtId="166" fontId="0" fillId="0" borderId="1" xfId="4" applyNumberFormat="1" applyFont="1" applyFill="1" applyBorder="1" applyAlignment="1"/>
    <xf numFmtId="166" fontId="0" fillId="0" borderId="0" xfId="4" applyNumberFormat="1" applyFont="1" applyFill="1" applyAlignment="1"/>
    <xf numFmtId="166" fontId="6" fillId="0" borderId="1" xfId="4" applyNumberFormat="1" applyFont="1" applyFill="1" applyBorder="1" applyAlignment="1">
      <alignment horizontal="center" wrapText="1"/>
    </xf>
    <xf numFmtId="0" fontId="6" fillId="0" borderId="1" xfId="0" applyFont="1" applyFill="1" applyBorder="1" applyAlignment="1">
      <alignment horizontal="center" wrapText="1"/>
    </xf>
    <xf numFmtId="166" fontId="6" fillId="0" borderId="1" xfId="0" applyNumberFormat="1" applyFont="1" applyFill="1" applyBorder="1" applyAlignment="1">
      <alignment horizontal="center" wrapText="1"/>
    </xf>
    <xf numFmtId="166" fontId="9" fillId="0" borderId="0" xfId="0" applyNumberFormat="1" applyFont="1"/>
    <xf numFmtId="1" fontId="20" fillId="0" borderId="0" xfId="31" applyNumberFormat="1" applyFont="1" applyAlignment="1">
      <alignment horizontal="left" vertical="center" wrapText="1"/>
    </xf>
    <xf numFmtId="171" fontId="10" fillId="0" borderId="1" xfId="31" applyNumberFormat="1" applyFont="1" applyFill="1" applyBorder="1" applyAlignment="1">
      <alignment horizontal="center" vertical="center" wrapText="1"/>
    </xf>
    <xf numFmtId="0" fontId="10" fillId="0" borderId="1" xfId="18" applyFont="1" applyFill="1" applyBorder="1" applyAlignment="1">
      <alignment horizontal="center" vertical="center" wrapText="1"/>
    </xf>
    <xf numFmtId="3" fontId="10" fillId="0" borderId="1" xfId="6" applyNumberFormat="1" applyFont="1" applyFill="1" applyBorder="1" applyAlignment="1">
      <alignment horizontal="right" vertical="center" wrapText="1"/>
    </xf>
    <xf numFmtId="166" fontId="10" fillId="0" borderId="1" xfId="6" applyNumberFormat="1" applyFont="1" applyFill="1" applyBorder="1" applyAlignment="1">
      <alignment horizontal="right" vertical="center" wrapText="1"/>
    </xf>
    <xf numFmtId="166" fontId="10" fillId="0" borderId="1" xfId="6" applyNumberFormat="1" applyFont="1" applyFill="1" applyBorder="1" applyAlignment="1">
      <alignment horizontal="right" vertical="center"/>
    </xf>
    <xf numFmtId="0" fontId="34" fillId="0" borderId="1" xfId="0" applyFont="1" applyBorder="1" applyAlignment="1">
      <alignment horizontal="center" vertical="center" wrapText="1"/>
    </xf>
    <xf numFmtId="166" fontId="17" fillId="0" borderId="0" xfId="4" applyNumberFormat="1" applyFont="1"/>
    <xf numFmtId="0" fontId="3" fillId="0" borderId="1" xfId="0" applyFont="1" applyFill="1" applyBorder="1" applyAlignment="1">
      <alignment horizontal="center" vertical="center" wrapText="1"/>
    </xf>
    <xf numFmtId="1" fontId="3" fillId="0" borderId="1" xfId="34" applyNumberFormat="1" applyFont="1" applyFill="1" applyBorder="1" applyAlignment="1">
      <alignment horizontal="center" vertical="center" wrapText="1"/>
    </xf>
    <xf numFmtId="0" fontId="3" fillId="0" borderId="1" xfId="18" applyFont="1" applyFill="1" applyBorder="1" applyAlignment="1">
      <alignment horizontal="center" vertical="center" wrapText="1"/>
    </xf>
    <xf numFmtId="3" fontId="10" fillId="4" borderId="0" xfId="0" applyNumberFormat="1" applyFont="1" applyFill="1"/>
    <xf numFmtId="0" fontId="10" fillId="4" borderId="0" xfId="0" applyFont="1" applyFill="1"/>
    <xf numFmtId="0" fontId="5" fillId="4" borderId="1" xfId="0" applyFont="1" applyFill="1" applyBorder="1" applyAlignment="1">
      <alignment horizontal="center" wrapText="1"/>
    </xf>
    <xf numFmtId="0" fontId="5" fillId="4" borderId="1" xfId="0" applyFont="1" applyFill="1" applyBorder="1" applyAlignment="1">
      <alignment horizontal="center" vertical="top" wrapText="1"/>
    </xf>
    <xf numFmtId="3" fontId="5" fillId="4" borderId="0" xfId="0" applyNumberFormat="1" applyFont="1" applyFill="1"/>
    <xf numFmtId="0" fontId="5" fillId="4" borderId="0" xfId="0" applyFont="1" applyFill="1"/>
    <xf numFmtId="0" fontId="3" fillId="4" borderId="1" xfId="0" applyFont="1" applyFill="1" applyBorder="1" applyAlignment="1">
      <alignment horizontal="center" wrapText="1"/>
    </xf>
    <xf numFmtId="0" fontId="3" fillId="4" borderId="1" xfId="0" applyFont="1" applyFill="1" applyBorder="1" applyAlignment="1">
      <alignment wrapText="1"/>
    </xf>
    <xf numFmtId="166" fontId="3" fillId="4" borderId="1" xfId="4" applyNumberFormat="1" applyFont="1" applyFill="1" applyBorder="1" applyAlignment="1">
      <alignment wrapText="1"/>
    </xf>
    <xf numFmtId="9" fontId="3" fillId="4" borderId="1" xfId="35" applyFont="1" applyFill="1" applyBorder="1" applyAlignment="1">
      <alignment wrapText="1"/>
    </xf>
    <xf numFmtId="175" fontId="10" fillId="4" borderId="0" xfId="0" applyNumberFormat="1" applyFont="1" applyFill="1"/>
    <xf numFmtId="0" fontId="3" fillId="4" borderId="1" xfId="0" applyNumberFormat="1" applyFont="1" applyFill="1" applyBorder="1" applyAlignment="1">
      <alignment wrapText="1"/>
    </xf>
    <xf numFmtId="0" fontId="5" fillId="4" borderId="1" xfId="0" applyNumberFormat="1" applyFont="1" applyFill="1" applyBorder="1" applyAlignment="1">
      <alignment wrapText="1"/>
    </xf>
    <xf numFmtId="166" fontId="5" fillId="4" borderId="1" xfId="4" applyNumberFormat="1" applyFont="1" applyFill="1" applyBorder="1" applyAlignment="1">
      <alignment wrapText="1"/>
    </xf>
    <xf numFmtId="9" fontId="11" fillId="4" borderId="1" xfId="35" applyFont="1" applyFill="1" applyBorder="1" applyAlignment="1">
      <alignment wrapText="1"/>
    </xf>
    <xf numFmtId="9" fontId="5" fillId="4" borderId="1" xfId="35" applyFont="1" applyFill="1" applyBorder="1" applyAlignment="1">
      <alignment wrapText="1"/>
    </xf>
    <xf numFmtId="0" fontId="5" fillId="4" borderId="1" xfId="0" applyFont="1" applyFill="1" applyBorder="1" applyAlignment="1">
      <alignment wrapText="1"/>
    </xf>
    <xf numFmtId="0" fontId="10" fillId="4" borderId="1" xfId="0" applyFont="1" applyFill="1" applyBorder="1" applyAlignment="1">
      <alignment horizontal="center" wrapText="1"/>
    </xf>
    <xf numFmtId="3" fontId="3" fillId="4" borderId="0" xfId="0" applyNumberFormat="1" applyFont="1" applyFill="1"/>
    <xf numFmtId="0" fontId="3" fillId="4" borderId="0" xfId="0" applyFont="1" applyFill="1"/>
    <xf numFmtId="3" fontId="5" fillId="4" borderId="0" xfId="0" applyNumberFormat="1" applyFont="1" applyFill="1" applyAlignment="1">
      <alignment horizontal="right"/>
    </xf>
    <xf numFmtId="176" fontId="5" fillId="4" borderId="0" xfId="0" applyNumberFormat="1" applyFont="1" applyFill="1" applyAlignment="1">
      <alignment horizontal="right"/>
    </xf>
    <xf numFmtId="175" fontId="5" fillId="4" borderId="0" xfId="0" applyNumberFormat="1" applyFont="1" applyFill="1"/>
    <xf numFmtId="0" fontId="34" fillId="4" borderId="1" xfId="0" applyFont="1" applyFill="1" applyBorder="1" applyAlignment="1">
      <alignment vertical="center"/>
    </xf>
    <xf numFmtId="0" fontId="3" fillId="4" borderId="1" xfId="0" applyFont="1" applyFill="1" applyBorder="1" applyAlignment="1">
      <alignment vertical="center"/>
    </xf>
    <xf numFmtId="0" fontId="3" fillId="4" borderId="1" xfId="0" applyNumberFormat="1" applyFont="1" applyFill="1" applyBorder="1" applyAlignment="1">
      <alignment vertical="center"/>
    </xf>
    <xf numFmtId="0" fontId="5" fillId="4" borderId="1" xfId="0" applyFont="1" applyFill="1" applyBorder="1" applyAlignment="1">
      <alignment horizontal="center" vertical="center" wrapText="1"/>
    </xf>
    <xf numFmtId="0" fontId="5" fillId="4" borderId="1" xfId="0" applyFont="1" applyFill="1" applyBorder="1" applyAlignment="1">
      <alignment vertical="center"/>
    </xf>
    <xf numFmtId="9" fontId="10" fillId="4" borderId="1" xfId="35" applyFont="1" applyFill="1" applyBorder="1" applyAlignment="1">
      <alignment wrapText="1"/>
    </xf>
    <xf numFmtId="0" fontId="11" fillId="4" borderId="1" xfId="0" applyFont="1" applyFill="1" applyBorder="1" applyAlignment="1">
      <alignment horizontal="center" vertical="center" wrapText="1"/>
    </xf>
    <xf numFmtId="0" fontId="3" fillId="4" borderId="1" xfId="1" applyNumberFormat="1" applyFont="1" applyFill="1" applyBorder="1" applyAlignment="1">
      <alignment vertical="center" wrapText="1"/>
    </xf>
    <xf numFmtId="0" fontId="5" fillId="4" borderId="1" xfId="1" applyFont="1" applyFill="1" applyBorder="1" applyAlignment="1">
      <alignment vertical="center" wrapText="1"/>
    </xf>
    <xf numFmtId="3" fontId="10" fillId="4" borderId="1" xfId="0" applyNumberFormat="1" applyFont="1" applyFill="1" applyBorder="1" applyAlignment="1">
      <alignment horizontal="right" vertical="center"/>
    </xf>
    <xf numFmtId="0" fontId="5" fillId="4" borderId="1" xfId="0" applyFont="1" applyFill="1" applyBorder="1" applyAlignment="1">
      <alignment horizontal="left" vertical="center" wrapText="1"/>
    </xf>
    <xf numFmtId="166" fontId="10" fillId="4" borderId="1" xfId="4" applyNumberFormat="1" applyFont="1" applyFill="1" applyBorder="1" applyAlignment="1">
      <alignment wrapText="1"/>
    </xf>
    <xf numFmtId="0" fontId="3" fillId="4" borderId="1" xfId="0" applyFont="1" applyFill="1" applyBorder="1" applyAlignment="1">
      <alignment vertical="center" wrapText="1"/>
    </xf>
    <xf numFmtId="0" fontId="3" fillId="4" borderId="1" xfId="0" applyNumberFormat="1" applyFont="1" applyFill="1" applyBorder="1" applyAlignment="1">
      <alignment vertical="center" wrapText="1"/>
    </xf>
    <xf numFmtId="0" fontId="5"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3" fillId="4" borderId="1" xfId="0" applyFont="1" applyFill="1" applyBorder="1" applyAlignment="1">
      <alignment horizontal="center"/>
    </xf>
    <xf numFmtId="0" fontId="3" fillId="4" borderId="1" xfId="0" applyFont="1" applyFill="1" applyBorder="1"/>
    <xf numFmtId="166" fontId="3" fillId="4" borderId="1" xfId="4" applyNumberFormat="1" applyFont="1" applyFill="1" applyBorder="1"/>
    <xf numFmtId="0" fontId="3" fillId="4" borderId="1" xfId="0" applyNumberFormat="1" applyFont="1" applyFill="1" applyBorder="1" applyAlignment="1">
      <alignment horizontal="justify" vertical="center" wrapText="1"/>
    </xf>
    <xf numFmtId="0" fontId="5" fillId="4" borderId="1" xfId="0" applyFont="1" applyFill="1" applyBorder="1"/>
    <xf numFmtId="166" fontId="5" fillId="4" borderId="1" xfId="4" applyNumberFormat="1" applyFont="1" applyFill="1" applyBorder="1"/>
    <xf numFmtId="0" fontId="3" fillId="0" borderId="1" xfId="31" applyFont="1" applyBorder="1" applyAlignment="1">
      <alignment horizontal="center" vertical="center" wrapText="1"/>
    </xf>
    <xf numFmtId="3" fontId="3" fillId="0" borderId="1" xfId="31" quotePrefix="1" applyNumberFormat="1" applyFont="1" applyBorder="1" applyAlignment="1">
      <alignment horizontal="center" vertical="center" wrapText="1"/>
    </xf>
    <xf numFmtId="166" fontId="3" fillId="0" borderId="1" xfId="31" applyNumberFormat="1" applyFont="1" applyBorder="1" applyAlignment="1">
      <alignment horizontal="center" vertical="center" wrapText="1"/>
    </xf>
    <xf numFmtId="171" fontId="3" fillId="0" borderId="1" xfId="45" applyNumberFormat="1" applyFont="1" applyFill="1" applyBorder="1" applyAlignment="1">
      <alignment horizontal="right" vertical="center" wrapText="1"/>
    </xf>
    <xf numFmtId="166" fontId="3" fillId="0" borderId="1" xfId="17" applyNumberFormat="1" applyFont="1" applyBorder="1" applyAlignment="1">
      <alignment horizontal="center" vertical="center" wrapText="1"/>
    </xf>
    <xf numFmtId="171" fontId="3" fillId="0" borderId="0" xfId="31" applyNumberFormat="1" applyFont="1" applyAlignment="1">
      <alignment vertical="center" wrapText="1"/>
    </xf>
    <xf numFmtId="3" fontId="3" fillId="0" borderId="0" xfId="31" applyNumberFormat="1" applyFont="1" applyAlignment="1">
      <alignment vertical="center" wrapText="1"/>
    </xf>
    <xf numFmtId="3" fontId="3" fillId="0" borderId="1" xfId="38" applyNumberFormat="1" applyFont="1" applyFill="1" applyBorder="1" applyAlignment="1">
      <alignment horizontal="left" vertical="center" wrapText="1"/>
    </xf>
    <xf numFmtId="171" fontId="10" fillId="0" borderId="1" xfId="45" applyNumberFormat="1" applyFont="1" applyFill="1" applyBorder="1" applyAlignment="1">
      <alignment horizontal="right" vertical="center" wrapText="1"/>
    </xf>
    <xf numFmtId="171" fontId="3" fillId="0" borderId="1" xfId="45" applyNumberFormat="1" applyFont="1" applyFill="1" applyBorder="1" applyAlignment="1">
      <alignment vertical="center" wrapText="1"/>
    </xf>
    <xf numFmtId="166" fontId="3" fillId="0" borderId="1" xfId="18" applyNumberFormat="1" applyFont="1" applyBorder="1" applyAlignment="1">
      <alignment horizontal="center" vertical="center" wrapText="1"/>
    </xf>
    <xf numFmtId="171" fontId="3" fillId="0" borderId="1" xfId="18" quotePrefix="1" applyNumberFormat="1" applyFont="1" applyFill="1" applyBorder="1" applyAlignment="1">
      <alignment horizontal="center" vertical="center" wrapText="1"/>
    </xf>
    <xf numFmtId="3" fontId="10" fillId="0" borderId="1" xfId="0" applyNumberFormat="1" applyFont="1" applyFill="1" applyBorder="1"/>
    <xf numFmtId="166" fontId="10" fillId="0" borderId="1" xfId="17" applyNumberFormat="1" applyFont="1" applyBorder="1" applyAlignment="1">
      <alignment horizontal="center" vertical="center" wrapText="1"/>
    </xf>
    <xf numFmtId="0" fontId="10" fillId="0" borderId="0" xfId="2" applyFont="1" applyAlignment="1">
      <alignment vertical="center"/>
    </xf>
    <xf numFmtId="3" fontId="10" fillId="0" borderId="1" xfId="38" applyNumberFormat="1" applyFont="1" applyFill="1" applyBorder="1" applyAlignment="1">
      <alignment horizontal="left" vertical="center" wrapText="1"/>
    </xf>
    <xf numFmtId="0" fontId="10" fillId="0" borderId="1" xfId="18" applyFont="1" applyBorder="1" applyAlignment="1">
      <alignment horizontal="center" vertical="center" wrapText="1"/>
    </xf>
    <xf numFmtId="171" fontId="10" fillId="0" borderId="1" xfId="45" applyNumberFormat="1" applyFont="1" applyFill="1" applyBorder="1" applyAlignment="1">
      <alignment horizontal="center" vertical="center" wrapText="1"/>
    </xf>
    <xf numFmtId="166" fontId="10" fillId="0" borderId="1" xfId="17" applyNumberFormat="1" applyFont="1" applyBorder="1" applyAlignment="1">
      <alignment horizontal="right" vertical="center" wrapText="1"/>
    </xf>
    <xf numFmtId="165" fontId="10" fillId="0" borderId="1" xfId="17" applyNumberFormat="1" applyFont="1" applyBorder="1" applyAlignment="1">
      <alignment horizontal="right" vertical="center" wrapText="1"/>
    </xf>
    <xf numFmtId="171" fontId="10" fillId="0" borderId="1" xfId="45" applyNumberFormat="1" applyFont="1" applyFill="1" applyBorder="1" applyAlignment="1">
      <alignment vertical="center" wrapText="1"/>
    </xf>
    <xf numFmtId="166" fontId="3" fillId="0" borderId="1" xfId="17" applyNumberFormat="1" applyFont="1" applyBorder="1" applyAlignment="1">
      <alignment horizontal="right" vertical="center" wrapText="1"/>
    </xf>
    <xf numFmtId="166" fontId="10" fillId="0" borderId="1" xfId="17" applyNumberFormat="1" applyFont="1" applyBorder="1" applyAlignment="1">
      <alignment vertical="center"/>
    </xf>
    <xf numFmtId="1" fontId="10" fillId="0" borderId="1" xfId="31" quotePrefix="1" applyNumberFormat="1" applyFont="1" applyFill="1" applyBorder="1" applyAlignment="1">
      <alignment horizontal="center" vertical="center" wrapText="1"/>
    </xf>
    <xf numFmtId="0" fontId="10" fillId="0" borderId="1" xfId="3" applyFont="1" applyFill="1" applyBorder="1" applyAlignment="1">
      <alignment horizontal="left" vertical="center" wrapText="1"/>
    </xf>
    <xf numFmtId="0" fontId="3" fillId="0" borderId="1" xfId="18" applyFont="1" applyBorder="1" applyAlignment="1">
      <alignment horizontal="center" vertical="center" wrapText="1"/>
    </xf>
    <xf numFmtId="171" fontId="10" fillId="0" borderId="1" xfId="6" applyNumberFormat="1" applyFont="1" applyFill="1" applyBorder="1" applyAlignment="1">
      <alignment horizontal="right" vertical="center" wrapText="1"/>
    </xf>
    <xf numFmtId="4" fontId="10" fillId="0" borderId="1" xfId="6" applyNumberFormat="1" applyFont="1" applyFill="1" applyBorder="1" applyAlignment="1">
      <alignment horizontal="right" vertical="center" wrapText="1"/>
    </xf>
    <xf numFmtId="4" fontId="10" fillId="0" borderId="1" xfId="45" applyNumberFormat="1" applyFont="1" applyFill="1" applyBorder="1" applyAlignment="1">
      <alignment horizontal="right" vertical="center" wrapText="1"/>
    </xf>
    <xf numFmtId="166" fontId="10" fillId="0" borderId="1" xfId="17" applyNumberFormat="1" applyFont="1" applyBorder="1" applyAlignment="1">
      <alignment horizontal="right" vertical="center"/>
    </xf>
    <xf numFmtId="165" fontId="10" fillId="0" borderId="1" xfId="17" applyNumberFormat="1" applyFont="1" applyBorder="1" applyAlignment="1">
      <alignment vertical="center"/>
    </xf>
    <xf numFmtId="171" fontId="81" fillId="0" borderId="1" xfId="6" applyNumberFormat="1" applyFont="1" applyFill="1" applyBorder="1" applyAlignment="1">
      <alignment horizontal="right" vertical="center" wrapText="1"/>
    </xf>
    <xf numFmtId="165" fontId="10" fillId="0" borderId="1" xfId="17" applyNumberFormat="1" applyFont="1" applyBorder="1" applyAlignment="1">
      <alignment horizontal="center" vertical="center" wrapText="1"/>
    </xf>
    <xf numFmtId="3" fontId="10" fillId="0" borderId="1" xfId="45" applyNumberFormat="1" applyFont="1" applyFill="1" applyBorder="1" applyAlignment="1">
      <alignment horizontal="right" vertical="center" wrapText="1"/>
    </xf>
    <xf numFmtId="0" fontId="10" fillId="0" borderId="1" xfId="20" applyFont="1" applyFill="1" applyBorder="1" applyAlignment="1">
      <alignment horizontal="left" vertical="center" wrapText="1"/>
    </xf>
    <xf numFmtId="166" fontId="3" fillId="0" borderId="1" xfId="17" applyNumberFormat="1" applyFont="1" applyBorder="1" applyAlignment="1">
      <alignment vertical="center"/>
    </xf>
    <xf numFmtId="0" fontId="3" fillId="0" borderId="0" xfId="2" applyFont="1" applyAlignment="1">
      <alignment vertical="center"/>
    </xf>
    <xf numFmtId="0" fontId="3" fillId="0" borderId="1" xfId="20" applyFont="1" applyFill="1" applyBorder="1" applyAlignment="1">
      <alignment horizontal="left" vertical="center" wrapText="1"/>
    </xf>
    <xf numFmtId="171" fontId="3" fillId="0" borderId="1" xfId="31" applyNumberFormat="1" applyFont="1" applyFill="1" applyBorder="1" applyAlignment="1">
      <alignment horizontal="center" vertical="center" wrapText="1"/>
    </xf>
    <xf numFmtId="171" fontId="3" fillId="0" borderId="1" xfId="6" applyNumberFormat="1" applyFont="1" applyFill="1" applyBorder="1" applyAlignment="1">
      <alignment horizontal="right" vertical="center" wrapText="1"/>
    </xf>
    <xf numFmtId="166" fontId="10" fillId="0" borderId="1" xfId="18" applyNumberFormat="1" applyFont="1" applyBorder="1" applyAlignment="1">
      <alignment horizontal="center" vertical="center" wrapText="1"/>
    </xf>
    <xf numFmtId="0" fontId="10" fillId="0" borderId="1" xfId="18" quotePrefix="1" applyFont="1" applyFill="1" applyBorder="1" applyAlignment="1">
      <alignment horizontal="center" vertical="center" wrapText="1"/>
    </xf>
    <xf numFmtId="0" fontId="10" fillId="0" borderId="1" xfId="20" applyFont="1" applyFill="1" applyBorder="1" applyAlignment="1">
      <alignment vertical="center" wrapText="1"/>
    </xf>
    <xf numFmtId="0" fontId="3" fillId="0" borderId="1" xfId="34" applyFont="1" applyFill="1" applyBorder="1" applyAlignment="1">
      <alignment horizontal="left" vertical="center" wrapText="1"/>
    </xf>
    <xf numFmtId="171" fontId="3" fillId="0" borderId="1" xfId="18" applyNumberFormat="1" applyFont="1" applyFill="1" applyBorder="1" applyAlignment="1">
      <alignment horizontal="center" vertical="center" wrapText="1"/>
    </xf>
    <xf numFmtId="3" fontId="3" fillId="0" borderId="1" xfId="0" applyNumberFormat="1" applyFont="1" applyFill="1" applyBorder="1" applyAlignment="1">
      <alignment horizontal="right" vertical="center" wrapText="1"/>
    </xf>
    <xf numFmtId="171" fontId="3" fillId="0" borderId="1" xfId="0" applyNumberFormat="1" applyFont="1" applyFill="1" applyBorder="1" applyAlignment="1">
      <alignment horizontal="right" vertical="center" wrapText="1"/>
    </xf>
    <xf numFmtId="0" fontId="10" fillId="0" borderId="1" xfId="34" applyFont="1" applyBorder="1" applyAlignment="1">
      <alignment horizontal="center" vertical="center" wrapText="1"/>
    </xf>
    <xf numFmtId="3" fontId="3" fillId="0" borderId="1" xfId="6" applyNumberFormat="1" applyFont="1" applyFill="1" applyBorder="1" applyAlignment="1">
      <alignment horizontal="right" vertical="center" wrapText="1"/>
    </xf>
    <xf numFmtId="0" fontId="10" fillId="0" borderId="1" xfId="20" applyFont="1" applyFill="1" applyBorder="1" applyAlignment="1">
      <alignment horizontal="center" vertical="center" wrapText="1"/>
    </xf>
    <xf numFmtId="3" fontId="10" fillId="0" borderId="1" xfId="6" applyNumberFormat="1" applyFont="1" applyBorder="1" applyAlignment="1">
      <alignment horizontal="right" vertical="center" wrapText="1"/>
    </xf>
    <xf numFmtId="0" fontId="10" fillId="0" borderId="1" xfId="2" applyFont="1" applyBorder="1" applyAlignment="1">
      <alignment horizontal="center" vertical="center" wrapText="1"/>
    </xf>
    <xf numFmtId="166" fontId="11" fillId="0" borderId="1" xfId="17" applyNumberFormat="1" applyFont="1" applyBorder="1" applyAlignment="1">
      <alignment vertical="center"/>
    </xf>
    <xf numFmtId="1" fontId="11" fillId="0" borderId="0" xfId="31" applyNumberFormat="1" applyFont="1" applyAlignment="1">
      <alignment vertical="center"/>
    </xf>
    <xf numFmtId="0" fontId="3" fillId="0" borderId="1" xfId="18" applyFont="1" applyFill="1" applyBorder="1" applyAlignment="1">
      <alignment horizontal="left" vertical="center" wrapText="1"/>
    </xf>
    <xf numFmtId="171" fontId="3" fillId="0" borderId="1" xfId="45" applyNumberFormat="1" applyFont="1" applyFill="1" applyBorder="1" applyAlignment="1">
      <alignment horizontal="center" vertical="center" wrapText="1"/>
    </xf>
    <xf numFmtId="166" fontId="3" fillId="0" borderId="1" xfId="17" applyNumberFormat="1" applyFont="1" applyBorder="1" applyAlignment="1">
      <alignment horizontal="right" vertical="center"/>
    </xf>
    <xf numFmtId="172" fontId="3" fillId="0" borderId="1" xfId="45" applyNumberFormat="1" applyFont="1" applyFill="1" applyBorder="1" applyAlignment="1">
      <alignment horizontal="right" vertical="center" wrapText="1"/>
    </xf>
    <xf numFmtId="0" fontId="3" fillId="0" borderId="1" xfId="18" quotePrefix="1" applyFont="1" applyFill="1" applyBorder="1" applyAlignment="1">
      <alignment horizontal="center" vertical="center" wrapText="1"/>
    </xf>
    <xf numFmtId="1" fontId="10" fillId="0" borderId="1" xfId="34" applyNumberFormat="1" applyFont="1" applyFill="1" applyBorder="1" applyAlignment="1">
      <alignment horizontal="center" vertical="center" wrapText="1"/>
    </xf>
    <xf numFmtId="0" fontId="10" fillId="0" borderId="1" xfId="34" applyFont="1" applyFill="1" applyBorder="1" applyAlignment="1">
      <alignment horizontal="left" vertical="center" wrapText="1"/>
    </xf>
    <xf numFmtId="0" fontId="3" fillId="0" borderId="1" xfId="2" applyFont="1" applyBorder="1" applyAlignment="1">
      <alignment horizontal="center" vertical="center" wrapText="1"/>
    </xf>
    <xf numFmtId="165" fontId="10" fillId="0" borderId="1" xfId="17" applyNumberFormat="1" applyFont="1" applyBorder="1" applyAlignment="1">
      <alignment horizontal="right" vertical="center"/>
    </xf>
    <xf numFmtId="172" fontId="10" fillId="0" borderId="1" xfId="45" applyNumberFormat="1" applyFont="1" applyFill="1" applyBorder="1" applyAlignment="1">
      <alignment horizontal="right" vertical="center" wrapText="1"/>
    </xf>
    <xf numFmtId="1" fontId="3" fillId="0" borderId="0" xfId="31" applyNumberFormat="1" applyFont="1" applyAlignment="1">
      <alignment vertical="center"/>
    </xf>
    <xf numFmtId="166" fontId="5" fillId="0" borderId="1" xfId="17" applyNumberFormat="1" applyFont="1" applyBorder="1" applyAlignment="1">
      <alignment horizontal="right" vertical="center"/>
    </xf>
    <xf numFmtId="3" fontId="10" fillId="0" borderId="1" xfId="31" applyNumberFormat="1" applyFont="1" applyFill="1" applyBorder="1" applyAlignment="1">
      <alignment horizontal="center" vertical="center" wrapText="1"/>
    </xf>
    <xf numFmtId="166" fontId="10" fillId="0" borderId="1" xfId="45" applyNumberFormat="1" applyFont="1" applyFill="1" applyBorder="1" applyAlignment="1">
      <alignment horizontal="center" vertical="center" wrapText="1"/>
    </xf>
    <xf numFmtId="166" fontId="10" fillId="0" borderId="1" xfId="6" applyNumberFormat="1" applyFont="1" applyBorder="1" applyAlignment="1">
      <alignment horizontal="center" vertical="center" wrapText="1"/>
    </xf>
    <xf numFmtId="166" fontId="3" fillId="0" borderId="1" xfId="6" applyNumberFormat="1" applyFont="1" applyBorder="1" applyAlignment="1">
      <alignment horizontal="center" vertical="center" wrapText="1"/>
    </xf>
    <xf numFmtId="166" fontId="3" fillId="0" borderId="1" xfId="18" applyNumberFormat="1" applyFont="1" applyFill="1" applyBorder="1" applyAlignment="1">
      <alignment horizontal="center" vertical="center" wrapText="1"/>
    </xf>
    <xf numFmtId="166" fontId="3" fillId="0" borderId="1" xfId="45" applyNumberFormat="1" applyFont="1" applyFill="1" applyBorder="1" applyAlignment="1">
      <alignment horizontal="center" vertical="center" wrapText="1"/>
    </xf>
    <xf numFmtId="166" fontId="10" fillId="0" borderId="1" xfId="15" applyNumberFormat="1" applyFont="1" applyFill="1" applyBorder="1" applyAlignment="1">
      <alignment horizontal="right" vertical="center" wrapText="1"/>
    </xf>
    <xf numFmtId="166" fontId="10" fillId="0" borderId="1" xfId="17" quotePrefix="1" applyNumberFormat="1" applyFont="1" applyBorder="1" applyAlignment="1">
      <alignment horizontal="center" vertical="center" wrapText="1"/>
    </xf>
    <xf numFmtId="0" fontId="10" fillId="0" borderId="1" xfId="31" applyFont="1" applyBorder="1" applyAlignment="1">
      <alignment horizontal="center" vertical="center" wrapText="1"/>
    </xf>
    <xf numFmtId="3" fontId="10" fillId="0" borderId="0" xfId="31" applyNumberFormat="1" applyFont="1" applyAlignment="1">
      <alignment vertical="center" wrapText="1"/>
    </xf>
    <xf numFmtId="4" fontId="3" fillId="0" borderId="1" xfId="0" applyNumberFormat="1" applyFont="1" applyFill="1" applyBorder="1" applyAlignment="1">
      <alignment horizontal="center" vertical="center" wrapText="1"/>
    </xf>
    <xf numFmtId="3" fontId="3" fillId="0" borderId="1" xfId="45" applyNumberFormat="1" applyFont="1" applyFill="1" applyBorder="1" applyAlignment="1">
      <alignment horizontal="right" vertical="center" wrapText="1"/>
    </xf>
    <xf numFmtId="4" fontId="3" fillId="0" borderId="1" xfId="45" applyNumberFormat="1" applyFont="1" applyFill="1" applyBorder="1" applyAlignment="1">
      <alignment horizontal="right" vertical="center" wrapText="1"/>
    </xf>
    <xf numFmtId="0" fontId="3" fillId="0" borderId="1" xfId="38" applyFont="1" applyFill="1" applyBorder="1" applyAlignment="1">
      <alignment horizontal="center" vertical="center" wrapText="1"/>
    </xf>
    <xf numFmtId="171" fontId="3" fillId="0" borderId="1" xfId="0" applyNumberFormat="1" applyFont="1" applyFill="1" applyBorder="1" applyAlignment="1">
      <alignment horizontal="center" vertical="center" wrapText="1"/>
    </xf>
    <xf numFmtId="0" fontId="10" fillId="0" borderId="1" xfId="38" applyFont="1" applyFill="1" applyBorder="1" applyAlignment="1">
      <alignment horizontal="center" vertical="center" wrapText="1"/>
    </xf>
    <xf numFmtId="1" fontId="10" fillId="0" borderId="1" xfId="31" applyNumberFormat="1" applyFont="1" applyFill="1" applyBorder="1" applyAlignment="1">
      <alignment vertical="center" wrapText="1"/>
    </xf>
    <xf numFmtId="171" fontId="10" fillId="0" borderId="1" xfId="0" applyNumberFormat="1" applyFont="1" applyFill="1" applyBorder="1" applyAlignment="1">
      <alignment horizontal="center" vertical="center" wrapText="1"/>
    </xf>
    <xf numFmtId="171" fontId="10" fillId="0" borderId="1" xfId="8" applyNumberFormat="1" applyFont="1" applyFill="1" applyBorder="1" applyAlignment="1">
      <alignment horizontal="right" vertical="center" wrapText="1"/>
    </xf>
    <xf numFmtId="3" fontId="10" fillId="0" borderId="1" xfId="8" applyNumberFormat="1" applyFont="1" applyFill="1" applyBorder="1" applyAlignment="1">
      <alignment horizontal="right" vertical="center" wrapText="1"/>
    </xf>
    <xf numFmtId="1" fontId="10" fillId="0" borderId="1" xfId="31" applyNumberFormat="1" applyFont="1" applyBorder="1" applyAlignment="1">
      <alignment horizontal="center" vertical="center" wrapText="1"/>
    </xf>
    <xf numFmtId="3" fontId="3" fillId="0" borderId="1" xfId="8" applyNumberFormat="1" applyFont="1" applyFill="1" applyBorder="1" applyAlignment="1">
      <alignment horizontal="right" vertical="center" wrapText="1"/>
    </xf>
    <xf numFmtId="171" fontId="3" fillId="0" borderId="1" xfId="8" applyNumberFormat="1" applyFont="1" applyFill="1" applyBorder="1" applyAlignment="1">
      <alignment horizontal="right" vertical="center" wrapText="1"/>
    </xf>
    <xf numFmtId="1" fontId="10" fillId="0" borderId="1" xfId="31" applyNumberFormat="1" applyFont="1" applyFill="1" applyBorder="1" applyAlignment="1">
      <alignment horizontal="center" vertical="center"/>
    </xf>
    <xf numFmtId="3" fontId="10" fillId="0" borderId="1" xfId="6" applyNumberFormat="1" applyFont="1" applyFill="1" applyBorder="1" applyAlignment="1">
      <alignment horizontal="right" vertical="center"/>
    </xf>
    <xf numFmtId="3" fontId="10" fillId="0" borderId="1" xfId="7" applyNumberFormat="1" applyFont="1" applyFill="1" applyBorder="1" applyAlignment="1">
      <alignment horizontal="right" vertical="center" wrapText="1"/>
    </xf>
    <xf numFmtId="171" fontId="10" fillId="0" borderId="1" xfId="7" applyNumberFormat="1" applyFont="1" applyFill="1" applyBorder="1" applyAlignment="1">
      <alignment horizontal="right" vertical="center" wrapText="1"/>
    </xf>
    <xf numFmtId="3" fontId="10" fillId="0" borderId="1" xfId="31" applyNumberFormat="1" applyFont="1" applyFill="1" applyBorder="1" applyAlignment="1">
      <alignment horizontal="left" vertical="center" wrapText="1"/>
    </xf>
    <xf numFmtId="166" fontId="3" fillId="0" borderId="1" xfId="17" quotePrefix="1" applyNumberFormat="1" applyFont="1" applyBorder="1" applyAlignment="1">
      <alignment horizontal="center" vertical="center" wrapText="1"/>
    </xf>
    <xf numFmtId="166" fontId="10" fillId="0" borderId="1" xfId="17" quotePrefix="1" applyNumberFormat="1" applyFont="1" applyBorder="1" applyAlignment="1">
      <alignment horizontal="right" vertical="center" wrapText="1"/>
    </xf>
    <xf numFmtId="1" fontId="10" fillId="0" borderId="1" xfId="34" applyNumberFormat="1" applyFont="1" applyFill="1" applyBorder="1" applyAlignment="1">
      <alignment horizontal="center" vertical="center"/>
    </xf>
    <xf numFmtId="172" fontId="10" fillId="0" borderId="1" xfId="8" applyNumberFormat="1" applyFont="1" applyFill="1" applyBorder="1" applyAlignment="1">
      <alignment horizontal="right" vertical="center" wrapText="1"/>
    </xf>
    <xf numFmtId="1" fontId="10" fillId="0" borderId="1" xfId="31" quotePrefix="1" applyNumberFormat="1" applyFont="1" applyFill="1" applyBorder="1" applyAlignment="1">
      <alignment horizontal="center" vertical="center"/>
    </xf>
    <xf numFmtId="1" fontId="3" fillId="0" borderId="1" xfId="31" applyNumberFormat="1" applyFont="1" applyBorder="1" applyAlignment="1">
      <alignment horizontal="center" vertical="center" wrapText="1"/>
    </xf>
    <xf numFmtId="166" fontId="3" fillId="0" borderId="1" xfId="17" quotePrefix="1" applyNumberFormat="1" applyFont="1" applyBorder="1" applyAlignment="1">
      <alignment horizontal="right" vertical="center" wrapText="1"/>
    </xf>
    <xf numFmtId="3" fontId="10" fillId="0" borderId="1" xfId="31" quotePrefix="1" applyNumberFormat="1" applyFont="1" applyBorder="1" applyAlignment="1">
      <alignment horizontal="center" vertical="center" wrapText="1"/>
    </xf>
    <xf numFmtId="181" fontId="10" fillId="0" borderId="1" xfId="8" applyNumberFormat="1" applyFont="1" applyFill="1" applyBorder="1" applyAlignment="1">
      <alignment horizontal="right" vertical="center" wrapText="1"/>
    </xf>
    <xf numFmtId="1" fontId="3" fillId="0" borderId="1" xfId="31"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right" vertical="center"/>
    </xf>
    <xf numFmtId="0" fontId="11" fillId="0" borderId="1" xfId="18" applyFont="1" applyBorder="1" applyAlignment="1">
      <alignment horizontal="center" vertical="center" wrapText="1"/>
    </xf>
    <xf numFmtId="0" fontId="11" fillId="0" borderId="1" xfId="31" applyFont="1" applyBorder="1" applyAlignment="1">
      <alignment horizontal="center" vertical="center" wrapText="1"/>
    </xf>
    <xf numFmtId="3" fontId="11" fillId="0" borderId="0" xfId="31" applyNumberFormat="1" applyFont="1" applyAlignment="1">
      <alignment vertical="center" wrapText="1"/>
    </xf>
    <xf numFmtId="3" fontId="10" fillId="0" borderId="1" xfId="31" quotePrefix="1" applyNumberFormat="1" applyFont="1" applyFill="1" applyBorder="1" applyAlignment="1">
      <alignment horizontal="left" vertical="center" wrapText="1"/>
    </xf>
    <xf numFmtId="3" fontId="10" fillId="0" borderId="1" xfId="31" quotePrefix="1" applyNumberFormat="1" applyFont="1" applyFill="1" applyBorder="1" applyAlignment="1">
      <alignment horizontal="right" vertical="center" wrapText="1"/>
    </xf>
    <xf numFmtId="1" fontId="10" fillId="2" borderId="1" xfId="31" applyNumberFormat="1" applyFont="1" applyFill="1" applyBorder="1" applyAlignment="1">
      <alignment horizontal="center" vertical="center" wrapText="1"/>
    </xf>
    <xf numFmtId="166" fontId="3" fillId="0" borderId="1" xfId="17" applyNumberFormat="1" applyFont="1" applyBorder="1" applyAlignment="1">
      <alignment vertical="center" wrapText="1"/>
    </xf>
    <xf numFmtId="3" fontId="3" fillId="0" borderId="1" xfId="31" applyNumberFormat="1" applyFont="1" applyFill="1" applyBorder="1" applyAlignment="1">
      <alignment horizontal="left" vertical="center" wrapText="1"/>
    </xf>
    <xf numFmtId="3" fontId="3" fillId="0" borderId="1" xfId="31" quotePrefix="1" applyNumberFormat="1" applyFont="1" applyFill="1" applyBorder="1" applyAlignment="1">
      <alignment horizontal="right" vertical="center" wrapText="1"/>
    </xf>
    <xf numFmtId="171" fontId="3" fillId="0" borderId="1" xfId="0" applyNumberFormat="1" applyFont="1" applyFill="1" applyBorder="1" applyAlignment="1">
      <alignment horizontal="right" vertical="center"/>
    </xf>
    <xf numFmtId="0" fontId="3" fillId="0" borderId="1" xfId="34" applyFont="1" applyFill="1" applyBorder="1" applyAlignment="1">
      <alignment horizontal="justify" vertical="center" wrapText="1"/>
    </xf>
    <xf numFmtId="165" fontId="3" fillId="0" borderId="1" xfId="17" applyNumberFormat="1" applyFont="1" applyBorder="1" applyAlignment="1">
      <alignment horizontal="right" vertical="center"/>
    </xf>
    <xf numFmtId="3" fontId="10" fillId="0" borderId="1" xfId="6" applyNumberFormat="1" applyFont="1" applyFill="1" applyBorder="1" applyAlignment="1">
      <alignment horizontal="right" vertical="center" wrapText="1" shrinkToFit="1"/>
    </xf>
    <xf numFmtId="3" fontId="10" fillId="0" borderId="1" xfId="0" applyNumberFormat="1" applyFont="1" applyFill="1" applyBorder="1" applyAlignment="1">
      <alignment horizontal="right" vertical="center" wrapText="1"/>
    </xf>
    <xf numFmtId="184" fontId="10" fillId="0" borderId="1" xfId="0" applyNumberFormat="1" applyFont="1" applyFill="1" applyBorder="1" applyAlignment="1">
      <alignment horizontal="right" vertical="center" wrapText="1"/>
    </xf>
    <xf numFmtId="171" fontId="10" fillId="0" borderId="1" xfId="0" applyNumberFormat="1" applyFont="1" applyFill="1" applyBorder="1" applyAlignment="1">
      <alignment horizontal="right" vertical="center" wrapText="1"/>
    </xf>
    <xf numFmtId="0" fontId="3" fillId="0" borderId="1" xfId="20" applyFont="1" applyFill="1" applyBorder="1" applyAlignment="1">
      <alignment vertical="center" wrapText="1"/>
    </xf>
    <xf numFmtId="166" fontId="3" fillId="0" borderId="1" xfId="0" applyNumberFormat="1" applyFont="1" applyFill="1" applyBorder="1" applyAlignment="1">
      <alignment vertical="center"/>
    </xf>
    <xf numFmtId="166" fontId="3" fillId="0" borderId="1" xfId="45" applyNumberFormat="1" applyFont="1" applyFill="1" applyBorder="1" applyAlignment="1">
      <alignment vertical="center"/>
    </xf>
    <xf numFmtId="166" fontId="10" fillId="0" borderId="1" xfId="45" applyNumberFormat="1" applyFont="1" applyFill="1" applyBorder="1" applyAlignment="1">
      <alignment vertical="center" wrapText="1"/>
    </xf>
    <xf numFmtId="185" fontId="10" fillId="0" borderId="1" xfId="45" applyNumberFormat="1" applyFont="1" applyFill="1" applyBorder="1" applyAlignment="1">
      <alignment horizontal="right" vertical="center" wrapText="1"/>
    </xf>
    <xf numFmtId="0" fontId="3" fillId="0" borderId="1" xfId="20" applyFont="1" applyBorder="1" applyAlignment="1">
      <alignment horizontal="center" vertical="center"/>
    </xf>
    <xf numFmtId="166" fontId="3" fillId="0" borderId="1" xfId="6" applyNumberFormat="1" applyFont="1" applyFill="1" applyBorder="1" applyAlignment="1">
      <alignment horizontal="left" vertical="center" wrapText="1"/>
    </xf>
    <xf numFmtId="0" fontId="10" fillId="0" borderId="1" xfId="31" quotePrefix="1" applyFont="1" applyBorder="1" applyAlignment="1">
      <alignment horizontal="center" vertical="center" wrapText="1"/>
    </xf>
    <xf numFmtId="0" fontId="10" fillId="0" borderId="1" xfId="20" applyFont="1" applyBorder="1" applyAlignment="1">
      <alignment horizontal="center" vertical="center"/>
    </xf>
    <xf numFmtId="170" fontId="10" fillId="0" borderId="1" xfId="13" applyNumberFormat="1" applyFont="1" applyFill="1" applyBorder="1" applyAlignment="1">
      <alignment horizontal="right" vertical="center" wrapText="1"/>
    </xf>
    <xf numFmtId="166" fontId="10" fillId="0" borderId="1" xfId="6" applyNumberFormat="1" applyFont="1" applyFill="1" applyBorder="1" applyAlignment="1">
      <alignment horizontal="left" vertical="center" wrapText="1"/>
    </xf>
    <xf numFmtId="3" fontId="22" fillId="0" borderId="0" xfId="31" applyNumberFormat="1" applyFont="1" applyAlignment="1">
      <alignment horizontal="center" vertical="center" wrapText="1"/>
    </xf>
    <xf numFmtId="3" fontId="57" fillId="0" borderId="1" xfId="31" applyNumberFormat="1" applyFont="1" applyBorder="1" applyAlignment="1">
      <alignment horizontal="center" vertical="center" wrapText="1"/>
    </xf>
    <xf numFmtId="3" fontId="22" fillId="0" borderId="1" xfId="31" applyNumberFormat="1" applyFont="1" applyBorder="1" applyAlignment="1">
      <alignment horizontal="center" vertical="center" wrapText="1"/>
    </xf>
    <xf numFmtId="3" fontId="22" fillId="0" borderId="7" xfId="31" applyNumberFormat="1" applyFont="1" applyBorder="1" applyAlignment="1">
      <alignment horizontal="center" vertical="center" wrapText="1"/>
    </xf>
    <xf numFmtId="3" fontId="57" fillId="0" borderId="0" xfId="31" applyNumberFormat="1" applyFont="1" applyAlignment="1">
      <alignment horizontal="center" vertical="center" wrapText="1"/>
    </xf>
    <xf numFmtId="0" fontId="80" fillId="0" borderId="1" xfId="0" applyFont="1" applyBorder="1" applyAlignment="1">
      <alignment horizontal="center"/>
    </xf>
    <xf numFmtId="0" fontId="80" fillId="0" borderId="1" xfId="0" applyFont="1" applyBorder="1" applyAlignment="1">
      <alignment wrapText="1"/>
    </xf>
    <xf numFmtId="0" fontId="80" fillId="0" borderId="1" xfId="0" applyFont="1" applyFill="1" applyBorder="1"/>
    <xf numFmtId="0" fontId="80" fillId="0" borderId="1" xfId="0" applyFont="1" applyBorder="1"/>
    <xf numFmtId="0" fontId="15" fillId="0" borderId="1" xfId="0" applyFont="1" applyBorder="1" applyAlignment="1">
      <alignment horizontal="center"/>
    </xf>
    <xf numFmtId="0" fontId="15" fillId="0" borderId="1" xfId="0" applyFont="1" applyBorder="1" applyAlignment="1">
      <alignment wrapText="1"/>
    </xf>
    <xf numFmtId="0" fontId="15" fillId="0" borderId="1" xfId="0" applyFont="1" applyFill="1" applyBorder="1"/>
    <xf numFmtId="0" fontId="15" fillId="0" borderId="1" xfId="0" applyFont="1" applyBorder="1"/>
    <xf numFmtId="0" fontId="15" fillId="0" borderId="1" xfId="0" applyFont="1" applyBorder="1" applyAlignment="1">
      <alignment horizontal="center" vertical="center"/>
    </xf>
    <xf numFmtId="0" fontId="10" fillId="0" borderId="1" xfId="41" applyFont="1" applyFill="1" applyBorder="1" applyAlignment="1">
      <alignment horizontal="right" vertical="center"/>
    </xf>
    <xf numFmtId="0" fontId="37" fillId="0" borderId="1" xfId="41" applyNumberFormat="1" applyFont="1" applyFill="1" applyBorder="1" applyAlignment="1">
      <alignment horizontal="right" vertical="center"/>
    </xf>
    <xf numFmtId="0" fontId="10" fillId="0" borderId="1" xfId="41" applyNumberFormat="1" applyFont="1" applyFill="1" applyBorder="1" applyAlignment="1">
      <alignment horizontal="right" vertical="center"/>
    </xf>
    <xf numFmtId="3" fontId="15" fillId="0" borderId="1" xfId="0" applyNumberFormat="1" applyFont="1" applyFill="1" applyBorder="1" applyAlignment="1">
      <alignment horizontal="center"/>
    </xf>
    <xf numFmtId="3" fontId="16" fillId="0" borderId="1" xfId="13" applyNumberFormat="1" applyFont="1" applyFill="1" applyBorder="1" applyAlignment="1">
      <alignment horizontal="center" vertical="center" wrapText="1"/>
    </xf>
    <xf numFmtId="172" fontId="16" fillId="0" borderId="1" xfId="0" applyNumberFormat="1" applyFont="1" applyFill="1" applyBorder="1" applyAlignment="1">
      <alignment vertical="center" wrapText="1"/>
    </xf>
    <xf numFmtId="172" fontId="16" fillId="0" borderId="1" xfId="13" applyNumberFormat="1" applyFont="1" applyFill="1" applyBorder="1" applyAlignment="1">
      <alignment horizontal="right" vertical="center" wrapText="1"/>
    </xf>
    <xf numFmtId="3" fontId="15" fillId="0" borderId="1" xfId="13" applyNumberFormat="1" applyFont="1" applyFill="1" applyBorder="1" applyAlignment="1">
      <alignment horizontal="center"/>
    </xf>
    <xf numFmtId="172" fontId="15" fillId="0" borderId="1" xfId="0" applyNumberFormat="1" applyFont="1" applyFill="1" applyBorder="1"/>
    <xf numFmtId="172" fontId="15" fillId="0" borderId="1" xfId="13" applyNumberFormat="1" applyFont="1" applyFill="1" applyBorder="1"/>
    <xf numFmtId="171" fontId="15" fillId="0" borderId="1" xfId="13" applyNumberFormat="1" applyFont="1" applyFill="1" applyBorder="1"/>
    <xf numFmtId="181" fontId="15" fillId="0" borderId="1" xfId="13" applyNumberFormat="1" applyFont="1" applyFill="1" applyBorder="1"/>
    <xf numFmtId="3" fontId="16" fillId="0" borderId="1" xfId="0" applyNumberFormat="1" applyFont="1" applyFill="1" applyBorder="1" applyAlignment="1">
      <alignment horizontal="center"/>
    </xf>
    <xf numFmtId="172" fontId="16" fillId="0" borderId="1" xfId="0" applyNumberFormat="1" applyFont="1" applyFill="1" applyBorder="1" applyAlignment="1">
      <alignment wrapText="1"/>
    </xf>
    <xf numFmtId="172" fontId="16" fillId="0" borderId="1" xfId="13" applyNumberFormat="1" applyFont="1" applyFill="1" applyBorder="1"/>
    <xf numFmtId="4" fontId="16" fillId="0" borderId="1" xfId="13" applyNumberFormat="1" applyFont="1" applyFill="1" applyBorder="1"/>
    <xf numFmtId="181" fontId="16" fillId="0" borderId="1" xfId="13" applyNumberFormat="1" applyFont="1" applyFill="1" applyBorder="1"/>
    <xf numFmtId="172" fontId="16" fillId="0" borderId="1" xfId="0" applyNumberFormat="1" applyFont="1" applyFill="1" applyBorder="1" applyAlignment="1">
      <alignment horizontal="center" vertical="center" wrapText="1"/>
    </xf>
    <xf numFmtId="172" fontId="62" fillId="0" borderId="1" xfId="13" applyNumberFormat="1" applyFont="1" applyFill="1" applyBorder="1"/>
    <xf numFmtId="0" fontId="15" fillId="0" borderId="1" xfId="0" applyFont="1" applyFill="1" applyBorder="1" applyAlignment="1">
      <alignment horizontal="left" vertical="center" wrapText="1"/>
    </xf>
    <xf numFmtId="43" fontId="15" fillId="0" borderId="1" xfId="13" applyNumberFormat="1" applyFont="1" applyFill="1" applyBorder="1"/>
    <xf numFmtId="4" fontId="15" fillId="0" borderId="1" xfId="13" applyNumberFormat="1" applyFont="1" applyFill="1" applyBorder="1"/>
    <xf numFmtId="4" fontId="15" fillId="0" borderId="1" xfId="13" applyNumberFormat="1" applyFont="1" applyFill="1" applyBorder="1" applyAlignment="1">
      <alignment horizontal="right"/>
    </xf>
    <xf numFmtId="43" fontId="15" fillId="0" borderId="1" xfId="13" applyNumberFormat="1" applyFont="1" applyFill="1" applyBorder="1" applyAlignment="1">
      <alignment horizontal="right"/>
    </xf>
    <xf numFmtId="172" fontId="15" fillId="0" borderId="1" xfId="0" applyNumberFormat="1" applyFont="1" applyFill="1" applyBorder="1" applyAlignment="1">
      <alignment wrapText="1"/>
    </xf>
    <xf numFmtId="172" fontId="16" fillId="0" borderId="1" xfId="0" applyNumberFormat="1" applyFont="1" applyFill="1" applyBorder="1"/>
    <xf numFmtId="3" fontId="15" fillId="0" borderId="1" xfId="13" applyNumberFormat="1" applyFont="1" applyFill="1" applyBorder="1"/>
    <xf numFmtId="3" fontId="16" fillId="0" borderId="1" xfId="13" applyNumberFormat="1" applyFont="1" applyFill="1" applyBorder="1" applyAlignment="1">
      <alignment horizontal="right" vertical="center" wrapText="1"/>
    </xf>
    <xf numFmtId="3" fontId="63" fillId="0" borderId="1" xfId="0" applyNumberFormat="1" applyFont="1" applyFill="1" applyBorder="1" applyAlignment="1">
      <alignment horizontal="center"/>
    </xf>
    <xf numFmtId="4" fontId="63" fillId="0" borderId="1" xfId="0" applyNumberFormat="1" applyFont="1" applyFill="1" applyBorder="1" applyAlignment="1">
      <alignment horizontal="center"/>
    </xf>
    <xf numFmtId="178" fontId="63" fillId="0" borderId="1" xfId="39" applyNumberFormat="1" applyFont="1" applyFill="1" applyBorder="1" applyAlignment="1">
      <alignment horizontal="right"/>
    </xf>
    <xf numFmtId="179" fontId="63" fillId="0" borderId="1" xfId="39" applyNumberFormat="1" applyFont="1" applyFill="1" applyBorder="1" applyAlignment="1">
      <alignment horizontal="right"/>
    </xf>
    <xf numFmtId="4" fontId="63" fillId="0" borderId="1" xfId="0" applyNumberFormat="1" applyFont="1" applyFill="1" applyBorder="1" applyAlignment="1">
      <alignment horizontal="left"/>
    </xf>
    <xf numFmtId="3" fontId="64" fillId="0" borderId="1" xfId="0" applyNumberFormat="1" applyFont="1" applyFill="1" applyBorder="1" applyAlignment="1">
      <alignment horizontal="center"/>
    </xf>
    <xf numFmtId="4" fontId="64" fillId="0" borderId="1" xfId="0" applyNumberFormat="1" applyFont="1" applyFill="1" applyBorder="1" applyAlignment="1"/>
    <xf numFmtId="178" fontId="64" fillId="0" borderId="1" xfId="39" applyNumberFormat="1" applyFont="1" applyFill="1" applyBorder="1" applyAlignment="1">
      <alignment horizontal="right"/>
    </xf>
    <xf numFmtId="179" fontId="64" fillId="0" borderId="1" xfId="39" applyNumberFormat="1" applyFont="1" applyFill="1" applyBorder="1" applyAlignment="1">
      <alignment horizontal="right"/>
    </xf>
    <xf numFmtId="4" fontId="15" fillId="0" borderId="1" xfId="0" applyNumberFormat="1" applyFont="1" applyFill="1" applyBorder="1" applyAlignment="1"/>
    <xf numFmtId="178" fontId="15" fillId="0" borderId="1" xfId="0" applyNumberFormat="1" applyFont="1" applyFill="1" applyBorder="1" applyAlignment="1">
      <alignment horizontal="right"/>
    </xf>
    <xf numFmtId="179" fontId="15" fillId="0" borderId="1" xfId="0" applyNumberFormat="1" applyFont="1" applyFill="1" applyBorder="1" applyAlignment="1">
      <alignment horizontal="right"/>
    </xf>
    <xf numFmtId="178" fontId="15" fillId="0" borderId="1" xfId="39" applyNumberFormat="1" applyFont="1" applyFill="1" applyBorder="1" applyAlignment="1">
      <alignment horizontal="right"/>
    </xf>
    <xf numFmtId="183" fontId="15" fillId="0" borderId="1" xfId="39" applyNumberFormat="1" applyFont="1" applyFill="1" applyBorder="1" applyAlignment="1">
      <alignment horizontal="right"/>
    </xf>
    <xf numFmtId="182" fontId="15" fillId="0" borderId="1" xfId="39" applyNumberFormat="1" applyFont="1" applyFill="1" applyBorder="1" applyAlignment="1">
      <alignment horizontal="right"/>
    </xf>
    <xf numFmtId="179" fontId="15" fillId="0" borderId="1" xfId="39" applyNumberFormat="1" applyFont="1" applyFill="1" applyBorder="1" applyAlignment="1">
      <alignment horizontal="right"/>
    </xf>
    <xf numFmtId="178" fontId="65" fillId="0" borderId="1" xfId="0" applyNumberFormat="1" applyFont="1" applyFill="1" applyBorder="1" applyAlignment="1">
      <alignment horizontal="right"/>
    </xf>
    <xf numFmtId="4" fontId="16" fillId="0" borderId="1" xfId="0" applyNumberFormat="1" applyFont="1" applyFill="1" applyBorder="1" applyAlignment="1">
      <alignment wrapText="1"/>
    </xf>
    <xf numFmtId="178" fontId="16" fillId="0" borderId="1" xfId="0" applyNumberFormat="1" applyFont="1" applyFill="1" applyBorder="1" applyAlignment="1">
      <alignment horizontal="right"/>
    </xf>
    <xf numFmtId="179" fontId="16" fillId="0" borderId="1" xfId="0" applyNumberFormat="1" applyFont="1" applyFill="1" applyBorder="1" applyAlignment="1">
      <alignment horizontal="right"/>
    </xf>
    <xf numFmtId="4" fontId="63" fillId="0" borderId="1" xfId="0" applyNumberFormat="1" applyFont="1" applyFill="1" applyBorder="1" applyAlignment="1">
      <alignment wrapText="1"/>
    </xf>
    <xf numFmtId="178" fontId="63" fillId="0" borderId="1" xfId="0" applyNumberFormat="1" applyFont="1" applyFill="1" applyBorder="1" applyAlignment="1">
      <alignment horizontal="right"/>
    </xf>
    <xf numFmtId="179" fontId="63" fillId="0" borderId="1" xfId="0" applyNumberFormat="1" applyFont="1" applyFill="1" applyBorder="1" applyAlignment="1">
      <alignment horizontal="right"/>
    </xf>
    <xf numFmtId="4" fontId="15" fillId="0" borderId="1" xfId="0" applyNumberFormat="1" applyFont="1" applyFill="1" applyBorder="1" applyAlignment="1">
      <alignment wrapText="1"/>
    </xf>
    <xf numFmtId="0" fontId="71" fillId="0" borderId="1" xfId="32" applyFont="1" applyBorder="1" applyAlignment="1">
      <alignment horizontal="center" vertical="center" wrapText="1"/>
    </xf>
    <xf numFmtId="0" fontId="71" fillId="0" borderId="1" xfId="32" applyFont="1" applyBorder="1" applyAlignment="1">
      <alignment horizontal="left" vertical="center" wrapText="1"/>
    </xf>
    <xf numFmtId="0" fontId="71" fillId="0" borderId="1" xfId="32" applyNumberFormat="1" applyFont="1" applyBorder="1" applyAlignment="1">
      <alignment vertical="center" wrapText="1"/>
    </xf>
    <xf numFmtId="3" fontId="71" fillId="0" borderId="1" xfId="32" applyNumberFormat="1" applyFont="1" applyBorder="1" applyAlignment="1">
      <alignment horizontal="right" wrapText="1"/>
    </xf>
    <xf numFmtId="0" fontId="72" fillId="0" borderId="1" xfId="32" applyNumberFormat="1" applyFont="1" applyBorder="1" applyAlignment="1">
      <alignment vertical="justify" wrapText="1"/>
    </xf>
    <xf numFmtId="3" fontId="72" fillId="0" borderId="1" xfId="32" applyNumberFormat="1" applyFont="1" applyBorder="1" applyAlignment="1">
      <alignment horizontal="right" wrapText="1"/>
    </xf>
    <xf numFmtId="0" fontId="72" fillId="0" borderId="1" xfId="32" applyNumberFormat="1" applyFont="1" applyBorder="1" applyAlignment="1">
      <alignment vertical="center" wrapText="1"/>
    </xf>
    <xf numFmtId="0" fontId="72" fillId="0" borderId="1" xfId="32" quotePrefix="1" applyNumberFormat="1" applyFont="1" applyBorder="1" applyAlignment="1">
      <alignment vertical="center" wrapText="1"/>
    </xf>
    <xf numFmtId="3" fontId="72" fillId="0" borderId="1" xfId="32" quotePrefix="1" applyNumberFormat="1" applyFont="1" applyBorder="1" applyAlignment="1">
      <alignment horizontal="right" vertical="center" wrapText="1"/>
    </xf>
    <xf numFmtId="0" fontId="71" fillId="0" borderId="1" xfId="32" applyNumberFormat="1" applyFont="1" applyBorder="1" applyAlignment="1" applyProtection="1">
      <alignment vertical="center" wrapText="1"/>
      <protection locked="0"/>
    </xf>
    <xf numFmtId="0" fontId="73" fillId="0" borderId="1" xfId="32" applyNumberFormat="1" applyFont="1" applyBorder="1" applyAlignment="1">
      <alignment vertical="center" wrapText="1"/>
    </xf>
    <xf numFmtId="49" fontId="71" fillId="0" borderId="1" xfId="29" applyNumberFormat="1" applyFont="1" applyBorder="1" applyAlignment="1">
      <alignment vertical="center" wrapText="1"/>
    </xf>
    <xf numFmtId="49" fontId="72" fillId="0" borderId="1" xfId="29" applyNumberFormat="1" applyFont="1" applyBorder="1" applyAlignment="1">
      <alignment vertical="center" wrapText="1"/>
    </xf>
    <xf numFmtId="172" fontId="61" fillId="0" borderId="1" xfId="0" applyNumberFormat="1" applyFont="1" applyFill="1" applyBorder="1" applyAlignment="1">
      <alignment horizontal="center" vertical="center" wrapText="1"/>
    </xf>
    <xf numFmtId="172" fontId="61" fillId="0" borderId="1" xfId="0" applyNumberFormat="1" applyFont="1" applyFill="1" applyBorder="1" applyAlignment="1">
      <alignment vertical="center" wrapText="1"/>
    </xf>
    <xf numFmtId="172" fontId="61" fillId="0" borderId="1" xfId="13" applyNumberFormat="1" applyFont="1" applyFill="1" applyBorder="1"/>
    <xf numFmtId="3" fontId="61" fillId="0" borderId="1" xfId="0" applyNumberFormat="1" applyFont="1" applyFill="1" applyBorder="1" applyAlignment="1">
      <alignment horizontal="center"/>
    </xf>
    <xf numFmtId="0" fontId="61" fillId="0" borderId="1" xfId="0" applyFont="1" applyFill="1" applyBorder="1" applyAlignment="1">
      <alignment horizontal="left" vertical="center" wrapText="1"/>
    </xf>
    <xf numFmtId="172" fontId="62" fillId="0" borderId="1" xfId="0" applyNumberFormat="1" applyFont="1" applyFill="1" applyBorder="1" applyAlignment="1">
      <alignment wrapText="1"/>
    </xf>
    <xf numFmtId="4" fontId="62" fillId="0" borderId="1" xfId="13" applyNumberFormat="1" applyFont="1" applyFill="1" applyBorder="1"/>
    <xf numFmtId="181" fontId="62" fillId="0" borderId="1" xfId="13" applyNumberFormat="1" applyFont="1" applyFill="1" applyBorder="1"/>
    <xf numFmtId="0" fontId="62" fillId="0" borderId="0" xfId="0" applyFont="1" applyFill="1"/>
    <xf numFmtId="4" fontId="16" fillId="0" borderId="27" xfId="13" applyNumberFormat="1" applyFont="1" applyFill="1" applyBorder="1"/>
    <xf numFmtId="3" fontId="15" fillId="0" borderId="1" xfId="46" applyNumberFormat="1" applyFont="1" applyFill="1" applyBorder="1"/>
    <xf numFmtId="171" fontId="15" fillId="0" borderId="1" xfId="46" applyNumberFormat="1" applyFont="1" applyFill="1" applyBorder="1"/>
    <xf numFmtId="3" fontId="71" fillId="0" borderId="1" xfId="32" applyNumberFormat="1" applyFont="1" applyBorder="1" applyAlignment="1">
      <alignment horizontal="right" vertical="center" wrapText="1"/>
    </xf>
    <xf numFmtId="0" fontId="83" fillId="0" borderId="1" xfId="32" applyFont="1" applyBorder="1" applyAlignment="1">
      <alignment horizontal="center" vertical="center" wrapText="1"/>
    </xf>
    <xf numFmtId="0" fontId="35" fillId="0" borderId="24" xfId="32" applyFont="1" applyBorder="1" applyAlignment="1">
      <alignment wrapText="1"/>
    </xf>
    <xf numFmtId="0" fontId="10" fillId="0" borderId="1" xfId="41" applyFont="1" applyFill="1" applyBorder="1"/>
    <xf numFmtId="0" fontId="76" fillId="0" borderId="1" xfId="41" applyNumberFormat="1" applyFont="1" applyFill="1" applyBorder="1" applyAlignment="1">
      <alignment horizontal="center"/>
    </xf>
    <xf numFmtId="0" fontId="38" fillId="0" borderId="1" xfId="41" applyFont="1" applyFill="1" applyBorder="1" applyAlignment="1">
      <alignment horizontal="center"/>
    </xf>
    <xf numFmtId="0" fontId="10" fillId="0" borderId="1" xfId="41" applyNumberFormat="1" applyFont="1" applyFill="1" applyBorder="1" applyAlignment="1">
      <alignment horizontal="left"/>
    </xf>
    <xf numFmtId="0" fontId="10" fillId="0" borderId="1" xfId="41" applyNumberFormat="1" applyFont="1" applyFill="1" applyBorder="1" applyAlignment="1">
      <alignment horizontal="right"/>
    </xf>
    <xf numFmtId="0" fontId="10" fillId="0" borderId="1" xfId="41" applyFont="1" applyFill="1" applyBorder="1" applyAlignment="1">
      <alignment vertical="center" textRotation="180"/>
    </xf>
    <xf numFmtId="0" fontId="62" fillId="0" borderId="1" xfId="41" applyFont="1" applyFill="1" applyBorder="1" applyAlignment="1">
      <alignment horizontal="center" vertical="center" wrapText="1"/>
    </xf>
    <xf numFmtId="0" fontId="62" fillId="0" borderId="0" xfId="41" applyFont="1" applyFill="1" applyAlignment="1">
      <alignment horizontal="center"/>
    </xf>
    <xf numFmtId="0" fontId="3" fillId="0" borderId="1" xfId="41" applyNumberFormat="1" applyFont="1" applyFill="1" applyBorder="1" applyAlignment="1">
      <alignment horizontal="center"/>
    </xf>
    <xf numFmtId="167" fontId="3" fillId="0" borderId="1" xfId="41" applyNumberFormat="1" applyFont="1" applyFill="1" applyBorder="1" applyAlignment="1">
      <alignment horizontal="center"/>
    </xf>
    <xf numFmtId="1" fontId="3" fillId="0" borderId="1" xfId="41" applyNumberFormat="1" applyFont="1" applyFill="1" applyBorder="1" applyAlignment="1">
      <alignment horizontal="center"/>
    </xf>
    <xf numFmtId="0" fontId="10" fillId="0" borderId="1" xfId="41" applyFont="1" applyFill="1" applyBorder="1" applyAlignment="1">
      <alignment horizontal="center"/>
    </xf>
    <xf numFmtId="0" fontId="10" fillId="0" borderId="1" xfId="41" applyFont="1" applyFill="1" applyBorder="1" applyAlignment="1"/>
    <xf numFmtId="186" fontId="10" fillId="0" borderId="1" xfId="41" applyNumberFormat="1" applyFont="1" applyFill="1" applyBorder="1" applyAlignment="1"/>
    <xf numFmtId="166" fontId="10" fillId="0" borderId="1" xfId="9" applyNumberFormat="1" applyFont="1" applyFill="1" applyBorder="1" applyAlignment="1"/>
    <xf numFmtId="0" fontId="37" fillId="0" borderId="1" xfId="41" applyNumberFormat="1" applyFont="1" applyFill="1" applyBorder="1" applyAlignment="1">
      <alignment horizontal="center"/>
    </xf>
    <xf numFmtId="0" fontId="10" fillId="0" borderId="1" xfId="41" applyNumberFormat="1" applyFont="1" applyFill="1" applyBorder="1" applyAlignment="1">
      <alignment horizontal="center"/>
    </xf>
    <xf numFmtId="186" fontId="10" fillId="0" borderId="1" xfId="41" applyNumberFormat="1" applyFont="1" applyFill="1" applyBorder="1" applyAlignment="1">
      <alignment horizontal="right"/>
    </xf>
    <xf numFmtId="0" fontId="10" fillId="4" borderId="0" xfId="18" applyFont="1" applyFill="1" applyAlignment="1">
      <alignment vertical="center"/>
    </xf>
    <xf numFmtId="0" fontId="10" fillId="4" borderId="0" xfId="34" applyFont="1" applyFill="1" applyBorder="1" applyAlignment="1">
      <alignment horizontal="center" vertical="center" wrapText="1"/>
    </xf>
    <xf numFmtId="0" fontId="3" fillId="4" borderId="0" xfId="34" applyFont="1" applyFill="1" applyAlignment="1">
      <alignment vertical="center" wrapText="1"/>
    </xf>
    <xf numFmtId="0" fontId="5" fillId="4" borderId="5" xfId="34" applyFont="1" applyFill="1" applyBorder="1" applyAlignment="1">
      <alignment vertical="center" wrapText="1"/>
    </xf>
    <xf numFmtId="0" fontId="10" fillId="4" borderId="0" xfId="0" applyFont="1" applyFill="1" applyAlignment="1">
      <alignment vertical="center"/>
    </xf>
    <xf numFmtId="169" fontId="10" fillId="4" borderId="0" xfId="34" applyNumberFormat="1" applyFont="1" applyFill="1" applyBorder="1" applyAlignment="1">
      <alignment horizontal="center" vertical="center" wrapText="1"/>
    </xf>
    <xf numFmtId="0" fontId="3" fillId="4" borderId="1" xfId="18" applyFont="1" applyFill="1" applyBorder="1" applyAlignment="1">
      <alignment horizontal="center" vertical="center" wrapText="1"/>
    </xf>
    <xf numFmtId="0" fontId="3" fillId="4" borderId="3" xfId="18" applyFont="1" applyFill="1" applyBorder="1" applyAlignment="1">
      <alignment horizontal="center" vertical="center" wrapText="1"/>
    </xf>
    <xf numFmtId="43" fontId="11" fillId="4" borderId="1" xfId="6" applyFont="1" applyFill="1" applyBorder="1" applyAlignment="1">
      <alignment horizontal="center" vertical="center" wrapText="1"/>
    </xf>
    <xf numFmtId="1" fontId="3" fillId="4" borderId="1" xfId="31" quotePrefix="1" applyNumberFormat="1" applyFont="1" applyFill="1" applyBorder="1" applyAlignment="1">
      <alignment horizontal="center" vertical="center"/>
    </xf>
    <xf numFmtId="1" fontId="3" fillId="4" borderId="1" xfId="31" applyNumberFormat="1" applyFont="1" applyFill="1" applyBorder="1" applyAlignment="1">
      <alignment horizontal="center" vertical="center" wrapText="1"/>
    </xf>
    <xf numFmtId="1" fontId="3" fillId="4" borderId="1" xfId="31" applyNumberFormat="1" applyFont="1" applyFill="1" applyBorder="1" applyAlignment="1">
      <alignment vertical="center" wrapText="1"/>
    </xf>
    <xf numFmtId="0" fontId="3" fillId="4" borderId="1" xfId="31" quotePrefix="1" applyNumberFormat="1" applyFont="1" applyFill="1" applyBorder="1" applyAlignment="1">
      <alignment horizontal="center" vertical="center" wrapText="1"/>
    </xf>
    <xf numFmtId="3" fontId="3" fillId="4" borderId="1" xfId="31" quotePrefix="1" applyNumberFormat="1" applyFont="1" applyFill="1" applyBorder="1" applyAlignment="1">
      <alignment horizontal="center" vertical="center" wrapText="1"/>
    </xf>
    <xf numFmtId="166" fontId="3" fillId="4" borderId="1" xfId="31" quotePrefix="1" applyNumberFormat="1" applyFont="1" applyFill="1" applyBorder="1" applyAlignment="1">
      <alignment horizontal="center" vertical="center" wrapText="1"/>
    </xf>
    <xf numFmtId="165" fontId="3" fillId="4" borderId="1" xfId="6" applyNumberFormat="1" applyFont="1" applyFill="1" applyBorder="1" applyAlignment="1">
      <alignment horizontal="right" vertical="center" wrapText="1"/>
    </xf>
    <xf numFmtId="166" fontId="3" fillId="4" borderId="1" xfId="6" applyNumberFormat="1" applyFont="1" applyFill="1" applyBorder="1" applyAlignment="1">
      <alignment horizontal="right" vertical="center" wrapText="1"/>
    </xf>
    <xf numFmtId="166" fontId="10" fillId="4" borderId="0" xfId="6" applyNumberFormat="1" applyFont="1" applyFill="1" applyBorder="1" applyAlignment="1">
      <alignment vertical="center"/>
    </xf>
    <xf numFmtId="1" fontId="11" fillId="4" borderId="0" xfId="31" applyNumberFormat="1" applyFont="1" applyFill="1" applyAlignment="1">
      <alignment vertical="center"/>
    </xf>
    <xf numFmtId="0" fontId="10" fillId="4" borderId="1" xfId="33" applyFont="1" applyFill="1" applyBorder="1" applyAlignment="1">
      <alignment horizontal="justify" vertical="center"/>
    </xf>
    <xf numFmtId="1" fontId="10" fillId="4" borderId="1" xfId="31" applyNumberFormat="1" applyFont="1" applyFill="1" applyBorder="1" applyAlignment="1">
      <alignment horizontal="center" vertical="center" wrapText="1"/>
    </xf>
    <xf numFmtId="0" fontId="10" fillId="4" borderId="1" xfId="31" applyNumberFormat="1" applyFont="1" applyFill="1" applyBorder="1" applyAlignment="1">
      <alignment horizontal="center" vertical="center" wrapText="1"/>
    </xf>
    <xf numFmtId="171" fontId="10" fillId="4" borderId="1" xfId="31" applyNumberFormat="1" applyFont="1" applyFill="1" applyBorder="1" applyAlignment="1">
      <alignment horizontal="center" vertical="center" wrapText="1"/>
    </xf>
    <xf numFmtId="171" fontId="10" fillId="4" borderId="1" xfId="18" applyNumberFormat="1" applyFont="1" applyFill="1" applyBorder="1" applyAlignment="1">
      <alignment horizontal="right" vertical="center" wrapText="1"/>
    </xf>
    <xf numFmtId="165" fontId="10" fillId="4" borderId="1" xfId="6" applyNumberFormat="1" applyFont="1" applyFill="1" applyBorder="1" applyAlignment="1">
      <alignment horizontal="right" vertical="center" wrapText="1"/>
    </xf>
    <xf numFmtId="0" fontId="10" fillId="4" borderId="1" xfId="18" applyFont="1" applyFill="1" applyBorder="1" applyAlignment="1">
      <alignment horizontal="center" vertical="center" wrapText="1"/>
    </xf>
    <xf numFmtId="3" fontId="10" fillId="4" borderId="1" xfId="6" applyNumberFormat="1" applyFont="1" applyFill="1" applyBorder="1" applyAlignment="1">
      <alignment horizontal="right" vertical="center" wrapText="1"/>
    </xf>
    <xf numFmtId="166" fontId="10" fillId="4" borderId="1" xfId="6" applyNumberFormat="1" applyFont="1" applyFill="1" applyBorder="1" applyAlignment="1">
      <alignment horizontal="center" vertical="center" wrapText="1"/>
    </xf>
    <xf numFmtId="166" fontId="10" fillId="4" borderId="1" xfId="6" applyNumberFormat="1" applyFont="1" applyFill="1" applyBorder="1" applyAlignment="1">
      <alignment horizontal="right" vertical="center" wrapText="1"/>
    </xf>
    <xf numFmtId="3" fontId="10" fillId="4" borderId="1" xfId="18" applyNumberFormat="1" applyFont="1" applyFill="1" applyBorder="1" applyAlignment="1">
      <alignment horizontal="right" vertical="center" wrapText="1"/>
    </xf>
    <xf numFmtId="171" fontId="10" fillId="4" borderId="1" xfId="4" applyNumberFormat="1" applyFont="1" applyFill="1" applyBorder="1" applyAlignment="1">
      <alignment horizontal="right" vertical="center" wrapText="1"/>
    </xf>
    <xf numFmtId="166" fontId="10" fillId="4" borderId="1" xfId="6" applyNumberFormat="1" applyFont="1" applyFill="1" applyBorder="1" applyAlignment="1">
      <alignment horizontal="right" vertical="center"/>
    </xf>
    <xf numFmtId="1" fontId="3" fillId="4" borderId="0" xfId="31" applyNumberFormat="1" applyFont="1" applyFill="1" applyAlignment="1">
      <alignment vertical="center"/>
    </xf>
    <xf numFmtId="0" fontId="10" fillId="4" borderId="1" xfId="33" applyFont="1" applyFill="1" applyBorder="1" applyAlignment="1">
      <alignment horizontal="justify" vertical="center" wrapText="1"/>
    </xf>
    <xf numFmtId="171" fontId="10" fillId="4" borderId="1" xfId="18" applyNumberFormat="1" applyFont="1" applyFill="1" applyBorder="1" applyAlignment="1">
      <alignment horizontal="center" vertical="center" wrapText="1"/>
    </xf>
    <xf numFmtId="0" fontId="10" fillId="4" borderId="1" xfId="0" applyFont="1" applyFill="1" applyBorder="1" applyAlignment="1">
      <alignment horizontal="left" vertical="center" wrapText="1"/>
    </xf>
    <xf numFmtId="3" fontId="10" fillId="4" borderId="1" xfId="4" applyNumberFormat="1" applyFont="1" applyFill="1" applyBorder="1" applyAlignment="1">
      <alignment horizontal="right" vertical="center" wrapText="1"/>
    </xf>
    <xf numFmtId="166" fontId="3" fillId="4" borderId="1" xfId="6" applyNumberFormat="1" applyFont="1" applyFill="1" applyBorder="1" applyAlignment="1">
      <alignment horizontal="center" vertical="center" wrapText="1"/>
    </xf>
    <xf numFmtId="166" fontId="3" fillId="4" borderId="0" xfId="6" applyNumberFormat="1" applyFont="1" applyFill="1" applyBorder="1" applyAlignment="1">
      <alignment vertical="center"/>
    </xf>
    <xf numFmtId="3" fontId="10" fillId="4" borderId="1" xfId="14" applyNumberFormat="1" applyFont="1" applyFill="1" applyBorder="1" applyAlignment="1">
      <alignment horizontal="right" vertical="center" wrapText="1"/>
    </xf>
    <xf numFmtId="166" fontId="10" fillId="4" borderId="1" xfId="6" quotePrefix="1" applyNumberFormat="1" applyFont="1" applyFill="1" applyBorder="1" applyAlignment="1">
      <alignment horizontal="center" vertical="center" wrapText="1"/>
    </xf>
    <xf numFmtId="166" fontId="10" fillId="4" borderId="1" xfId="6" applyNumberFormat="1" applyFont="1" applyFill="1" applyBorder="1" applyAlignment="1">
      <alignment horizontal="center" vertical="center"/>
    </xf>
    <xf numFmtId="166" fontId="10" fillId="4" borderId="1" xfId="6" applyNumberFormat="1" applyFont="1" applyFill="1" applyBorder="1" applyAlignment="1">
      <alignment vertical="center"/>
    </xf>
    <xf numFmtId="166" fontId="3" fillId="4" borderId="1" xfId="6" applyNumberFormat="1" applyFont="1" applyFill="1" applyBorder="1" applyAlignment="1">
      <alignment horizontal="right" vertical="center"/>
    </xf>
    <xf numFmtId="165" fontId="10" fillId="4" borderId="1" xfId="6" applyNumberFormat="1" applyFont="1" applyFill="1" applyBorder="1" applyAlignment="1">
      <alignment horizontal="right" vertical="center"/>
    </xf>
    <xf numFmtId="0" fontId="10" fillId="4" borderId="1" xfId="18" applyFont="1" applyFill="1" applyBorder="1" applyAlignment="1">
      <alignment horizontal="center" vertical="center"/>
    </xf>
    <xf numFmtId="0" fontId="10" fillId="4" borderId="1" xfId="0" applyFont="1" applyFill="1" applyBorder="1" applyAlignment="1">
      <alignment vertical="center"/>
    </xf>
    <xf numFmtId="43" fontId="10" fillId="4" borderId="1" xfId="6" applyFont="1" applyFill="1" applyBorder="1" applyAlignment="1">
      <alignment horizontal="center" vertical="center"/>
    </xf>
    <xf numFmtId="171" fontId="10" fillId="4" borderId="1" xfId="14" applyNumberFormat="1" applyFont="1" applyFill="1" applyBorder="1" applyAlignment="1">
      <alignment horizontal="right" vertical="center" wrapText="1"/>
    </xf>
    <xf numFmtId="167" fontId="10" fillId="4" borderId="1" xfId="0" applyNumberFormat="1" applyFont="1" applyFill="1" applyBorder="1" applyAlignment="1">
      <alignment vertical="center"/>
    </xf>
    <xf numFmtId="165" fontId="10" fillId="4" borderId="1" xfId="6" applyNumberFormat="1" applyFont="1" applyFill="1" applyBorder="1" applyAlignment="1">
      <alignment horizontal="center" vertical="center"/>
    </xf>
    <xf numFmtId="0" fontId="10" fillId="4" borderId="1" xfId="0" applyFont="1" applyFill="1" applyBorder="1" applyAlignment="1">
      <alignment vertical="center" wrapText="1"/>
    </xf>
    <xf numFmtId="0" fontId="10" fillId="4" borderId="0" xfId="18" applyFont="1" applyFill="1" applyAlignment="1">
      <alignment horizontal="center" vertical="center"/>
    </xf>
    <xf numFmtId="43" fontId="10" fillId="4" borderId="0" xfId="6" applyFont="1" applyFill="1" applyAlignment="1">
      <alignment horizontal="center" vertical="center"/>
    </xf>
    <xf numFmtId="172" fontId="15" fillId="5" borderId="0" xfId="0" applyNumberFormat="1" applyFont="1" applyFill="1"/>
    <xf numFmtId="180" fontId="16" fillId="5" borderId="3" xfId="0" applyNumberFormat="1" applyFont="1" applyFill="1" applyBorder="1" applyAlignment="1">
      <alignment horizontal="center" vertical="center" wrapText="1"/>
    </xf>
    <xf numFmtId="3" fontId="16" fillId="5" borderId="1" xfId="0" applyNumberFormat="1" applyFont="1" applyFill="1" applyBorder="1" applyAlignment="1">
      <alignment horizontal="center" vertical="center" wrapText="1"/>
    </xf>
    <xf numFmtId="3" fontId="16" fillId="5" borderId="1" xfId="13" applyNumberFormat="1" applyFont="1" applyFill="1" applyBorder="1" applyAlignment="1">
      <alignment horizontal="right" vertical="center" wrapText="1"/>
    </xf>
    <xf numFmtId="172" fontId="15" fillId="5" borderId="1" xfId="13" applyNumberFormat="1" applyFont="1" applyFill="1" applyBorder="1"/>
    <xf numFmtId="172" fontId="16" fillId="5" borderId="1" xfId="13" applyNumberFormat="1" applyFont="1" applyFill="1" applyBorder="1"/>
    <xf numFmtId="172" fontId="62" fillId="5" borderId="1" xfId="13" applyNumberFormat="1" applyFont="1" applyFill="1" applyBorder="1"/>
    <xf numFmtId="172" fontId="61" fillId="5" borderId="1" xfId="13" applyNumberFormat="1" applyFont="1" applyFill="1" applyBorder="1"/>
    <xf numFmtId="172" fontId="16" fillId="5" borderId="0" xfId="0" applyNumberFormat="1" applyFont="1" applyFill="1" applyAlignment="1">
      <alignment horizontal="center"/>
    </xf>
    <xf numFmtId="0" fontId="15" fillId="5" borderId="0" xfId="0" applyFont="1" applyFill="1"/>
    <xf numFmtId="172" fontId="15" fillId="6" borderId="0" xfId="0" applyNumberFormat="1" applyFont="1" applyFill="1"/>
    <xf numFmtId="172" fontId="15" fillId="6" borderId="0" xfId="0" applyNumberFormat="1" applyFont="1" applyFill="1" applyBorder="1" applyAlignment="1">
      <alignment horizontal="right"/>
    </xf>
    <xf numFmtId="180" fontId="16" fillId="6" borderId="3" xfId="0" applyNumberFormat="1" applyFont="1" applyFill="1" applyBorder="1" applyAlignment="1">
      <alignment horizontal="center" vertical="center" wrapText="1"/>
    </xf>
    <xf numFmtId="3" fontId="16" fillId="6" borderId="1" xfId="0" applyNumberFormat="1" applyFont="1" applyFill="1" applyBorder="1" applyAlignment="1">
      <alignment horizontal="center" vertical="center" wrapText="1"/>
    </xf>
    <xf numFmtId="3" fontId="77" fillId="6" borderId="1" xfId="13" applyNumberFormat="1" applyFont="1" applyFill="1" applyBorder="1"/>
    <xf numFmtId="3" fontId="16" fillId="6" borderId="1" xfId="13" applyNumberFormat="1" applyFont="1" applyFill="1" applyBorder="1" applyAlignment="1">
      <alignment horizontal="right" vertical="center" wrapText="1"/>
    </xf>
    <xf numFmtId="172" fontId="15" fillId="6" borderId="1" xfId="13" applyNumberFormat="1" applyFont="1" applyFill="1" applyBorder="1"/>
    <xf numFmtId="172" fontId="16" fillId="6" borderId="1" xfId="13" applyNumberFormat="1" applyFont="1" applyFill="1" applyBorder="1"/>
    <xf numFmtId="172" fontId="62" fillId="6" borderId="1" xfId="13" applyNumberFormat="1" applyFont="1" applyFill="1" applyBorder="1"/>
    <xf numFmtId="172" fontId="61" fillId="6" borderId="1" xfId="13" applyNumberFormat="1" applyFont="1" applyFill="1" applyBorder="1"/>
    <xf numFmtId="172" fontId="16" fillId="6" borderId="0" xfId="0" applyNumberFormat="1" applyFont="1" applyFill="1" applyAlignment="1">
      <alignment horizontal="center"/>
    </xf>
    <xf numFmtId="0" fontId="15" fillId="6" borderId="0" xfId="0" applyFont="1" applyFill="1"/>
    <xf numFmtId="3" fontId="15" fillId="6" borderId="1" xfId="0" applyNumberFormat="1" applyFont="1" applyFill="1" applyBorder="1" applyAlignment="1">
      <alignment horizontal="center"/>
    </xf>
    <xf numFmtId="172" fontId="77" fillId="6" borderId="1" xfId="0" applyNumberFormat="1" applyFont="1" applyFill="1" applyBorder="1" applyAlignment="1">
      <alignment horizontal="center"/>
    </xf>
    <xf numFmtId="172" fontId="77" fillId="6" borderId="1" xfId="13" applyNumberFormat="1" applyFont="1" applyFill="1" applyBorder="1"/>
    <xf numFmtId="166" fontId="0" fillId="0" borderId="0" xfId="4" applyNumberFormat="1" applyFont="1" applyFill="1"/>
    <xf numFmtId="0" fontId="8" fillId="0" borderId="1" xfId="0" applyFont="1" applyFill="1" applyBorder="1" applyAlignment="1">
      <alignment vertical="center" wrapText="1"/>
    </xf>
    <xf numFmtId="166" fontId="8" fillId="0" borderId="1" xfId="0" applyNumberFormat="1" applyFont="1" applyFill="1" applyBorder="1" applyAlignment="1">
      <alignment horizontal="center" vertical="center" wrapText="1"/>
    </xf>
    <xf numFmtId="0" fontId="85" fillId="0" borderId="0" xfId="0" applyFont="1" applyFill="1"/>
    <xf numFmtId="166" fontId="85" fillId="0" borderId="0" xfId="0" applyNumberFormat="1" applyFont="1" applyFill="1"/>
    <xf numFmtId="0" fontId="34" fillId="0" borderId="1" xfId="0" applyFont="1" applyFill="1" applyBorder="1" applyAlignment="1">
      <alignment horizontal="center" vertical="center" wrapText="1"/>
    </xf>
    <xf numFmtId="0" fontId="3" fillId="0" borderId="0" xfId="0" applyNumberFormat="1" applyFont="1" applyAlignment="1">
      <alignment horizontal="left"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166" fontId="5" fillId="0" borderId="1" xfId="4" applyNumberFormat="1" applyFont="1" applyBorder="1" applyAlignment="1">
      <alignment wrapText="1"/>
    </xf>
    <xf numFmtId="166" fontId="3" fillId="0" borderId="1" xfId="4" applyNumberFormat="1" applyFont="1" applyFill="1" applyBorder="1" applyAlignment="1">
      <alignment wrapText="1"/>
    </xf>
    <xf numFmtId="166" fontId="3" fillId="0" borderId="1" xfId="4" applyNumberFormat="1" applyFont="1" applyBorder="1" applyAlignment="1">
      <alignment wrapText="1"/>
    </xf>
    <xf numFmtId="166" fontId="10" fillId="0" borderId="1" xfId="4" applyNumberFormat="1" applyFont="1" applyBorder="1" applyAlignment="1">
      <alignment wrapText="1"/>
    </xf>
    <xf numFmtId="0" fontId="3" fillId="0" borderId="1" xfId="0" applyFont="1" applyBorder="1" applyAlignment="1">
      <alignment horizontal="left" wrapText="1"/>
    </xf>
    <xf numFmtId="166" fontId="57" fillId="0" borderId="0" xfId="4" applyNumberFormat="1" applyFont="1"/>
    <xf numFmtId="166" fontId="22" fillId="0" borderId="0" xfId="4" applyNumberFormat="1" applyFont="1"/>
    <xf numFmtId="166" fontId="35" fillId="0" borderId="0" xfId="4" applyNumberFormat="1" applyFont="1"/>
    <xf numFmtId="166" fontId="22" fillId="0" borderId="0" xfId="0" applyNumberFormat="1" applyFont="1" applyFill="1"/>
    <xf numFmtId="0" fontId="34" fillId="0" borderId="30" xfId="0" applyFont="1" applyFill="1" applyBorder="1" applyAlignment="1">
      <alignment horizontal="center" vertical="center" wrapText="1"/>
    </xf>
    <xf numFmtId="9" fontId="5" fillId="0" borderId="1" xfId="35" applyFont="1" applyBorder="1" applyAlignment="1">
      <alignment horizontal="center" wrapText="1"/>
    </xf>
    <xf numFmtId="0" fontId="10" fillId="0" borderId="1" xfId="0" quotePrefix="1" applyFont="1" applyBorder="1" applyAlignment="1">
      <alignment horizontal="center" wrapText="1"/>
    </xf>
    <xf numFmtId="166" fontId="22" fillId="0" borderId="0" xfId="0" applyNumberFormat="1" applyFont="1"/>
    <xf numFmtId="9" fontId="22" fillId="0" borderId="0" xfId="35" applyFont="1"/>
    <xf numFmtId="166" fontId="10" fillId="4" borderId="0" xfId="0" applyNumberFormat="1" applyFont="1" applyFill="1"/>
    <xf numFmtId="166" fontId="3" fillId="4" borderId="0" xfId="0" applyNumberFormat="1" applyFont="1" applyFill="1"/>
    <xf numFmtId="166" fontId="5" fillId="4" borderId="0" xfId="0" applyNumberFormat="1" applyFont="1" applyFill="1"/>
    <xf numFmtId="9" fontId="3" fillId="4" borderId="1" xfId="35" applyNumberFormat="1" applyFont="1" applyFill="1" applyBorder="1" applyAlignment="1">
      <alignment wrapText="1"/>
    </xf>
    <xf numFmtId="0" fontId="6" fillId="0" borderId="1" xfId="0" applyFont="1" applyBorder="1" applyAlignment="1">
      <alignment horizontal="center" vertical="center" wrapText="1"/>
    </xf>
    <xf numFmtId="0" fontId="3" fillId="0" borderId="24" xfId="0" applyFont="1" applyFill="1" applyBorder="1" applyAlignment="1">
      <alignment vertical="center" wrapText="1"/>
    </xf>
    <xf numFmtId="0" fontId="3" fillId="0" borderId="6" xfId="0" applyFont="1" applyFill="1" applyBorder="1" applyAlignment="1">
      <alignment vertical="center" wrapText="1"/>
    </xf>
    <xf numFmtId="3" fontId="17" fillId="0" borderId="0" xfId="0" applyNumberFormat="1" applyFont="1" applyFill="1"/>
    <xf numFmtId="0" fontId="3" fillId="0" borderId="19" xfId="0" applyFont="1" applyFill="1" applyBorder="1" applyAlignment="1">
      <alignment vertical="center" wrapText="1"/>
    </xf>
    <xf numFmtId="0" fontId="3" fillId="0" borderId="3" xfId="0" applyFont="1" applyFill="1" applyBorder="1" applyAlignment="1">
      <alignment vertical="center" wrapText="1"/>
    </xf>
    <xf numFmtId="0" fontId="3" fillId="0" borderId="20" xfId="0" applyFont="1" applyFill="1" applyBorder="1" applyAlignment="1">
      <alignment vertical="center" wrapText="1"/>
    </xf>
    <xf numFmtId="0" fontId="3" fillId="0" borderId="25" xfId="0" applyFont="1" applyFill="1" applyBorder="1" applyAlignment="1">
      <alignment vertical="center" wrapText="1"/>
    </xf>
    <xf numFmtId="0" fontId="3" fillId="0" borderId="22" xfId="0" applyFont="1" applyFill="1" applyBorder="1" applyAlignment="1">
      <alignment vertical="center" wrapText="1"/>
    </xf>
    <xf numFmtId="0" fontId="3" fillId="0" borderId="7" xfId="0" applyFont="1" applyFill="1" applyBorder="1" applyAlignment="1">
      <alignment vertical="center" wrapText="1"/>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3" fontId="5" fillId="0" borderId="0" xfId="0" applyNumberFormat="1" applyFont="1" applyFill="1" applyAlignment="1">
      <alignment vertical="center"/>
    </xf>
    <xf numFmtId="3" fontId="12" fillId="0" borderId="1" xfId="0" applyNumberFormat="1" applyFont="1" applyFill="1" applyBorder="1"/>
    <xf numFmtId="9" fontId="3" fillId="0" borderId="1" xfId="35" applyFont="1" applyFill="1" applyBorder="1"/>
    <xf numFmtId="0" fontId="3" fillId="0" borderId="0" xfId="0" applyFont="1" applyFill="1"/>
    <xf numFmtId="9" fontId="20" fillId="0" borderId="1" xfId="35" applyFont="1" applyFill="1" applyBorder="1"/>
    <xf numFmtId="9" fontId="10" fillId="0" borderId="1" xfId="35" applyFont="1" applyFill="1" applyBorder="1"/>
    <xf numFmtId="3" fontId="20" fillId="0" borderId="0" xfId="0" applyNumberFormat="1" applyFont="1" applyFill="1"/>
    <xf numFmtId="0" fontId="11" fillId="0" borderId="1" xfId="0" applyFont="1" applyFill="1" applyBorder="1" applyAlignment="1">
      <alignment horizontal="center" vertical="center"/>
    </xf>
    <xf numFmtId="3" fontId="3" fillId="0" borderId="1" xfId="0" applyNumberFormat="1" applyFont="1" applyFill="1" applyBorder="1"/>
    <xf numFmtId="0" fontId="3" fillId="0" borderId="1" xfId="0" applyFont="1" applyFill="1" applyBorder="1" applyAlignment="1">
      <alignment horizontal="right" vertical="center" wrapText="1"/>
    </xf>
    <xf numFmtId="166" fontId="3" fillId="0" borderId="1" xfId="0" applyNumberFormat="1" applyFont="1" applyFill="1" applyBorder="1" applyAlignment="1">
      <alignment horizontal="right" vertical="center" wrapText="1"/>
    </xf>
    <xf numFmtId="3" fontId="12" fillId="0" borderId="0" xfId="0" applyNumberFormat="1" applyFont="1" applyFill="1"/>
    <xf numFmtId="3" fontId="36" fillId="0" borderId="0" xfId="0" applyNumberFormat="1" applyFont="1" applyFill="1"/>
    <xf numFmtId="3" fontId="10" fillId="0" borderId="1" xfId="0" applyNumberFormat="1" applyFont="1" applyFill="1" applyBorder="1" applyAlignment="1">
      <alignment vertical="center"/>
    </xf>
    <xf numFmtId="3" fontId="10" fillId="0" borderId="1" xfId="0" applyNumberFormat="1" applyFont="1" applyBorder="1" applyAlignment="1">
      <alignment vertical="center"/>
    </xf>
    <xf numFmtId="0" fontId="10" fillId="0" borderId="0" xfId="0" applyFont="1" applyAlignment="1">
      <alignment horizontal="center"/>
    </xf>
    <xf numFmtId="0" fontId="3" fillId="0" borderId="1" xfId="0" applyFont="1" applyBorder="1" applyAlignment="1">
      <alignment horizontal="center" vertical="center" wrapText="1"/>
    </xf>
    <xf numFmtId="0" fontId="3" fillId="0" borderId="0" xfId="0" applyFont="1" applyAlignment="1">
      <alignment horizont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17" fillId="0" borderId="0" xfId="0" applyNumberFormat="1" applyFont="1"/>
    <xf numFmtId="0" fontId="86" fillId="0" borderId="1" xfId="0" applyFont="1" applyBorder="1" applyAlignment="1">
      <alignment horizontal="center" vertical="center" wrapText="1"/>
    </xf>
    <xf numFmtId="0" fontId="86" fillId="0" borderId="1" xfId="0" applyFont="1" applyFill="1" applyBorder="1" applyAlignment="1">
      <alignment horizontal="center" vertical="center" wrapText="1"/>
    </xf>
    <xf numFmtId="3" fontId="86" fillId="0" borderId="1" xfId="0" applyNumberFormat="1" applyFont="1" applyBorder="1" applyAlignment="1">
      <alignment horizontal="center" vertical="center" wrapText="1"/>
    </xf>
    <xf numFmtId="1" fontId="86" fillId="0" borderId="1" xfId="0" applyNumberFormat="1" applyFont="1" applyBorder="1" applyAlignment="1">
      <alignment horizontal="center" vertical="center" wrapText="1"/>
    </xf>
    <xf numFmtId="3" fontId="34" fillId="0" borderId="0" xfId="0" applyNumberFormat="1" applyFont="1" applyAlignment="1">
      <alignment vertical="center"/>
    </xf>
    <xf numFmtId="0" fontId="34" fillId="0" borderId="0" xfId="0" applyFont="1" applyAlignment="1">
      <alignment vertical="center"/>
    </xf>
    <xf numFmtId="0" fontId="87" fillId="0" borderId="1" xfId="0" applyFont="1" applyBorder="1" applyAlignment="1">
      <alignment vertical="center" wrapText="1"/>
    </xf>
    <xf numFmtId="3" fontId="22" fillId="0" borderId="1" xfId="0" applyNumberFormat="1" applyFont="1" applyBorder="1" applyAlignment="1">
      <alignment horizontal="right" vertical="center" wrapText="1"/>
    </xf>
    <xf numFmtId="9" fontId="22" fillId="0" borderId="1" xfId="35" applyFont="1" applyBorder="1" applyAlignment="1">
      <alignment horizontal="right" vertical="center" wrapText="1"/>
    </xf>
    <xf numFmtId="3" fontId="12" fillId="0" borderId="0" xfId="0" applyNumberFormat="1" applyFont="1"/>
    <xf numFmtId="2" fontId="12" fillId="0" borderId="0" xfId="0" applyNumberFormat="1" applyFont="1"/>
    <xf numFmtId="0" fontId="12" fillId="0" borderId="0" xfId="0" applyFont="1"/>
    <xf numFmtId="0" fontId="3" fillId="0" borderId="1" xfId="0" applyFont="1" applyBorder="1" applyAlignment="1">
      <alignment vertical="center" wrapText="1"/>
    </xf>
    <xf numFmtId="3" fontId="20" fillId="0" borderId="0" xfId="0" applyNumberFormat="1" applyFont="1"/>
    <xf numFmtId="2" fontId="20" fillId="0" borderId="0" xfId="0" applyNumberFormat="1" applyFont="1"/>
    <xf numFmtId="0" fontId="20" fillId="0" borderId="0" xfId="0" applyFont="1"/>
    <xf numFmtId="0" fontId="10" fillId="0" borderId="1" xfId="0" quotePrefix="1" applyFont="1" applyBorder="1" applyAlignment="1">
      <alignment horizontal="center" vertical="center" wrapText="1"/>
    </xf>
    <xf numFmtId="0" fontId="10" fillId="0" borderId="1" xfId="0" applyFont="1" applyBorder="1" applyAlignment="1">
      <alignment vertical="center" wrapText="1"/>
    </xf>
    <xf numFmtId="3" fontId="17" fillId="0" borderId="1" xfId="0" applyNumberFormat="1" applyFont="1" applyFill="1" applyBorder="1" applyAlignment="1">
      <alignment horizontal="right" vertical="center" wrapText="1"/>
    </xf>
    <xf numFmtId="3" fontId="17" fillId="0" borderId="1" xfId="0" applyNumberFormat="1" applyFont="1" applyBorder="1" applyAlignment="1">
      <alignment horizontal="right" vertical="center" wrapText="1"/>
    </xf>
    <xf numFmtId="9" fontId="17" fillId="0" borderId="1" xfId="35" applyFont="1" applyBorder="1" applyAlignment="1">
      <alignment horizontal="right" vertical="center" wrapText="1"/>
    </xf>
    <xf numFmtId="3" fontId="22" fillId="0" borderId="1" xfId="0" applyNumberFormat="1" applyFont="1" applyFill="1" applyBorder="1" applyAlignment="1">
      <alignment horizontal="right" vertical="center" wrapText="1"/>
    </xf>
    <xf numFmtId="0" fontId="10" fillId="0" borderId="1" xfId="0" applyFont="1" applyBorder="1" applyAlignment="1">
      <alignment horizontal="center" vertical="center" wrapText="1"/>
    </xf>
    <xf numFmtId="181" fontId="12" fillId="0" borderId="0" xfId="0" applyNumberFormat="1" applyFont="1"/>
    <xf numFmtId="188" fontId="12" fillId="0" borderId="0" xfId="4" applyNumberFormat="1" applyFont="1"/>
    <xf numFmtId="171" fontId="20" fillId="0" borderId="0" xfId="0" applyNumberFormat="1" applyFont="1"/>
    <xf numFmtId="171" fontId="12" fillId="0" borderId="0" xfId="0" applyNumberFormat="1" applyFont="1"/>
    <xf numFmtId="0" fontId="10" fillId="0" borderId="1" xfId="1" applyFont="1" applyFill="1" applyBorder="1" applyAlignment="1">
      <alignment vertical="center" wrapText="1"/>
    </xf>
    <xf numFmtId="166" fontId="3" fillId="0" borderId="1" xfId="4" applyNumberFormat="1" applyFont="1" applyBorder="1" applyAlignment="1">
      <alignment horizontal="left" vertical="center" wrapText="1"/>
    </xf>
    <xf numFmtId="166" fontId="22" fillId="0" borderId="1" xfId="4" applyNumberFormat="1" applyFont="1" applyBorder="1" applyAlignment="1">
      <alignment horizontal="right"/>
    </xf>
    <xf numFmtId="3" fontId="22" fillId="0" borderId="1" xfId="4" applyNumberFormat="1" applyFont="1" applyBorder="1" applyAlignment="1">
      <alignment horizontal="right"/>
    </xf>
    <xf numFmtId="9" fontId="22" fillId="0" borderId="1" xfId="35" applyFont="1" applyBorder="1" applyAlignment="1">
      <alignment horizontal="right"/>
    </xf>
    <xf numFmtId="0" fontId="3" fillId="0" borderId="1" xfId="0" applyFont="1" applyBorder="1" applyAlignment="1">
      <alignment horizontal="left" vertical="center" wrapText="1"/>
    </xf>
    <xf numFmtId="189" fontId="12" fillId="0" borderId="0" xfId="0" applyNumberFormat="1" applyFont="1"/>
    <xf numFmtId="0" fontId="10" fillId="0" borderId="1" xfId="0" applyFont="1" applyBorder="1"/>
    <xf numFmtId="0" fontId="17" fillId="0" borderId="1" xfId="0" applyFont="1" applyBorder="1" applyAlignment="1">
      <alignment horizontal="right"/>
    </xf>
    <xf numFmtId="0" fontId="10"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3" fontId="22" fillId="0" borderId="1" xfId="0" applyNumberFormat="1" applyFont="1" applyBorder="1" applyAlignment="1">
      <alignment horizontal="right"/>
    </xf>
    <xf numFmtId="0" fontId="3" fillId="0" borderId="1" xfId="0" applyFont="1" applyBorder="1" applyAlignment="1">
      <alignment horizontal="center"/>
    </xf>
    <xf numFmtId="0" fontId="22" fillId="0" borderId="1" xfId="0" applyFont="1" applyFill="1" applyBorder="1"/>
    <xf numFmtId="3" fontId="22" fillId="0" borderId="1" xfId="4" applyNumberFormat="1" applyFont="1" applyBorder="1"/>
    <xf numFmtId="3" fontId="22" fillId="0" borderId="1" xfId="0" applyNumberFormat="1" applyFont="1" applyBorder="1"/>
    <xf numFmtId="0" fontId="3" fillId="0" borderId="0" xfId="0" applyFont="1"/>
    <xf numFmtId="3" fontId="3" fillId="0" borderId="1" xfId="0" applyNumberFormat="1" applyFont="1" applyBorder="1"/>
    <xf numFmtId="10" fontId="3" fillId="0" borderId="1" xfId="0" applyNumberFormat="1" applyFont="1" applyBorder="1"/>
    <xf numFmtId="0" fontId="20" fillId="0" borderId="0" xfId="0" applyFont="1" applyAlignment="1">
      <alignment vertical="center" wrapText="1"/>
    </xf>
    <xf numFmtId="10" fontId="20" fillId="0" borderId="0" xfId="0" applyNumberFormat="1" applyFont="1"/>
    <xf numFmtId="0" fontId="10" fillId="0" borderId="0" xfId="0" applyFont="1" applyAlignment="1">
      <alignment vertical="center" wrapText="1"/>
    </xf>
    <xf numFmtId="3" fontId="10" fillId="0" borderId="0" xfId="0" applyNumberFormat="1" applyFont="1"/>
    <xf numFmtId="10" fontId="10" fillId="0" borderId="0" xfId="0" applyNumberFormat="1" applyFont="1"/>
    <xf numFmtId="166" fontId="17" fillId="0" borderId="1" xfId="4" applyNumberFormat="1" applyFont="1" applyBorder="1" applyAlignment="1">
      <alignment horizontal="right"/>
    </xf>
    <xf numFmtId="166" fontId="22" fillId="0" borderId="1" xfId="4" applyNumberFormat="1" applyFont="1" applyFill="1" applyBorder="1"/>
    <xf numFmtId="166" fontId="17" fillId="0" borderId="1" xfId="4" applyNumberFormat="1" applyFont="1" applyBorder="1" applyAlignment="1">
      <alignment horizontal="right"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20" xfId="0" applyFont="1" applyBorder="1" applyAlignment="1">
      <alignment horizontal="center" vertical="center"/>
    </xf>
    <xf numFmtId="0" fontId="86" fillId="0" borderId="0" xfId="0" applyFont="1" applyAlignment="1">
      <alignment vertical="center"/>
    </xf>
    <xf numFmtId="3" fontId="86" fillId="0" borderId="0" xfId="0" applyNumberFormat="1" applyFont="1" applyAlignment="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3" fontId="12" fillId="0" borderId="1" xfId="0" applyNumberFormat="1" applyFont="1" applyFill="1" applyBorder="1" applyAlignment="1">
      <alignment vertical="center" wrapText="1"/>
    </xf>
    <xf numFmtId="9" fontId="12" fillId="0" borderId="1" xfId="35" applyFont="1" applyBorder="1" applyAlignment="1">
      <alignment horizontal="right" vertical="center" wrapText="1"/>
    </xf>
    <xf numFmtId="9" fontId="12" fillId="0" borderId="1" xfId="35" applyFont="1" applyBorder="1" applyAlignment="1">
      <alignment vertical="center" wrapText="1"/>
    </xf>
    <xf numFmtId="4" fontId="20" fillId="0" borderId="26" xfId="0" applyNumberFormat="1" applyFont="1" applyBorder="1"/>
    <xf numFmtId="4" fontId="12" fillId="0" borderId="0" xfId="0" applyNumberFormat="1" applyFo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166" fontId="20" fillId="0" borderId="1" xfId="0" applyNumberFormat="1" applyFont="1" applyFill="1" applyBorder="1" applyAlignment="1">
      <alignment vertical="center" wrapText="1"/>
    </xf>
    <xf numFmtId="166" fontId="20" fillId="0" borderId="1" xfId="0" applyNumberFormat="1" applyFont="1" applyBorder="1" applyAlignment="1">
      <alignment vertical="center" wrapText="1"/>
    </xf>
    <xf numFmtId="3" fontId="20" fillId="0" borderId="1" xfId="0" applyNumberFormat="1" applyFont="1" applyFill="1" applyBorder="1" applyAlignment="1">
      <alignment vertical="center" wrapText="1"/>
    </xf>
    <xf numFmtId="9" fontId="89" fillId="0" borderId="1" xfId="35" applyFont="1" applyBorder="1" applyAlignment="1">
      <alignment horizontal="right" vertical="center" wrapText="1"/>
    </xf>
    <xf numFmtId="9" fontId="89" fillId="0" borderId="1" xfId="35" applyFont="1" applyBorder="1" applyAlignment="1">
      <alignment vertical="center" wrapText="1"/>
    </xf>
    <xf numFmtId="3" fontId="12" fillId="0" borderId="1" xfId="0" applyNumberFormat="1" applyFont="1" applyBorder="1" applyAlignment="1">
      <alignment vertical="center" wrapText="1"/>
    </xf>
    <xf numFmtId="3" fontId="20" fillId="0" borderId="1" xfId="0" applyNumberFormat="1" applyFont="1" applyBorder="1" applyAlignment="1">
      <alignment vertical="center" wrapText="1"/>
    </xf>
    <xf numFmtId="49" fontId="20" fillId="0" borderId="1" xfId="0" applyNumberFormat="1" applyFont="1" applyBorder="1" applyAlignment="1">
      <alignment vertical="center" wrapText="1"/>
    </xf>
    <xf numFmtId="0" fontId="21" fillId="0" borderId="1" xfId="0" applyFont="1" applyBorder="1" applyAlignment="1">
      <alignment vertical="center" wrapText="1"/>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vertical="center" wrapText="1"/>
    </xf>
    <xf numFmtId="49" fontId="21" fillId="0" borderId="1" xfId="0" applyNumberFormat="1" applyFont="1" applyBorder="1" applyAlignment="1">
      <alignment vertical="center" wrapText="1"/>
    </xf>
    <xf numFmtId="166" fontId="20" fillId="0" borderId="0" xfId="9" applyNumberFormat="1" applyFont="1"/>
    <xf numFmtId="166" fontId="12" fillId="0" borderId="0" xfId="0" applyNumberFormat="1" applyFont="1"/>
    <xf numFmtId="9" fontId="20" fillId="0" borderId="1" xfId="35" applyFont="1" applyBorder="1" applyAlignment="1">
      <alignment horizontal="right" vertical="center" wrapText="1"/>
    </xf>
    <xf numFmtId="0" fontId="22" fillId="0" borderId="1" xfId="0" applyFont="1" applyBorder="1" applyAlignment="1">
      <alignment vertical="center" wrapText="1"/>
    </xf>
    <xf numFmtId="4" fontId="20" fillId="0" borderId="1" xfId="0" applyNumberFormat="1" applyFont="1" applyBorder="1" applyAlignment="1">
      <alignment horizontal="right" vertical="center" wrapText="1"/>
    </xf>
    <xf numFmtId="4" fontId="20" fillId="0" borderId="1" xfId="0" applyNumberFormat="1" applyFont="1" applyBorder="1" applyAlignment="1">
      <alignment vertical="center" wrapText="1"/>
    </xf>
    <xf numFmtId="0" fontId="20" fillId="0" borderId="0" xfId="22" applyFont="1" applyAlignment="1">
      <alignment horizontal="center"/>
    </xf>
    <xf numFmtId="0" fontId="21" fillId="0" borderId="0" xfId="0" quotePrefix="1" applyFont="1" applyAlignment="1">
      <alignment horizontal="left"/>
    </xf>
    <xf numFmtId="0" fontId="15" fillId="2" borderId="0" xfId="47" applyFont="1" applyFill="1"/>
    <xf numFmtId="190" fontId="15" fillId="2" borderId="0" xfId="4" applyNumberFormat="1" applyFont="1" applyFill="1"/>
    <xf numFmtId="0" fontId="62" fillId="2" borderId="1" xfId="47" applyFont="1" applyFill="1" applyBorder="1" applyAlignment="1">
      <alignment horizontal="center" vertical="center"/>
    </xf>
    <xf numFmtId="49" fontId="62" fillId="2" borderId="1" xfId="4" applyNumberFormat="1" applyFont="1" applyFill="1" applyBorder="1" applyAlignment="1">
      <alignment horizontal="center" vertical="center"/>
    </xf>
    <xf numFmtId="190" fontId="62" fillId="2" borderId="1" xfId="4" applyNumberFormat="1" applyFont="1" applyFill="1" applyBorder="1" applyAlignment="1">
      <alignment horizontal="center" vertical="center"/>
    </xf>
    <xf numFmtId="0" fontId="3" fillId="2" borderId="1" xfId="47" applyFont="1" applyFill="1" applyBorder="1" applyAlignment="1">
      <alignment horizontal="center" vertical="center" wrapText="1"/>
    </xf>
    <xf numFmtId="0" fontId="6" fillId="2" borderId="1" xfId="47" applyFont="1" applyFill="1" applyBorder="1" applyAlignment="1">
      <alignment horizontal="left" vertical="center" wrapText="1"/>
    </xf>
    <xf numFmtId="3" fontId="15" fillId="2" borderId="0" xfId="47" applyNumberFormat="1" applyFont="1" applyFill="1"/>
    <xf numFmtId="0" fontId="62" fillId="2" borderId="0" xfId="47" applyFont="1" applyFill="1"/>
    <xf numFmtId="0" fontId="5" fillId="2" borderId="1" xfId="47" applyFont="1" applyFill="1" applyBorder="1" applyAlignment="1">
      <alignment horizontal="center" vertical="center" wrapText="1"/>
    </xf>
    <xf numFmtId="0" fontId="8" fillId="2" borderId="1" xfId="47" applyFont="1" applyFill="1" applyBorder="1" applyAlignment="1">
      <alignment vertical="center" wrapText="1"/>
    </xf>
    <xf numFmtId="0" fontId="6" fillId="2" borderId="1" xfId="47" applyFont="1" applyFill="1" applyBorder="1" applyAlignment="1">
      <alignment vertical="center" wrapText="1"/>
    </xf>
    <xf numFmtId="0" fontId="16" fillId="2" borderId="0" xfId="47" applyFont="1" applyFill="1"/>
    <xf numFmtId="3" fontId="16" fillId="2" borderId="0" xfId="47" applyNumberFormat="1" applyFont="1" applyFill="1"/>
    <xf numFmtId="0" fontId="21" fillId="2" borderId="0" xfId="47" applyFont="1" applyFill="1"/>
    <xf numFmtId="3" fontId="10" fillId="0" borderId="1" xfId="0" applyNumberFormat="1" applyFont="1" applyFill="1" applyBorder="1" applyAlignment="1">
      <alignment horizontal="center"/>
    </xf>
    <xf numFmtId="0" fontId="15" fillId="2" borderId="0" xfId="47" applyFont="1" applyFill="1" applyAlignment="1">
      <alignment vertical="center" wrapText="1"/>
    </xf>
    <xf numFmtId="0" fontId="16" fillId="2" borderId="0" xfId="47" applyFont="1" applyFill="1" applyAlignment="1">
      <alignment vertical="center" wrapText="1"/>
    </xf>
    <xf numFmtId="0" fontId="77" fillId="2" borderId="0" xfId="47" applyFont="1" applyFill="1" applyAlignment="1">
      <alignment vertical="center" wrapText="1"/>
    </xf>
    <xf numFmtId="3" fontId="77" fillId="2" borderId="0" xfId="47" applyNumberFormat="1" applyFont="1" applyFill="1" applyAlignment="1">
      <alignment vertical="center" wrapText="1"/>
    </xf>
    <xf numFmtId="3" fontId="16" fillId="2" borderId="0" xfId="47" applyNumberFormat="1" applyFont="1" applyFill="1" applyAlignment="1">
      <alignment vertical="center" wrapText="1"/>
    </xf>
    <xf numFmtId="0" fontId="61" fillId="2" borderId="0" xfId="47" applyFont="1" applyFill="1" applyAlignment="1">
      <alignment vertical="center" wrapText="1"/>
    </xf>
    <xf numFmtId="3" fontId="61" fillId="2" borderId="0" xfId="47" applyNumberFormat="1" applyFont="1" applyFill="1" applyAlignment="1">
      <alignment vertical="center" wrapText="1"/>
    </xf>
    <xf numFmtId="0" fontId="68" fillId="2" borderId="0" xfId="47" applyFont="1" applyFill="1" applyAlignment="1">
      <alignment vertical="center" wrapText="1"/>
    </xf>
    <xf numFmtId="0" fontId="69" fillId="2" borderId="0" xfId="47" applyFont="1" applyFill="1" applyAlignment="1">
      <alignment vertical="center" wrapText="1"/>
    </xf>
    <xf numFmtId="9" fontId="16" fillId="2" borderId="1" xfId="35" applyFont="1" applyFill="1" applyBorder="1" applyAlignment="1">
      <alignment vertical="center" wrapText="1"/>
    </xf>
    <xf numFmtId="171" fontId="3" fillId="0" borderId="1" xfId="0" applyNumberFormat="1" applyFont="1" applyFill="1" applyBorder="1"/>
    <xf numFmtId="3" fontId="68" fillId="2" borderId="0" xfId="47" applyNumberFormat="1" applyFont="1" applyFill="1" applyAlignment="1">
      <alignment vertical="center" wrapText="1"/>
    </xf>
    <xf numFmtId="9" fontId="15" fillId="2" borderId="1" xfId="35" applyFont="1" applyFill="1" applyBorder="1" applyAlignment="1">
      <alignment vertical="center" wrapText="1"/>
    </xf>
    <xf numFmtId="0" fontId="91" fillId="2" borderId="0" xfId="47" applyFont="1" applyFill="1" applyAlignment="1">
      <alignment vertical="center" wrapText="1"/>
    </xf>
    <xf numFmtId="0" fontId="92" fillId="2" borderId="0" xfId="47" applyFont="1" applyFill="1" applyAlignment="1">
      <alignment vertical="center" wrapText="1"/>
    </xf>
    <xf numFmtId="3" fontId="3" fillId="0" borderId="1" xfId="4" applyNumberFormat="1" applyFont="1" applyFill="1" applyBorder="1"/>
    <xf numFmtId="191" fontId="49" fillId="2" borderId="1" xfId="49" applyNumberFormat="1" applyFont="1" applyFill="1" applyBorder="1" applyAlignment="1">
      <alignment horizontal="center" vertical="center" wrapText="1"/>
    </xf>
    <xf numFmtId="191" fontId="15" fillId="2" borderId="1" xfId="4" applyNumberFormat="1" applyFont="1" applyFill="1" applyBorder="1" applyAlignment="1">
      <alignment horizontal="right" vertical="center" wrapText="1"/>
    </xf>
    <xf numFmtId="191" fontId="3" fillId="2" borderId="1" xfId="4" applyNumberFormat="1" applyFont="1" applyFill="1" applyBorder="1" applyAlignment="1">
      <alignment horizontal="right" vertical="center" wrapText="1"/>
    </xf>
    <xf numFmtId="3" fontId="16" fillId="2" borderId="1" xfId="50" applyNumberFormat="1" applyFont="1" applyFill="1" applyBorder="1" applyAlignment="1">
      <alignment vertical="center" wrapText="1"/>
    </xf>
    <xf numFmtId="0" fontId="16" fillId="2" borderId="1" xfId="47" applyFont="1" applyFill="1" applyBorder="1" applyAlignment="1">
      <alignment horizontal="center"/>
    </xf>
    <xf numFmtId="0" fontId="3" fillId="2" borderId="1" xfId="47" applyFont="1" applyFill="1" applyBorder="1"/>
    <xf numFmtId="190" fontId="16" fillId="2" borderId="1" xfId="4" applyNumberFormat="1" applyFont="1" applyFill="1" applyBorder="1"/>
    <xf numFmtId="166" fontId="3" fillId="2" borderId="1" xfId="4" applyNumberFormat="1" applyFont="1" applyFill="1" applyBorder="1"/>
    <xf numFmtId="0" fontId="15" fillId="2" borderId="0" xfId="47" applyFont="1" applyFill="1" applyAlignment="1">
      <alignment horizontal="center"/>
    </xf>
    <xf numFmtId="0" fontId="61" fillId="2" borderId="0" xfId="47" applyFont="1" applyFill="1" applyBorder="1" applyAlignment="1">
      <alignment vertical="center"/>
    </xf>
    <xf numFmtId="3" fontId="15" fillId="2" borderId="0" xfId="47" applyNumberFormat="1" applyFont="1" applyFill="1" applyAlignment="1">
      <alignment vertical="center" wrapText="1"/>
    </xf>
    <xf numFmtId="3" fontId="62" fillId="2" borderId="0" xfId="47" applyNumberFormat="1" applyFont="1" applyFill="1"/>
    <xf numFmtId="0" fontId="16" fillId="2" borderId="0" xfId="47" applyFont="1" applyFill="1" applyBorder="1" applyAlignment="1">
      <alignment horizontal="center"/>
    </xf>
    <xf numFmtId="0" fontId="16" fillId="2" borderId="0" xfId="47" applyFont="1" applyFill="1" applyBorder="1" applyAlignment="1">
      <alignment horizontal="left"/>
    </xf>
    <xf numFmtId="190" fontId="15" fillId="2" borderId="0" xfId="4" applyNumberFormat="1" applyFont="1" applyFill="1" applyBorder="1" applyAlignment="1">
      <alignment horizontal="centerContinuous"/>
    </xf>
    <xf numFmtId="0" fontId="6" fillId="0" borderId="1" xfId="0" applyFont="1" applyBorder="1" applyAlignment="1">
      <alignment horizontal="left" wrapText="1"/>
    </xf>
    <xf numFmtId="0" fontId="4" fillId="0" borderId="1" xfId="0" applyFont="1" applyBorder="1" applyAlignment="1">
      <alignment horizontal="left" wrapText="1"/>
    </xf>
    <xf numFmtId="3" fontId="3" fillId="0" borderId="1" xfId="0" applyNumberFormat="1" applyFont="1" applyFill="1" applyBorder="1" applyAlignment="1">
      <alignment vertical="center"/>
    </xf>
    <xf numFmtId="3" fontId="3" fillId="0" borderId="0" xfId="0" applyNumberFormat="1" applyFont="1" applyFill="1" applyAlignment="1">
      <alignment vertical="center"/>
    </xf>
    <xf numFmtId="9" fontId="3" fillId="0" borderId="0" xfId="35" applyFont="1" applyFill="1" applyAlignment="1">
      <alignment vertical="center"/>
    </xf>
    <xf numFmtId="0" fontId="10" fillId="0" borderId="1" xfId="0" applyFont="1" applyFill="1" applyBorder="1" applyAlignment="1">
      <alignment horizontal="center" vertical="center"/>
    </xf>
    <xf numFmtId="171" fontId="10" fillId="0" borderId="0" xfId="0" applyNumberFormat="1" applyFont="1" applyFill="1" applyAlignment="1">
      <alignment vertical="center"/>
    </xf>
    <xf numFmtId="3" fontId="12" fillId="0" borderId="1" xfId="0" applyNumberFormat="1" applyFont="1" applyFill="1" applyBorder="1" applyAlignment="1">
      <alignment vertical="center"/>
    </xf>
    <xf numFmtId="9" fontId="12" fillId="0" borderId="1" xfId="35" applyFont="1" applyFill="1" applyBorder="1" applyAlignment="1">
      <alignment vertical="center"/>
    </xf>
    <xf numFmtId="9" fontId="3" fillId="0" borderId="6" xfId="35" applyFont="1" applyFill="1" applyBorder="1" applyAlignment="1">
      <alignment vertical="center"/>
    </xf>
    <xf numFmtId="3" fontId="20" fillId="0" borderId="1" xfId="0" applyNumberFormat="1" applyFont="1" applyFill="1" applyBorder="1" applyAlignment="1">
      <alignment vertical="center"/>
    </xf>
    <xf numFmtId="9" fontId="20" fillId="0" borderId="1" xfId="35" applyFont="1" applyFill="1" applyBorder="1" applyAlignment="1">
      <alignment vertical="center"/>
    </xf>
    <xf numFmtId="9" fontId="10" fillId="0" borderId="6" xfId="35" applyFont="1" applyFill="1" applyBorder="1" applyAlignment="1">
      <alignment vertical="center"/>
    </xf>
    <xf numFmtId="176" fontId="10" fillId="0" borderId="0" xfId="0" applyNumberFormat="1" applyFont="1" applyFill="1" applyAlignment="1">
      <alignment vertical="center"/>
    </xf>
    <xf numFmtId="187" fontId="10" fillId="0" borderId="0" xfId="4" applyNumberFormat="1" applyFont="1" applyFill="1" applyAlignment="1">
      <alignment vertical="center"/>
    </xf>
    <xf numFmtId="3" fontId="20" fillId="0" borderId="0" xfId="0" applyNumberFormat="1" applyFont="1" applyFill="1" applyAlignment="1">
      <alignment vertical="center"/>
    </xf>
    <xf numFmtId="172" fontId="10" fillId="0" borderId="0" xfId="0" applyNumberFormat="1" applyFont="1" applyFill="1" applyAlignment="1">
      <alignment vertical="center"/>
    </xf>
    <xf numFmtId="0" fontId="3" fillId="0" borderId="0" xfId="0" applyFont="1" applyFill="1" applyAlignment="1">
      <alignment horizontal="center"/>
    </xf>
    <xf numFmtId="0" fontId="10" fillId="0" borderId="0" xfId="0" applyFont="1" applyFill="1" applyAlignment="1">
      <alignment horizontal="center"/>
    </xf>
    <xf numFmtId="0" fontId="12" fillId="0" borderId="0" xfId="0" applyFont="1" applyFill="1" applyAlignment="1">
      <alignment horizontal="right"/>
    </xf>
    <xf numFmtId="0" fontId="12" fillId="0" borderId="0" xfId="0" applyFont="1" applyFill="1" applyAlignment="1">
      <alignment horizontal="center"/>
    </xf>
    <xf numFmtId="0" fontId="21" fillId="0" borderId="0" xfId="0" applyFont="1" applyFill="1" applyAlignment="1">
      <alignment horizontal="center"/>
    </xf>
    <xf numFmtId="166" fontId="21" fillId="0" borderId="0" xfId="9" applyNumberFormat="1" applyFont="1" applyFill="1" applyBorder="1" applyAlignment="1">
      <alignment horizontal="right"/>
    </xf>
    <xf numFmtId="166" fontId="21" fillId="0" borderId="5" xfId="9" applyNumberFormat="1" applyFont="1" applyFill="1" applyBorder="1" applyAlignment="1">
      <alignment horizontal="right"/>
    </xf>
    <xf numFmtId="0" fontId="35" fillId="0" borderId="0" xfId="0" applyFont="1" applyFill="1" applyAlignment="1">
      <alignment horizontal="center"/>
    </xf>
    <xf numFmtId="0" fontId="12" fillId="0" borderId="0" xfId="0" applyFont="1" applyFill="1" applyBorder="1" applyAlignment="1">
      <alignment horizontal="center"/>
    </xf>
    <xf numFmtId="0" fontId="21" fillId="0" borderId="0" xfId="0" applyFont="1" applyFill="1" applyBorder="1" applyAlignment="1">
      <alignment horizontal="center"/>
    </xf>
    <xf numFmtId="166" fontId="21" fillId="0" borderId="5" xfId="4" applyNumberFormat="1" applyFont="1" applyFill="1" applyBorder="1" applyAlignment="1">
      <alignment horizontal="right"/>
    </xf>
    <xf numFmtId="166" fontId="34" fillId="0" borderId="3" xfId="0" applyNumberFormat="1" applyFont="1" applyFill="1" applyBorder="1" applyAlignment="1">
      <alignment horizontal="center" vertical="center" wrapText="1"/>
    </xf>
    <xf numFmtId="166" fontId="34" fillId="0" borderId="7"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 xfId="0" applyFont="1" applyBorder="1" applyAlignment="1">
      <alignment horizontal="center" vertical="center" wrapText="1"/>
    </xf>
    <xf numFmtId="0" fontId="21" fillId="0" borderId="0" xfId="0" applyFont="1" applyBorder="1" applyAlignment="1">
      <alignment horizontal="right"/>
    </xf>
    <xf numFmtId="0" fontId="34" fillId="0" borderId="16" xfId="0" applyFont="1" applyBorder="1" applyAlignment="1">
      <alignment horizontal="center" wrapText="1"/>
    </xf>
    <xf numFmtId="0" fontId="34" fillId="0" borderId="17" xfId="0" applyFont="1" applyBorder="1" applyAlignment="1">
      <alignment horizontal="center" wrapText="1"/>
    </xf>
    <xf numFmtId="0" fontId="12" fillId="0" borderId="0" xfId="0" applyFont="1" applyAlignment="1">
      <alignment horizontal="center"/>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0" xfId="0" applyFont="1" applyBorder="1" applyAlignment="1">
      <alignment horizontal="right" wrapText="1"/>
    </xf>
    <xf numFmtId="0" fontId="3" fillId="0" borderId="0" xfId="0" applyNumberFormat="1" applyFont="1" applyAlignment="1">
      <alignment horizontal="left" wrapText="1"/>
    </xf>
    <xf numFmtId="0" fontId="3" fillId="0" borderId="0" xfId="0" applyFont="1" applyAlignment="1">
      <alignment horizontal="right" wrapText="1"/>
    </xf>
    <xf numFmtId="0" fontId="10" fillId="0" borderId="0" xfId="0" applyFont="1" applyAlignment="1">
      <alignment horizontal="center"/>
    </xf>
    <xf numFmtId="0" fontId="10" fillId="0" borderId="5" xfId="0" applyFont="1" applyBorder="1" applyAlignment="1">
      <alignment horizontal="right"/>
    </xf>
    <xf numFmtId="0" fontId="12" fillId="4" borderId="0" xfId="0" applyFont="1" applyFill="1" applyAlignment="1">
      <alignment horizontal="right"/>
    </xf>
    <xf numFmtId="0" fontId="3" fillId="4" borderId="1" xfId="0" applyFont="1" applyFill="1" applyBorder="1" applyAlignment="1">
      <alignment horizontal="center" vertical="center" wrapText="1"/>
    </xf>
    <xf numFmtId="0" fontId="12" fillId="4" borderId="0" xfId="0" applyFont="1" applyFill="1" applyAlignment="1">
      <alignment horizontal="center"/>
    </xf>
    <xf numFmtId="0" fontId="35" fillId="4" borderId="0" xfId="0" applyFont="1" applyFill="1" applyAlignment="1">
      <alignment horizontal="center"/>
    </xf>
    <xf numFmtId="0" fontId="21" fillId="4" borderId="0" xfId="0" applyFont="1" applyFill="1" applyBorder="1" applyAlignment="1">
      <alignment horizontal="right"/>
    </xf>
    <xf numFmtId="0" fontId="34" fillId="4" borderId="1" xfId="0" applyFont="1" applyFill="1" applyBorder="1" applyAlignment="1">
      <alignment horizontal="center" vertical="center" wrapText="1"/>
    </xf>
    <xf numFmtId="0" fontId="84" fillId="0" borderId="0" xfId="0" applyFont="1" applyFill="1" applyAlignment="1">
      <alignment horizontal="right"/>
    </xf>
    <xf numFmtId="4" fontId="16" fillId="0" borderId="3" xfId="0" applyNumberFormat="1" applyFont="1" applyFill="1" applyBorder="1" applyAlignment="1">
      <alignment horizontal="center" vertical="center" wrapText="1"/>
    </xf>
    <xf numFmtId="4" fontId="16" fillId="0" borderId="25" xfId="0" applyNumberFormat="1" applyFont="1" applyFill="1" applyBorder="1" applyAlignment="1">
      <alignment horizontal="center" vertical="center" wrapText="1"/>
    </xf>
    <xf numFmtId="4" fontId="61" fillId="0" borderId="23" xfId="0" applyNumberFormat="1" applyFont="1" applyFill="1" applyBorder="1" applyAlignment="1">
      <alignment horizontal="center"/>
    </xf>
    <xf numFmtId="4" fontId="61" fillId="0" borderId="24" xfId="0" applyNumberFormat="1" applyFont="1" applyFill="1" applyBorder="1" applyAlignment="1">
      <alignment horizontal="center"/>
    </xf>
    <xf numFmtId="4" fontId="61" fillId="0" borderId="6" xfId="0" applyNumberFormat="1" applyFont="1" applyFill="1" applyBorder="1" applyAlignment="1">
      <alignment horizontal="center"/>
    </xf>
    <xf numFmtId="4" fontId="59" fillId="0" borderId="0" xfId="0" applyNumberFormat="1" applyFont="1" applyFill="1" applyAlignment="1">
      <alignment horizontal="center"/>
    </xf>
    <xf numFmtId="4" fontId="21" fillId="0" borderId="0" xfId="0" applyNumberFormat="1" applyFont="1" applyFill="1" applyBorder="1" applyAlignment="1">
      <alignment horizontal="center"/>
    </xf>
    <xf numFmtId="43" fontId="62" fillId="0" borderId="5" xfId="39" applyFont="1" applyFill="1" applyBorder="1" applyAlignment="1">
      <alignment horizontal="right"/>
    </xf>
    <xf numFmtId="4" fontId="16" fillId="0" borderId="3" xfId="0" applyNumberFormat="1" applyFont="1" applyFill="1" applyBorder="1" applyAlignment="1">
      <alignment horizontal="center" vertical="center"/>
    </xf>
    <xf numFmtId="4" fontId="16" fillId="0" borderId="25" xfId="0" applyNumberFormat="1" applyFont="1" applyFill="1" applyBorder="1" applyAlignment="1">
      <alignment horizontal="center" vertical="center"/>
    </xf>
    <xf numFmtId="3" fontId="16" fillId="0" borderId="3" xfId="0" applyNumberFormat="1" applyFont="1" applyFill="1" applyBorder="1" applyAlignment="1">
      <alignment horizontal="center" vertical="center" wrapText="1"/>
    </xf>
    <xf numFmtId="3" fontId="16" fillId="0" borderId="25" xfId="0" applyNumberFormat="1" applyFont="1" applyFill="1" applyBorder="1" applyAlignment="1">
      <alignment horizontal="center" vertical="center" wrapText="1"/>
    </xf>
    <xf numFmtId="4" fontId="16" fillId="0" borderId="23" xfId="0" applyNumberFormat="1" applyFont="1" applyFill="1" applyBorder="1" applyAlignment="1">
      <alignment horizontal="center" vertical="center"/>
    </xf>
    <xf numFmtId="4" fontId="16" fillId="0" borderId="24" xfId="0" applyNumberFormat="1" applyFont="1" applyFill="1" applyBorder="1" applyAlignment="1">
      <alignment horizontal="center" vertical="center"/>
    </xf>
    <xf numFmtId="4" fontId="16" fillId="0" borderId="6" xfId="0" applyNumberFormat="1" applyFont="1" applyFill="1" applyBorder="1" applyAlignment="1">
      <alignment horizontal="center" vertical="center"/>
    </xf>
    <xf numFmtId="4" fontId="16" fillId="0" borderId="7" xfId="0" applyNumberFormat="1" applyFont="1" applyFill="1" applyBorder="1" applyAlignment="1">
      <alignment horizontal="center" vertical="center" wrapText="1"/>
    </xf>
    <xf numFmtId="0" fontId="3" fillId="0" borderId="0" xfId="32" applyNumberFormat="1" applyFont="1" applyAlignment="1">
      <alignment horizontal="center" wrapText="1"/>
    </xf>
    <xf numFmtId="0" fontId="70" fillId="0" borderId="0" xfId="0" applyFont="1"/>
    <xf numFmtId="0" fontId="31" fillId="0" borderId="0" xfId="0" applyFont="1" applyAlignment="1">
      <alignment horizontal="center" vertical="top" wrapText="1"/>
    </xf>
    <xf numFmtId="0" fontId="5" fillId="0" borderId="0" xfId="32" applyNumberFormat="1" applyFont="1" applyAlignment="1">
      <alignment horizontal="center"/>
    </xf>
    <xf numFmtId="0" fontId="71" fillId="0" borderId="1" xfId="32" applyNumberFormat="1" applyFont="1" applyBorder="1" applyAlignment="1">
      <alignment horizontal="center" vertical="center" wrapText="1"/>
    </xf>
    <xf numFmtId="0" fontId="70" fillId="0" borderId="1" xfId="0" applyFont="1" applyBorder="1"/>
    <xf numFmtId="0" fontId="3" fillId="0" borderId="18" xfId="41" applyNumberFormat="1" applyFont="1" applyFill="1" applyBorder="1" applyAlignment="1">
      <alignment horizontal="center" vertical="center" wrapText="1"/>
    </xf>
    <xf numFmtId="0" fontId="3" fillId="0" borderId="19" xfId="41" applyNumberFormat="1" applyFont="1" applyFill="1" applyBorder="1" applyAlignment="1">
      <alignment horizontal="center" vertical="center" wrapText="1"/>
    </xf>
    <xf numFmtId="0" fontId="3" fillId="0" borderId="3" xfId="41" applyNumberFormat="1" applyFont="1" applyFill="1" applyBorder="1" applyAlignment="1">
      <alignment horizontal="center" vertical="center" wrapText="1"/>
    </xf>
    <xf numFmtId="0" fontId="3" fillId="0" borderId="25" xfId="41" applyNumberFormat="1" applyFont="1" applyFill="1" applyBorder="1" applyAlignment="1">
      <alignment horizontal="center" vertical="center" wrapText="1"/>
    </xf>
    <xf numFmtId="0" fontId="75" fillId="0" borderId="25" xfId="41" applyFont="1" applyFill="1" applyBorder="1" applyAlignment="1">
      <alignment horizontal="center" vertical="center" wrapText="1"/>
    </xf>
    <xf numFmtId="0" fontId="3" fillId="0" borderId="0" xfId="41" applyNumberFormat="1" applyFont="1" applyFill="1" applyAlignment="1">
      <alignment horizontal="center"/>
    </xf>
    <xf numFmtId="0" fontId="12" fillId="0" borderId="0" xfId="41" applyNumberFormat="1" applyFont="1" applyFill="1" applyAlignment="1">
      <alignment horizontal="center" wrapText="1"/>
    </xf>
    <xf numFmtId="4" fontId="74" fillId="0" borderId="0" xfId="40" applyNumberFormat="1" applyFont="1" applyFill="1" applyAlignment="1">
      <alignment horizontal="center" vertical="center"/>
    </xf>
    <xf numFmtId="0" fontId="74" fillId="0" borderId="0" xfId="40" applyNumberFormat="1" applyFont="1" applyFill="1" applyAlignment="1">
      <alignment horizontal="center" vertical="center"/>
    </xf>
    <xf numFmtId="0" fontId="37" fillId="0" borderId="3" xfId="41" applyNumberFormat="1" applyFont="1" applyFill="1" applyBorder="1" applyAlignment="1">
      <alignment horizontal="center" vertical="center" wrapText="1"/>
    </xf>
    <xf numFmtId="0" fontId="37" fillId="0" borderId="25" xfId="41" applyNumberFormat="1" applyFont="1" applyFill="1" applyBorder="1" applyAlignment="1">
      <alignment horizontal="center" vertical="center" wrapText="1"/>
    </xf>
    <xf numFmtId="0" fontId="3" fillId="0" borderId="23" xfId="41" applyNumberFormat="1" applyFont="1" applyFill="1" applyBorder="1" applyAlignment="1">
      <alignment horizontal="center" vertical="center" wrapText="1"/>
    </xf>
    <xf numFmtId="0" fontId="3" fillId="0" borderId="24" xfId="41" applyNumberFormat="1" applyFont="1" applyFill="1" applyBorder="1" applyAlignment="1">
      <alignment horizontal="center" vertical="center" wrapText="1"/>
    </xf>
    <xf numFmtId="0" fontId="3" fillId="0" borderId="6" xfId="41" applyNumberFormat="1" applyFont="1" applyFill="1" applyBorder="1" applyAlignment="1">
      <alignment horizontal="center" vertical="center" wrapText="1"/>
    </xf>
    <xf numFmtId="172" fontId="62" fillId="0" borderId="5" xfId="0" applyNumberFormat="1" applyFont="1" applyFill="1" applyBorder="1" applyAlignment="1">
      <alignment horizontal="right"/>
    </xf>
    <xf numFmtId="172" fontId="16" fillId="0" borderId="0" xfId="0" applyNumberFormat="1" applyFont="1" applyFill="1" applyAlignment="1">
      <alignment horizontal="center"/>
    </xf>
    <xf numFmtId="172" fontId="16" fillId="0" borderId="0" xfId="0" applyNumberFormat="1" applyFont="1" applyFill="1" applyAlignment="1">
      <alignment horizontal="center" wrapText="1"/>
    </xf>
    <xf numFmtId="172" fontId="5" fillId="0" borderId="0" xfId="0" applyNumberFormat="1" applyFont="1" applyFill="1" applyAlignment="1">
      <alignment horizontal="center" wrapText="1"/>
    </xf>
    <xf numFmtId="172" fontId="62" fillId="0" borderId="0" xfId="0" applyNumberFormat="1" applyFont="1" applyFill="1" applyAlignment="1">
      <alignment horizontal="center"/>
    </xf>
    <xf numFmtId="172" fontId="16" fillId="0" borderId="3" xfId="0" applyNumberFormat="1" applyFont="1" applyFill="1" applyBorder="1" applyAlignment="1">
      <alignment horizontal="center" vertical="center" wrapText="1"/>
    </xf>
    <xf numFmtId="172" fontId="16" fillId="0" borderId="25" xfId="0" applyNumberFormat="1" applyFont="1" applyFill="1" applyBorder="1" applyAlignment="1">
      <alignment horizontal="center" vertical="center" wrapText="1"/>
    </xf>
    <xf numFmtId="172" fontId="16" fillId="0" borderId="7" xfId="0" applyNumberFormat="1" applyFont="1" applyFill="1" applyBorder="1" applyAlignment="1">
      <alignment horizontal="center" vertical="center" wrapText="1"/>
    </xf>
    <xf numFmtId="172" fontId="16" fillId="0" borderId="18" xfId="0" applyNumberFormat="1" applyFont="1" applyFill="1" applyBorder="1" applyAlignment="1">
      <alignment horizontal="center" vertical="center" wrapText="1"/>
    </xf>
    <xf numFmtId="172" fontId="16" fillId="0" borderId="2" xfId="0" applyNumberFormat="1" applyFont="1" applyFill="1" applyBorder="1" applyAlignment="1">
      <alignment horizontal="center" vertical="center" wrapText="1"/>
    </xf>
    <xf numFmtId="172" fontId="16" fillId="0" borderId="4" xfId="0" applyNumberFormat="1" applyFont="1" applyFill="1" applyBorder="1" applyAlignment="1">
      <alignment horizontal="center" vertical="center" wrapText="1"/>
    </xf>
    <xf numFmtId="172" fontId="16" fillId="0" borderId="19" xfId="0" applyNumberFormat="1" applyFont="1" applyFill="1" applyBorder="1" applyAlignment="1">
      <alignment horizontal="center" vertical="center" wrapText="1"/>
    </xf>
    <xf numFmtId="172" fontId="16" fillId="0" borderId="21" xfId="0" applyNumberFormat="1" applyFont="1" applyFill="1" applyBorder="1" applyAlignment="1">
      <alignment horizontal="center" vertical="center" wrapText="1"/>
    </xf>
    <xf numFmtId="172" fontId="16" fillId="0" borderId="5" xfId="0" applyNumberFormat="1" applyFont="1" applyFill="1" applyBorder="1" applyAlignment="1">
      <alignment horizontal="center" vertical="center" wrapText="1"/>
    </xf>
    <xf numFmtId="172" fontId="16" fillId="0" borderId="22" xfId="0" applyNumberFormat="1" applyFont="1" applyFill="1" applyBorder="1" applyAlignment="1">
      <alignment horizontal="center" vertical="center" wrapText="1"/>
    </xf>
    <xf numFmtId="3" fontId="61" fillId="0" borderId="1" xfId="43" applyNumberFormat="1" applyFont="1" applyFill="1" applyBorder="1" applyAlignment="1">
      <alignment horizontal="center" vertical="center" wrapText="1"/>
    </xf>
    <xf numFmtId="3" fontId="16" fillId="0" borderId="1" xfId="43" applyNumberFormat="1" applyFont="1" applyFill="1" applyBorder="1" applyAlignment="1">
      <alignment horizontal="center" vertical="center" wrapText="1"/>
    </xf>
    <xf numFmtId="3" fontId="61" fillId="0" borderId="23" xfId="43" applyNumberFormat="1" applyFont="1" applyFill="1" applyBorder="1" applyAlignment="1">
      <alignment horizontal="center" vertical="center" wrapText="1"/>
    </xf>
    <xf numFmtId="3" fontId="61" fillId="0" borderId="24" xfId="43" applyNumberFormat="1" applyFont="1" applyFill="1" applyBorder="1" applyAlignment="1">
      <alignment horizontal="center" vertical="center" wrapText="1"/>
    </xf>
    <xf numFmtId="3" fontId="61" fillId="0" borderId="6" xfId="43" applyNumberFormat="1" applyFont="1" applyFill="1" applyBorder="1" applyAlignment="1">
      <alignment horizontal="center" vertical="center" wrapText="1"/>
    </xf>
    <xf numFmtId="0" fontId="5" fillId="0" borderId="0" xfId="42" applyFont="1" applyFill="1" applyBorder="1" applyAlignment="1">
      <alignment horizontal="center"/>
    </xf>
    <xf numFmtId="0" fontId="3" fillId="0" borderId="0" xfId="42" applyFont="1" applyFill="1" applyBorder="1" applyAlignment="1">
      <alignment horizontal="center"/>
    </xf>
    <xf numFmtId="0" fontId="3" fillId="0" borderId="0" xfId="42" applyFont="1" applyFill="1" applyBorder="1" applyAlignment="1">
      <alignment horizontal="center" vertical="center" wrapText="1"/>
    </xf>
    <xf numFmtId="4" fontId="16" fillId="0" borderId="1" xfId="24" applyNumberFormat="1" applyFont="1" applyFill="1" applyBorder="1" applyAlignment="1">
      <alignment horizontal="center" vertical="center" wrapText="1"/>
    </xf>
    <xf numFmtId="4" fontId="16" fillId="0" borderId="23" xfId="24" applyNumberFormat="1" applyFont="1" applyFill="1" applyBorder="1" applyAlignment="1">
      <alignment horizontal="center" vertical="center" wrapText="1"/>
    </xf>
    <xf numFmtId="4" fontId="16" fillId="0" borderId="24" xfId="24" applyNumberFormat="1" applyFont="1" applyFill="1" applyBorder="1" applyAlignment="1">
      <alignment horizontal="center" vertical="center" wrapText="1"/>
    </xf>
    <xf numFmtId="4" fontId="16" fillId="0" borderId="6" xfId="24" applyNumberFormat="1" applyFont="1" applyFill="1" applyBorder="1" applyAlignment="1">
      <alignment horizontal="center" vertical="center" wrapText="1"/>
    </xf>
    <xf numFmtId="0" fontId="16" fillId="0" borderId="1" xfId="24" applyFont="1" applyFill="1" applyBorder="1" applyAlignment="1">
      <alignment horizontal="center" vertical="center"/>
    </xf>
    <xf numFmtId="0" fontId="16" fillId="0" borderId="0" xfId="0" applyFont="1" applyAlignment="1">
      <alignment horizontal="left"/>
    </xf>
    <xf numFmtId="0" fontId="16" fillId="0" borderId="0" xfId="0" applyFont="1" applyAlignment="1">
      <alignment horizontal="center" wrapText="1"/>
    </xf>
    <xf numFmtId="0" fontId="5" fillId="0" borderId="0" xfId="0" applyFont="1" applyAlignment="1">
      <alignment horizontal="center"/>
    </xf>
    <xf numFmtId="0" fontId="6" fillId="0" borderId="0" xfId="0" applyFont="1" applyAlignment="1">
      <alignment horizontal="right" vertical="center"/>
    </xf>
    <xf numFmtId="0" fontId="6" fillId="0" borderId="0" xfId="0" applyFont="1" applyAlignment="1">
      <alignment horizontal="center" vertical="center"/>
    </xf>
    <xf numFmtId="0" fontId="8" fillId="0" borderId="0" xfId="0" applyFont="1" applyBorder="1" applyAlignment="1">
      <alignment horizontal="center" vertical="center" wrapText="1"/>
    </xf>
    <xf numFmtId="0" fontId="4" fillId="0" borderId="0" xfId="0" applyFont="1" applyAlignment="1">
      <alignment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21" fillId="0" borderId="5" xfId="0" applyFont="1" applyFill="1" applyBorder="1" applyAlignment="1">
      <alignment horizontal="right"/>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0" xfId="0" applyFont="1" applyFill="1" applyAlignment="1">
      <alignment horizontal="left" vertical="center"/>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xf>
    <xf numFmtId="0" fontId="8" fillId="0" borderId="0" xfId="0" applyFont="1" applyFill="1" applyBorder="1" applyAlignment="1">
      <alignment horizontal="center" vertical="center" wrapText="1"/>
    </xf>
    <xf numFmtId="0" fontId="8" fillId="0" borderId="5" xfId="0" applyFont="1" applyFill="1" applyBorder="1" applyAlignment="1">
      <alignment horizontal="right" vertical="center"/>
    </xf>
    <xf numFmtId="0" fontId="7" fillId="0" borderId="0" xfId="0" applyFont="1" applyFill="1" applyAlignment="1">
      <alignment vertical="center" wrapText="1"/>
    </xf>
    <xf numFmtId="0" fontId="8"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left" vertical="center"/>
    </xf>
    <xf numFmtId="0" fontId="8" fillId="0" borderId="0" xfId="0" applyFont="1" applyAlignment="1">
      <alignment horizontal="center" vertical="center"/>
    </xf>
    <xf numFmtId="0" fontId="8" fillId="0" borderId="5" xfId="0" applyFont="1" applyBorder="1" applyAlignment="1">
      <alignment horizontal="right" vertical="center"/>
    </xf>
    <xf numFmtId="0" fontId="6" fillId="0" borderId="0" xfId="0" applyFont="1" applyAlignment="1">
      <alignment vertical="center"/>
    </xf>
    <xf numFmtId="3" fontId="12" fillId="0" borderId="1" xfId="0" applyNumberFormat="1" applyFont="1" applyBorder="1" applyAlignment="1">
      <alignment horizontal="center" vertical="center" wrapText="1"/>
    </xf>
    <xf numFmtId="10" fontId="12" fillId="0" borderId="1" xfId="0" applyNumberFormat="1" applyFont="1" applyBorder="1" applyAlignment="1">
      <alignment horizontal="center" vertical="center" wrapText="1"/>
    </xf>
    <xf numFmtId="0" fontId="12" fillId="0" borderId="0" xfId="0" applyFont="1" applyAlignment="1">
      <alignment horizontal="right"/>
    </xf>
    <xf numFmtId="0" fontId="21" fillId="0" borderId="0" xfId="0" applyFont="1" applyAlignment="1">
      <alignment horizontal="center"/>
    </xf>
    <xf numFmtId="0" fontId="21" fillId="0" borderId="5" xfId="0" applyFont="1" applyBorder="1" applyAlignment="1">
      <alignment horizontal="right"/>
    </xf>
    <xf numFmtId="0" fontId="12"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7" xfId="0" applyFont="1" applyBorder="1" applyAlignment="1">
      <alignment horizontal="center" vertical="center" wrapText="1"/>
    </xf>
    <xf numFmtId="0" fontId="88" fillId="0" borderId="1" xfId="0" applyFont="1" applyBorder="1" applyAlignment="1">
      <alignment vertical="center" wrapText="1"/>
    </xf>
    <xf numFmtId="0" fontId="12" fillId="0" borderId="3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190" fontId="16" fillId="2" borderId="1" xfId="4" applyNumberFormat="1" applyFont="1" applyFill="1" applyBorder="1" applyAlignment="1">
      <alignment horizontal="center" vertical="center" wrapText="1"/>
    </xf>
    <xf numFmtId="190" fontId="21" fillId="2" borderId="0" xfId="4" applyNumberFormat="1" applyFont="1" applyFill="1" applyBorder="1" applyAlignment="1">
      <alignment horizontal="right"/>
    </xf>
    <xf numFmtId="190" fontId="12" fillId="2" borderId="0" xfId="4" applyNumberFormat="1" applyFont="1" applyFill="1" applyBorder="1" applyAlignment="1">
      <alignment horizontal="right"/>
    </xf>
    <xf numFmtId="0" fontId="12" fillId="2" borderId="0" xfId="47" applyFont="1" applyFill="1" applyBorder="1" applyAlignment="1">
      <alignment horizontal="center"/>
    </xf>
    <xf numFmtId="0" fontId="21" fillId="2" borderId="0" xfId="48" applyFont="1" applyFill="1" applyBorder="1" applyAlignment="1">
      <alignment horizontal="center"/>
    </xf>
    <xf numFmtId="0" fontId="16" fillId="2" borderId="1" xfId="47" applyFont="1" applyFill="1" applyBorder="1" applyAlignment="1">
      <alignment horizontal="center" vertical="center"/>
    </xf>
    <xf numFmtId="190" fontId="16" fillId="2" borderId="1" xfId="4" applyNumberFormat="1" applyFont="1" applyFill="1" applyBorder="1" applyAlignment="1">
      <alignment horizontal="center" vertical="center"/>
    </xf>
    <xf numFmtId="0" fontId="10" fillId="0" borderId="1" xfId="31" applyFont="1" applyBorder="1" applyAlignment="1">
      <alignment horizontal="center" vertical="center" wrapText="1"/>
    </xf>
    <xf numFmtId="0" fontId="10" fillId="0" borderId="3" xfId="31" applyFont="1" applyBorder="1" applyAlignment="1">
      <alignment horizontal="center" vertical="center" wrapText="1"/>
    </xf>
    <xf numFmtId="0" fontId="10" fillId="0" borderId="25" xfId="31" applyFont="1" applyBorder="1" applyAlignment="1">
      <alignment horizontal="center" vertical="center" wrapText="1"/>
    </xf>
    <xf numFmtId="0" fontId="10" fillId="0" borderId="7" xfId="31" applyFont="1" applyBorder="1" applyAlignment="1">
      <alignment horizontal="center" vertical="center" wrapText="1"/>
    </xf>
    <xf numFmtId="1" fontId="20" fillId="0" borderId="0" xfId="31" applyNumberFormat="1" applyFont="1" applyAlignment="1">
      <alignment horizontal="left" vertical="center" wrapText="1"/>
    </xf>
    <xf numFmtId="3" fontId="22" fillId="0" borderId="18" xfId="31" applyNumberFormat="1" applyFont="1" applyBorder="1" applyAlignment="1">
      <alignment horizontal="center" vertical="center" wrapText="1"/>
    </xf>
    <xf numFmtId="3" fontId="22" fillId="0" borderId="19" xfId="31" applyNumberFormat="1" applyFont="1" applyBorder="1" applyAlignment="1">
      <alignment horizontal="center" vertical="center" wrapText="1"/>
    </xf>
    <xf numFmtId="3" fontId="22" fillId="0" borderId="21" xfId="31" applyNumberFormat="1" applyFont="1" applyBorder="1" applyAlignment="1">
      <alignment horizontal="center" vertical="center" wrapText="1"/>
    </xf>
    <xf numFmtId="3" fontId="22" fillId="0" borderId="22" xfId="31" applyNumberFormat="1" applyFont="1" applyBorder="1" applyAlignment="1">
      <alignment horizontal="center" vertical="center" wrapText="1"/>
    </xf>
    <xf numFmtId="3" fontId="22" fillId="0" borderId="2" xfId="31" applyNumberFormat="1" applyFont="1" applyBorder="1" applyAlignment="1">
      <alignment horizontal="center" vertical="center" wrapText="1"/>
    </xf>
    <xf numFmtId="3" fontId="22" fillId="0" borderId="20" xfId="31" applyNumberFormat="1" applyFont="1" applyBorder="1" applyAlignment="1">
      <alignment horizontal="center" vertical="center" wrapText="1"/>
    </xf>
    <xf numFmtId="3" fontId="22" fillId="0" borderId="1" xfId="31" applyNumberFormat="1" applyFont="1" applyBorder="1" applyAlignment="1">
      <alignment horizontal="center" vertical="center" wrapText="1"/>
    </xf>
    <xf numFmtId="3" fontId="57" fillId="0" borderId="1" xfId="31" applyNumberFormat="1" applyFont="1" applyBorder="1" applyAlignment="1">
      <alignment horizontal="center" vertical="center" wrapText="1"/>
    </xf>
    <xf numFmtId="3" fontId="22" fillId="0" borderId="0" xfId="31" applyNumberFormat="1" applyFont="1" applyAlignment="1">
      <alignment horizontal="center" vertical="center" wrapText="1"/>
    </xf>
    <xf numFmtId="1" fontId="10" fillId="0" borderId="3" xfId="31" applyNumberFormat="1" applyFont="1" applyFill="1" applyBorder="1" applyAlignment="1">
      <alignment horizontal="center" vertical="center" wrapText="1"/>
    </xf>
    <xf numFmtId="1" fontId="10" fillId="0" borderId="25" xfId="31" applyNumberFormat="1" applyFont="1" applyFill="1" applyBorder="1" applyAlignment="1">
      <alignment horizontal="center" vertical="center" wrapText="1"/>
    </xf>
    <xf numFmtId="1" fontId="10" fillId="0" borderId="7" xfId="31" applyNumberFormat="1" applyFont="1" applyFill="1" applyBorder="1" applyAlignment="1">
      <alignment horizontal="center" vertical="center" wrapText="1"/>
    </xf>
    <xf numFmtId="3" fontId="57" fillId="0" borderId="0" xfId="31" applyNumberFormat="1" applyFont="1" applyAlignment="1">
      <alignment horizontal="center" vertical="center" wrapText="1"/>
    </xf>
    <xf numFmtId="3" fontId="22" fillId="0" borderId="23" xfId="31" applyNumberFormat="1" applyFont="1" applyBorder="1" applyAlignment="1">
      <alignment horizontal="center" vertical="center" wrapText="1"/>
    </xf>
    <xf numFmtId="3" fontId="22" fillId="0" borderId="24" xfId="31" applyNumberFormat="1" applyFont="1" applyBorder="1" applyAlignment="1">
      <alignment horizontal="center" vertical="center" wrapText="1"/>
    </xf>
    <xf numFmtId="3" fontId="22" fillId="0" borderId="6" xfId="31" applyNumberFormat="1" applyFont="1" applyBorder="1" applyAlignment="1">
      <alignment horizontal="center" vertical="center" wrapText="1"/>
    </xf>
    <xf numFmtId="49" fontId="12" fillId="0" borderId="0" xfId="31" applyNumberFormat="1" applyFont="1" applyAlignment="1">
      <alignment horizontal="right" vertical="center"/>
    </xf>
    <xf numFmtId="1" fontId="12" fillId="0" borderId="0" xfId="31" applyNumberFormat="1" applyFont="1" applyAlignment="1">
      <alignment horizontal="center" vertical="center" wrapText="1"/>
    </xf>
    <xf numFmtId="0" fontId="28" fillId="0" borderId="0" xfId="2" applyFont="1" applyAlignment="1">
      <alignment horizontal="center" vertical="center" wrapText="1"/>
    </xf>
    <xf numFmtId="1" fontId="21" fillId="0" borderId="5" xfId="31" applyNumberFormat="1" applyFont="1" applyBorder="1" applyAlignment="1">
      <alignment horizontal="right" vertical="center"/>
    </xf>
    <xf numFmtId="49" fontId="22" fillId="0" borderId="1" xfId="31" applyNumberFormat="1" applyFont="1" applyBorder="1" applyAlignment="1">
      <alignment horizontal="center" vertical="center" wrapText="1"/>
    </xf>
    <xf numFmtId="3" fontId="22" fillId="0" borderId="3" xfId="31" applyNumberFormat="1" applyFont="1" applyBorder="1" applyAlignment="1">
      <alignment horizontal="center" vertical="center" wrapText="1"/>
    </xf>
    <xf numFmtId="3" fontId="22" fillId="0" borderId="25" xfId="31" applyNumberFormat="1" applyFont="1" applyBorder="1" applyAlignment="1">
      <alignment horizontal="center" vertical="center" wrapText="1"/>
    </xf>
    <xf numFmtId="3" fontId="22" fillId="0" borderId="7" xfId="31" applyNumberFormat="1" applyFont="1" applyBorder="1" applyAlignment="1">
      <alignment horizontal="center" vertical="center" wrapText="1"/>
    </xf>
    <xf numFmtId="0" fontId="82" fillId="0" borderId="1" xfId="22" applyFont="1" applyBorder="1" applyAlignment="1">
      <alignment horizontal="center" vertical="center" wrapText="1"/>
    </xf>
    <xf numFmtId="43" fontId="3" fillId="4" borderId="3" xfId="6" applyFont="1" applyFill="1" applyBorder="1" applyAlignment="1">
      <alignment horizontal="center" vertical="center" wrapText="1"/>
    </xf>
    <xf numFmtId="43" fontId="3" fillId="4" borderId="7" xfId="6" applyFont="1" applyFill="1" applyBorder="1" applyAlignment="1">
      <alignment horizontal="center" vertical="center" wrapText="1"/>
    </xf>
    <xf numFmtId="43" fontId="3" fillId="4" borderId="23" xfId="6" applyFont="1" applyFill="1" applyBorder="1" applyAlignment="1">
      <alignment horizontal="center" vertical="center" wrapText="1"/>
    </xf>
    <xf numFmtId="43" fontId="3" fillId="4" borderId="6" xfId="6" applyFont="1" applyFill="1" applyBorder="1" applyAlignment="1">
      <alignment horizontal="center" vertical="center" wrapText="1"/>
    </xf>
    <xf numFmtId="0" fontId="3" fillId="4" borderId="23" xfId="18" applyFont="1" applyFill="1" applyBorder="1" applyAlignment="1">
      <alignment horizontal="center" vertical="center" wrapText="1"/>
    </xf>
    <xf numFmtId="0" fontId="3" fillId="4" borderId="24" xfId="18" applyFont="1" applyFill="1" applyBorder="1" applyAlignment="1">
      <alignment horizontal="center" vertical="center" wrapText="1"/>
    </xf>
    <xf numFmtId="0" fontId="3" fillId="4" borderId="6" xfId="18" applyFont="1" applyFill="1" applyBorder="1" applyAlignment="1">
      <alignment horizontal="center" vertical="center" wrapText="1"/>
    </xf>
    <xf numFmtId="0" fontId="3" fillId="4" borderId="0" xfId="0" applyFont="1" applyFill="1" applyAlignment="1">
      <alignment horizontal="right" vertical="center"/>
    </xf>
    <xf numFmtId="1" fontId="3" fillId="4" borderId="0" xfId="31" applyNumberFormat="1" applyFont="1" applyFill="1" applyAlignment="1">
      <alignment horizontal="center" vertical="center" wrapText="1"/>
    </xf>
    <xf numFmtId="0" fontId="5" fillId="4" borderId="0" xfId="18" applyFont="1" applyFill="1" applyBorder="1" applyAlignment="1">
      <alignment horizontal="center" vertical="center" wrapText="1"/>
    </xf>
    <xf numFmtId="0" fontId="5" fillId="4" borderId="5" xfId="34" applyFont="1" applyFill="1" applyBorder="1" applyAlignment="1">
      <alignment horizontal="center" vertical="center" wrapText="1"/>
    </xf>
    <xf numFmtId="1" fontId="3" fillId="4" borderId="1" xfId="34" applyNumberFormat="1" applyFont="1" applyFill="1" applyBorder="1" applyAlignment="1">
      <alignment horizontal="center" vertical="center" wrapText="1"/>
    </xf>
    <xf numFmtId="0" fontId="3" fillId="4" borderId="1" xfId="18" applyFont="1" applyFill="1" applyBorder="1" applyAlignment="1">
      <alignment horizontal="center" vertical="center" wrapText="1"/>
    </xf>
    <xf numFmtId="0" fontId="3" fillId="4" borderId="3" xfId="18" applyFont="1" applyFill="1" applyBorder="1" applyAlignment="1">
      <alignment horizontal="center" vertical="center" wrapText="1"/>
    </xf>
    <xf numFmtId="0" fontId="3" fillId="4" borderId="7" xfId="18" applyFont="1" applyFill="1" applyBorder="1" applyAlignment="1">
      <alignment horizontal="center" vertical="center" wrapText="1"/>
    </xf>
    <xf numFmtId="0" fontId="3" fillId="4" borderId="1" xfId="34" applyFont="1" applyFill="1" applyBorder="1" applyAlignment="1">
      <alignment horizontal="center" vertical="center" wrapText="1"/>
    </xf>
    <xf numFmtId="0" fontId="3" fillId="4" borderId="18" xfId="18" applyFont="1" applyFill="1" applyBorder="1" applyAlignment="1">
      <alignment horizontal="center" vertical="center" wrapText="1"/>
    </xf>
    <xf numFmtId="0" fontId="3" fillId="4" borderId="19" xfId="18" applyFont="1" applyFill="1" applyBorder="1" applyAlignment="1">
      <alignment horizontal="center" vertical="center" wrapText="1"/>
    </xf>
    <xf numFmtId="0" fontId="3" fillId="4" borderId="2" xfId="18" applyFont="1" applyFill="1" applyBorder="1" applyAlignment="1">
      <alignment horizontal="center" vertical="center" wrapText="1"/>
    </xf>
    <xf numFmtId="0" fontId="3" fillId="4" borderId="20" xfId="18" applyFont="1" applyFill="1" applyBorder="1" applyAlignment="1">
      <alignment horizontal="center" vertical="center" wrapText="1"/>
    </xf>
    <xf numFmtId="3" fontId="3" fillId="4" borderId="1" xfId="31" applyNumberFormat="1" applyFont="1" applyFill="1" applyBorder="1" applyAlignment="1">
      <alignment horizontal="center" vertical="center" wrapText="1"/>
    </xf>
    <xf numFmtId="0" fontId="42" fillId="0" borderId="0" xfId="0" applyFont="1" applyAlignment="1">
      <alignment horizontal="right"/>
    </xf>
    <xf numFmtId="0" fontId="3" fillId="0" borderId="0" xfId="0" applyFont="1" applyAlignment="1">
      <alignment horizontal="center"/>
    </xf>
    <xf numFmtId="0" fontId="22" fillId="0" borderId="0" xfId="32" applyNumberFormat="1" applyFont="1" applyFill="1" applyBorder="1" applyAlignment="1">
      <alignment horizontal="center" vertical="center" wrapText="1"/>
    </xf>
    <xf numFmtId="0" fontId="21" fillId="0" borderId="0" xfId="25" applyNumberFormat="1" applyFont="1" applyFill="1" applyBorder="1" applyAlignment="1">
      <alignment horizontal="center" vertical="center" wrapText="1"/>
    </xf>
    <xf numFmtId="0" fontId="12" fillId="0" borderId="3" xfId="32" applyNumberFormat="1" applyFont="1" applyFill="1" applyBorder="1" applyAlignment="1">
      <alignment horizontal="center" vertical="center" wrapText="1"/>
    </xf>
    <xf numFmtId="0" fontId="12" fillId="0" borderId="25" xfId="32" applyNumberFormat="1" applyFont="1" applyFill="1" applyBorder="1" applyAlignment="1">
      <alignment horizontal="center" vertical="center" wrapText="1"/>
    </xf>
    <xf numFmtId="0" fontId="10" fillId="0" borderId="0" xfId="32" applyFont="1" applyFill="1" applyBorder="1" applyAlignment="1">
      <alignment horizontal="left" vertical="center" wrapText="1"/>
    </xf>
    <xf numFmtId="0" fontId="21" fillId="0" borderId="5" xfId="25" applyNumberFormat="1" applyFont="1" applyFill="1" applyBorder="1" applyAlignment="1">
      <alignment horizontal="right" vertical="center" wrapText="1"/>
    </xf>
    <xf numFmtId="0" fontId="22" fillId="0" borderId="0" xfId="30" applyFont="1" applyAlignment="1">
      <alignment horizontal="right"/>
    </xf>
    <xf numFmtId="0" fontId="46" fillId="0" borderId="0" xfId="0" applyFont="1" applyAlignment="1">
      <alignment horizontal="center"/>
    </xf>
    <xf numFmtId="0" fontId="47" fillId="0" borderId="0" xfId="0" applyFont="1" applyAlignment="1">
      <alignment horizontal="center"/>
    </xf>
    <xf numFmtId="0" fontId="47" fillId="0" borderId="5" xfId="0" applyFont="1" applyBorder="1" applyAlignment="1">
      <alignment horizontal="right"/>
    </xf>
    <xf numFmtId="0" fontId="48" fillId="0" borderId="1" xfId="0" applyFont="1" applyBorder="1" applyAlignment="1">
      <alignment horizontal="center" vertical="center" wrapText="1"/>
    </xf>
  </cellXfs>
  <cellStyles count="51">
    <cellStyle name="_x000d__x000a_JournalTemplate=C:\COMFO\CTALK\JOURSTD.TPL_x000d__x000a_LbStateAddress=3 3 0 251 1 89 2 311_x000d__x000a_LbStateJou" xfId="1"/>
    <cellStyle name="Bình thường 2" xfId="2"/>
    <cellStyle name="Chuẩn 4" xfId="3"/>
    <cellStyle name="Comma" xfId="4" builtinId="3"/>
    <cellStyle name="Comma 10 10" xfId="5"/>
    <cellStyle name="Comma 10 10 10" xfId="6"/>
    <cellStyle name="Comma 10 2" xfId="7"/>
    <cellStyle name="Comma 10 3 2" xfId="8"/>
    <cellStyle name="Comma 12" xfId="39"/>
    <cellStyle name="Comma 2" xfId="9"/>
    <cellStyle name="Comma 28" xfId="10"/>
    <cellStyle name="Comma 4" xfId="11"/>
    <cellStyle name="Comma 4 18" xfId="12"/>
    <cellStyle name="Comma 5" xfId="13"/>
    <cellStyle name="Comma 59" xfId="14"/>
    <cellStyle name="Comma 6" xfId="45"/>
    <cellStyle name="Comma 65" xfId="15"/>
    <cellStyle name="Comma_Bieu 17-quan" xfId="49"/>
    <cellStyle name="Dấu phẩy [0] 2" xfId="16"/>
    <cellStyle name="Dấu phẩy 2" xfId="17"/>
    <cellStyle name="Kiểu 1" xfId="18"/>
    <cellStyle name="Normal" xfId="0" builtinId="0"/>
    <cellStyle name="Normal 11_Bieu theo ND 31-Quan toi 15-12" xfId="48"/>
    <cellStyle name="Normal 19" xfId="19"/>
    <cellStyle name="Normal 19 2" xfId="20"/>
    <cellStyle name="Normal 19 4" xfId="21"/>
    <cellStyle name="Normal 2" xfId="22"/>
    <cellStyle name="Normal 2 22" xfId="44"/>
    <cellStyle name="Normal 2 5" xfId="40"/>
    <cellStyle name="Normal 22" xfId="23"/>
    <cellStyle name="Normal 3" xfId="24"/>
    <cellStyle name="Normal 3 2" xfId="41"/>
    <cellStyle name="Normal 4" xfId="46"/>
    <cellStyle name="Normal 7 2" xfId="25"/>
    <cellStyle name="Normal 82" xfId="26"/>
    <cellStyle name="Normal 86" xfId="27"/>
    <cellStyle name="Normal 97" xfId="28"/>
    <cellStyle name="Normal_080626 BPTDPC ND 61 nam 2004-2007,Lg ND 166 nam 2008" xfId="29"/>
    <cellStyle name="Normal_8vung1" xfId="30"/>
    <cellStyle name="Normal_Bieu 17 moi-QUAN9999" xfId="47"/>
    <cellStyle name="Normal_Bieu 17-quan" xfId="50"/>
    <cellStyle name="Normal_Bieu mau (CV )" xfId="31"/>
    <cellStyle name="Normal_Bieu so 2(DPsua)" xfId="32"/>
    <cellStyle name="Normal_bsungcanam208_xakcdoan" xfId="43"/>
    <cellStyle name="Normal_NHU CAU LUONG 2015" xfId="42"/>
    <cellStyle name="Normal_Sheet1" xfId="33"/>
    <cellStyle name="Normal_Sheet2" xfId="34"/>
    <cellStyle name="Percent" xfId="35" builtinId="5"/>
    <cellStyle name="Style 1" xfId="36"/>
    <cellStyle name="Style 1 2" xfId="37"/>
    <cellStyle name="Style 1 2 2"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I%20CHINH%20NAM%202018/TAI%20LIEU%20QUYET%20TOAN%20NGAN%20S&#7840;CH%202017/XAY%20DUNG%202019/BAO%20CAO%206%20THANG.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wnloads/THU%20-%20CHI%202020%20X&#1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wnloads/D&#7920;%20TH&#7842;O%20D&#7920;%20TO&#193;N%20THU%20CHI%2020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ownloads/BIEU%20THU%20CHI%20NAM%202019%20NGAY%2004.12.xl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ownloads/PH&#7908;%20BI&#7874;U%20B&#193;O%20C&#193;O%20D&#7920;%20TO&#193;N%20N&#258;M%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T6"/>
      <sheetName val="CHI "/>
      <sheetName val="Giao thu các don vi"/>
    </sheetNames>
    <sheetDataSet>
      <sheetData sheetId="0">
        <row r="6">
          <cell r="G6">
            <v>508870800712</v>
          </cell>
        </row>
        <row r="7">
          <cell r="G7">
            <v>508050800712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UOC CA NAM THU"/>
      <sheetName val="UOC CHI CA NAM"/>
      <sheetName val="BIEU THU"/>
      <sheetName val="Biểu chi"/>
      <sheetName val="UOC THU SÔ 01"/>
      <sheetName val="ƯỚC CHI SỐ 02"/>
      <sheetName val="08"/>
      <sheetName val="11"/>
      <sheetName val="12"/>
      <sheetName val="13"/>
      <sheetName val="14"/>
      <sheetName val="15"/>
      <sheetName val="28"/>
      <sheetName val="ƯỚC THU SỐ 03"/>
      <sheetName val="ƯỚC CHI SỐ 04"/>
      <sheetName val="29.1"/>
      <sheetName val="29.2"/>
      <sheetName val="32"/>
      <sheetName val="33"/>
      <sheetName val="35"/>
      <sheetName val="MB 8"/>
      <sheetName val="MB 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5">
          <cell r="H15">
            <v>9093231821.9950008</v>
          </cell>
        </row>
        <row r="16">
          <cell r="H16">
            <v>9463139370</v>
          </cell>
        </row>
        <row r="17">
          <cell r="H17">
            <v>14333952104</v>
          </cell>
        </row>
        <row r="18">
          <cell r="H18">
            <v>12053127745</v>
          </cell>
        </row>
        <row r="19">
          <cell r="H19">
            <v>10727846877</v>
          </cell>
        </row>
        <row r="20">
          <cell r="H20">
            <v>11730588483</v>
          </cell>
        </row>
        <row r="21">
          <cell r="H21">
            <v>12384286039</v>
          </cell>
        </row>
        <row r="22">
          <cell r="H22">
            <v>8433304795</v>
          </cell>
        </row>
        <row r="23">
          <cell r="H23">
            <v>10243752612</v>
          </cell>
        </row>
        <row r="24">
          <cell r="H24">
            <v>8357844272</v>
          </cell>
        </row>
        <row r="26">
          <cell r="H26">
            <v>19068522207</v>
          </cell>
        </row>
      </sheetData>
      <sheetData sheetId="15">
        <row r="14">
          <cell r="E14">
            <v>234000000</v>
          </cell>
        </row>
        <row r="15">
          <cell r="E15">
            <v>2819077678</v>
          </cell>
        </row>
        <row r="16">
          <cell r="E16">
            <v>8086000000</v>
          </cell>
        </row>
        <row r="17">
          <cell r="E17">
            <v>4885000000</v>
          </cell>
        </row>
        <row r="18">
          <cell r="E18">
            <v>5708399334</v>
          </cell>
        </row>
        <row r="19">
          <cell r="E19">
            <v>7169234152</v>
          </cell>
        </row>
        <row r="20">
          <cell r="E20">
            <v>6731000000</v>
          </cell>
        </row>
        <row r="21">
          <cell r="E21">
            <v>3645000000</v>
          </cell>
        </row>
        <row r="22">
          <cell r="E22">
            <v>4794000000</v>
          </cell>
        </row>
        <row r="23">
          <cell r="E23">
            <v>3636904972</v>
          </cell>
        </row>
        <row r="25">
          <cell r="E25">
            <v>13536000000</v>
          </cell>
        </row>
      </sheetData>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THU NS 2021"/>
      <sheetName val="GIAO THU 2021 ĐV"/>
      <sheetName val="BIỂU THUYẾT MINH 2021 H+X"/>
      <sheetName val="THUYẾT MINH XÃ 2021"/>
      <sheetName val="NS XA"/>
      <sheetName val="BIEU CHI CAC ĐV"/>
      <sheetName val="Cân đối xã"/>
      <sheetName val="PB 15"/>
      <sheetName val="Sheet5"/>
      <sheetName val="Sheet4"/>
      <sheetName val="Sheet3"/>
      <sheetName val="Sheet2"/>
      <sheetName val="Sheet1"/>
      <sheetName val="THU CHI XA"/>
      <sheetName val="CHI TIET HUYEN"/>
    </sheetNames>
    <sheetDataSet>
      <sheetData sheetId="0">
        <row r="9">
          <cell r="D9">
            <v>11980000000</v>
          </cell>
        </row>
        <row r="10">
          <cell r="D10">
            <v>620000000</v>
          </cell>
        </row>
        <row r="14">
          <cell r="D14">
            <v>6250000000</v>
          </cell>
        </row>
        <row r="15">
          <cell r="D15">
            <v>200000000</v>
          </cell>
        </row>
        <row r="16">
          <cell r="D16">
            <v>2680000000</v>
          </cell>
        </row>
        <row r="17">
          <cell r="D17">
            <v>1360000000</v>
          </cell>
        </row>
        <row r="20">
          <cell r="D20">
            <v>1050000000</v>
          </cell>
        </row>
        <row r="23">
          <cell r="D23">
            <v>500000000</v>
          </cell>
        </row>
        <row r="24">
          <cell r="D24">
            <v>450000000</v>
          </cell>
        </row>
        <row r="25">
          <cell r="D25">
            <v>50000000</v>
          </cell>
        </row>
        <row r="26">
          <cell r="D26">
            <v>700000000</v>
          </cell>
        </row>
        <row r="29">
          <cell r="D29">
            <v>50000000</v>
          </cell>
        </row>
        <row r="31">
          <cell r="D31">
            <v>550000000</v>
          </cell>
        </row>
        <row r="32">
          <cell r="D32">
            <v>260000000</v>
          </cell>
        </row>
        <row r="35">
          <cell r="D35">
            <v>375695000000</v>
          </cell>
        </row>
        <row r="36">
          <cell r="D36">
            <v>40966000000</v>
          </cell>
        </row>
        <row r="38">
          <cell r="D38">
            <v>19000000</v>
          </cell>
        </row>
      </sheetData>
      <sheetData sheetId="1"/>
      <sheetData sheetId="2">
        <row r="7">
          <cell r="C7">
            <v>429280000000</v>
          </cell>
        </row>
        <row r="9">
          <cell r="C9">
            <v>16698000000</v>
          </cell>
        </row>
        <row r="10">
          <cell r="D10">
            <v>16653000000</v>
          </cell>
        </row>
        <row r="11">
          <cell r="D11">
            <v>45000000</v>
          </cell>
        </row>
        <row r="12">
          <cell r="C12">
            <v>412563000000</v>
          </cell>
        </row>
        <row r="13">
          <cell r="C13">
            <v>19330800000</v>
          </cell>
        </row>
        <row r="49">
          <cell r="D49">
            <v>243512000000</v>
          </cell>
        </row>
        <row r="70">
          <cell r="D70">
            <v>4324200000</v>
          </cell>
        </row>
        <row r="87">
          <cell r="C87">
            <v>4537000000</v>
          </cell>
        </row>
        <row r="96">
          <cell r="C96">
            <v>2000000000</v>
          </cell>
        </row>
        <row r="97">
          <cell r="C97">
            <v>676400000</v>
          </cell>
        </row>
        <row r="101">
          <cell r="C101">
            <v>9587000000</v>
          </cell>
        </row>
        <row r="105">
          <cell r="C105">
            <v>90088700000</v>
          </cell>
        </row>
        <row r="160">
          <cell r="D160">
            <v>250000000</v>
          </cell>
        </row>
        <row r="251">
          <cell r="C251">
            <v>1651000000</v>
          </cell>
        </row>
        <row r="252">
          <cell r="C252">
            <v>6875500000</v>
          </cell>
        </row>
        <row r="253">
          <cell r="C253">
            <v>0</v>
          </cell>
        </row>
        <row r="277">
          <cell r="C277">
            <v>300000000</v>
          </cell>
        </row>
        <row r="279">
          <cell r="C279">
            <v>35000000</v>
          </cell>
        </row>
        <row r="281">
          <cell r="C281">
            <v>7488000000</v>
          </cell>
        </row>
        <row r="282">
          <cell r="C282">
            <v>21197400000</v>
          </cell>
        </row>
        <row r="283">
          <cell r="D283">
            <v>600000000</v>
          </cell>
        </row>
        <row r="284">
          <cell r="D284">
            <v>0</v>
          </cell>
        </row>
        <row r="318">
          <cell r="D318">
            <v>19000000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UOC CA NAM THU"/>
      <sheetName val="UOC CHI CA NAM"/>
      <sheetName val="BIEU THU"/>
      <sheetName val="Biểu chi"/>
      <sheetName val="Sheet1"/>
      <sheetName val="UOC THU"/>
      <sheetName val="ƯỚC CHI"/>
      <sheetName val="Thu xa"/>
      <sheetName val="Chi xa"/>
      <sheetName val="GIAO THU"/>
      <sheetName val="BIEU 12"/>
      <sheetName val="Bieu 13"/>
      <sheetName val="SƯA THU 2020"/>
      <sheetName val="THU 2020"/>
      <sheetName val="SƯA CHI"/>
      <sheetName val="chi 2020"/>
      <sheetName val="THU-CHI XA"/>
      <sheetName val="BIEU 14"/>
      <sheetName val="Bieu 19"/>
      <sheetName val="Bieu 20"/>
      <sheetName val="BIEU 21"/>
      <sheetName val="BIEU 22"/>
      <sheetName val="Bieu 23"/>
      <sheetName val="BIEU 24"/>
      <sheetName val="BIEU 26"/>
      <sheetName val="Bieu 14.1"/>
      <sheetName val="Bieu 14.2"/>
      <sheetName val="28"/>
      <sheetName val="29.1"/>
      <sheetName val="29.2"/>
      <sheetName val="32"/>
      <sheetName val="33"/>
      <sheetName val="35"/>
      <sheetName val="MB 8"/>
      <sheetName val="MB 10"/>
    </sheetNames>
    <sheetDataSet>
      <sheetData sheetId="0" refreshError="1"/>
      <sheetData sheetId="1" refreshError="1"/>
      <sheetData sheetId="2" refreshError="1"/>
      <sheetData sheetId="3" refreshError="1"/>
      <sheetData sheetId="4" refreshError="1"/>
      <sheetData sheetId="5" refreshError="1"/>
      <sheetData sheetId="6" refreshError="1">
        <row r="47">
          <cell r="G47">
            <v>16120</v>
          </cell>
        </row>
        <row r="48">
          <cell r="G48">
            <v>14680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Ự TOÁN THU"/>
      <sheetName val="BIEU THU"/>
      <sheetName val="CHI HUYEN"/>
      <sheetName val="CHI XA"/>
      <sheetName val="12"/>
      <sheetName val="13"/>
      <sheetName val="14"/>
      <sheetName val="14.1"/>
      <sheetName val="14.2"/>
      <sheetName val="14.3"/>
      <sheetName val="14.4"/>
      <sheetName val="14.5"/>
      <sheetName val="14.6"/>
      <sheetName val=" DỰ TOÁN THU 2020"/>
      <sheetName val="GIAO THU ĐV"/>
      <sheetName val="THUYET MINH THU- CHI XA (2)"/>
      <sheetName val="DN (2)"/>
      <sheetName val="DOANH NGHIEP 3"/>
      <sheetName val="DN"/>
      <sheetName val="SƯA NGAY 10-12-2019"/>
      <sheetName val="THUYET MINH CHI"/>
      <sheetName val="VSN"/>
      <sheetName val="VĐT"/>
      <sheetName val="THUYET MINH THU- CHI XA"/>
      <sheetName val="15"/>
      <sheetName val="16"/>
      <sheetName val="17"/>
      <sheetName val="CHI THEO DOI"/>
      <sheetName val="19"/>
      <sheetName val="20"/>
      <sheetName val="21"/>
      <sheetName val="22"/>
      <sheetName val="23"/>
      <sheetName val="24"/>
      <sheetName val="26"/>
      <sheetName val="30"/>
      <sheetName val="31"/>
      <sheetName val="32"/>
      <sheetName val="33"/>
      <sheetName val="34"/>
      <sheetName val="35"/>
      <sheetName val="36 "/>
      <sheetName val="37"/>
      <sheetName val="38"/>
      <sheetName val="39"/>
      <sheetName val="40"/>
      <sheetName val="42"/>
      <sheetName val="41"/>
      <sheetName val="43"/>
      <sheetName val="4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D8">
            <v>15500</v>
          </cell>
        </row>
      </sheetData>
      <sheetData sheetId="14"/>
      <sheetData sheetId="15"/>
      <sheetData sheetId="16"/>
      <sheetData sheetId="17"/>
      <sheetData sheetId="18"/>
      <sheetData sheetId="19"/>
      <sheetData sheetId="20">
        <row r="9">
          <cell r="C9">
            <v>1800</v>
          </cell>
        </row>
      </sheetData>
      <sheetData sheetId="21"/>
      <sheetData sheetId="22"/>
      <sheetData sheetId="23"/>
      <sheetData sheetId="24">
        <row r="17">
          <cell r="D17">
            <v>665058.46110500011</v>
          </cell>
          <cell r="E17">
            <v>559355</v>
          </cell>
        </row>
        <row r="23">
          <cell r="D23">
            <v>121568.838621</v>
          </cell>
        </row>
        <row r="25">
          <cell r="D25">
            <v>78869</v>
          </cell>
        </row>
        <row r="32">
          <cell r="D32">
            <v>14652</v>
          </cell>
        </row>
        <row r="42">
          <cell r="D42">
            <v>24411</v>
          </cell>
        </row>
        <row r="51">
          <cell r="D51">
            <v>18288.838620999999</v>
          </cell>
        </row>
      </sheetData>
      <sheetData sheetId="25">
        <row r="3">
          <cell r="A3" t="str">
            <v xml:space="preserve"> (kèm theo Báo cáo số:           /BC-UBND ngày        /12/2020 của UBND huyện Tủa Chùa) </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topLeftCell="A2" workbookViewId="0">
      <selection activeCell="B34" sqref="B34"/>
    </sheetView>
  </sheetViews>
  <sheetFormatPr defaultRowHeight="15.75"/>
  <cols>
    <col min="1" max="1" width="4.140625" style="92" customWidth="1"/>
    <col min="2" max="2" width="79.85546875" style="12" customWidth="1"/>
    <col min="3" max="3" width="22.28515625" style="12" customWidth="1"/>
    <col min="4" max="5" width="22.7109375" style="93" customWidth="1"/>
    <col min="6" max="6" width="9.140625" style="13"/>
    <col min="7" max="7" width="18.42578125" style="13" bestFit="1" customWidth="1"/>
    <col min="8" max="16384" width="9.140625" style="13"/>
  </cols>
  <sheetData>
    <row r="1" spans="1:7" ht="18.75" hidden="1">
      <c r="A1" s="1141" t="s">
        <v>356</v>
      </c>
      <c r="B1" s="1141"/>
      <c r="C1" s="1141"/>
      <c r="D1" s="1141"/>
      <c r="E1" s="1141"/>
    </row>
    <row r="2" spans="1:7" ht="44.25" customHeight="1">
      <c r="A2" s="1142" t="s">
        <v>425</v>
      </c>
      <c r="B2" s="1142"/>
      <c r="C2" s="1142"/>
      <c r="D2" s="1142"/>
      <c r="E2" s="1142"/>
    </row>
    <row r="3" spans="1:7" ht="29.25" hidden="1" customHeight="1">
      <c r="A3" s="1143" t="s">
        <v>734</v>
      </c>
      <c r="B3" s="1143"/>
      <c r="C3" s="1143"/>
      <c r="D3" s="1143"/>
      <c r="E3" s="1143"/>
    </row>
    <row r="4" spans="1:7" ht="29.25" customHeight="1">
      <c r="A4" s="1144" t="s">
        <v>797</v>
      </c>
      <c r="B4" s="1144"/>
      <c r="C4" s="1144"/>
      <c r="D4" s="1144"/>
      <c r="E4" s="1144"/>
    </row>
    <row r="5" spans="1:7" s="69" customFormat="1" ht="147" customHeight="1">
      <c r="A5" s="66" t="s">
        <v>246</v>
      </c>
      <c r="B5" s="67" t="s">
        <v>357</v>
      </c>
      <c r="C5" s="68" t="s">
        <v>424</v>
      </c>
      <c r="D5" s="68" t="s">
        <v>46</v>
      </c>
      <c r="E5" s="68" t="s">
        <v>47</v>
      </c>
      <c r="G5" s="70">
        <f>E6-'Biểu chi'!E7</f>
        <v>-4200000000</v>
      </c>
    </row>
    <row r="6" spans="1:7" s="69" customFormat="1" ht="32.25" customHeight="1">
      <c r="A6" s="66"/>
      <c r="B6" s="71" t="s">
        <v>358</v>
      </c>
      <c r="C6" s="94">
        <f>C7+C12+C13</f>
        <v>458803000000</v>
      </c>
      <c r="D6" s="94">
        <f>D7+D12+D13</f>
        <v>532018072539</v>
      </c>
      <c r="E6" s="94">
        <f>E7+E12+E13</f>
        <v>615393700000</v>
      </c>
    </row>
    <row r="7" spans="1:7" s="74" customFormat="1" ht="35.1" customHeight="1">
      <c r="A7" s="72"/>
      <c r="B7" s="73" t="s">
        <v>464</v>
      </c>
      <c r="C7" s="72">
        <f>C9+C43</f>
        <v>458153000000</v>
      </c>
      <c r="D7" s="72">
        <f>+D9+D43+D49+D52</f>
        <v>531248072539</v>
      </c>
      <c r="E7" s="72">
        <f>+E9+E43+E49+E52</f>
        <v>614743700000</v>
      </c>
      <c r="G7" s="136">
        <f>E7-'Biểu chi'!E7</f>
        <v>-4850000000</v>
      </c>
    </row>
    <row r="8" spans="1:7" s="27" customFormat="1" ht="35.1" customHeight="1">
      <c r="A8" s="75" t="s">
        <v>218</v>
      </c>
      <c r="B8" s="73" t="s">
        <v>359</v>
      </c>
      <c r="C8" s="75">
        <f>C9+C12+C13</f>
        <v>14140000000</v>
      </c>
      <c r="D8" s="75">
        <f>D10+D11+D12+D13</f>
        <v>15100000000</v>
      </c>
      <c r="E8" s="75">
        <f>E10+E11+E12+E13</f>
        <v>14950000000</v>
      </c>
    </row>
    <row r="9" spans="1:7" s="117" customFormat="1" ht="35.1" customHeight="1">
      <c r="A9" s="118"/>
      <c r="B9" s="119" t="s">
        <v>360</v>
      </c>
      <c r="C9" s="116">
        <f>C10+C11</f>
        <v>13490000000</v>
      </c>
      <c r="D9" s="116">
        <f>D10+D11</f>
        <v>14330000000</v>
      </c>
      <c r="E9" s="116">
        <f>E10+E11</f>
        <v>14300000000</v>
      </c>
    </row>
    <row r="10" spans="1:7" s="27" customFormat="1" ht="35.1" customHeight="1">
      <c r="A10" s="78"/>
      <c r="B10" s="79" t="s">
        <v>361</v>
      </c>
      <c r="C10" s="77">
        <f>C14+C19+C22+C27+C30+C33+C37+C41</f>
        <v>12740000000</v>
      </c>
      <c r="D10" s="77">
        <f>D14+D19+D22+D27+D30+D33+D37+D41</f>
        <v>13360000000</v>
      </c>
      <c r="E10" s="77">
        <f>E14+E19+E22+E27+E30+E33+E37+E41</f>
        <v>13440000000</v>
      </c>
    </row>
    <row r="11" spans="1:7" s="27" customFormat="1" ht="35.1" customHeight="1">
      <c r="A11" s="78"/>
      <c r="B11" s="79" t="s">
        <v>362</v>
      </c>
      <c r="C11" s="77">
        <f>C20+C23+C31+C28+C38+C42</f>
        <v>750000000</v>
      </c>
      <c r="D11" s="77">
        <f>D20+D23+D31+D28+D38+D42</f>
        <v>970000000</v>
      </c>
      <c r="E11" s="77">
        <f>E20+E23+E31+E28+E38+E42</f>
        <v>860000000</v>
      </c>
    </row>
    <row r="12" spans="1:7" s="117" customFormat="1" ht="35.1" customHeight="1">
      <c r="A12" s="114"/>
      <c r="B12" s="115" t="s">
        <v>363</v>
      </c>
      <c r="C12" s="116">
        <f>C26+C36</f>
        <v>500000000</v>
      </c>
      <c r="D12" s="116">
        <f>D26+D36</f>
        <v>600000000</v>
      </c>
      <c r="E12" s="116">
        <f>E26+E36</f>
        <v>500000000</v>
      </c>
    </row>
    <row r="13" spans="1:7" s="117" customFormat="1" ht="35.1" customHeight="1">
      <c r="A13" s="114"/>
      <c r="B13" s="115" t="s">
        <v>364</v>
      </c>
      <c r="C13" s="116">
        <f>C32+C35+C40</f>
        <v>150000000</v>
      </c>
      <c r="D13" s="116">
        <f>D32+D35+D40</f>
        <v>170000000</v>
      </c>
      <c r="E13" s="116">
        <f>E32+E35+E40</f>
        <v>150000000</v>
      </c>
    </row>
    <row r="14" spans="1:7" s="27" customFormat="1" ht="35.1" customHeight="1">
      <c r="A14" s="72">
        <v>1</v>
      </c>
      <c r="B14" s="81" t="s">
        <v>365</v>
      </c>
      <c r="C14" s="72">
        <f>C15+C16+C17</f>
        <v>9650000000</v>
      </c>
      <c r="D14" s="72">
        <f>D15+D16+D17</f>
        <v>9650000000</v>
      </c>
      <c r="E14" s="72">
        <f>E15+E16+E17</f>
        <v>10500000000</v>
      </c>
    </row>
    <row r="15" spans="1:7" s="27" customFormat="1" ht="35.1" customHeight="1">
      <c r="A15" s="80"/>
      <c r="B15" s="79" t="s">
        <v>366</v>
      </c>
      <c r="C15" s="77">
        <v>6500000000</v>
      </c>
      <c r="D15" s="77">
        <v>6500000000</v>
      </c>
      <c r="E15" s="77">
        <v>7600000000</v>
      </c>
    </row>
    <row r="16" spans="1:7" s="27" customFormat="1" ht="35.1" customHeight="1">
      <c r="A16" s="80"/>
      <c r="B16" s="79" t="s">
        <v>367</v>
      </c>
      <c r="C16" s="77">
        <v>310000000</v>
      </c>
      <c r="D16" s="77">
        <v>310000000</v>
      </c>
      <c r="E16" s="77">
        <v>300000000</v>
      </c>
    </row>
    <row r="17" spans="1:7" s="27" customFormat="1" ht="35.1" customHeight="1">
      <c r="A17" s="80"/>
      <c r="B17" s="79" t="s">
        <v>368</v>
      </c>
      <c r="C17" s="77">
        <v>2840000000</v>
      </c>
      <c r="D17" s="77">
        <v>2840000000</v>
      </c>
      <c r="E17" s="77">
        <v>2600000000</v>
      </c>
    </row>
    <row r="18" spans="1:7" s="27" customFormat="1" ht="35.1" customHeight="1">
      <c r="A18" s="72">
        <v>2</v>
      </c>
      <c r="B18" s="81" t="s">
        <v>369</v>
      </c>
      <c r="C18" s="82">
        <f>C19+C20</f>
        <v>1590000000</v>
      </c>
      <c r="D18" s="82">
        <f>SUM(D19:D20)</f>
        <v>1590000000</v>
      </c>
      <c r="E18" s="82">
        <f>SUM(E19:E20)</f>
        <v>1800000000</v>
      </c>
    </row>
    <row r="19" spans="1:7" s="27" customFormat="1" ht="35.1" customHeight="1">
      <c r="A19" s="80"/>
      <c r="B19" s="79" t="s">
        <v>370</v>
      </c>
      <c r="C19" s="77">
        <v>1290000000</v>
      </c>
      <c r="D19" s="77">
        <v>1290000000</v>
      </c>
      <c r="E19" s="77">
        <v>1440000000</v>
      </c>
    </row>
    <row r="20" spans="1:7" s="27" customFormat="1" ht="35.1" customHeight="1">
      <c r="A20" s="80"/>
      <c r="B20" s="79" t="s">
        <v>371</v>
      </c>
      <c r="C20" s="77">
        <v>300000000</v>
      </c>
      <c r="D20" s="77">
        <v>300000000</v>
      </c>
      <c r="E20" s="77">
        <v>360000000</v>
      </c>
    </row>
    <row r="21" spans="1:7" s="27" customFormat="1" ht="35.1" customHeight="1">
      <c r="A21" s="72">
        <v>3</v>
      </c>
      <c r="B21" s="81" t="s">
        <v>372</v>
      </c>
      <c r="C21" s="72">
        <f>C22+C23</f>
        <v>1000000000</v>
      </c>
      <c r="D21" s="72">
        <f>SUM(D22:D24)</f>
        <v>1000000000</v>
      </c>
      <c r="E21" s="72">
        <f>SUM(E22:E24)</f>
        <v>800000000</v>
      </c>
      <c r="G21" s="27">
        <f>800000000*20%</f>
        <v>160000000</v>
      </c>
    </row>
    <row r="22" spans="1:7" s="27" customFormat="1" ht="35.1" customHeight="1">
      <c r="A22" s="80"/>
      <c r="B22" s="79" t="s">
        <v>373</v>
      </c>
      <c r="C22" s="77">
        <v>850000000</v>
      </c>
      <c r="D22" s="77">
        <v>850000000</v>
      </c>
      <c r="E22" s="77">
        <v>640000000</v>
      </c>
    </row>
    <row r="23" spans="1:7" s="27" customFormat="1" ht="35.1" customHeight="1">
      <c r="A23" s="80"/>
      <c r="B23" s="79" t="s">
        <v>374</v>
      </c>
      <c r="C23" s="80">
        <v>150000000</v>
      </c>
      <c r="D23" s="77">
        <v>150000000</v>
      </c>
      <c r="E23" s="77">
        <v>160000000</v>
      </c>
    </row>
    <row r="24" spans="1:7" s="27" customFormat="1" ht="35.1" hidden="1" customHeight="1">
      <c r="A24" s="80"/>
      <c r="B24" s="79" t="s">
        <v>363</v>
      </c>
      <c r="C24" s="80"/>
      <c r="D24" s="80"/>
      <c r="E24" s="80"/>
    </row>
    <row r="25" spans="1:7" s="84" customFormat="1" ht="35.1" customHeight="1">
      <c r="A25" s="72">
        <v>4</v>
      </c>
      <c r="B25" s="81" t="s">
        <v>375</v>
      </c>
      <c r="C25" s="82">
        <f>C26+C27+C28</f>
        <v>1000000000</v>
      </c>
      <c r="D25" s="82">
        <f>D26+D27+D28</f>
        <v>1030000000</v>
      </c>
      <c r="E25" s="82">
        <f>E26+E27+E28</f>
        <v>1000000000</v>
      </c>
    </row>
    <row r="26" spans="1:7" s="27" customFormat="1" ht="35.1" customHeight="1">
      <c r="A26" s="80"/>
      <c r="B26" s="79" t="s">
        <v>44</v>
      </c>
      <c r="C26" s="77">
        <v>500000000</v>
      </c>
      <c r="D26" s="77">
        <v>500000000</v>
      </c>
      <c r="E26" s="77">
        <v>500000000</v>
      </c>
    </row>
    <row r="27" spans="1:7" s="27" customFormat="1" ht="35.1" customHeight="1">
      <c r="A27" s="80"/>
      <c r="B27" s="79" t="s">
        <v>45</v>
      </c>
      <c r="C27" s="77">
        <v>500000000</v>
      </c>
      <c r="D27" s="77">
        <v>500000000</v>
      </c>
      <c r="E27" s="77">
        <v>500000000</v>
      </c>
    </row>
    <row r="28" spans="1:7" s="27" customFormat="1" ht="35.1" customHeight="1">
      <c r="A28" s="80"/>
      <c r="B28" s="79" t="s">
        <v>394</v>
      </c>
      <c r="C28" s="80"/>
      <c r="D28" s="77">
        <v>30000000</v>
      </c>
      <c r="E28" s="77"/>
    </row>
    <row r="29" spans="1:7" s="84" customFormat="1" ht="35.1" customHeight="1">
      <c r="A29" s="72">
        <v>5</v>
      </c>
      <c r="B29" s="81" t="s">
        <v>376</v>
      </c>
      <c r="C29" s="82">
        <f>C30+C31+C32</f>
        <v>420000000</v>
      </c>
      <c r="D29" s="82">
        <f>D30+D31+D32</f>
        <v>470000000</v>
      </c>
      <c r="E29" s="82">
        <f>E30+E31+E32</f>
        <v>500000000</v>
      </c>
    </row>
    <row r="30" spans="1:7" s="27" customFormat="1" ht="35.1" customHeight="1">
      <c r="A30" s="80"/>
      <c r="B30" s="79" t="s">
        <v>382</v>
      </c>
      <c r="C30" s="77">
        <v>120000000</v>
      </c>
      <c r="D30" s="77">
        <v>150000000</v>
      </c>
      <c r="E30" s="77">
        <v>160000000</v>
      </c>
    </row>
    <row r="31" spans="1:7" s="27" customFormat="1" ht="35.1" customHeight="1">
      <c r="A31" s="80"/>
      <c r="B31" s="79" t="s">
        <v>374</v>
      </c>
      <c r="C31" s="77">
        <v>300000000</v>
      </c>
      <c r="D31" s="77">
        <v>300000000</v>
      </c>
      <c r="E31" s="77">
        <v>340000000</v>
      </c>
    </row>
    <row r="32" spans="1:7" s="27" customFormat="1" ht="35.1" customHeight="1">
      <c r="A32" s="80"/>
      <c r="B32" s="79" t="s">
        <v>377</v>
      </c>
      <c r="C32" s="78"/>
      <c r="D32" s="77">
        <v>20000000</v>
      </c>
      <c r="E32" s="77"/>
    </row>
    <row r="33" spans="1:5" s="84" customFormat="1" ht="35.1" customHeight="1">
      <c r="A33" s="72">
        <v>6</v>
      </c>
      <c r="B33" s="81" t="s">
        <v>378</v>
      </c>
      <c r="C33" s="82">
        <v>30000000</v>
      </c>
      <c r="D33" s="82">
        <v>70000000</v>
      </c>
      <c r="E33" s="82"/>
    </row>
    <row r="34" spans="1:5" s="27" customFormat="1" ht="35.1" customHeight="1">
      <c r="A34" s="72">
        <v>7</v>
      </c>
      <c r="B34" s="81" t="s">
        <v>379</v>
      </c>
      <c r="C34" s="82">
        <f>C35+C36+C37+C38</f>
        <v>450000000</v>
      </c>
      <c r="D34" s="82">
        <f>SUM(D35,D36,D37,D38)</f>
        <v>990000000</v>
      </c>
      <c r="E34" s="82">
        <f>SUM(E35,E36,E37,E38)</f>
        <v>350000000</v>
      </c>
    </row>
    <row r="35" spans="1:5" s="27" customFormat="1" ht="35.1" customHeight="1">
      <c r="A35" s="80"/>
      <c r="B35" s="79" t="s">
        <v>380</v>
      </c>
      <c r="C35" s="77">
        <v>150000000</v>
      </c>
      <c r="D35" s="77">
        <v>150000000</v>
      </c>
      <c r="E35" s="77">
        <v>150000000</v>
      </c>
    </row>
    <row r="36" spans="1:5" s="27" customFormat="1" ht="35.1" customHeight="1">
      <c r="A36" s="80"/>
      <c r="B36" s="79" t="s">
        <v>381</v>
      </c>
      <c r="C36" s="80"/>
      <c r="D36" s="80">
        <v>100000000</v>
      </c>
      <c r="E36" s="80"/>
    </row>
    <row r="37" spans="1:5" s="27" customFormat="1" ht="35.1" customHeight="1">
      <c r="A37" s="80"/>
      <c r="B37" s="79" t="s">
        <v>382</v>
      </c>
      <c r="C37" s="77">
        <v>300000000</v>
      </c>
      <c r="D37" s="77">
        <v>700000000</v>
      </c>
      <c r="E37" s="77">
        <v>200000000</v>
      </c>
    </row>
    <row r="38" spans="1:5" s="27" customFormat="1" ht="35.1" customHeight="1">
      <c r="A38" s="80"/>
      <c r="B38" s="79" t="s">
        <v>374</v>
      </c>
      <c r="C38" s="80"/>
      <c r="D38" s="77">
        <v>40000000</v>
      </c>
      <c r="E38" s="77"/>
    </row>
    <row r="39" spans="1:5" s="84" customFormat="1" ht="35.1" customHeight="1">
      <c r="A39" s="72">
        <v>8</v>
      </c>
      <c r="B39" s="81" t="s">
        <v>383</v>
      </c>
      <c r="C39" s="72"/>
      <c r="D39" s="72">
        <f>SUM(D40:D42)</f>
        <v>300000000</v>
      </c>
      <c r="E39" s="72"/>
    </row>
    <row r="40" spans="1:5" s="27" customFormat="1" ht="35.1" hidden="1" customHeight="1">
      <c r="A40" s="80"/>
      <c r="B40" s="79" t="s">
        <v>384</v>
      </c>
      <c r="C40" s="80"/>
      <c r="D40" s="77"/>
      <c r="E40" s="77"/>
    </row>
    <row r="41" spans="1:5" s="27" customFormat="1" ht="35.1" customHeight="1">
      <c r="A41" s="80"/>
      <c r="B41" s="79" t="s">
        <v>385</v>
      </c>
      <c r="C41" s="80"/>
      <c r="D41" s="77">
        <v>150000000</v>
      </c>
      <c r="E41" s="77"/>
    </row>
    <row r="42" spans="1:5" s="27" customFormat="1" ht="35.1" customHeight="1">
      <c r="A42" s="80"/>
      <c r="B42" s="79" t="s">
        <v>374</v>
      </c>
      <c r="C42" s="80"/>
      <c r="D42" s="77">
        <v>150000000</v>
      </c>
      <c r="E42" s="77"/>
    </row>
    <row r="43" spans="1:5" s="27" customFormat="1" ht="35.1" customHeight="1">
      <c r="A43" s="72" t="s">
        <v>219</v>
      </c>
      <c r="B43" s="81" t="s">
        <v>386</v>
      </c>
      <c r="C43" s="72">
        <f>SUM(C44:C48)</f>
        <v>444663000000</v>
      </c>
      <c r="D43" s="72">
        <f>SUM(D44:D48)</f>
        <v>494428572868</v>
      </c>
      <c r="E43" s="72">
        <f>SUM(E44:E48)</f>
        <v>600443700000</v>
      </c>
    </row>
    <row r="44" spans="1:5" s="27" customFormat="1" ht="35.1" customHeight="1">
      <c r="A44" s="80"/>
      <c r="B44" s="85" t="s">
        <v>387</v>
      </c>
      <c r="C44" s="77">
        <f>351322000000+8059000000</f>
        <v>359381000000</v>
      </c>
      <c r="D44" s="77">
        <v>359381000000</v>
      </c>
      <c r="E44" s="77">
        <f>359381000000+48247000000+1711700000</f>
        <v>409339700000</v>
      </c>
    </row>
    <row r="45" spans="1:5" s="27" customFormat="1" ht="35.1" hidden="1" customHeight="1">
      <c r="A45" s="80"/>
      <c r="B45" s="85"/>
      <c r="C45" s="80"/>
      <c r="D45" s="77"/>
      <c r="E45" s="77"/>
    </row>
    <row r="46" spans="1:5" s="27" customFormat="1" ht="42.75" hidden="1" customHeight="1">
      <c r="A46" s="80"/>
      <c r="B46" s="85"/>
      <c r="C46" s="80"/>
      <c r="D46" s="77"/>
      <c r="E46" s="77"/>
    </row>
    <row r="47" spans="1:5" s="27" customFormat="1" ht="44.25" customHeight="1">
      <c r="A47" s="80"/>
      <c r="B47" s="86" t="s">
        <v>388</v>
      </c>
      <c r="C47" s="77">
        <v>69198000000</v>
      </c>
      <c r="D47" s="77">
        <f>76432000000+44000000</f>
        <v>76476000000</v>
      </c>
      <c r="E47" s="77">
        <f>95454000000+650000000</f>
        <v>96104000000</v>
      </c>
    </row>
    <row r="48" spans="1:5" s="27" customFormat="1" ht="43.5" customHeight="1">
      <c r="A48" s="80"/>
      <c r="B48" s="87" t="s">
        <v>389</v>
      </c>
      <c r="C48" s="77">
        <v>16084000000</v>
      </c>
      <c r="D48" s="77">
        <f>41000000000+534469700-113302945-290000000+17440406113</f>
        <v>58571572868</v>
      </c>
      <c r="E48" s="77">
        <v>95000000000</v>
      </c>
    </row>
    <row r="49" spans="1:5" s="84" customFormat="1" ht="35.1" customHeight="1">
      <c r="A49" s="88" t="s">
        <v>238</v>
      </c>
      <c r="B49" s="63" t="s">
        <v>390</v>
      </c>
      <c r="C49" s="63"/>
      <c r="D49" s="83">
        <f>SUM(D50:D51)</f>
        <v>20622778746</v>
      </c>
      <c r="E49" s="83"/>
    </row>
    <row r="50" spans="1:5" s="84" customFormat="1" ht="35.1" customHeight="1">
      <c r="A50" s="88"/>
      <c r="B50" s="89" t="s">
        <v>391</v>
      </c>
      <c r="C50" s="63"/>
      <c r="D50" s="76">
        <v>20514279892</v>
      </c>
      <c r="E50" s="76"/>
    </row>
    <row r="51" spans="1:5" s="84" customFormat="1" ht="35.1" customHeight="1">
      <c r="A51" s="88"/>
      <c r="B51" s="89" t="s">
        <v>392</v>
      </c>
      <c r="C51" s="63"/>
      <c r="D51" s="76">
        <v>108498854</v>
      </c>
      <c r="E51" s="76"/>
    </row>
    <row r="52" spans="1:5" s="84" customFormat="1" ht="35.1" customHeight="1">
      <c r="A52" s="88" t="s">
        <v>74</v>
      </c>
      <c r="B52" s="90" t="s">
        <v>393</v>
      </c>
      <c r="C52" s="88"/>
      <c r="D52" s="82">
        <f>SUM(D53:D54)</f>
        <v>1866720925</v>
      </c>
      <c r="E52" s="82"/>
    </row>
    <row r="53" spans="1:5" s="27" customFormat="1" ht="35.1" customHeight="1">
      <c r="A53" s="91"/>
      <c r="B53" s="89" t="s">
        <v>391</v>
      </c>
      <c r="C53" s="91"/>
      <c r="D53" s="77">
        <v>1422457956</v>
      </c>
      <c r="E53" s="77"/>
    </row>
    <row r="54" spans="1:5" s="27" customFormat="1" ht="35.1" customHeight="1">
      <c r="A54" s="91"/>
      <c r="B54" s="89" t="s">
        <v>392</v>
      </c>
      <c r="C54" s="57"/>
      <c r="D54" s="76">
        <v>444262969</v>
      </c>
      <c r="E54" s="76"/>
    </row>
    <row r="57" spans="1:5">
      <c r="B57" s="159" t="s">
        <v>408</v>
      </c>
      <c r="C57" s="1139" t="s">
        <v>409</v>
      </c>
      <c r="D57" s="1139"/>
      <c r="E57" s="1139"/>
    </row>
    <row r="58" spans="1:5">
      <c r="B58" s="92" t="s">
        <v>410</v>
      </c>
      <c r="C58" s="1140" t="s">
        <v>410</v>
      </c>
      <c r="D58" s="1140"/>
      <c r="E58" s="1140"/>
    </row>
    <row r="158" hidden="1"/>
  </sheetData>
  <mergeCells count="6">
    <mergeCell ref="C57:E57"/>
    <mergeCell ref="C58:E58"/>
    <mergeCell ref="A1:E1"/>
    <mergeCell ref="A2:E2"/>
    <mergeCell ref="A3:E3"/>
    <mergeCell ref="A4:E4"/>
  </mergeCells>
  <phoneticPr fontId="13" type="noConversion"/>
  <pageMargins left="0.75" right="0.75" top="1" bottom="1" header="0.5" footer="0.5"/>
  <pageSetup paperSize="9" scale="55"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03"/>
  <sheetViews>
    <sheetView topLeftCell="A5" workbookViewId="0">
      <selection activeCell="G8" sqref="G8"/>
    </sheetView>
  </sheetViews>
  <sheetFormatPr defaultRowHeight="15.75"/>
  <cols>
    <col min="1" max="1" width="4.42578125" style="489" customWidth="1"/>
    <col min="2" max="2" width="19.85546875" style="488" customWidth="1"/>
    <col min="3" max="3" width="12.28515625" style="488" customWidth="1"/>
    <col min="4" max="4" width="14.5703125" style="488" customWidth="1"/>
    <col min="5" max="5" width="12.7109375" style="488" customWidth="1"/>
    <col min="6" max="6" width="13.7109375" style="488" customWidth="1"/>
    <col min="7" max="7" width="13.140625" style="488" customWidth="1"/>
    <col min="8" max="8" width="13" style="488" customWidth="1"/>
    <col min="9" max="9" width="12.5703125" style="488" customWidth="1"/>
    <col min="10" max="10" width="12.85546875" style="488" customWidth="1"/>
    <col min="11" max="11" width="13.42578125" style="488" customWidth="1"/>
    <col min="12" max="12" width="12.7109375" style="488" customWidth="1"/>
    <col min="13" max="13" width="13.7109375" style="488" customWidth="1"/>
    <col min="14" max="14" width="12" style="488" customWidth="1"/>
    <col min="15" max="256" width="9.140625" style="488"/>
    <col min="257" max="257" width="4.42578125" style="488" customWidth="1"/>
    <col min="258" max="258" width="19.85546875" style="488" customWidth="1"/>
    <col min="259" max="259" width="12.28515625" style="488" customWidth="1"/>
    <col min="260" max="260" width="14.5703125" style="488" customWidth="1"/>
    <col min="261" max="261" width="12.7109375" style="488" customWidth="1"/>
    <col min="262" max="262" width="13.7109375" style="488" customWidth="1"/>
    <col min="263" max="263" width="13.140625" style="488" customWidth="1"/>
    <col min="264" max="264" width="13" style="488" customWidth="1"/>
    <col min="265" max="265" width="12.5703125" style="488" customWidth="1"/>
    <col min="266" max="266" width="12.85546875" style="488" customWidth="1"/>
    <col min="267" max="267" width="13.42578125" style="488" customWidth="1"/>
    <col min="268" max="268" width="12.7109375" style="488" customWidth="1"/>
    <col min="269" max="269" width="13.7109375" style="488" customWidth="1"/>
    <col min="270" max="270" width="13.85546875" style="488" customWidth="1"/>
    <col min="271" max="512" width="9.140625" style="488"/>
    <col min="513" max="513" width="4.42578125" style="488" customWidth="1"/>
    <col min="514" max="514" width="19.85546875" style="488" customWidth="1"/>
    <col min="515" max="515" width="12.28515625" style="488" customWidth="1"/>
    <col min="516" max="516" width="14.5703125" style="488" customWidth="1"/>
    <col min="517" max="517" width="12.7109375" style="488" customWidth="1"/>
    <col min="518" max="518" width="13.7109375" style="488" customWidth="1"/>
    <col min="519" max="519" width="13.140625" style="488" customWidth="1"/>
    <col min="520" max="520" width="13" style="488" customWidth="1"/>
    <col min="521" max="521" width="12.5703125" style="488" customWidth="1"/>
    <col min="522" max="522" width="12.85546875" style="488" customWidth="1"/>
    <col min="523" max="523" width="13.42578125" style="488" customWidth="1"/>
    <col min="524" max="524" width="12.7109375" style="488" customWidth="1"/>
    <col min="525" max="525" width="13.7109375" style="488" customWidth="1"/>
    <col min="526" max="526" width="13.85546875" style="488" customWidth="1"/>
    <col min="527" max="768" width="9.140625" style="488"/>
    <col min="769" max="769" width="4.42578125" style="488" customWidth="1"/>
    <col min="770" max="770" width="19.85546875" style="488" customWidth="1"/>
    <col min="771" max="771" width="12.28515625" style="488" customWidth="1"/>
    <col min="772" max="772" width="14.5703125" style="488" customWidth="1"/>
    <col min="773" max="773" width="12.7109375" style="488" customWidth="1"/>
    <col min="774" max="774" width="13.7109375" style="488" customWidth="1"/>
    <col min="775" max="775" width="13.140625" style="488" customWidth="1"/>
    <col min="776" max="776" width="13" style="488" customWidth="1"/>
    <col min="777" max="777" width="12.5703125" style="488" customWidth="1"/>
    <col min="778" max="778" width="12.85546875" style="488" customWidth="1"/>
    <col min="779" max="779" width="13.42578125" style="488" customWidth="1"/>
    <col min="780" max="780" width="12.7109375" style="488" customWidth="1"/>
    <col min="781" max="781" width="13.7109375" style="488" customWidth="1"/>
    <col min="782" max="782" width="13.85546875" style="488" customWidth="1"/>
    <col min="783" max="1024" width="9.140625" style="488"/>
    <col min="1025" max="1025" width="4.42578125" style="488" customWidth="1"/>
    <col min="1026" max="1026" width="19.85546875" style="488" customWidth="1"/>
    <col min="1027" max="1027" width="12.28515625" style="488" customWidth="1"/>
    <col min="1028" max="1028" width="14.5703125" style="488" customWidth="1"/>
    <col min="1029" max="1029" width="12.7109375" style="488" customWidth="1"/>
    <col min="1030" max="1030" width="13.7109375" style="488" customWidth="1"/>
    <col min="1031" max="1031" width="13.140625" style="488" customWidth="1"/>
    <col min="1032" max="1032" width="13" style="488" customWidth="1"/>
    <col min="1033" max="1033" width="12.5703125" style="488" customWidth="1"/>
    <col min="1034" max="1034" width="12.85546875" style="488" customWidth="1"/>
    <col min="1035" max="1035" width="13.42578125" style="488" customWidth="1"/>
    <col min="1036" max="1036" width="12.7109375" style="488" customWidth="1"/>
    <col min="1037" max="1037" width="13.7109375" style="488" customWidth="1"/>
    <col min="1038" max="1038" width="13.85546875" style="488" customWidth="1"/>
    <col min="1039" max="1280" width="9.140625" style="488"/>
    <col min="1281" max="1281" width="4.42578125" style="488" customWidth="1"/>
    <col min="1282" max="1282" width="19.85546875" style="488" customWidth="1"/>
    <col min="1283" max="1283" width="12.28515625" style="488" customWidth="1"/>
    <col min="1284" max="1284" width="14.5703125" style="488" customWidth="1"/>
    <col min="1285" max="1285" width="12.7109375" style="488" customWidth="1"/>
    <col min="1286" max="1286" width="13.7109375" style="488" customWidth="1"/>
    <col min="1287" max="1287" width="13.140625" style="488" customWidth="1"/>
    <col min="1288" max="1288" width="13" style="488" customWidth="1"/>
    <col min="1289" max="1289" width="12.5703125" style="488" customWidth="1"/>
    <col min="1290" max="1290" width="12.85546875" style="488" customWidth="1"/>
    <col min="1291" max="1291" width="13.42578125" style="488" customWidth="1"/>
    <col min="1292" max="1292" width="12.7109375" style="488" customWidth="1"/>
    <col min="1293" max="1293" width="13.7109375" style="488" customWidth="1"/>
    <col min="1294" max="1294" width="13.85546875" style="488" customWidth="1"/>
    <col min="1295" max="1536" width="9.140625" style="488"/>
    <col min="1537" max="1537" width="4.42578125" style="488" customWidth="1"/>
    <col min="1538" max="1538" width="19.85546875" style="488" customWidth="1"/>
    <col min="1539" max="1539" width="12.28515625" style="488" customWidth="1"/>
    <col min="1540" max="1540" width="14.5703125" style="488" customWidth="1"/>
    <col min="1541" max="1541" width="12.7109375" style="488" customWidth="1"/>
    <col min="1542" max="1542" width="13.7109375" style="488" customWidth="1"/>
    <col min="1543" max="1543" width="13.140625" style="488" customWidth="1"/>
    <col min="1544" max="1544" width="13" style="488" customWidth="1"/>
    <col min="1545" max="1545" width="12.5703125" style="488" customWidth="1"/>
    <col min="1546" max="1546" width="12.85546875" style="488" customWidth="1"/>
    <col min="1547" max="1547" width="13.42578125" style="488" customWidth="1"/>
    <col min="1548" max="1548" width="12.7109375" style="488" customWidth="1"/>
    <col min="1549" max="1549" width="13.7109375" style="488" customWidth="1"/>
    <col min="1550" max="1550" width="13.85546875" style="488" customWidth="1"/>
    <col min="1551" max="1792" width="9.140625" style="488"/>
    <col min="1793" max="1793" width="4.42578125" style="488" customWidth="1"/>
    <col min="1794" max="1794" width="19.85546875" style="488" customWidth="1"/>
    <col min="1795" max="1795" width="12.28515625" style="488" customWidth="1"/>
    <col min="1796" max="1796" width="14.5703125" style="488" customWidth="1"/>
    <col min="1797" max="1797" width="12.7109375" style="488" customWidth="1"/>
    <col min="1798" max="1798" width="13.7109375" style="488" customWidth="1"/>
    <col min="1799" max="1799" width="13.140625" style="488" customWidth="1"/>
    <col min="1800" max="1800" width="13" style="488" customWidth="1"/>
    <col min="1801" max="1801" width="12.5703125" style="488" customWidth="1"/>
    <col min="1802" max="1802" width="12.85546875" style="488" customWidth="1"/>
    <col min="1803" max="1803" width="13.42578125" style="488" customWidth="1"/>
    <col min="1804" max="1804" width="12.7109375" style="488" customWidth="1"/>
    <col min="1805" max="1805" width="13.7109375" style="488" customWidth="1"/>
    <col min="1806" max="1806" width="13.85546875" style="488" customWidth="1"/>
    <col min="1807" max="2048" width="9.140625" style="488"/>
    <col min="2049" max="2049" width="4.42578125" style="488" customWidth="1"/>
    <col min="2050" max="2050" width="19.85546875" style="488" customWidth="1"/>
    <col min="2051" max="2051" width="12.28515625" style="488" customWidth="1"/>
    <col min="2052" max="2052" width="14.5703125" style="488" customWidth="1"/>
    <col min="2053" max="2053" width="12.7109375" style="488" customWidth="1"/>
    <col min="2054" max="2054" width="13.7109375" style="488" customWidth="1"/>
    <col min="2055" max="2055" width="13.140625" style="488" customWidth="1"/>
    <col min="2056" max="2056" width="13" style="488" customWidth="1"/>
    <col min="2057" max="2057" width="12.5703125" style="488" customWidth="1"/>
    <col min="2058" max="2058" width="12.85546875" style="488" customWidth="1"/>
    <col min="2059" max="2059" width="13.42578125" style="488" customWidth="1"/>
    <col min="2060" max="2060" width="12.7109375" style="488" customWidth="1"/>
    <col min="2061" max="2061" width="13.7109375" style="488" customWidth="1"/>
    <col min="2062" max="2062" width="13.85546875" style="488" customWidth="1"/>
    <col min="2063" max="2304" width="9.140625" style="488"/>
    <col min="2305" max="2305" width="4.42578125" style="488" customWidth="1"/>
    <col min="2306" max="2306" width="19.85546875" style="488" customWidth="1"/>
    <col min="2307" max="2307" width="12.28515625" style="488" customWidth="1"/>
    <col min="2308" max="2308" width="14.5703125" style="488" customWidth="1"/>
    <col min="2309" max="2309" width="12.7109375" style="488" customWidth="1"/>
    <col min="2310" max="2310" width="13.7109375" style="488" customWidth="1"/>
    <col min="2311" max="2311" width="13.140625" style="488" customWidth="1"/>
    <col min="2312" max="2312" width="13" style="488" customWidth="1"/>
    <col min="2313" max="2313" width="12.5703125" style="488" customWidth="1"/>
    <col min="2314" max="2314" width="12.85546875" style="488" customWidth="1"/>
    <col min="2315" max="2315" width="13.42578125" style="488" customWidth="1"/>
    <col min="2316" max="2316" width="12.7109375" style="488" customWidth="1"/>
    <col min="2317" max="2317" width="13.7109375" style="488" customWidth="1"/>
    <col min="2318" max="2318" width="13.85546875" style="488" customWidth="1"/>
    <col min="2319" max="2560" width="9.140625" style="488"/>
    <col min="2561" max="2561" width="4.42578125" style="488" customWidth="1"/>
    <col min="2562" max="2562" width="19.85546875" style="488" customWidth="1"/>
    <col min="2563" max="2563" width="12.28515625" style="488" customWidth="1"/>
    <col min="2564" max="2564" width="14.5703125" style="488" customWidth="1"/>
    <col min="2565" max="2565" width="12.7109375" style="488" customWidth="1"/>
    <col min="2566" max="2566" width="13.7109375" style="488" customWidth="1"/>
    <col min="2567" max="2567" width="13.140625" style="488" customWidth="1"/>
    <col min="2568" max="2568" width="13" style="488" customWidth="1"/>
    <col min="2569" max="2569" width="12.5703125" style="488" customWidth="1"/>
    <col min="2570" max="2570" width="12.85546875" style="488" customWidth="1"/>
    <col min="2571" max="2571" width="13.42578125" style="488" customWidth="1"/>
    <col min="2572" max="2572" width="12.7109375" style="488" customWidth="1"/>
    <col min="2573" max="2573" width="13.7109375" style="488" customWidth="1"/>
    <col min="2574" max="2574" width="13.85546875" style="488" customWidth="1"/>
    <col min="2575" max="2816" width="9.140625" style="488"/>
    <col min="2817" max="2817" width="4.42578125" style="488" customWidth="1"/>
    <col min="2818" max="2818" width="19.85546875" style="488" customWidth="1"/>
    <col min="2819" max="2819" width="12.28515625" style="488" customWidth="1"/>
    <col min="2820" max="2820" width="14.5703125" style="488" customWidth="1"/>
    <col min="2821" max="2821" width="12.7109375" style="488" customWidth="1"/>
    <col min="2822" max="2822" width="13.7109375" style="488" customWidth="1"/>
    <col min="2823" max="2823" width="13.140625" style="488" customWidth="1"/>
    <col min="2824" max="2824" width="13" style="488" customWidth="1"/>
    <col min="2825" max="2825" width="12.5703125" style="488" customWidth="1"/>
    <col min="2826" max="2826" width="12.85546875" style="488" customWidth="1"/>
    <col min="2827" max="2827" width="13.42578125" style="488" customWidth="1"/>
    <col min="2828" max="2828" width="12.7109375" style="488" customWidth="1"/>
    <col min="2829" max="2829" width="13.7109375" style="488" customWidth="1"/>
    <col min="2830" max="2830" width="13.85546875" style="488" customWidth="1"/>
    <col min="2831" max="3072" width="9.140625" style="488"/>
    <col min="3073" max="3073" width="4.42578125" style="488" customWidth="1"/>
    <col min="3074" max="3074" width="19.85546875" style="488" customWidth="1"/>
    <col min="3075" max="3075" width="12.28515625" style="488" customWidth="1"/>
    <col min="3076" max="3076" width="14.5703125" style="488" customWidth="1"/>
    <col min="3077" max="3077" width="12.7109375" style="488" customWidth="1"/>
    <col min="3078" max="3078" width="13.7109375" style="488" customWidth="1"/>
    <col min="3079" max="3079" width="13.140625" style="488" customWidth="1"/>
    <col min="3080" max="3080" width="13" style="488" customWidth="1"/>
    <col min="3081" max="3081" width="12.5703125" style="488" customWidth="1"/>
    <col min="3082" max="3082" width="12.85546875" style="488" customWidth="1"/>
    <col min="3083" max="3083" width="13.42578125" style="488" customWidth="1"/>
    <col min="3084" max="3084" width="12.7109375" style="488" customWidth="1"/>
    <col min="3085" max="3085" width="13.7109375" style="488" customWidth="1"/>
    <col min="3086" max="3086" width="13.85546875" style="488" customWidth="1"/>
    <col min="3087" max="3328" width="9.140625" style="488"/>
    <col min="3329" max="3329" width="4.42578125" style="488" customWidth="1"/>
    <col min="3330" max="3330" width="19.85546875" style="488" customWidth="1"/>
    <col min="3331" max="3331" width="12.28515625" style="488" customWidth="1"/>
    <col min="3332" max="3332" width="14.5703125" style="488" customWidth="1"/>
    <col min="3333" max="3333" width="12.7109375" style="488" customWidth="1"/>
    <col min="3334" max="3334" width="13.7109375" style="488" customWidth="1"/>
    <col min="3335" max="3335" width="13.140625" style="488" customWidth="1"/>
    <col min="3336" max="3336" width="13" style="488" customWidth="1"/>
    <col min="3337" max="3337" width="12.5703125" style="488" customWidth="1"/>
    <col min="3338" max="3338" width="12.85546875" style="488" customWidth="1"/>
    <col min="3339" max="3339" width="13.42578125" style="488" customWidth="1"/>
    <col min="3340" max="3340" width="12.7109375" style="488" customWidth="1"/>
    <col min="3341" max="3341" width="13.7109375" style="488" customWidth="1"/>
    <col min="3342" max="3342" width="13.85546875" style="488" customWidth="1"/>
    <col min="3343" max="3584" width="9.140625" style="488"/>
    <col min="3585" max="3585" width="4.42578125" style="488" customWidth="1"/>
    <col min="3586" max="3586" width="19.85546875" style="488" customWidth="1"/>
    <col min="3587" max="3587" width="12.28515625" style="488" customWidth="1"/>
    <col min="3588" max="3588" width="14.5703125" style="488" customWidth="1"/>
    <col min="3589" max="3589" width="12.7109375" style="488" customWidth="1"/>
    <col min="3590" max="3590" width="13.7109375" style="488" customWidth="1"/>
    <col min="3591" max="3591" width="13.140625" style="488" customWidth="1"/>
    <col min="3592" max="3592" width="13" style="488" customWidth="1"/>
    <col min="3593" max="3593" width="12.5703125" style="488" customWidth="1"/>
    <col min="3594" max="3594" width="12.85546875" style="488" customWidth="1"/>
    <col min="3595" max="3595" width="13.42578125" style="488" customWidth="1"/>
    <col min="3596" max="3596" width="12.7109375" style="488" customWidth="1"/>
    <col min="3597" max="3597" width="13.7109375" style="488" customWidth="1"/>
    <col min="3598" max="3598" width="13.85546875" style="488" customWidth="1"/>
    <col min="3599" max="3840" width="9.140625" style="488"/>
    <col min="3841" max="3841" width="4.42578125" style="488" customWidth="1"/>
    <col min="3842" max="3842" width="19.85546875" style="488" customWidth="1"/>
    <col min="3843" max="3843" width="12.28515625" style="488" customWidth="1"/>
    <col min="3844" max="3844" width="14.5703125" style="488" customWidth="1"/>
    <col min="3845" max="3845" width="12.7109375" style="488" customWidth="1"/>
    <col min="3846" max="3846" width="13.7109375" style="488" customWidth="1"/>
    <col min="3847" max="3847" width="13.140625" style="488" customWidth="1"/>
    <col min="3848" max="3848" width="13" style="488" customWidth="1"/>
    <col min="3849" max="3849" width="12.5703125" style="488" customWidth="1"/>
    <col min="3850" max="3850" width="12.85546875" style="488" customWidth="1"/>
    <col min="3851" max="3851" width="13.42578125" style="488" customWidth="1"/>
    <col min="3852" max="3852" width="12.7109375" style="488" customWidth="1"/>
    <col min="3853" max="3853" width="13.7109375" style="488" customWidth="1"/>
    <col min="3854" max="3854" width="13.85546875" style="488" customWidth="1"/>
    <col min="3855" max="4096" width="9.140625" style="488"/>
    <col min="4097" max="4097" width="4.42578125" style="488" customWidth="1"/>
    <col min="4098" max="4098" width="19.85546875" style="488" customWidth="1"/>
    <col min="4099" max="4099" width="12.28515625" style="488" customWidth="1"/>
    <col min="4100" max="4100" width="14.5703125" style="488" customWidth="1"/>
    <col min="4101" max="4101" width="12.7109375" style="488" customWidth="1"/>
    <col min="4102" max="4102" width="13.7109375" style="488" customWidth="1"/>
    <col min="4103" max="4103" width="13.140625" style="488" customWidth="1"/>
    <col min="4104" max="4104" width="13" style="488" customWidth="1"/>
    <col min="4105" max="4105" width="12.5703125" style="488" customWidth="1"/>
    <col min="4106" max="4106" width="12.85546875" style="488" customWidth="1"/>
    <col min="4107" max="4107" width="13.42578125" style="488" customWidth="1"/>
    <col min="4108" max="4108" width="12.7109375" style="488" customWidth="1"/>
    <col min="4109" max="4109" width="13.7109375" style="488" customWidth="1"/>
    <col min="4110" max="4110" width="13.85546875" style="488" customWidth="1"/>
    <col min="4111" max="4352" width="9.140625" style="488"/>
    <col min="4353" max="4353" width="4.42578125" style="488" customWidth="1"/>
    <col min="4354" max="4354" width="19.85546875" style="488" customWidth="1"/>
    <col min="4355" max="4355" width="12.28515625" style="488" customWidth="1"/>
    <col min="4356" max="4356" width="14.5703125" style="488" customWidth="1"/>
    <col min="4357" max="4357" width="12.7109375" style="488" customWidth="1"/>
    <col min="4358" max="4358" width="13.7109375" style="488" customWidth="1"/>
    <col min="4359" max="4359" width="13.140625" style="488" customWidth="1"/>
    <col min="4360" max="4360" width="13" style="488" customWidth="1"/>
    <col min="4361" max="4361" width="12.5703125" style="488" customWidth="1"/>
    <col min="4362" max="4362" width="12.85546875" style="488" customWidth="1"/>
    <col min="4363" max="4363" width="13.42578125" style="488" customWidth="1"/>
    <col min="4364" max="4364" width="12.7109375" style="488" customWidth="1"/>
    <col min="4365" max="4365" width="13.7109375" style="488" customWidth="1"/>
    <col min="4366" max="4366" width="13.85546875" style="488" customWidth="1"/>
    <col min="4367" max="4608" width="9.140625" style="488"/>
    <col min="4609" max="4609" width="4.42578125" style="488" customWidth="1"/>
    <col min="4610" max="4610" width="19.85546875" style="488" customWidth="1"/>
    <col min="4611" max="4611" width="12.28515625" style="488" customWidth="1"/>
    <col min="4612" max="4612" width="14.5703125" style="488" customWidth="1"/>
    <col min="4613" max="4613" width="12.7109375" style="488" customWidth="1"/>
    <col min="4614" max="4614" width="13.7109375" style="488" customWidth="1"/>
    <col min="4615" max="4615" width="13.140625" style="488" customWidth="1"/>
    <col min="4616" max="4616" width="13" style="488" customWidth="1"/>
    <col min="4617" max="4617" width="12.5703125" style="488" customWidth="1"/>
    <col min="4618" max="4618" width="12.85546875" style="488" customWidth="1"/>
    <col min="4619" max="4619" width="13.42578125" style="488" customWidth="1"/>
    <col min="4620" max="4620" width="12.7109375" style="488" customWidth="1"/>
    <col min="4621" max="4621" width="13.7109375" style="488" customWidth="1"/>
    <col min="4622" max="4622" width="13.85546875" style="488" customWidth="1"/>
    <col min="4623" max="4864" width="9.140625" style="488"/>
    <col min="4865" max="4865" width="4.42578125" style="488" customWidth="1"/>
    <col min="4866" max="4866" width="19.85546875" style="488" customWidth="1"/>
    <col min="4867" max="4867" width="12.28515625" style="488" customWidth="1"/>
    <col min="4868" max="4868" width="14.5703125" style="488" customWidth="1"/>
    <col min="4869" max="4869" width="12.7109375" style="488" customWidth="1"/>
    <col min="4870" max="4870" width="13.7109375" style="488" customWidth="1"/>
    <col min="4871" max="4871" width="13.140625" style="488" customWidth="1"/>
    <col min="4872" max="4872" width="13" style="488" customWidth="1"/>
    <col min="4873" max="4873" width="12.5703125" style="488" customWidth="1"/>
    <col min="4874" max="4874" width="12.85546875" style="488" customWidth="1"/>
    <col min="4875" max="4875" width="13.42578125" style="488" customWidth="1"/>
    <col min="4876" max="4876" width="12.7109375" style="488" customWidth="1"/>
    <col min="4877" max="4877" width="13.7109375" style="488" customWidth="1"/>
    <col min="4878" max="4878" width="13.85546875" style="488" customWidth="1"/>
    <col min="4879" max="5120" width="9.140625" style="488"/>
    <col min="5121" max="5121" width="4.42578125" style="488" customWidth="1"/>
    <col min="5122" max="5122" width="19.85546875" style="488" customWidth="1"/>
    <col min="5123" max="5123" width="12.28515625" style="488" customWidth="1"/>
    <col min="5124" max="5124" width="14.5703125" style="488" customWidth="1"/>
    <col min="5125" max="5125" width="12.7109375" style="488" customWidth="1"/>
    <col min="5126" max="5126" width="13.7109375" style="488" customWidth="1"/>
    <col min="5127" max="5127" width="13.140625" style="488" customWidth="1"/>
    <col min="5128" max="5128" width="13" style="488" customWidth="1"/>
    <col min="5129" max="5129" width="12.5703125" style="488" customWidth="1"/>
    <col min="5130" max="5130" width="12.85546875" style="488" customWidth="1"/>
    <col min="5131" max="5131" width="13.42578125" style="488" customWidth="1"/>
    <col min="5132" max="5132" width="12.7109375" style="488" customWidth="1"/>
    <col min="5133" max="5133" width="13.7109375" style="488" customWidth="1"/>
    <col min="5134" max="5134" width="13.85546875" style="488" customWidth="1"/>
    <col min="5135" max="5376" width="9.140625" style="488"/>
    <col min="5377" max="5377" width="4.42578125" style="488" customWidth="1"/>
    <col min="5378" max="5378" width="19.85546875" style="488" customWidth="1"/>
    <col min="5379" max="5379" width="12.28515625" style="488" customWidth="1"/>
    <col min="5380" max="5380" width="14.5703125" style="488" customWidth="1"/>
    <col min="5381" max="5381" width="12.7109375" style="488" customWidth="1"/>
    <col min="5382" max="5382" width="13.7109375" style="488" customWidth="1"/>
    <col min="5383" max="5383" width="13.140625" style="488" customWidth="1"/>
    <col min="5384" max="5384" width="13" style="488" customWidth="1"/>
    <col min="5385" max="5385" width="12.5703125" style="488" customWidth="1"/>
    <col min="5386" max="5386" width="12.85546875" style="488" customWidth="1"/>
    <col min="5387" max="5387" width="13.42578125" style="488" customWidth="1"/>
    <col min="5388" max="5388" width="12.7109375" style="488" customWidth="1"/>
    <col min="5389" max="5389" width="13.7109375" style="488" customWidth="1"/>
    <col min="5390" max="5390" width="13.85546875" style="488" customWidth="1"/>
    <col min="5391" max="5632" width="9.140625" style="488"/>
    <col min="5633" max="5633" width="4.42578125" style="488" customWidth="1"/>
    <col min="5634" max="5634" width="19.85546875" style="488" customWidth="1"/>
    <col min="5635" max="5635" width="12.28515625" style="488" customWidth="1"/>
    <col min="5636" max="5636" width="14.5703125" style="488" customWidth="1"/>
    <col min="5637" max="5637" width="12.7109375" style="488" customWidth="1"/>
    <col min="5638" max="5638" width="13.7109375" style="488" customWidth="1"/>
    <col min="5639" max="5639" width="13.140625" style="488" customWidth="1"/>
    <col min="5640" max="5640" width="13" style="488" customWidth="1"/>
    <col min="5641" max="5641" width="12.5703125" style="488" customWidth="1"/>
    <col min="5642" max="5642" width="12.85546875" style="488" customWidth="1"/>
    <col min="5643" max="5643" width="13.42578125" style="488" customWidth="1"/>
    <col min="5644" max="5644" width="12.7109375" style="488" customWidth="1"/>
    <col min="5645" max="5645" width="13.7109375" style="488" customWidth="1"/>
    <col min="5646" max="5646" width="13.85546875" style="488" customWidth="1"/>
    <col min="5647" max="5888" width="9.140625" style="488"/>
    <col min="5889" max="5889" width="4.42578125" style="488" customWidth="1"/>
    <col min="5890" max="5890" width="19.85546875" style="488" customWidth="1"/>
    <col min="5891" max="5891" width="12.28515625" style="488" customWidth="1"/>
    <col min="5892" max="5892" width="14.5703125" style="488" customWidth="1"/>
    <col min="5893" max="5893" width="12.7109375" style="488" customWidth="1"/>
    <col min="5894" max="5894" width="13.7109375" style="488" customWidth="1"/>
    <col min="5895" max="5895" width="13.140625" style="488" customWidth="1"/>
    <col min="5896" max="5896" width="13" style="488" customWidth="1"/>
    <col min="5897" max="5897" width="12.5703125" style="488" customWidth="1"/>
    <col min="5898" max="5898" width="12.85546875" style="488" customWidth="1"/>
    <col min="5899" max="5899" width="13.42578125" style="488" customWidth="1"/>
    <col min="5900" max="5900" width="12.7109375" style="488" customWidth="1"/>
    <col min="5901" max="5901" width="13.7109375" style="488" customWidth="1"/>
    <col min="5902" max="5902" width="13.85546875" style="488" customWidth="1"/>
    <col min="5903" max="6144" width="9.140625" style="488"/>
    <col min="6145" max="6145" width="4.42578125" style="488" customWidth="1"/>
    <col min="6146" max="6146" width="19.85546875" style="488" customWidth="1"/>
    <col min="6147" max="6147" width="12.28515625" style="488" customWidth="1"/>
    <col min="6148" max="6148" width="14.5703125" style="488" customWidth="1"/>
    <col min="6149" max="6149" width="12.7109375" style="488" customWidth="1"/>
    <col min="6150" max="6150" width="13.7109375" style="488" customWidth="1"/>
    <col min="6151" max="6151" width="13.140625" style="488" customWidth="1"/>
    <col min="6152" max="6152" width="13" style="488" customWidth="1"/>
    <col min="6153" max="6153" width="12.5703125" style="488" customWidth="1"/>
    <col min="6154" max="6154" width="12.85546875" style="488" customWidth="1"/>
    <col min="6155" max="6155" width="13.42578125" style="488" customWidth="1"/>
    <col min="6156" max="6156" width="12.7109375" style="488" customWidth="1"/>
    <col min="6157" max="6157" width="13.7109375" style="488" customWidth="1"/>
    <col min="6158" max="6158" width="13.85546875" style="488" customWidth="1"/>
    <col min="6159" max="6400" width="9.140625" style="488"/>
    <col min="6401" max="6401" width="4.42578125" style="488" customWidth="1"/>
    <col min="6402" max="6402" width="19.85546875" style="488" customWidth="1"/>
    <col min="6403" max="6403" width="12.28515625" style="488" customWidth="1"/>
    <col min="6404" max="6404" width="14.5703125" style="488" customWidth="1"/>
    <col min="6405" max="6405" width="12.7109375" style="488" customWidth="1"/>
    <col min="6406" max="6406" width="13.7109375" style="488" customWidth="1"/>
    <col min="6407" max="6407" width="13.140625" style="488" customWidth="1"/>
    <col min="6408" max="6408" width="13" style="488" customWidth="1"/>
    <col min="6409" max="6409" width="12.5703125" style="488" customWidth="1"/>
    <col min="6410" max="6410" width="12.85546875" style="488" customWidth="1"/>
    <col min="6411" max="6411" width="13.42578125" style="488" customWidth="1"/>
    <col min="6412" max="6412" width="12.7109375" style="488" customWidth="1"/>
    <col min="6413" max="6413" width="13.7109375" style="488" customWidth="1"/>
    <col min="6414" max="6414" width="13.85546875" style="488" customWidth="1"/>
    <col min="6415" max="6656" width="9.140625" style="488"/>
    <col min="6657" max="6657" width="4.42578125" style="488" customWidth="1"/>
    <col min="6658" max="6658" width="19.85546875" style="488" customWidth="1"/>
    <col min="6659" max="6659" width="12.28515625" style="488" customWidth="1"/>
    <col min="6660" max="6660" width="14.5703125" style="488" customWidth="1"/>
    <col min="6661" max="6661" width="12.7109375" style="488" customWidth="1"/>
    <col min="6662" max="6662" width="13.7109375" style="488" customWidth="1"/>
    <col min="6663" max="6663" width="13.140625" style="488" customWidth="1"/>
    <col min="6664" max="6664" width="13" style="488" customWidth="1"/>
    <col min="6665" max="6665" width="12.5703125" style="488" customWidth="1"/>
    <col min="6666" max="6666" width="12.85546875" style="488" customWidth="1"/>
    <col min="6667" max="6667" width="13.42578125" style="488" customWidth="1"/>
    <col min="6668" max="6668" width="12.7109375" style="488" customWidth="1"/>
    <col min="6669" max="6669" width="13.7109375" style="488" customWidth="1"/>
    <col min="6670" max="6670" width="13.85546875" style="488" customWidth="1"/>
    <col min="6671" max="6912" width="9.140625" style="488"/>
    <col min="6913" max="6913" width="4.42578125" style="488" customWidth="1"/>
    <col min="6914" max="6914" width="19.85546875" style="488" customWidth="1"/>
    <col min="6915" max="6915" width="12.28515625" style="488" customWidth="1"/>
    <col min="6916" max="6916" width="14.5703125" style="488" customWidth="1"/>
    <col min="6917" max="6917" width="12.7109375" style="488" customWidth="1"/>
    <col min="6918" max="6918" width="13.7109375" style="488" customWidth="1"/>
    <col min="6919" max="6919" width="13.140625" style="488" customWidth="1"/>
    <col min="6920" max="6920" width="13" style="488" customWidth="1"/>
    <col min="6921" max="6921" width="12.5703125" style="488" customWidth="1"/>
    <col min="6922" max="6922" width="12.85546875" style="488" customWidth="1"/>
    <col min="6923" max="6923" width="13.42578125" style="488" customWidth="1"/>
    <col min="6924" max="6924" width="12.7109375" style="488" customWidth="1"/>
    <col min="6925" max="6925" width="13.7109375" style="488" customWidth="1"/>
    <col min="6926" max="6926" width="13.85546875" style="488" customWidth="1"/>
    <col min="6927" max="7168" width="9.140625" style="488"/>
    <col min="7169" max="7169" width="4.42578125" style="488" customWidth="1"/>
    <col min="7170" max="7170" width="19.85546875" style="488" customWidth="1"/>
    <col min="7171" max="7171" width="12.28515625" style="488" customWidth="1"/>
    <col min="7172" max="7172" width="14.5703125" style="488" customWidth="1"/>
    <col min="7173" max="7173" width="12.7109375" style="488" customWidth="1"/>
    <col min="7174" max="7174" width="13.7109375" style="488" customWidth="1"/>
    <col min="7175" max="7175" width="13.140625" style="488" customWidth="1"/>
    <col min="7176" max="7176" width="13" style="488" customWidth="1"/>
    <col min="7177" max="7177" width="12.5703125" style="488" customWidth="1"/>
    <col min="7178" max="7178" width="12.85546875" style="488" customWidth="1"/>
    <col min="7179" max="7179" width="13.42578125" style="488" customWidth="1"/>
    <col min="7180" max="7180" width="12.7109375" style="488" customWidth="1"/>
    <col min="7181" max="7181" width="13.7109375" style="488" customWidth="1"/>
    <col min="7182" max="7182" width="13.85546875" style="488" customWidth="1"/>
    <col min="7183" max="7424" width="9.140625" style="488"/>
    <col min="7425" max="7425" width="4.42578125" style="488" customWidth="1"/>
    <col min="7426" max="7426" width="19.85546875" style="488" customWidth="1"/>
    <col min="7427" max="7427" width="12.28515625" style="488" customWidth="1"/>
    <col min="7428" max="7428" width="14.5703125" style="488" customWidth="1"/>
    <col min="7429" max="7429" width="12.7109375" style="488" customWidth="1"/>
    <col min="7430" max="7430" width="13.7109375" style="488" customWidth="1"/>
    <col min="7431" max="7431" width="13.140625" style="488" customWidth="1"/>
    <col min="7432" max="7432" width="13" style="488" customWidth="1"/>
    <col min="7433" max="7433" width="12.5703125" style="488" customWidth="1"/>
    <col min="7434" max="7434" width="12.85546875" style="488" customWidth="1"/>
    <col min="7435" max="7435" width="13.42578125" style="488" customWidth="1"/>
    <col min="7436" max="7436" width="12.7109375" style="488" customWidth="1"/>
    <col min="7437" max="7437" width="13.7109375" style="488" customWidth="1"/>
    <col min="7438" max="7438" width="13.85546875" style="488" customWidth="1"/>
    <col min="7439" max="7680" width="9.140625" style="488"/>
    <col min="7681" max="7681" width="4.42578125" style="488" customWidth="1"/>
    <col min="7682" max="7682" width="19.85546875" style="488" customWidth="1"/>
    <col min="7683" max="7683" width="12.28515625" style="488" customWidth="1"/>
    <col min="7684" max="7684" width="14.5703125" style="488" customWidth="1"/>
    <col min="7685" max="7685" width="12.7109375" style="488" customWidth="1"/>
    <col min="7686" max="7686" width="13.7109375" style="488" customWidth="1"/>
    <col min="7687" max="7687" width="13.140625" style="488" customWidth="1"/>
    <col min="7688" max="7688" width="13" style="488" customWidth="1"/>
    <col min="7689" max="7689" width="12.5703125" style="488" customWidth="1"/>
    <col min="7690" max="7690" width="12.85546875" style="488" customWidth="1"/>
    <col min="7691" max="7691" width="13.42578125" style="488" customWidth="1"/>
    <col min="7692" max="7692" width="12.7109375" style="488" customWidth="1"/>
    <col min="7693" max="7693" width="13.7109375" style="488" customWidth="1"/>
    <col min="7694" max="7694" width="13.85546875" style="488" customWidth="1"/>
    <col min="7695" max="7936" width="9.140625" style="488"/>
    <col min="7937" max="7937" width="4.42578125" style="488" customWidth="1"/>
    <col min="7938" max="7938" width="19.85546875" style="488" customWidth="1"/>
    <col min="7939" max="7939" width="12.28515625" style="488" customWidth="1"/>
    <col min="7940" max="7940" width="14.5703125" style="488" customWidth="1"/>
    <col min="7941" max="7941" width="12.7109375" style="488" customWidth="1"/>
    <col min="7942" max="7942" width="13.7109375" style="488" customWidth="1"/>
    <col min="7943" max="7943" width="13.140625" style="488" customWidth="1"/>
    <col min="7944" max="7944" width="13" style="488" customWidth="1"/>
    <col min="7945" max="7945" width="12.5703125" style="488" customWidth="1"/>
    <col min="7946" max="7946" width="12.85546875" style="488" customWidth="1"/>
    <col min="7947" max="7947" width="13.42578125" style="488" customWidth="1"/>
    <col min="7948" max="7948" width="12.7109375" style="488" customWidth="1"/>
    <col min="7949" max="7949" width="13.7109375" style="488" customWidth="1"/>
    <col min="7950" max="7950" width="13.85546875" style="488" customWidth="1"/>
    <col min="7951" max="8192" width="9.140625" style="488"/>
    <col min="8193" max="8193" width="4.42578125" style="488" customWidth="1"/>
    <col min="8194" max="8194" width="19.85546875" style="488" customWidth="1"/>
    <col min="8195" max="8195" width="12.28515625" style="488" customWidth="1"/>
    <col min="8196" max="8196" width="14.5703125" style="488" customWidth="1"/>
    <col min="8197" max="8197" width="12.7109375" style="488" customWidth="1"/>
    <col min="8198" max="8198" width="13.7109375" style="488" customWidth="1"/>
    <col min="8199" max="8199" width="13.140625" style="488" customWidth="1"/>
    <col min="8200" max="8200" width="13" style="488" customWidth="1"/>
    <col min="8201" max="8201" width="12.5703125" style="488" customWidth="1"/>
    <col min="8202" max="8202" width="12.85546875" style="488" customWidth="1"/>
    <col min="8203" max="8203" width="13.42578125" style="488" customWidth="1"/>
    <col min="8204" max="8204" width="12.7109375" style="488" customWidth="1"/>
    <col min="8205" max="8205" width="13.7109375" style="488" customWidth="1"/>
    <col min="8206" max="8206" width="13.85546875" style="488" customWidth="1"/>
    <col min="8207" max="8448" width="9.140625" style="488"/>
    <col min="8449" max="8449" width="4.42578125" style="488" customWidth="1"/>
    <col min="8450" max="8450" width="19.85546875" style="488" customWidth="1"/>
    <col min="8451" max="8451" width="12.28515625" style="488" customWidth="1"/>
    <col min="8452" max="8452" width="14.5703125" style="488" customWidth="1"/>
    <col min="8453" max="8453" width="12.7109375" style="488" customWidth="1"/>
    <col min="8454" max="8454" width="13.7109375" style="488" customWidth="1"/>
    <col min="8455" max="8455" width="13.140625" style="488" customWidth="1"/>
    <col min="8456" max="8456" width="13" style="488" customWidth="1"/>
    <col min="8457" max="8457" width="12.5703125" style="488" customWidth="1"/>
    <col min="8458" max="8458" width="12.85546875" style="488" customWidth="1"/>
    <col min="8459" max="8459" width="13.42578125" style="488" customWidth="1"/>
    <col min="8460" max="8460" width="12.7109375" style="488" customWidth="1"/>
    <col min="8461" max="8461" width="13.7109375" style="488" customWidth="1"/>
    <col min="8462" max="8462" width="13.85546875" style="488" customWidth="1"/>
    <col min="8463" max="8704" width="9.140625" style="488"/>
    <col min="8705" max="8705" width="4.42578125" style="488" customWidth="1"/>
    <col min="8706" max="8706" width="19.85546875" style="488" customWidth="1"/>
    <col min="8707" max="8707" width="12.28515625" style="488" customWidth="1"/>
    <col min="8708" max="8708" width="14.5703125" style="488" customWidth="1"/>
    <col min="8709" max="8709" width="12.7109375" style="488" customWidth="1"/>
    <col min="8710" max="8710" width="13.7109375" style="488" customWidth="1"/>
    <col min="8711" max="8711" width="13.140625" style="488" customWidth="1"/>
    <col min="8712" max="8712" width="13" style="488" customWidth="1"/>
    <col min="8713" max="8713" width="12.5703125" style="488" customWidth="1"/>
    <col min="8714" max="8714" width="12.85546875" style="488" customWidth="1"/>
    <col min="8715" max="8715" width="13.42578125" style="488" customWidth="1"/>
    <col min="8716" max="8716" width="12.7109375" style="488" customWidth="1"/>
    <col min="8717" max="8717" width="13.7109375" style="488" customWidth="1"/>
    <col min="8718" max="8718" width="13.85546875" style="488" customWidth="1"/>
    <col min="8719" max="8960" width="9.140625" style="488"/>
    <col min="8961" max="8961" width="4.42578125" style="488" customWidth="1"/>
    <col min="8962" max="8962" width="19.85546875" style="488" customWidth="1"/>
    <col min="8963" max="8963" width="12.28515625" style="488" customWidth="1"/>
    <col min="8964" max="8964" width="14.5703125" style="488" customWidth="1"/>
    <col min="8965" max="8965" width="12.7109375" style="488" customWidth="1"/>
    <col min="8966" max="8966" width="13.7109375" style="488" customWidth="1"/>
    <col min="8967" max="8967" width="13.140625" style="488" customWidth="1"/>
    <col min="8968" max="8968" width="13" style="488" customWidth="1"/>
    <col min="8969" max="8969" width="12.5703125" style="488" customWidth="1"/>
    <col min="8970" max="8970" width="12.85546875" style="488" customWidth="1"/>
    <col min="8971" max="8971" width="13.42578125" style="488" customWidth="1"/>
    <col min="8972" max="8972" width="12.7109375" style="488" customWidth="1"/>
    <col min="8973" max="8973" width="13.7109375" style="488" customWidth="1"/>
    <col min="8974" max="8974" width="13.85546875" style="488" customWidth="1"/>
    <col min="8975" max="9216" width="9.140625" style="488"/>
    <col min="9217" max="9217" width="4.42578125" style="488" customWidth="1"/>
    <col min="9218" max="9218" width="19.85546875" style="488" customWidth="1"/>
    <col min="9219" max="9219" width="12.28515625" style="488" customWidth="1"/>
    <col min="9220" max="9220" width="14.5703125" style="488" customWidth="1"/>
    <col min="9221" max="9221" width="12.7109375" style="488" customWidth="1"/>
    <col min="9222" max="9222" width="13.7109375" style="488" customWidth="1"/>
    <col min="9223" max="9223" width="13.140625" style="488" customWidth="1"/>
    <col min="9224" max="9224" width="13" style="488" customWidth="1"/>
    <col min="9225" max="9225" width="12.5703125" style="488" customWidth="1"/>
    <col min="9226" max="9226" width="12.85546875" style="488" customWidth="1"/>
    <col min="9227" max="9227" width="13.42578125" style="488" customWidth="1"/>
    <col min="9228" max="9228" width="12.7109375" style="488" customWidth="1"/>
    <col min="9229" max="9229" width="13.7109375" style="488" customWidth="1"/>
    <col min="9230" max="9230" width="13.85546875" style="488" customWidth="1"/>
    <col min="9231" max="9472" width="9.140625" style="488"/>
    <col min="9473" max="9473" width="4.42578125" style="488" customWidth="1"/>
    <col min="9474" max="9474" width="19.85546875" style="488" customWidth="1"/>
    <col min="9475" max="9475" width="12.28515625" style="488" customWidth="1"/>
    <col min="9476" max="9476" width="14.5703125" style="488" customWidth="1"/>
    <col min="9477" max="9477" width="12.7109375" style="488" customWidth="1"/>
    <col min="9478" max="9478" width="13.7109375" style="488" customWidth="1"/>
    <col min="9479" max="9479" width="13.140625" style="488" customWidth="1"/>
    <col min="9480" max="9480" width="13" style="488" customWidth="1"/>
    <col min="9481" max="9481" width="12.5703125" style="488" customWidth="1"/>
    <col min="9482" max="9482" width="12.85546875" style="488" customWidth="1"/>
    <col min="9483" max="9483" width="13.42578125" style="488" customWidth="1"/>
    <col min="9484" max="9484" width="12.7109375" style="488" customWidth="1"/>
    <col min="9485" max="9485" width="13.7109375" style="488" customWidth="1"/>
    <col min="9486" max="9486" width="13.85546875" style="488" customWidth="1"/>
    <col min="9487" max="9728" width="9.140625" style="488"/>
    <col min="9729" max="9729" width="4.42578125" style="488" customWidth="1"/>
    <col min="9730" max="9730" width="19.85546875" style="488" customWidth="1"/>
    <col min="9731" max="9731" width="12.28515625" style="488" customWidth="1"/>
    <col min="9732" max="9732" width="14.5703125" style="488" customWidth="1"/>
    <col min="9733" max="9733" width="12.7109375" style="488" customWidth="1"/>
    <col min="9734" max="9734" width="13.7109375" style="488" customWidth="1"/>
    <col min="9735" max="9735" width="13.140625" style="488" customWidth="1"/>
    <col min="9736" max="9736" width="13" style="488" customWidth="1"/>
    <col min="9737" max="9737" width="12.5703125" style="488" customWidth="1"/>
    <col min="9738" max="9738" width="12.85546875" style="488" customWidth="1"/>
    <col min="9739" max="9739" width="13.42578125" style="488" customWidth="1"/>
    <col min="9740" max="9740" width="12.7109375" style="488" customWidth="1"/>
    <col min="9741" max="9741" width="13.7109375" style="488" customWidth="1"/>
    <col min="9742" max="9742" width="13.85546875" style="488" customWidth="1"/>
    <col min="9743" max="9984" width="9.140625" style="488"/>
    <col min="9985" max="9985" width="4.42578125" style="488" customWidth="1"/>
    <col min="9986" max="9986" width="19.85546875" style="488" customWidth="1"/>
    <col min="9987" max="9987" width="12.28515625" style="488" customWidth="1"/>
    <col min="9988" max="9988" width="14.5703125" style="488" customWidth="1"/>
    <col min="9989" max="9989" width="12.7109375" style="488" customWidth="1"/>
    <col min="9990" max="9990" width="13.7109375" style="488" customWidth="1"/>
    <col min="9991" max="9991" width="13.140625" style="488" customWidth="1"/>
    <col min="9992" max="9992" width="13" style="488" customWidth="1"/>
    <col min="9993" max="9993" width="12.5703125" style="488" customWidth="1"/>
    <col min="9994" max="9994" width="12.85546875" style="488" customWidth="1"/>
    <col min="9995" max="9995" width="13.42578125" style="488" customWidth="1"/>
    <col min="9996" max="9996" width="12.7109375" style="488" customWidth="1"/>
    <col min="9997" max="9997" width="13.7109375" style="488" customWidth="1"/>
    <col min="9998" max="9998" width="13.85546875" style="488" customWidth="1"/>
    <col min="9999" max="10240" width="9.140625" style="488"/>
    <col min="10241" max="10241" width="4.42578125" style="488" customWidth="1"/>
    <col min="10242" max="10242" width="19.85546875" style="488" customWidth="1"/>
    <col min="10243" max="10243" width="12.28515625" style="488" customWidth="1"/>
    <col min="10244" max="10244" width="14.5703125" style="488" customWidth="1"/>
    <col min="10245" max="10245" width="12.7109375" style="488" customWidth="1"/>
    <col min="10246" max="10246" width="13.7109375" style="488" customWidth="1"/>
    <col min="10247" max="10247" width="13.140625" style="488" customWidth="1"/>
    <col min="10248" max="10248" width="13" style="488" customWidth="1"/>
    <col min="10249" max="10249" width="12.5703125" style="488" customWidth="1"/>
    <col min="10250" max="10250" width="12.85546875" style="488" customWidth="1"/>
    <col min="10251" max="10251" width="13.42578125" style="488" customWidth="1"/>
    <col min="10252" max="10252" width="12.7109375" style="488" customWidth="1"/>
    <col min="10253" max="10253" width="13.7109375" style="488" customWidth="1"/>
    <col min="10254" max="10254" width="13.85546875" style="488" customWidth="1"/>
    <col min="10255" max="10496" width="9.140625" style="488"/>
    <col min="10497" max="10497" width="4.42578125" style="488" customWidth="1"/>
    <col min="10498" max="10498" width="19.85546875" style="488" customWidth="1"/>
    <col min="10499" max="10499" width="12.28515625" style="488" customWidth="1"/>
    <col min="10500" max="10500" width="14.5703125" style="488" customWidth="1"/>
    <col min="10501" max="10501" width="12.7109375" style="488" customWidth="1"/>
    <col min="10502" max="10502" width="13.7109375" style="488" customWidth="1"/>
    <col min="10503" max="10503" width="13.140625" style="488" customWidth="1"/>
    <col min="10504" max="10504" width="13" style="488" customWidth="1"/>
    <col min="10505" max="10505" width="12.5703125" style="488" customWidth="1"/>
    <col min="10506" max="10506" width="12.85546875" style="488" customWidth="1"/>
    <col min="10507" max="10507" width="13.42578125" style="488" customWidth="1"/>
    <col min="10508" max="10508" width="12.7109375" style="488" customWidth="1"/>
    <col min="10509" max="10509" width="13.7109375" style="488" customWidth="1"/>
    <col min="10510" max="10510" width="13.85546875" style="488" customWidth="1"/>
    <col min="10511" max="10752" width="9.140625" style="488"/>
    <col min="10753" max="10753" width="4.42578125" style="488" customWidth="1"/>
    <col min="10754" max="10754" width="19.85546875" style="488" customWidth="1"/>
    <col min="10755" max="10755" width="12.28515625" style="488" customWidth="1"/>
    <col min="10756" max="10756" width="14.5703125" style="488" customWidth="1"/>
    <col min="10757" max="10757" width="12.7109375" style="488" customWidth="1"/>
    <col min="10758" max="10758" width="13.7109375" style="488" customWidth="1"/>
    <col min="10759" max="10759" width="13.140625" style="488" customWidth="1"/>
    <col min="10760" max="10760" width="13" style="488" customWidth="1"/>
    <col min="10761" max="10761" width="12.5703125" style="488" customWidth="1"/>
    <col min="10762" max="10762" width="12.85546875" style="488" customWidth="1"/>
    <col min="10763" max="10763" width="13.42578125" style="488" customWidth="1"/>
    <col min="10764" max="10764" width="12.7109375" style="488" customWidth="1"/>
    <col min="10765" max="10765" width="13.7109375" style="488" customWidth="1"/>
    <col min="10766" max="10766" width="13.85546875" style="488" customWidth="1"/>
    <col min="10767" max="11008" width="9.140625" style="488"/>
    <col min="11009" max="11009" width="4.42578125" style="488" customWidth="1"/>
    <col min="11010" max="11010" width="19.85546875" style="488" customWidth="1"/>
    <col min="11011" max="11011" width="12.28515625" style="488" customWidth="1"/>
    <col min="11012" max="11012" width="14.5703125" style="488" customWidth="1"/>
    <col min="11013" max="11013" width="12.7109375" style="488" customWidth="1"/>
    <col min="11014" max="11014" width="13.7109375" style="488" customWidth="1"/>
    <col min="11015" max="11015" width="13.140625" style="488" customWidth="1"/>
    <col min="11016" max="11016" width="13" style="488" customWidth="1"/>
    <col min="11017" max="11017" width="12.5703125" style="488" customWidth="1"/>
    <col min="11018" max="11018" width="12.85546875" style="488" customWidth="1"/>
    <col min="11019" max="11019" width="13.42578125" style="488" customWidth="1"/>
    <col min="11020" max="11020" width="12.7109375" style="488" customWidth="1"/>
    <col min="11021" max="11021" width="13.7109375" style="488" customWidth="1"/>
    <col min="11022" max="11022" width="13.85546875" style="488" customWidth="1"/>
    <col min="11023" max="11264" width="9.140625" style="488"/>
    <col min="11265" max="11265" width="4.42578125" style="488" customWidth="1"/>
    <col min="11266" max="11266" width="19.85546875" style="488" customWidth="1"/>
    <col min="11267" max="11267" width="12.28515625" style="488" customWidth="1"/>
    <col min="11268" max="11268" width="14.5703125" style="488" customWidth="1"/>
    <col min="11269" max="11269" width="12.7109375" style="488" customWidth="1"/>
    <col min="11270" max="11270" width="13.7109375" style="488" customWidth="1"/>
    <col min="11271" max="11271" width="13.140625" style="488" customWidth="1"/>
    <col min="11272" max="11272" width="13" style="488" customWidth="1"/>
    <col min="11273" max="11273" width="12.5703125" style="488" customWidth="1"/>
    <col min="11274" max="11274" width="12.85546875" style="488" customWidth="1"/>
    <col min="11275" max="11275" width="13.42578125" style="488" customWidth="1"/>
    <col min="11276" max="11276" width="12.7109375" style="488" customWidth="1"/>
    <col min="11277" max="11277" width="13.7109375" style="488" customWidth="1"/>
    <col min="11278" max="11278" width="13.85546875" style="488" customWidth="1"/>
    <col min="11279" max="11520" width="9.140625" style="488"/>
    <col min="11521" max="11521" width="4.42578125" style="488" customWidth="1"/>
    <col min="11522" max="11522" width="19.85546875" style="488" customWidth="1"/>
    <col min="11523" max="11523" width="12.28515625" style="488" customWidth="1"/>
    <col min="11524" max="11524" width="14.5703125" style="488" customWidth="1"/>
    <col min="11525" max="11525" width="12.7109375" style="488" customWidth="1"/>
    <col min="11526" max="11526" width="13.7109375" style="488" customWidth="1"/>
    <col min="11527" max="11527" width="13.140625" style="488" customWidth="1"/>
    <col min="11528" max="11528" width="13" style="488" customWidth="1"/>
    <col min="11529" max="11529" width="12.5703125" style="488" customWidth="1"/>
    <col min="11530" max="11530" width="12.85546875" style="488" customWidth="1"/>
    <col min="11531" max="11531" width="13.42578125" style="488" customWidth="1"/>
    <col min="11532" max="11532" width="12.7109375" style="488" customWidth="1"/>
    <col min="11533" max="11533" width="13.7109375" style="488" customWidth="1"/>
    <col min="11534" max="11534" width="13.85546875" style="488" customWidth="1"/>
    <col min="11535" max="11776" width="9.140625" style="488"/>
    <col min="11777" max="11777" width="4.42578125" style="488" customWidth="1"/>
    <col min="11778" max="11778" width="19.85546875" style="488" customWidth="1"/>
    <col min="11779" max="11779" width="12.28515625" style="488" customWidth="1"/>
    <col min="11780" max="11780" width="14.5703125" style="488" customWidth="1"/>
    <col min="11781" max="11781" width="12.7109375" style="488" customWidth="1"/>
    <col min="11782" max="11782" width="13.7109375" style="488" customWidth="1"/>
    <col min="11783" max="11783" width="13.140625" style="488" customWidth="1"/>
    <col min="11784" max="11784" width="13" style="488" customWidth="1"/>
    <col min="11785" max="11785" width="12.5703125" style="488" customWidth="1"/>
    <col min="11786" max="11786" width="12.85546875" style="488" customWidth="1"/>
    <col min="11787" max="11787" width="13.42578125" style="488" customWidth="1"/>
    <col min="11788" max="11788" width="12.7109375" style="488" customWidth="1"/>
    <col min="11789" max="11789" width="13.7109375" style="488" customWidth="1"/>
    <col min="11790" max="11790" width="13.85546875" style="488" customWidth="1"/>
    <col min="11791" max="12032" width="9.140625" style="488"/>
    <col min="12033" max="12033" width="4.42578125" style="488" customWidth="1"/>
    <col min="12034" max="12034" width="19.85546875" style="488" customWidth="1"/>
    <col min="12035" max="12035" width="12.28515625" style="488" customWidth="1"/>
    <col min="12036" max="12036" width="14.5703125" style="488" customWidth="1"/>
    <col min="12037" max="12037" width="12.7109375" style="488" customWidth="1"/>
    <col min="12038" max="12038" width="13.7109375" style="488" customWidth="1"/>
    <col min="12039" max="12039" width="13.140625" style="488" customWidth="1"/>
    <col min="12040" max="12040" width="13" style="488" customWidth="1"/>
    <col min="12041" max="12041" width="12.5703125" style="488" customWidth="1"/>
    <col min="12042" max="12042" width="12.85546875" style="488" customWidth="1"/>
    <col min="12043" max="12043" width="13.42578125" style="488" customWidth="1"/>
    <col min="12044" max="12044" width="12.7109375" style="488" customWidth="1"/>
    <col min="12045" max="12045" width="13.7109375" style="488" customWidth="1"/>
    <col min="12046" max="12046" width="13.85546875" style="488" customWidth="1"/>
    <col min="12047" max="12288" width="9.140625" style="488"/>
    <col min="12289" max="12289" width="4.42578125" style="488" customWidth="1"/>
    <col min="12290" max="12290" width="19.85546875" style="488" customWidth="1"/>
    <col min="12291" max="12291" width="12.28515625" style="488" customWidth="1"/>
    <col min="12292" max="12292" width="14.5703125" style="488" customWidth="1"/>
    <col min="12293" max="12293" width="12.7109375" style="488" customWidth="1"/>
    <col min="12294" max="12294" width="13.7109375" style="488" customWidth="1"/>
    <col min="12295" max="12295" width="13.140625" style="488" customWidth="1"/>
    <col min="12296" max="12296" width="13" style="488" customWidth="1"/>
    <col min="12297" max="12297" width="12.5703125" style="488" customWidth="1"/>
    <col min="12298" max="12298" width="12.85546875" style="488" customWidth="1"/>
    <col min="12299" max="12299" width="13.42578125" style="488" customWidth="1"/>
    <col min="12300" max="12300" width="12.7109375" style="488" customWidth="1"/>
    <col min="12301" max="12301" width="13.7109375" style="488" customWidth="1"/>
    <col min="12302" max="12302" width="13.85546875" style="488" customWidth="1"/>
    <col min="12303" max="12544" width="9.140625" style="488"/>
    <col min="12545" max="12545" width="4.42578125" style="488" customWidth="1"/>
    <col min="12546" max="12546" width="19.85546875" style="488" customWidth="1"/>
    <col min="12547" max="12547" width="12.28515625" style="488" customWidth="1"/>
    <col min="12548" max="12548" width="14.5703125" style="488" customWidth="1"/>
    <col min="12549" max="12549" width="12.7109375" style="488" customWidth="1"/>
    <col min="12550" max="12550" width="13.7109375" style="488" customWidth="1"/>
    <col min="12551" max="12551" width="13.140625" style="488" customWidth="1"/>
    <col min="12552" max="12552" width="13" style="488" customWidth="1"/>
    <col min="12553" max="12553" width="12.5703125" style="488" customWidth="1"/>
    <col min="12554" max="12554" width="12.85546875" style="488" customWidth="1"/>
    <col min="12555" max="12555" width="13.42578125" style="488" customWidth="1"/>
    <col min="12556" max="12556" width="12.7109375" style="488" customWidth="1"/>
    <col min="12557" max="12557" width="13.7109375" style="488" customWidth="1"/>
    <col min="12558" max="12558" width="13.85546875" style="488" customWidth="1"/>
    <col min="12559" max="12800" width="9.140625" style="488"/>
    <col min="12801" max="12801" width="4.42578125" style="488" customWidth="1"/>
    <col min="12802" max="12802" width="19.85546875" style="488" customWidth="1"/>
    <col min="12803" max="12803" width="12.28515625" style="488" customWidth="1"/>
    <col min="12804" max="12804" width="14.5703125" style="488" customWidth="1"/>
    <col min="12805" max="12805" width="12.7109375" style="488" customWidth="1"/>
    <col min="12806" max="12806" width="13.7109375" style="488" customWidth="1"/>
    <col min="12807" max="12807" width="13.140625" style="488" customWidth="1"/>
    <col min="12808" max="12808" width="13" style="488" customWidth="1"/>
    <col min="12809" max="12809" width="12.5703125" style="488" customWidth="1"/>
    <col min="12810" max="12810" width="12.85546875" style="488" customWidth="1"/>
    <col min="12811" max="12811" width="13.42578125" style="488" customWidth="1"/>
    <col min="12812" max="12812" width="12.7109375" style="488" customWidth="1"/>
    <col min="12813" max="12813" width="13.7109375" style="488" customWidth="1"/>
    <col min="12814" max="12814" width="13.85546875" style="488" customWidth="1"/>
    <col min="12815" max="13056" width="9.140625" style="488"/>
    <col min="13057" max="13057" width="4.42578125" style="488" customWidth="1"/>
    <col min="13058" max="13058" width="19.85546875" style="488" customWidth="1"/>
    <col min="13059" max="13059" width="12.28515625" style="488" customWidth="1"/>
    <col min="13060" max="13060" width="14.5703125" style="488" customWidth="1"/>
    <col min="13061" max="13061" width="12.7109375" style="488" customWidth="1"/>
    <col min="13062" max="13062" width="13.7109375" style="488" customWidth="1"/>
    <col min="13063" max="13063" width="13.140625" style="488" customWidth="1"/>
    <col min="13064" max="13064" width="13" style="488" customWidth="1"/>
    <col min="13065" max="13065" width="12.5703125" style="488" customWidth="1"/>
    <col min="13066" max="13066" width="12.85546875" style="488" customWidth="1"/>
    <col min="13067" max="13067" width="13.42578125" style="488" customWidth="1"/>
    <col min="13068" max="13068" width="12.7109375" style="488" customWidth="1"/>
    <col min="13069" max="13069" width="13.7109375" style="488" customWidth="1"/>
    <col min="13070" max="13070" width="13.85546875" style="488" customWidth="1"/>
    <col min="13071" max="13312" width="9.140625" style="488"/>
    <col min="13313" max="13313" width="4.42578125" style="488" customWidth="1"/>
    <col min="13314" max="13314" width="19.85546875" style="488" customWidth="1"/>
    <col min="13315" max="13315" width="12.28515625" style="488" customWidth="1"/>
    <col min="13316" max="13316" width="14.5703125" style="488" customWidth="1"/>
    <col min="13317" max="13317" width="12.7109375" style="488" customWidth="1"/>
    <col min="13318" max="13318" width="13.7109375" style="488" customWidth="1"/>
    <col min="13319" max="13319" width="13.140625" style="488" customWidth="1"/>
    <col min="13320" max="13320" width="13" style="488" customWidth="1"/>
    <col min="13321" max="13321" width="12.5703125" style="488" customWidth="1"/>
    <col min="13322" max="13322" width="12.85546875" style="488" customWidth="1"/>
    <col min="13323" max="13323" width="13.42578125" style="488" customWidth="1"/>
    <col min="13324" max="13324" width="12.7109375" style="488" customWidth="1"/>
    <col min="13325" max="13325" width="13.7109375" style="488" customWidth="1"/>
    <col min="13326" max="13326" width="13.85546875" style="488" customWidth="1"/>
    <col min="13327" max="13568" width="9.140625" style="488"/>
    <col min="13569" max="13569" width="4.42578125" style="488" customWidth="1"/>
    <col min="13570" max="13570" width="19.85546875" style="488" customWidth="1"/>
    <col min="13571" max="13571" width="12.28515625" style="488" customWidth="1"/>
    <col min="13572" max="13572" width="14.5703125" style="488" customWidth="1"/>
    <col min="13573" max="13573" width="12.7109375" style="488" customWidth="1"/>
    <col min="13574" max="13574" width="13.7109375" style="488" customWidth="1"/>
    <col min="13575" max="13575" width="13.140625" style="488" customWidth="1"/>
    <col min="13576" max="13576" width="13" style="488" customWidth="1"/>
    <col min="13577" max="13577" width="12.5703125" style="488" customWidth="1"/>
    <col min="13578" max="13578" width="12.85546875" style="488" customWidth="1"/>
    <col min="13579" max="13579" width="13.42578125" style="488" customWidth="1"/>
    <col min="13580" max="13580" width="12.7109375" style="488" customWidth="1"/>
    <col min="13581" max="13581" width="13.7109375" style="488" customWidth="1"/>
    <col min="13582" max="13582" width="13.85546875" style="488" customWidth="1"/>
    <col min="13583" max="13824" width="9.140625" style="488"/>
    <col min="13825" max="13825" width="4.42578125" style="488" customWidth="1"/>
    <col min="13826" max="13826" width="19.85546875" style="488" customWidth="1"/>
    <col min="13827" max="13827" width="12.28515625" style="488" customWidth="1"/>
    <col min="13828" max="13828" width="14.5703125" style="488" customWidth="1"/>
    <col min="13829" max="13829" width="12.7109375" style="488" customWidth="1"/>
    <col min="13830" max="13830" width="13.7109375" style="488" customWidth="1"/>
    <col min="13831" max="13831" width="13.140625" style="488" customWidth="1"/>
    <col min="13832" max="13832" width="13" style="488" customWidth="1"/>
    <col min="13833" max="13833" width="12.5703125" style="488" customWidth="1"/>
    <col min="13834" max="13834" width="12.85546875" style="488" customWidth="1"/>
    <col min="13835" max="13835" width="13.42578125" style="488" customWidth="1"/>
    <col min="13836" max="13836" width="12.7109375" style="488" customWidth="1"/>
    <col min="13837" max="13837" width="13.7109375" style="488" customWidth="1"/>
    <col min="13838" max="13838" width="13.85546875" style="488" customWidth="1"/>
    <col min="13839" max="14080" width="9.140625" style="488"/>
    <col min="14081" max="14081" width="4.42578125" style="488" customWidth="1"/>
    <col min="14082" max="14082" width="19.85546875" style="488" customWidth="1"/>
    <col min="14083" max="14083" width="12.28515625" style="488" customWidth="1"/>
    <col min="14084" max="14084" width="14.5703125" style="488" customWidth="1"/>
    <col min="14085" max="14085" width="12.7109375" style="488" customWidth="1"/>
    <col min="14086" max="14086" width="13.7109375" style="488" customWidth="1"/>
    <col min="14087" max="14087" width="13.140625" style="488" customWidth="1"/>
    <col min="14088" max="14088" width="13" style="488" customWidth="1"/>
    <col min="14089" max="14089" width="12.5703125" style="488" customWidth="1"/>
    <col min="14090" max="14090" width="12.85546875" style="488" customWidth="1"/>
    <col min="14091" max="14091" width="13.42578125" style="488" customWidth="1"/>
    <col min="14092" max="14092" width="12.7109375" style="488" customWidth="1"/>
    <col min="14093" max="14093" width="13.7109375" style="488" customWidth="1"/>
    <col min="14094" max="14094" width="13.85546875" style="488" customWidth="1"/>
    <col min="14095" max="14336" width="9.140625" style="488"/>
    <col min="14337" max="14337" width="4.42578125" style="488" customWidth="1"/>
    <col min="14338" max="14338" width="19.85546875" style="488" customWidth="1"/>
    <col min="14339" max="14339" width="12.28515625" style="488" customWidth="1"/>
    <col min="14340" max="14340" width="14.5703125" style="488" customWidth="1"/>
    <col min="14341" max="14341" width="12.7109375" style="488" customWidth="1"/>
    <col min="14342" max="14342" width="13.7109375" style="488" customWidth="1"/>
    <col min="14343" max="14343" width="13.140625" style="488" customWidth="1"/>
    <col min="14344" max="14344" width="13" style="488" customWidth="1"/>
    <col min="14345" max="14345" width="12.5703125" style="488" customWidth="1"/>
    <col min="14346" max="14346" width="12.85546875" style="488" customWidth="1"/>
    <col min="14347" max="14347" width="13.42578125" style="488" customWidth="1"/>
    <col min="14348" max="14348" width="12.7109375" style="488" customWidth="1"/>
    <col min="14349" max="14349" width="13.7109375" style="488" customWidth="1"/>
    <col min="14350" max="14350" width="13.85546875" style="488" customWidth="1"/>
    <col min="14351" max="14592" width="9.140625" style="488"/>
    <col min="14593" max="14593" width="4.42578125" style="488" customWidth="1"/>
    <col min="14594" max="14594" width="19.85546875" style="488" customWidth="1"/>
    <col min="14595" max="14595" width="12.28515625" style="488" customWidth="1"/>
    <col min="14596" max="14596" width="14.5703125" style="488" customWidth="1"/>
    <col min="14597" max="14597" width="12.7109375" style="488" customWidth="1"/>
    <col min="14598" max="14598" width="13.7109375" style="488" customWidth="1"/>
    <col min="14599" max="14599" width="13.140625" style="488" customWidth="1"/>
    <col min="14600" max="14600" width="13" style="488" customWidth="1"/>
    <col min="14601" max="14601" width="12.5703125" style="488" customWidth="1"/>
    <col min="14602" max="14602" width="12.85546875" style="488" customWidth="1"/>
    <col min="14603" max="14603" width="13.42578125" style="488" customWidth="1"/>
    <col min="14604" max="14604" width="12.7109375" style="488" customWidth="1"/>
    <col min="14605" max="14605" width="13.7109375" style="488" customWidth="1"/>
    <col min="14606" max="14606" width="13.85546875" style="488" customWidth="1"/>
    <col min="14607" max="14848" width="9.140625" style="488"/>
    <col min="14849" max="14849" width="4.42578125" style="488" customWidth="1"/>
    <col min="14850" max="14850" width="19.85546875" style="488" customWidth="1"/>
    <col min="14851" max="14851" width="12.28515625" style="488" customWidth="1"/>
    <col min="14852" max="14852" width="14.5703125" style="488" customWidth="1"/>
    <col min="14853" max="14853" width="12.7109375" style="488" customWidth="1"/>
    <col min="14854" max="14854" width="13.7109375" style="488" customWidth="1"/>
    <col min="14855" max="14855" width="13.140625" style="488" customWidth="1"/>
    <col min="14856" max="14856" width="13" style="488" customWidth="1"/>
    <col min="14857" max="14857" width="12.5703125" style="488" customWidth="1"/>
    <col min="14858" max="14858" width="12.85546875" style="488" customWidth="1"/>
    <col min="14859" max="14859" width="13.42578125" style="488" customWidth="1"/>
    <col min="14860" max="14860" width="12.7109375" style="488" customWidth="1"/>
    <col min="14861" max="14861" width="13.7109375" style="488" customWidth="1"/>
    <col min="14862" max="14862" width="13.85546875" style="488" customWidth="1"/>
    <col min="14863" max="15104" width="9.140625" style="488"/>
    <col min="15105" max="15105" width="4.42578125" style="488" customWidth="1"/>
    <col min="15106" max="15106" width="19.85546875" style="488" customWidth="1"/>
    <col min="15107" max="15107" width="12.28515625" style="488" customWidth="1"/>
    <col min="15108" max="15108" width="14.5703125" style="488" customWidth="1"/>
    <col min="15109" max="15109" width="12.7109375" style="488" customWidth="1"/>
    <col min="15110" max="15110" width="13.7109375" style="488" customWidth="1"/>
    <col min="15111" max="15111" width="13.140625" style="488" customWidth="1"/>
    <col min="15112" max="15112" width="13" style="488" customWidth="1"/>
    <col min="15113" max="15113" width="12.5703125" style="488" customWidth="1"/>
    <col min="15114" max="15114" width="12.85546875" style="488" customWidth="1"/>
    <col min="15115" max="15115" width="13.42578125" style="488" customWidth="1"/>
    <col min="15116" max="15116" width="12.7109375" style="488" customWidth="1"/>
    <col min="15117" max="15117" width="13.7109375" style="488" customWidth="1"/>
    <col min="15118" max="15118" width="13.85546875" style="488" customWidth="1"/>
    <col min="15119" max="15360" width="9.140625" style="488"/>
    <col min="15361" max="15361" width="4.42578125" style="488" customWidth="1"/>
    <col min="15362" max="15362" width="19.85546875" style="488" customWidth="1"/>
    <col min="15363" max="15363" width="12.28515625" style="488" customWidth="1"/>
    <col min="15364" max="15364" width="14.5703125" style="488" customWidth="1"/>
    <col min="15365" max="15365" width="12.7109375" style="488" customWidth="1"/>
    <col min="15366" max="15366" width="13.7109375" style="488" customWidth="1"/>
    <col min="15367" max="15367" width="13.140625" style="488" customWidth="1"/>
    <col min="15368" max="15368" width="13" style="488" customWidth="1"/>
    <col min="15369" max="15369" width="12.5703125" style="488" customWidth="1"/>
    <col min="15370" max="15370" width="12.85546875" style="488" customWidth="1"/>
    <col min="15371" max="15371" width="13.42578125" style="488" customWidth="1"/>
    <col min="15372" max="15372" width="12.7109375" style="488" customWidth="1"/>
    <col min="15373" max="15373" width="13.7109375" style="488" customWidth="1"/>
    <col min="15374" max="15374" width="13.85546875" style="488" customWidth="1"/>
    <col min="15375" max="15616" width="9.140625" style="488"/>
    <col min="15617" max="15617" width="4.42578125" style="488" customWidth="1"/>
    <col min="15618" max="15618" width="19.85546875" style="488" customWidth="1"/>
    <col min="15619" max="15619" width="12.28515625" style="488" customWidth="1"/>
    <col min="15620" max="15620" width="14.5703125" style="488" customWidth="1"/>
    <col min="15621" max="15621" width="12.7109375" style="488" customWidth="1"/>
    <col min="15622" max="15622" width="13.7109375" style="488" customWidth="1"/>
    <col min="15623" max="15623" width="13.140625" style="488" customWidth="1"/>
    <col min="15624" max="15624" width="13" style="488" customWidth="1"/>
    <col min="15625" max="15625" width="12.5703125" style="488" customWidth="1"/>
    <col min="15626" max="15626" width="12.85546875" style="488" customWidth="1"/>
    <col min="15627" max="15627" width="13.42578125" style="488" customWidth="1"/>
    <col min="15628" max="15628" width="12.7109375" style="488" customWidth="1"/>
    <col min="15629" max="15629" width="13.7109375" style="488" customWidth="1"/>
    <col min="15630" max="15630" width="13.85546875" style="488" customWidth="1"/>
    <col min="15631" max="15872" width="9.140625" style="488"/>
    <col min="15873" max="15873" width="4.42578125" style="488" customWidth="1"/>
    <col min="15874" max="15874" width="19.85546875" style="488" customWidth="1"/>
    <col min="15875" max="15875" width="12.28515625" style="488" customWidth="1"/>
    <col min="15876" max="15876" width="14.5703125" style="488" customWidth="1"/>
    <col min="15877" max="15877" width="12.7109375" style="488" customWidth="1"/>
    <col min="15878" max="15878" width="13.7109375" style="488" customWidth="1"/>
    <col min="15879" max="15879" width="13.140625" style="488" customWidth="1"/>
    <col min="15880" max="15880" width="13" style="488" customWidth="1"/>
    <col min="15881" max="15881" width="12.5703125" style="488" customWidth="1"/>
    <col min="15882" max="15882" width="12.85546875" style="488" customWidth="1"/>
    <col min="15883" max="15883" width="13.42578125" style="488" customWidth="1"/>
    <col min="15884" max="15884" width="12.7109375" style="488" customWidth="1"/>
    <col min="15885" max="15885" width="13.7109375" style="488" customWidth="1"/>
    <col min="15886" max="15886" width="13.85546875" style="488" customWidth="1"/>
    <col min="15887" max="16128" width="9.140625" style="488"/>
    <col min="16129" max="16129" width="4.42578125" style="488" customWidth="1"/>
    <col min="16130" max="16130" width="19.85546875" style="488" customWidth="1"/>
    <col min="16131" max="16131" width="12.28515625" style="488" customWidth="1"/>
    <col min="16132" max="16132" width="14.5703125" style="488" customWidth="1"/>
    <col min="16133" max="16133" width="12.7109375" style="488" customWidth="1"/>
    <col min="16134" max="16134" width="13.7109375" style="488" customWidth="1"/>
    <col min="16135" max="16135" width="13.140625" style="488" customWidth="1"/>
    <col min="16136" max="16136" width="13" style="488" customWidth="1"/>
    <col min="16137" max="16137" width="12.5703125" style="488" customWidth="1"/>
    <col min="16138" max="16138" width="12.85546875" style="488" customWidth="1"/>
    <col min="16139" max="16139" width="13.42578125" style="488" customWidth="1"/>
    <col min="16140" max="16140" width="12.7109375" style="488" customWidth="1"/>
    <col min="16141" max="16141" width="13.7109375" style="488" customWidth="1"/>
    <col min="16142" max="16142" width="13.85546875" style="488" customWidth="1"/>
    <col min="16143" max="16384" width="9.140625" style="488"/>
  </cols>
  <sheetData>
    <row r="1" spans="1:19" ht="18.75" customHeight="1">
      <c r="A1" s="487"/>
      <c r="B1" s="487"/>
      <c r="C1" s="487"/>
      <c r="D1" s="487"/>
      <c r="E1" s="487"/>
      <c r="F1" s="487"/>
      <c r="G1" s="487"/>
      <c r="H1" s="487"/>
      <c r="I1" s="487"/>
      <c r="J1" s="487"/>
      <c r="K1" s="487"/>
      <c r="L1" s="487"/>
      <c r="M1" s="1211" t="s">
        <v>948</v>
      </c>
      <c r="N1" s="1211"/>
    </row>
    <row r="2" spans="1:19" s="491" customFormat="1" ht="18.75" customHeight="1">
      <c r="A2" s="1212" t="s">
        <v>947</v>
      </c>
      <c r="B2" s="1212"/>
      <c r="C2" s="1212"/>
      <c r="D2" s="1212"/>
      <c r="E2" s="1212"/>
      <c r="F2" s="1212"/>
      <c r="G2" s="1212"/>
      <c r="H2" s="1212"/>
      <c r="I2" s="1212"/>
      <c r="J2" s="1212"/>
      <c r="K2" s="1212"/>
      <c r="L2" s="1212"/>
      <c r="M2" s="1212"/>
      <c r="N2" s="1212"/>
      <c r="O2" s="490"/>
      <c r="P2" s="490"/>
    </row>
    <row r="3" spans="1:19" s="491" customFormat="1" ht="18.75">
      <c r="A3" s="1213" t="s">
        <v>1323</v>
      </c>
      <c r="B3" s="1214"/>
      <c r="C3" s="1214"/>
      <c r="D3" s="1214"/>
      <c r="E3" s="1214"/>
      <c r="F3" s="1214"/>
      <c r="G3" s="1214"/>
      <c r="H3" s="1214"/>
      <c r="I3" s="1214"/>
      <c r="J3" s="1214"/>
      <c r="K3" s="1214"/>
      <c r="L3" s="1214"/>
      <c r="M3" s="1214"/>
      <c r="N3" s="1214"/>
      <c r="O3" s="492"/>
      <c r="P3" s="492"/>
      <c r="Q3" s="492"/>
      <c r="R3" s="492"/>
      <c r="S3" s="492"/>
    </row>
    <row r="4" spans="1:19">
      <c r="N4" s="493" t="s">
        <v>213</v>
      </c>
    </row>
    <row r="5" spans="1:19" ht="63" customHeight="1">
      <c r="A5" s="1215" t="s">
        <v>214</v>
      </c>
      <c r="B5" s="1208" t="s">
        <v>949</v>
      </c>
      <c r="C5" s="1208" t="s">
        <v>950</v>
      </c>
      <c r="D5" s="1206" t="s">
        <v>951</v>
      </c>
      <c r="E5" s="1207"/>
      <c r="F5" s="1208" t="s">
        <v>952</v>
      </c>
      <c r="G5" s="1217" t="s">
        <v>240</v>
      </c>
      <c r="H5" s="1218"/>
      <c r="I5" s="1219"/>
      <c r="J5" s="1206" t="s">
        <v>953</v>
      </c>
      <c r="K5" s="1207"/>
      <c r="L5" s="1208" t="s">
        <v>954</v>
      </c>
      <c r="M5" s="1208" t="s">
        <v>955</v>
      </c>
      <c r="N5" s="1208" t="s">
        <v>956</v>
      </c>
    </row>
    <row r="6" spans="1:19" ht="99.75" customHeight="1">
      <c r="A6" s="1216"/>
      <c r="B6" s="1210" t="s">
        <v>949</v>
      </c>
      <c r="C6" s="1209"/>
      <c r="D6" s="494" t="s">
        <v>957</v>
      </c>
      <c r="E6" s="494" t="s">
        <v>225</v>
      </c>
      <c r="F6" s="1209"/>
      <c r="G6" s="495" t="s">
        <v>958</v>
      </c>
      <c r="H6" s="495" t="s">
        <v>959</v>
      </c>
      <c r="I6" s="495" t="s">
        <v>960</v>
      </c>
      <c r="J6" s="494" t="s">
        <v>961</v>
      </c>
      <c r="K6" s="494" t="s">
        <v>225</v>
      </c>
      <c r="L6" s="1209"/>
      <c r="M6" s="1209"/>
      <c r="N6" s="1210"/>
    </row>
    <row r="7" spans="1:19" s="832" customFormat="1" ht="30" customHeight="1">
      <c r="A7" s="831" t="s">
        <v>218</v>
      </c>
      <c r="B7" s="831" t="s">
        <v>219</v>
      </c>
      <c r="C7" s="831">
        <v>1</v>
      </c>
      <c r="D7" s="831">
        <v>2</v>
      </c>
      <c r="E7" s="831" t="s">
        <v>962</v>
      </c>
      <c r="F7" s="831">
        <v>4</v>
      </c>
      <c r="G7" s="831">
        <v>5</v>
      </c>
      <c r="H7" s="831">
        <v>6</v>
      </c>
      <c r="I7" s="831">
        <v>7</v>
      </c>
      <c r="J7" s="831">
        <v>8</v>
      </c>
      <c r="K7" s="831" t="s">
        <v>963</v>
      </c>
      <c r="L7" s="831">
        <v>10</v>
      </c>
      <c r="M7" s="831">
        <v>11</v>
      </c>
      <c r="N7" s="831">
        <v>12</v>
      </c>
    </row>
    <row r="8" spans="1:19" ht="30" customHeight="1">
      <c r="A8" s="825"/>
      <c r="B8" s="826" t="s">
        <v>225</v>
      </c>
      <c r="C8" s="833">
        <f>SUM(C9:C99)</f>
        <v>12</v>
      </c>
      <c r="D8" s="833">
        <f t="shared" ref="D8:N8" si="0">SUM(D9:D99)</f>
        <v>69</v>
      </c>
      <c r="E8" s="833">
        <f t="shared" si="0"/>
        <v>282</v>
      </c>
      <c r="F8" s="833">
        <f t="shared" si="0"/>
        <v>282</v>
      </c>
      <c r="G8" s="834">
        <f t="shared" si="0"/>
        <v>6.1119523809523804</v>
      </c>
      <c r="H8" s="833">
        <f t="shared" si="0"/>
        <v>4.9154999999999998</v>
      </c>
      <c r="I8" s="833">
        <f t="shared" si="0"/>
        <v>1.9010000000000002</v>
      </c>
      <c r="J8" s="833">
        <f t="shared" si="0"/>
        <v>63</v>
      </c>
      <c r="K8" s="833">
        <f t="shared" si="0"/>
        <v>258</v>
      </c>
      <c r="L8" s="833">
        <f>SUM(L9:L99)</f>
        <v>24</v>
      </c>
      <c r="M8" s="835">
        <f t="shared" si="0"/>
        <v>165.75192809523807</v>
      </c>
      <c r="N8" s="835">
        <f t="shared" si="0"/>
        <v>994.5115685714286</v>
      </c>
    </row>
    <row r="9" spans="1:19" ht="30" customHeight="1">
      <c r="A9" s="827">
        <v>1</v>
      </c>
      <c r="B9" s="825" t="s">
        <v>964</v>
      </c>
      <c r="C9" s="836">
        <v>4</v>
      </c>
      <c r="D9" s="836">
        <v>25</v>
      </c>
      <c r="E9" s="836">
        <f>C9*D9</f>
        <v>100</v>
      </c>
      <c r="F9" s="836">
        <v>100</v>
      </c>
      <c r="G9" s="837">
        <f>2.554</f>
        <v>2.5539999999999998</v>
      </c>
      <c r="H9" s="837">
        <f>55.85/25</f>
        <v>2.234</v>
      </c>
      <c r="I9" s="837">
        <f>20.6/25</f>
        <v>0.82400000000000007</v>
      </c>
      <c r="J9" s="836">
        <v>23</v>
      </c>
      <c r="K9" s="836">
        <f>C9*J9</f>
        <v>92</v>
      </c>
      <c r="L9" s="836">
        <f>F9-K9</f>
        <v>8</v>
      </c>
      <c r="M9" s="838">
        <f>(G9+H9+I9)*L9*1.49</f>
        <v>66.895039999999995</v>
      </c>
      <c r="N9" s="839">
        <f>M9*6</f>
        <v>401.37023999999997</v>
      </c>
    </row>
    <row r="10" spans="1:19" ht="30" customHeight="1">
      <c r="A10" s="827"/>
      <c r="B10" s="825"/>
      <c r="C10" s="836"/>
      <c r="D10" s="836"/>
      <c r="E10" s="836"/>
      <c r="F10" s="836"/>
      <c r="G10" s="837"/>
      <c r="H10" s="837"/>
      <c r="I10" s="837"/>
      <c r="J10" s="836"/>
      <c r="K10" s="836"/>
      <c r="L10" s="836"/>
      <c r="M10" s="838"/>
      <c r="N10" s="839"/>
    </row>
    <row r="11" spans="1:19" ht="30" customHeight="1">
      <c r="A11" s="827"/>
      <c r="B11" s="825"/>
      <c r="C11" s="836"/>
      <c r="D11" s="836"/>
      <c r="E11" s="836"/>
      <c r="F11" s="836"/>
      <c r="G11" s="837"/>
      <c r="H11" s="837"/>
      <c r="I11" s="837"/>
      <c r="J11" s="836"/>
      <c r="K11" s="836"/>
      <c r="L11" s="836"/>
      <c r="M11" s="838"/>
      <c r="N11" s="839"/>
    </row>
    <row r="12" spans="1:19" ht="30" customHeight="1">
      <c r="A12" s="827"/>
      <c r="B12" s="825"/>
      <c r="C12" s="836"/>
      <c r="D12" s="836"/>
      <c r="E12" s="836"/>
      <c r="F12" s="836"/>
      <c r="G12" s="837"/>
      <c r="H12" s="837"/>
      <c r="I12" s="837"/>
      <c r="J12" s="836"/>
      <c r="K12" s="836"/>
      <c r="L12" s="836"/>
      <c r="M12" s="838"/>
      <c r="N12" s="839"/>
    </row>
    <row r="13" spans="1:19" ht="30" customHeight="1">
      <c r="A13" s="827"/>
      <c r="B13" s="825"/>
      <c r="C13" s="836"/>
      <c r="D13" s="836"/>
      <c r="E13" s="836"/>
      <c r="F13" s="836"/>
      <c r="G13" s="837"/>
      <c r="H13" s="837"/>
      <c r="I13" s="837"/>
      <c r="J13" s="836"/>
      <c r="K13" s="836"/>
      <c r="L13" s="836"/>
      <c r="M13" s="838"/>
      <c r="N13" s="839"/>
    </row>
    <row r="14" spans="1:19" ht="30" customHeight="1">
      <c r="A14" s="827"/>
      <c r="B14" s="825"/>
      <c r="C14" s="836"/>
      <c r="D14" s="836"/>
      <c r="E14" s="836"/>
      <c r="F14" s="836"/>
      <c r="G14" s="837"/>
      <c r="H14" s="837"/>
      <c r="I14" s="837"/>
      <c r="J14" s="836"/>
      <c r="K14" s="836"/>
      <c r="L14" s="836"/>
      <c r="M14" s="838"/>
      <c r="N14" s="839"/>
    </row>
    <row r="15" spans="1:19" ht="30" customHeight="1">
      <c r="A15" s="827"/>
      <c r="B15" s="825"/>
      <c r="C15" s="836"/>
      <c r="D15" s="836"/>
      <c r="E15" s="836"/>
      <c r="F15" s="836"/>
      <c r="G15" s="837"/>
      <c r="H15" s="837"/>
      <c r="I15" s="837"/>
      <c r="J15" s="836"/>
      <c r="K15" s="836"/>
      <c r="L15" s="836"/>
      <c r="M15" s="838"/>
      <c r="N15" s="839"/>
    </row>
    <row r="16" spans="1:19" ht="30" customHeight="1">
      <c r="A16" s="827"/>
      <c r="B16" s="825"/>
      <c r="C16" s="836"/>
      <c r="D16" s="836"/>
      <c r="E16" s="836"/>
      <c r="F16" s="836"/>
      <c r="G16" s="837"/>
      <c r="H16" s="837"/>
      <c r="I16" s="837"/>
      <c r="J16" s="836"/>
      <c r="K16" s="836"/>
      <c r="L16" s="836"/>
      <c r="M16" s="838"/>
      <c r="N16" s="839"/>
    </row>
    <row r="17" spans="1:14" ht="30" customHeight="1">
      <c r="A17" s="827"/>
      <c r="B17" s="825"/>
      <c r="C17" s="836"/>
      <c r="D17" s="836"/>
      <c r="E17" s="836"/>
      <c r="F17" s="836"/>
      <c r="G17" s="837"/>
      <c r="H17" s="837"/>
      <c r="I17" s="837"/>
      <c r="J17" s="836"/>
      <c r="K17" s="836"/>
      <c r="L17" s="836"/>
      <c r="M17" s="838"/>
      <c r="N17" s="839"/>
    </row>
    <row r="18" spans="1:14" ht="30" customHeight="1">
      <c r="A18" s="827"/>
      <c r="B18" s="825"/>
      <c r="C18" s="836"/>
      <c r="D18" s="836"/>
      <c r="E18" s="836"/>
      <c r="F18" s="836"/>
      <c r="G18" s="837"/>
      <c r="H18" s="837"/>
      <c r="I18" s="837"/>
      <c r="J18" s="836"/>
      <c r="K18" s="836"/>
      <c r="L18" s="836"/>
      <c r="M18" s="838"/>
      <c r="N18" s="839"/>
    </row>
    <row r="19" spans="1:14" ht="30" customHeight="1">
      <c r="A19" s="827"/>
      <c r="B19" s="825"/>
      <c r="C19" s="836"/>
      <c r="D19" s="836"/>
      <c r="E19" s="836"/>
      <c r="F19" s="836"/>
      <c r="G19" s="837"/>
      <c r="H19" s="837"/>
      <c r="I19" s="837"/>
      <c r="J19" s="836"/>
      <c r="K19" s="836"/>
      <c r="L19" s="836"/>
      <c r="M19" s="838"/>
      <c r="N19" s="839"/>
    </row>
    <row r="20" spans="1:14" ht="30" customHeight="1">
      <c r="A20" s="827"/>
      <c r="B20" s="825"/>
      <c r="C20" s="836"/>
      <c r="D20" s="836"/>
      <c r="E20" s="836"/>
      <c r="F20" s="836"/>
      <c r="G20" s="837"/>
      <c r="H20" s="837"/>
      <c r="I20" s="837"/>
      <c r="J20" s="836"/>
      <c r="K20" s="836"/>
      <c r="L20" s="836"/>
      <c r="M20" s="838"/>
      <c r="N20" s="839"/>
    </row>
    <row r="21" spans="1:14" ht="30" customHeight="1">
      <c r="A21" s="827"/>
      <c r="B21" s="825"/>
      <c r="C21" s="836"/>
      <c r="D21" s="836"/>
      <c r="E21" s="836"/>
      <c r="F21" s="836"/>
      <c r="G21" s="837"/>
      <c r="H21" s="837"/>
      <c r="I21" s="837"/>
      <c r="J21" s="836"/>
      <c r="K21" s="836"/>
      <c r="L21" s="836"/>
      <c r="M21" s="838"/>
      <c r="N21" s="839"/>
    </row>
    <row r="22" spans="1:14" ht="30" customHeight="1">
      <c r="A22" s="827"/>
      <c r="B22" s="825"/>
      <c r="C22" s="836"/>
      <c r="D22" s="836"/>
      <c r="E22" s="836"/>
      <c r="F22" s="836"/>
      <c r="G22" s="837"/>
      <c r="H22" s="837"/>
      <c r="I22" s="837"/>
      <c r="J22" s="836"/>
      <c r="K22" s="836"/>
      <c r="L22" s="836"/>
      <c r="M22" s="838"/>
      <c r="N22" s="839"/>
    </row>
    <row r="23" spans="1:14" ht="30" customHeight="1">
      <c r="A23" s="827"/>
      <c r="B23" s="825"/>
      <c r="C23" s="836"/>
      <c r="D23" s="836"/>
      <c r="E23" s="836"/>
      <c r="F23" s="836"/>
      <c r="G23" s="837"/>
      <c r="H23" s="837"/>
      <c r="I23" s="837"/>
      <c r="J23" s="836"/>
      <c r="K23" s="836"/>
      <c r="L23" s="836"/>
      <c r="M23" s="838"/>
      <c r="N23" s="839"/>
    </row>
    <row r="24" spans="1:14" ht="30" customHeight="1">
      <c r="A24" s="827"/>
      <c r="B24" s="825"/>
      <c r="C24" s="836"/>
      <c r="D24" s="836"/>
      <c r="E24" s="836"/>
      <c r="F24" s="836"/>
      <c r="G24" s="837"/>
      <c r="H24" s="837"/>
      <c r="I24" s="837"/>
      <c r="J24" s="836"/>
      <c r="K24" s="836"/>
      <c r="L24" s="836"/>
      <c r="M24" s="838"/>
      <c r="N24" s="839"/>
    </row>
    <row r="25" spans="1:14" ht="30" customHeight="1">
      <c r="A25" s="827"/>
      <c r="B25" s="825"/>
      <c r="C25" s="836"/>
      <c r="D25" s="836"/>
      <c r="E25" s="836"/>
      <c r="F25" s="836"/>
      <c r="G25" s="837"/>
      <c r="H25" s="837"/>
      <c r="I25" s="837"/>
      <c r="J25" s="836"/>
      <c r="K25" s="836"/>
      <c r="L25" s="836"/>
      <c r="M25" s="838"/>
      <c r="N25" s="839"/>
    </row>
    <row r="26" spans="1:14" ht="30" customHeight="1">
      <c r="A26" s="827"/>
      <c r="B26" s="825"/>
      <c r="C26" s="836"/>
      <c r="D26" s="836"/>
      <c r="E26" s="836"/>
      <c r="F26" s="836"/>
      <c r="G26" s="837"/>
      <c r="H26" s="837"/>
      <c r="I26" s="837"/>
      <c r="J26" s="836"/>
      <c r="K26" s="836"/>
      <c r="L26" s="836"/>
      <c r="M26" s="838"/>
      <c r="N26" s="839"/>
    </row>
    <row r="27" spans="1:14" ht="30" customHeight="1">
      <c r="A27" s="827"/>
      <c r="B27" s="825"/>
      <c r="C27" s="836"/>
      <c r="D27" s="836"/>
      <c r="E27" s="836"/>
      <c r="F27" s="836"/>
      <c r="G27" s="837"/>
      <c r="H27" s="837"/>
      <c r="I27" s="837"/>
      <c r="J27" s="836"/>
      <c r="K27" s="836"/>
      <c r="L27" s="836"/>
      <c r="M27" s="838"/>
      <c r="N27" s="839"/>
    </row>
    <row r="28" spans="1:14" ht="30" customHeight="1">
      <c r="A28" s="827"/>
      <c r="B28" s="825"/>
      <c r="C28" s="836"/>
      <c r="D28" s="836"/>
      <c r="E28" s="836"/>
      <c r="F28" s="836"/>
      <c r="G28" s="837"/>
      <c r="H28" s="837"/>
      <c r="I28" s="837"/>
      <c r="J28" s="836"/>
      <c r="K28" s="836"/>
      <c r="L28" s="836"/>
      <c r="M28" s="838"/>
      <c r="N28" s="839"/>
    </row>
    <row r="29" spans="1:14" ht="30" customHeight="1">
      <c r="A29" s="827"/>
      <c r="B29" s="825"/>
      <c r="C29" s="836"/>
      <c r="D29" s="836"/>
      <c r="E29" s="836"/>
      <c r="F29" s="836"/>
      <c r="G29" s="837"/>
      <c r="H29" s="837"/>
      <c r="I29" s="837"/>
      <c r="J29" s="836"/>
      <c r="K29" s="836"/>
      <c r="L29" s="836"/>
      <c r="M29" s="838"/>
      <c r="N29" s="839"/>
    </row>
    <row r="30" spans="1:14" ht="30" customHeight="1">
      <c r="A30" s="827"/>
      <c r="B30" s="825"/>
      <c r="C30" s="836"/>
      <c r="D30" s="836"/>
      <c r="E30" s="836"/>
      <c r="F30" s="836"/>
      <c r="G30" s="837"/>
      <c r="H30" s="837"/>
      <c r="I30" s="837"/>
      <c r="J30" s="836"/>
      <c r="K30" s="836"/>
      <c r="L30" s="836"/>
      <c r="M30" s="838"/>
      <c r="N30" s="839"/>
    </row>
    <row r="31" spans="1:14" ht="30" customHeight="1">
      <c r="A31" s="827"/>
      <c r="B31" s="825"/>
      <c r="C31" s="836"/>
      <c r="D31" s="836"/>
      <c r="E31" s="836"/>
      <c r="F31" s="836"/>
      <c r="G31" s="837"/>
      <c r="H31" s="837"/>
      <c r="I31" s="837"/>
      <c r="J31" s="836"/>
      <c r="K31" s="836"/>
      <c r="L31" s="836"/>
      <c r="M31" s="838"/>
      <c r="N31" s="839"/>
    </row>
    <row r="32" spans="1:14" ht="30" customHeight="1">
      <c r="A32" s="827"/>
      <c r="B32" s="825"/>
      <c r="C32" s="836"/>
      <c r="D32" s="836"/>
      <c r="E32" s="836"/>
      <c r="F32" s="836"/>
      <c r="G32" s="837"/>
      <c r="H32" s="837"/>
      <c r="I32" s="837"/>
      <c r="J32" s="836"/>
      <c r="K32" s="836"/>
      <c r="L32" s="836"/>
      <c r="M32" s="838"/>
      <c r="N32" s="839"/>
    </row>
    <row r="33" spans="1:14" ht="30" customHeight="1">
      <c r="A33" s="827"/>
      <c r="B33" s="825"/>
      <c r="C33" s="836"/>
      <c r="D33" s="836"/>
      <c r="E33" s="836"/>
      <c r="F33" s="836"/>
      <c r="G33" s="837"/>
      <c r="H33" s="837"/>
      <c r="I33" s="837"/>
      <c r="J33" s="836"/>
      <c r="K33" s="836"/>
      <c r="L33" s="836"/>
      <c r="M33" s="838"/>
      <c r="N33" s="839"/>
    </row>
    <row r="34" spans="1:14" ht="30" customHeight="1">
      <c r="A34" s="827"/>
      <c r="B34" s="825"/>
      <c r="C34" s="836"/>
      <c r="D34" s="836"/>
      <c r="E34" s="836"/>
      <c r="F34" s="836"/>
      <c r="G34" s="837"/>
      <c r="H34" s="837"/>
      <c r="I34" s="837"/>
      <c r="J34" s="836"/>
      <c r="K34" s="836"/>
      <c r="L34" s="836"/>
      <c r="M34" s="838"/>
      <c r="N34" s="839"/>
    </row>
    <row r="35" spans="1:14" ht="30" customHeight="1">
      <c r="A35" s="827"/>
      <c r="B35" s="825"/>
      <c r="C35" s="836"/>
      <c r="D35" s="836"/>
      <c r="E35" s="836"/>
      <c r="F35" s="836"/>
      <c r="G35" s="837"/>
      <c r="H35" s="837"/>
      <c r="I35" s="837"/>
      <c r="J35" s="836"/>
      <c r="K35" s="836"/>
      <c r="L35" s="836"/>
      <c r="M35" s="838"/>
      <c r="N35" s="839"/>
    </row>
    <row r="36" spans="1:14" ht="30" customHeight="1">
      <c r="A36" s="827"/>
      <c r="B36" s="825"/>
      <c r="C36" s="836"/>
      <c r="D36" s="836"/>
      <c r="E36" s="836"/>
      <c r="F36" s="836"/>
      <c r="G36" s="837"/>
      <c r="H36" s="837"/>
      <c r="I36" s="837"/>
      <c r="J36" s="836"/>
      <c r="K36" s="836"/>
      <c r="L36" s="836"/>
      <c r="M36" s="838"/>
      <c r="N36" s="839"/>
    </row>
    <row r="37" spans="1:14" ht="30" customHeight="1">
      <c r="A37" s="827"/>
      <c r="B37" s="825"/>
      <c r="C37" s="836"/>
      <c r="D37" s="836"/>
      <c r="E37" s="836"/>
      <c r="F37" s="836"/>
      <c r="G37" s="837"/>
      <c r="H37" s="837"/>
      <c r="I37" s="837"/>
      <c r="J37" s="836"/>
      <c r="K37" s="836"/>
      <c r="L37" s="836"/>
      <c r="M37" s="838"/>
      <c r="N37" s="839"/>
    </row>
    <row r="38" spans="1:14" ht="30" customHeight="1">
      <c r="A38" s="827"/>
      <c r="B38" s="825"/>
      <c r="C38" s="836"/>
      <c r="D38" s="836"/>
      <c r="E38" s="836"/>
      <c r="F38" s="836"/>
      <c r="G38" s="837"/>
      <c r="H38" s="837"/>
      <c r="I38" s="837"/>
      <c r="J38" s="836"/>
      <c r="K38" s="836"/>
      <c r="L38" s="836"/>
      <c r="M38" s="838"/>
      <c r="N38" s="839"/>
    </row>
    <row r="39" spans="1:14" ht="30" customHeight="1">
      <c r="A39" s="827"/>
      <c r="B39" s="825"/>
      <c r="C39" s="836"/>
      <c r="D39" s="836"/>
      <c r="E39" s="836"/>
      <c r="F39" s="836"/>
      <c r="G39" s="837"/>
      <c r="H39" s="837"/>
      <c r="I39" s="837"/>
      <c r="J39" s="836"/>
      <c r="K39" s="836"/>
      <c r="L39" s="836"/>
      <c r="M39" s="838"/>
      <c r="N39" s="839"/>
    </row>
    <row r="40" spans="1:14" ht="30" customHeight="1">
      <c r="A40" s="827"/>
      <c r="B40" s="825"/>
      <c r="C40" s="836"/>
      <c r="D40" s="836"/>
      <c r="E40" s="836"/>
      <c r="F40" s="836"/>
      <c r="G40" s="837"/>
      <c r="H40" s="837"/>
      <c r="I40" s="837"/>
      <c r="J40" s="836"/>
      <c r="K40" s="836"/>
      <c r="L40" s="836"/>
      <c r="M40" s="838"/>
      <c r="N40" s="839"/>
    </row>
    <row r="41" spans="1:14" ht="30" customHeight="1">
      <c r="A41" s="827"/>
      <c r="B41" s="825"/>
      <c r="C41" s="836"/>
      <c r="D41" s="836"/>
      <c r="E41" s="836"/>
      <c r="F41" s="836"/>
      <c r="G41" s="837"/>
      <c r="H41" s="837"/>
      <c r="I41" s="837"/>
      <c r="J41" s="836"/>
      <c r="K41" s="836"/>
      <c r="L41" s="836"/>
      <c r="M41" s="838"/>
      <c r="N41" s="839"/>
    </row>
    <row r="42" spans="1:14" ht="30" customHeight="1">
      <c r="A42" s="827"/>
      <c r="B42" s="825"/>
      <c r="C42" s="836"/>
      <c r="D42" s="836"/>
      <c r="E42" s="836"/>
      <c r="F42" s="836"/>
      <c r="G42" s="837"/>
      <c r="H42" s="837"/>
      <c r="I42" s="837"/>
      <c r="J42" s="836"/>
      <c r="K42" s="836"/>
      <c r="L42" s="836"/>
      <c r="M42" s="838"/>
      <c r="N42" s="839"/>
    </row>
    <row r="43" spans="1:14" ht="30" customHeight="1">
      <c r="A43" s="827"/>
      <c r="B43" s="825"/>
      <c r="C43" s="836"/>
      <c r="D43" s="836"/>
      <c r="E43" s="836"/>
      <c r="F43" s="836"/>
      <c r="G43" s="837"/>
      <c r="H43" s="837"/>
      <c r="I43" s="837"/>
      <c r="J43" s="836"/>
      <c r="K43" s="836"/>
      <c r="L43" s="836"/>
      <c r="M43" s="838"/>
      <c r="N43" s="839"/>
    </row>
    <row r="44" spans="1:14" ht="30" customHeight="1">
      <c r="A44" s="827"/>
      <c r="B44" s="825"/>
      <c r="C44" s="836"/>
      <c r="D44" s="836"/>
      <c r="E44" s="836"/>
      <c r="F44" s="836"/>
      <c r="G44" s="837"/>
      <c r="H44" s="837"/>
      <c r="I44" s="837"/>
      <c r="J44" s="836"/>
      <c r="K44" s="836"/>
      <c r="L44" s="836"/>
      <c r="M44" s="838"/>
      <c r="N44" s="839"/>
    </row>
    <row r="45" spans="1:14" ht="30" customHeight="1">
      <c r="A45" s="827"/>
      <c r="B45" s="825"/>
      <c r="C45" s="836"/>
      <c r="D45" s="836"/>
      <c r="E45" s="836"/>
      <c r="F45" s="836"/>
      <c r="G45" s="837"/>
      <c r="H45" s="837"/>
      <c r="I45" s="837"/>
      <c r="J45" s="836"/>
      <c r="K45" s="836"/>
      <c r="L45" s="836"/>
      <c r="M45" s="838"/>
      <c r="N45" s="839"/>
    </row>
    <row r="46" spans="1:14" ht="30" customHeight="1">
      <c r="A46" s="827"/>
      <c r="B46" s="825"/>
      <c r="C46" s="836"/>
      <c r="D46" s="836"/>
      <c r="E46" s="836"/>
      <c r="F46" s="836"/>
      <c r="G46" s="837"/>
      <c r="H46" s="837"/>
      <c r="I46" s="837"/>
      <c r="J46" s="836"/>
      <c r="K46" s="836"/>
      <c r="L46" s="836"/>
      <c r="M46" s="838"/>
      <c r="N46" s="839"/>
    </row>
    <row r="47" spans="1:14" ht="30" customHeight="1">
      <c r="A47" s="827"/>
      <c r="B47" s="825"/>
      <c r="C47" s="836"/>
      <c r="D47" s="836"/>
      <c r="E47" s="836"/>
      <c r="F47" s="836"/>
      <c r="G47" s="837"/>
      <c r="H47" s="837"/>
      <c r="I47" s="837"/>
      <c r="J47" s="836"/>
      <c r="K47" s="836"/>
      <c r="L47" s="836"/>
      <c r="M47" s="838"/>
      <c r="N47" s="839"/>
    </row>
    <row r="48" spans="1:14" ht="30" customHeight="1">
      <c r="A48" s="827"/>
      <c r="B48" s="825"/>
      <c r="C48" s="836"/>
      <c r="D48" s="836"/>
      <c r="E48" s="836"/>
      <c r="F48" s="836"/>
      <c r="G48" s="837"/>
      <c r="H48" s="837"/>
      <c r="I48" s="837"/>
      <c r="J48" s="836"/>
      <c r="K48" s="836"/>
      <c r="L48" s="836"/>
      <c r="M48" s="838"/>
      <c r="N48" s="839"/>
    </row>
    <row r="49" spans="1:14" ht="30" customHeight="1">
      <c r="A49" s="827"/>
      <c r="B49" s="825"/>
      <c r="C49" s="836"/>
      <c r="D49" s="836"/>
      <c r="E49" s="836"/>
      <c r="F49" s="836"/>
      <c r="G49" s="837"/>
      <c r="H49" s="837"/>
      <c r="I49" s="837"/>
      <c r="J49" s="836"/>
      <c r="K49" s="836"/>
      <c r="L49" s="836"/>
      <c r="M49" s="838"/>
      <c r="N49" s="839"/>
    </row>
    <row r="50" spans="1:14" ht="30" customHeight="1">
      <c r="A50" s="827"/>
      <c r="B50" s="825"/>
      <c r="C50" s="836"/>
      <c r="D50" s="836"/>
      <c r="E50" s="836"/>
      <c r="F50" s="836"/>
      <c r="G50" s="837"/>
      <c r="H50" s="837"/>
      <c r="I50" s="837"/>
      <c r="J50" s="836"/>
      <c r="K50" s="836"/>
      <c r="L50" s="836"/>
      <c r="M50" s="838"/>
      <c r="N50" s="839"/>
    </row>
    <row r="51" spans="1:14" ht="30" customHeight="1">
      <c r="A51" s="827"/>
      <c r="B51" s="825"/>
      <c r="C51" s="836"/>
      <c r="D51" s="836"/>
      <c r="E51" s="836"/>
      <c r="F51" s="836"/>
      <c r="G51" s="837"/>
      <c r="H51" s="837"/>
      <c r="I51" s="837"/>
      <c r="J51" s="836"/>
      <c r="K51" s="836"/>
      <c r="L51" s="836"/>
      <c r="M51" s="838"/>
      <c r="N51" s="839"/>
    </row>
    <row r="52" spans="1:14" ht="30" customHeight="1">
      <c r="A52" s="827"/>
      <c r="B52" s="825"/>
      <c r="C52" s="836"/>
      <c r="D52" s="836"/>
      <c r="E52" s="836"/>
      <c r="F52" s="836"/>
      <c r="G52" s="837"/>
      <c r="H52" s="837"/>
      <c r="I52" s="837"/>
      <c r="J52" s="836"/>
      <c r="K52" s="836"/>
      <c r="L52" s="836"/>
      <c r="M52" s="838"/>
      <c r="N52" s="839"/>
    </row>
    <row r="53" spans="1:14" ht="30" customHeight="1">
      <c r="A53" s="827"/>
      <c r="B53" s="825"/>
      <c r="C53" s="836"/>
      <c r="D53" s="836"/>
      <c r="E53" s="836"/>
      <c r="F53" s="836"/>
      <c r="G53" s="837"/>
      <c r="H53" s="837"/>
      <c r="I53" s="837"/>
      <c r="J53" s="836"/>
      <c r="K53" s="836"/>
      <c r="L53" s="836"/>
      <c r="M53" s="838"/>
      <c r="N53" s="839"/>
    </row>
    <row r="54" spans="1:14" ht="30" customHeight="1">
      <c r="A54" s="827"/>
      <c r="B54" s="825"/>
      <c r="C54" s="836"/>
      <c r="D54" s="836"/>
      <c r="E54" s="836"/>
      <c r="F54" s="836"/>
      <c r="G54" s="837"/>
      <c r="H54" s="837"/>
      <c r="I54" s="837"/>
      <c r="J54" s="836"/>
      <c r="K54" s="836"/>
      <c r="L54" s="836"/>
      <c r="M54" s="838"/>
      <c r="N54" s="839"/>
    </row>
    <row r="55" spans="1:14" ht="30" customHeight="1">
      <c r="A55" s="827"/>
      <c r="B55" s="825"/>
      <c r="C55" s="836"/>
      <c r="D55" s="836"/>
      <c r="E55" s="836"/>
      <c r="F55" s="836"/>
      <c r="G55" s="837"/>
      <c r="H55" s="837"/>
      <c r="I55" s="837"/>
      <c r="J55" s="836"/>
      <c r="K55" s="836"/>
      <c r="L55" s="836"/>
      <c r="M55" s="838"/>
      <c r="N55" s="839"/>
    </row>
    <row r="56" spans="1:14" ht="30" customHeight="1">
      <c r="A56" s="827"/>
      <c r="B56" s="825"/>
      <c r="C56" s="836"/>
      <c r="D56" s="836"/>
      <c r="E56" s="836"/>
      <c r="F56" s="836"/>
      <c r="G56" s="837"/>
      <c r="H56" s="837"/>
      <c r="I56" s="837"/>
      <c r="J56" s="836"/>
      <c r="K56" s="836"/>
      <c r="L56" s="836"/>
      <c r="M56" s="838"/>
      <c r="N56" s="839"/>
    </row>
    <row r="57" spans="1:14" ht="30" customHeight="1">
      <c r="A57" s="827"/>
      <c r="B57" s="825"/>
      <c r="C57" s="836"/>
      <c r="D57" s="836"/>
      <c r="E57" s="836"/>
      <c r="F57" s="836"/>
      <c r="G57" s="837"/>
      <c r="H57" s="837"/>
      <c r="I57" s="837"/>
      <c r="J57" s="836"/>
      <c r="K57" s="836"/>
      <c r="L57" s="836"/>
      <c r="M57" s="838"/>
      <c r="N57" s="839"/>
    </row>
    <row r="58" spans="1:14" ht="30" customHeight="1">
      <c r="A58" s="827"/>
      <c r="B58" s="825"/>
      <c r="C58" s="836"/>
      <c r="D58" s="836"/>
      <c r="E58" s="836"/>
      <c r="F58" s="836"/>
      <c r="G58" s="837"/>
      <c r="H58" s="837"/>
      <c r="I58" s="837"/>
      <c r="J58" s="836"/>
      <c r="K58" s="836"/>
      <c r="L58" s="836"/>
      <c r="M58" s="838"/>
      <c r="N58" s="839"/>
    </row>
    <row r="59" spans="1:14" ht="30" customHeight="1">
      <c r="A59" s="827"/>
      <c r="B59" s="825"/>
      <c r="C59" s="836"/>
      <c r="D59" s="836"/>
      <c r="E59" s="836"/>
      <c r="F59" s="836"/>
      <c r="G59" s="837"/>
      <c r="H59" s="837"/>
      <c r="I59" s="837"/>
      <c r="J59" s="836"/>
      <c r="K59" s="836"/>
      <c r="L59" s="836"/>
      <c r="M59" s="838"/>
      <c r="N59" s="839"/>
    </row>
    <row r="60" spans="1:14" ht="30" customHeight="1">
      <c r="A60" s="827"/>
      <c r="B60" s="825"/>
      <c r="C60" s="836"/>
      <c r="D60" s="836"/>
      <c r="E60" s="836"/>
      <c r="F60" s="836"/>
      <c r="G60" s="837"/>
      <c r="H60" s="837"/>
      <c r="I60" s="837"/>
      <c r="J60" s="836"/>
      <c r="K60" s="836"/>
      <c r="L60" s="836"/>
      <c r="M60" s="838"/>
      <c r="N60" s="839"/>
    </row>
    <row r="61" spans="1:14" ht="30" customHeight="1">
      <c r="A61" s="827"/>
      <c r="B61" s="825"/>
      <c r="C61" s="836"/>
      <c r="D61" s="836"/>
      <c r="E61" s="836"/>
      <c r="F61" s="836"/>
      <c r="G61" s="837"/>
      <c r="H61" s="837"/>
      <c r="I61" s="837"/>
      <c r="J61" s="836"/>
      <c r="K61" s="836"/>
      <c r="L61" s="836"/>
      <c r="M61" s="838"/>
      <c r="N61" s="839"/>
    </row>
    <row r="62" spans="1:14" ht="30" customHeight="1">
      <c r="A62" s="827"/>
      <c r="B62" s="825"/>
      <c r="C62" s="836"/>
      <c r="D62" s="836"/>
      <c r="E62" s="836"/>
      <c r="F62" s="836"/>
      <c r="G62" s="837"/>
      <c r="H62" s="837"/>
      <c r="I62" s="837"/>
      <c r="J62" s="836"/>
      <c r="K62" s="836"/>
      <c r="L62" s="836"/>
      <c r="M62" s="838"/>
      <c r="N62" s="839"/>
    </row>
    <row r="63" spans="1:14" ht="30" customHeight="1">
      <c r="A63" s="827"/>
      <c r="B63" s="825"/>
      <c r="C63" s="836"/>
      <c r="D63" s="836"/>
      <c r="E63" s="836"/>
      <c r="F63" s="836"/>
      <c r="G63" s="837"/>
      <c r="H63" s="837"/>
      <c r="I63" s="837"/>
      <c r="J63" s="836"/>
      <c r="K63" s="836"/>
      <c r="L63" s="836"/>
      <c r="M63" s="838"/>
      <c r="N63" s="839"/>
    </row>
    <row r="64" spans="1:14" ht="30" customHeight="1">
      <c r="A64" s="827"/>
      <c r="B64" s="825"/>
      <c r="C64" s="836"/>
      <c r="D64" s="836"/>
      <c r="E64" s="836"/>
      <c r="F64" s="836"/>
      <c r="G64" s="837"/>
      <c r="H64" s="837"/>
      <c r="I64" s="837"/>
      <c r="J64" s="836"/>
      <c r="K64" s="836"/>
      <c r="L64" s="836"/>
      <c r="M64" s="838"/>
      <c r="N64" s="839"/>
    </row>
    <row r="65" spans="1:14" ht="30" customHeight="1">
      <c r="A65" s="827"/>
      <c r="B65" s="825"/>
      <c r="C65" s="836"/>
      <c r="D65" s="836"/>
      <c r="E65" s="836"/>
      <c r="F65" s="836"/>
      <c r="G65" s="837"/>
      <c r="H65" s="837"/>
      <c r="I65" s="837"/>
      <c r="J65" s="836"/>
      <c r="K65" s="836"/>
      <c r="L65" s="836"/>
      <c r="M65" s="838"/>
      <c r="N65" s="839"/>
    </row>
    <row r="66" spans="1:14" ht="30" customHeight="1">
      <c r="A66" s="827"/>
      <c r="B66" s="825"/>
      <c r="C66" s="836"/>
      <c r="D66" s="836"/>
      <c r="E66" s="836"/>
      <c r="F66" s="836"/>
      <c r="G66" s="837"/>
      <c r="H66" s="837"/>
      <c r="I66" s="837"/>
      <c r="J66" s="836"/>
      <c r="K66" s="836"/>
      <c r="L66" s="836"/>
      <c r="M66" s="838"/>
      <c r="N66" s="839"/>
    </row>
    <row r="67" spans="1:14" ht="30" customHeight="1">
      <c r="A67" s="827"/>
      <c r="B67" s="825"/>
      <c r="C67" s="836"/>
      <c r="D67" s="836"/>
      <c r="E67" s="836"/>
      <c r="F67" s="836"/>
      <c r="G67" s="837"/>
      <c r="H67" s="837"/>
      <c r="I67" s="837"/>
      <c r="J67" s="836"/>
      <c r="K67" s="836"/>
      <c r="L67" s="836"/>
      <c r="M67" s="838"/>
      <c r="N67" s="839"/>
    </row>
    <row r="68" spans="1:14" ht="30" customHeight="1">
      <c r="A68" s="827"/>
      <c r="B68" s="825"/>
      <c r="C68" s="836"/>
      <c r="D68" s="836"/>
      <c r="E68" s="836"/>
      <c r="F68" s="836"/>
      <c r="G68" s="837"/>
      <c r="H68" s="837"/>
      <c r="I68" s="837"/>
      <c r="J68" s="836"/>
      <c r="K68" s="836"/>
      <c r="L68" s="836"/>
      <c r="M68" s="838"/>
      <c r="N68" s="839"/>
    </row>
    <row r="69" spans="1:14" ht="30" customHeight="1">
      <c r="A69" s="827"/>
      <c r="B69" s="825"/>
      <c r="C69" s="836"/>
      <c r="D69" s="836"/>
      <c r="E69" s="836"/>
      <c r="F69" s="836"/>
      <c r="G69" s="837"/>
      <c r="H69" s="837"/>
      <c r="I69" s="837"/>
      <c r="J69" s="836"/>
      <c r="K69" s="836"/>
      <c r="L69" s="836"/>
      <c r="M69" s="838"/>
      <c r="N69" s="839"/>
    </row>
    <row r="70" spans="1:14" ht="30" customHeight="1">
      <c r="A70" s="827"/>
      <c r="B70" s="825"/>
      <c r="C70" s="836"/>
      <c r="D70" s="836"/>
      <c r="E70" s="836"/>
      <c r="F70" s="836"/>
      <c r="G70" s="837"/>
      <c r="H70" s="837"/>
      <c r="I70" s="837"/>
      <c r="J70" s="836"/>
      <c r="K70" s="836"/>
      <c r="L70" s="836"/>
      <c r="M70" s="838"/>
      <c r="N70" s="839"/>
    </row>
    <row r="71" spans="1:14" ht="30" customHeight="1">
      <c r="A71" s="827"/>
      <c r="B71" s="825"/>
      <c r="C71" s="836"/>
      <c r="D71" s="836"/>
      <c r="E71" s="836"/>
      <c r="F71" s="836"/>
      <c r="G71" s="837"/>
      <c r="H71" s="837"/>
      <c r="I71" s="837"/>
      <c r="J71" s="836"/>
      <c r="K71" s="836"/>
      <c r="L71" s="836"/>
      <c r="M71" s="838"/>
      <c r="N71" s="839"/>
    </row>
    <row r="72" spans="1:14" ht="30" customHeight="1">
      <c r="A72" s="827"/>
      <c r="B72" s="825"/>
      <c r="C72" s="836"/>
      <c r="D72" s="836"/>
      <c r="E72" s="836"/>
      <c r="F72" s="836"/>
      <c r="G72" s="837"/>
      <c r="H72" s="837"/>
      <c r="I72" s="837"/>
      <c r="J72" s="836"/>
      <c r="K72" s="836"/>
      <c r="L72" s="836"/>
      <c r="M72" s="838"/>
      <c r="N72" s="839"/>
    </row>
    <row r="73" spans="1:14" ht="30" customHeight="1">
      <c r="A73" s="827"/>
      <c r="B73" s="825"/>
      <c r="C73" s="836"/>
      <c r="D73" s="836"/>
      <c r="E73" s="836"/>
      <c r="F73" s="836"/>
      <c r="G73" s="837"/>
      <c r="H73" s="837"/>
      <c r="I73" s="837"/>
      <c r="J73" s="836"/>
      <c r="K73" s="836"/>
      <c r="L73" s="836"/>
      <c r="M73" s="838"/>
      <c r="N73" s="839"/>
    </row>
    <row r="74" spans="1:14" ht="30" customHeight="1">
      <c r="A74" s="827"/>
      <c r="B74" s="825"/>
      <c r="C74" s="836"/>
      <c r="D74" s="836"/>
      <c r="E74" s="836"/>
      <c r="F74" s="836"/>
      <c r="G74" s="837"/>
      <c r="H74" s="837"/>
      <c r="I74" s="837"/>
      <c r="J74" s="836"/>
      <c r="K74" s="836"/>
      <c r="L74" s="836"/>
      <c r="M74" s="838"/>
      <c r="N74" s="839"/>
    </row>
    <row r="75" spans="1:14" ht="30" customHeight="1">
      <c r="A75" s="827"/>
      <c r="B75" s="825"/>
      <c r="C75" s="836"/>
      <c r="D75" s="836"/>
      <c r="E75" s="836"/>
      <c r="F75" s="836"/>
      <c r="G75" s="837"/>
      <c r="H75" s="837"/>
      <c r="I75" s="837"/>
      <c r="J75" s="836"/>
      <c r="K75" s="836"/>
      <c r="L75" s="836"/>
      <c r="M75" s="838"/>
      <c r="N75" s="839"/>
    </row>
    <row r="76" spans="1:14" ht="30" customHeight="1">
      <c r="A76" s="827"/>
      <c r="B76" s="825"/>
      <c r="C76" s="836"/>
      <c r="D76" s="836"/>
      <c r="E76" s="836"/>
      <c r="F76" s="836"/>
      <c r="G76" s="837"/>
      <c r="H76" s="837"/>
      <c r="I76" s="837"/>
      <c r="J76" s="836"/>
      <c r="K76" s="836"/>
      <c r="L76" s="836"/>
      <c r="M76" s="838"/>
      <c r="N76" s="839"/>
    </row>
    <row r="77" spans="1:14" ht="30" customHeight="1">
      <c r="A77" s="827"/>
      <c r="B77" s="825"/>
      <c r="C77" s="836"/>
      <c r="D77" s="836"/>
      <c r="E77" s="836"/>
      <c r="F77" s="836"/>
      <c r="G77" s="837"/>
      <c r="H77" s="837"/>
      <c r="I77" s="837"/>
      <c r="J77" s="836"/>
      <c r="K77" s="836"/>
      <c r="L77" s="836"/>
      <c r="M77" s="838"/>
      <c r="N77" s="839"/>
    </row>
    <row r="78" spans="1:14" ht="30" customHeight="1">
      <c r="A78" s="827"/>
      <c r="B78" s="825"/>
      <c r="C78" s="836"/>
      <c r="D78" s="836"/>
      <c r="E78" s="836"/>
      <c r="F78" s="836"/>
      <c r="G78" s="837"/>
      <c r="H78" s="837"/>
      <c r="I78" s="837"/>
      <c r="J78" s="836"/>
      <c r="K78" s="836"/>
      <c r="L78" s="836"/>
      <c r="M78" s="838"/>
      <c r="N78" s="839"/>
    </row>
    <row r="79" spans="1:14" ht="30" customHeight="1">
      <c r="A79" s="827"/>
      <c r="B79" s="825"/>
      <c r="C79" s="836"/>
      <c r="D79" s="836"/>
      <c r="E79" s="836"/>
      <c r="F79" s="836"/>
      <c r="G79" s="837"/>
      <c r="H79" s="837"/>
      <c r="I79" s="837"/>
      <c r="J79" s="836"/>
      <c r="K79" s="836"/>
      <c r="L79" s="836"/>
      <c r="M79" s="838"/>
      <c r="N79" s="839"/>
    </row>
    <row r="80" spans="1:14" ht="30" customHeight="1">
      <c r="A80" s="827"/>
      <c r="B80" s="825"/>
      <c r="C80" s="836"/>
      <c r="D80" s="836"/>
      <c r="E80" s="836"/>
      <c r="F80" s="836"/>
      <c r="G80" s="837"/>
      <c r="H80" s="837"/>
      <c r="I80" s="837"/>
      <c r="J80" s="836"/>
      <c r="K80" s="836"/>
      <c r="L80" s="836"/>
      <c r="M80" s="838"/>
      <c r="N80" s="839"/>
    </row>
    <row r="81" spans="1:14" ht="30" customHeight="1">
      <c r="A81" s="827"/>
      <c r="B81" s="825"/>
      <c r="C81" s="836"/>
      <c r="D81" s="836"/>
      <c r="E81" s="836"/>
      <c r="F81" s="836"/>
      <c r="G81" s="837"/>
      <c r="H81" s="837"/>
      <c r="I81" s="837"/>
      <c r="J81" s="836"/>
      <c r="K81" s="836"/>
      <c r="L81" s="836"/>
      <c r="M81" s="838"/>
      <c r="N81" s="839"/>
    </row>
    <row r="82" spans="1:14" ht="30" customHeight="1">
      <c r="A82" s="827"/>
      <c r="B82" s="825"/>
      <c r="C82" s="836"/>
      <c r="D82" s="836"/>
      <c r="E82" s="836"/>
      <c r="F82" s="836"/>
      <c r="G82" s="837"/>
      <c r="H82" s="837"/>
      <c r="I82" s="837"/>
      <c r="J82" s="836"/>
      <c r="K82" s="836"/>
      <c r="L82" s="836"/>
      <c r="M82" s="838"/>
      <c r="N82" s="839"/>
    </row>
    <row r="83" spans="1:14" ht="30" customHeight="1">
      <c r="A83" s="827"/>
      <c r="B83" s="825"/>
      <c r="C83" s="836"/>
      <c r="D83" s="836"/>
      <c r="E83" s="836"/>
      <c r="F83" s="836"/>
      <c r="G83" s="837"/>
      <c r="H83" s="837"/>
      <c r="I83" s="837"/>
      <c r="J83" s="836"/>
      <c r="K83" s="836"/>
      <c r="L83" s="836"/>
      <c r="M83" s="838"/>
      <c r="N83" s="839"/>
    </row>
    <row r="84" spans="1:14" ht="30" customHeight="1">
      <c r="A84" s="827"/>
      <c r="B84" s="825"/>
      <c r="C84" s="836"/>
      <c r="D84" s="836"/>
      <c r="E84" s="836"/>
      <c r="F84" s="836"/>
      <c r="G84" s="837"/>
      <c r="H84" s="837"/>
      <c r="I84" s="837"/>
      <c r="J84" s="836"/>
      <c r="K84" s="836"/>
      <c r="L84" s="836"/>
      <c r="M84" s="838"/>
      <c r="N84" s="839"/>
    </row>
    <row r="85" spans="1:14" ht="30" customHeight="1">
      <c r="A85" s="827"/>
      <c r="B85" s="825"/>
      <c r="C85" s="836"/>
      <c r="D85" s="836"/>
      <c r="E85" s="836"/>
      <c r="F85" s="836"/>
      <c r="G85" s="837"/>
      <c r="H85" s="837"/>
      <c r="I85" s="837"/>
      <c r="J85" s="836"/>
      <c r="K85" s="836"/>
      <c r="L85" s="836"/>
      <c r="M85" s="838"/>
      <c r="N85" s="839"/>
    </row>
    <row r="86" spans="1:14" ht="30" customHeight="1">
      <c r="A86" s="827"/>
      <c r="B86" s="825"/>
      <c r="C86" s="836"/>
      <c r="D86" s="836"/>
      <c r="E86" s="836"/>
      <c r="F86" s="836"/>
      <c r="G86" s="837"/>
      <c r="H86" s="837"/>
      <c r="I86" s="837"/>
      <c r="J86" s="836"/>
      <c r="K86" s="836"/>
      <c r="L86" s="836"/>
      <c r="M86" s="838"/>
      <c r="N86" s="839"/>
    </row>
    <row r="87" spans="1:14" ht="30" customHeight="1">
      <c r="A87" s="827"/>
      <c r="B87" s="825"/>
      <c r="C87" s="836"/>
      <c r="D87" s="836"/>
      <c r="E87" s="836"/>
      <c r="F87" s="836"/>
      <c r="G87" s="837"/>
      <c r="H87" s="837"/>
      <c r="I87" s="837"/>
      <c r="J87" s="836"/>
      <c r="K87" s="836"/>
      <c r="L87" s="836"/>
      <c r="M87" s="838"/>
      <c r="N87" s="839"/>
    </row>
    <row r="88" spans="1:14" ht="30" customHeight="1">
      <c r="A88" s="827"/>
      <c r="B88" s="825"/>
      <c r="C88" s="836"/>
      <c r="D88" s="836"/>
      <c r="E88" s="836"/>
      <c r="F88" s="836"/>
      <c r="G88" s="837"/>
      <c r="H88" s="837"/>
      <c r="I88" s="837"/>
      <c r="J88" s="836"/>
      <c r="K88" s="836"/>
      <c r="L88" s="836"/>
      <c r="M88" s="838"/>
      <c r="N88" s="839"/>
    </row>
    <row r="89" spans="1:14" ht="30" customHeight="1">
      <c r="A89" s="827"/>
      <c r="B89" s="825"/>
      <c r="C89" s="836"/>
      <c r="D89" s="836"/>
      <c r="E89" s="836"/>
      <c r="F89" s="836"/>
      <c r="G89" s="837"/>
      <c r="H89" s="837"/>
      <c r="I89" s="837"/>
      <c r="J89" s="836"/>
      <c r="K89" s="836"/>
      <c r="L89" s="836"/>
      <c r="M89" s="838"/>
      <c r="N89" s="839"/>
    </row>
    <row r="90" spans="1:14" ht="30" customHeight="1">
      <c r="A90" s="827"/>
      <c r="B90" s="825"/>
      <c r="C90" s="836"/>
      <c r="D90" s="836"/>
      <c r="E90" s="836"/>
      <c r="F90" s="836"/>
      <c r="G90" s="837"/>
      <c r="H90" s="837"/>
      <c r="I90" s="837"/>
      <c r="J90" s="836"/>
      <c r="K90" s="836"/>
      <c r="L90" s="836"/>
      <c r="M90" s="838"/>
      <c r="N90" s="839"/>
    </row>
    <row r="91" spans="1:14" ht="30" customHeight="1">
      <c r="A91" s="827"/>
      <c r="B91" s="825"/>
      <c r="C91" s="836"/>
      <c r="D91" s="836"/>
      <c r="E91" s="836"/>
      <c r="F91" s="836"/>
      <c r="G91" s="837"/>
      <c r="H91" s="837"/>
      <c r="I91" s="837"/>
      <c r="J91" s="836"/>
      <c r="K91" s="836"/>
      <c r="L91" s="836"/>
      <c r="M91" s="838"/>
      <c r="N91" s="839"/>
    </row>
    <row r="92" spans="1:14" ht="30" customHeight="1">
      <c r="A92" s="827"/>
      <c r="B92" s="825"/>
      <c r="C92" s="836"/>
      <c r="D92" s="836"/>
      <c r="E92" s="836"/>
      <c r="F92" s="836"/>
      <c r="G92" s="837"/>
      <c r="H92" s="837"/>
      <c r="I92" s="837"/>
      <c r="J92" s="836"/>
      <c r="K92" s="836"/>
      <c r="L92" s="836"/>
      <c r="M92" s="838"/>
      <c r="N92" s="839"/>
    </row>
    <row r="93" spans="1:14" ht="30" customHeight="1">
      <c r="A93" s="827"/>
      <c r="B93" s="825"/>
      <c r="C93" s="836"/>
      <c r="D93" s="836"/>
      <c r="E93" s="836"/>
      <c r="F93" s="836"/>
      <c r="G93" s="837"/>
      <c r="H93" s="837"/>
      <c r="I93" s="837"/>
      <c r="J93" s="836"/>
      <c r="K93" s="836"/>
      <c r="L93" s="836"/>
      <c r="M93" s="838"/>
      <c r="N93" s="839"/>
    </row>
    <row r="94" spans="1:14" ht="30" customHeight="1">
      <c r="A94" s="827"/>
      <c r="B94" s="825"/>
      <c r="C94" s="836"/>
      <c r="D94" s="836"/>
      <c r="E94" s="836"/>
      <c r="F94" s="836"/>
      <c r="G94" s="837"/>
      <c r="H94" s="837"/>
      <c r="I94" s="837"/>
      <c r="J94" s="836"/>
      <c r="K94" s="836"/>
      <c r="L94" s="836"/>
      <c r="M94" s="838"/>
      <c r="N94" s="839"/>
    </row>
    <row r="95" spans="1:14" ht="30" customHeight="1">
      <c r="A95" s="827"/>
      <c r="B95" s="825"/>
      <c r="C95" s="836"/>
      <c r="D95" s="836"/>
      <c r="E95" s="836"/>
      <c r="F95" s="836"/>
      <c r="G95" s="837"/>
      <c r="H95" s="837"/>
      <c r="I95" s="837"/>
      <c r="J95" s="836"/>
      <c r="K95" s="836"/>
      <c r="L95" s="836"/>
      <c r="M95" s="838"/>
      <c r="N95" s="839"/>
    </row>
    <row r="96" spans="1:14" ht="30" customHeight="1">
      <c r="A96" s="827"/>
      <c r="B96" s="825"/>
      <c r="C96" s="836"/>
      <c r="D96" s="836"/>
      <c r="E96" s="836"/>
      <c r="F96" s="836"/>
      <c r="G96" s="837"/>
      <c r="H96" s="837"/>
      <c r="I96" s="837"/>
      <c r="J96" s="836"/>
      <c r="K96" s="836"/>
      <c r="L96" s="836"/>
      <c r="M96" s="838"/>
      <c r="N96" s="839"/>
    </row>
    <row r="97" spans="1:14" ht="30" customHeight="1">
      <c r="A97" s="827"/>
      <c r="B97" s="825"/>
      <c r="C97" s="836"/>
      <c r="D97" s="836"/>
      <c r="E97" s="836"/>
      <c r="F97" s="836"/>
      <c r="G97" s="837"/>
      <c r="H97" s="837"/>
      <c r="I97" s="837"/>
      <c r="J97" s="836"/>
      <c r="K97" s="836"/>
      <c r="L97" s="836"/>
      <c r="M97" s="838"/>
      <c r="N97" s="839"/>
    </row>
    <row r="98" spans="1:14" ht="30" customHeight="1">
      <c r="A98" s="827">
        <v>2</v>
      </c>
      <c r="B98" s="825" t="s">
        <v>965</v>
      </c>
      <c r="C98" s="840">
        <v>7</v>
      </c>
      <c r="D98" s="841">
        <v>23</v>
      </c>
      <c r="E98" s="836">
        <f>C98*D98</f>
        <v>161</v>
      </c>
      <c r="F98" s="841">
        <v>161</v>
      </c>
      <c r="G98" s="829">
        <v>2.0369999999999999</v>
      </c>
      <c r="H98" s="829">
        <v>1.6385000000000001</v>
      </c>
      <c r="I98" s="829">
        <v>0.63400000000000001</v>
      </c>
      <c r="J98" s="841">
        <v>21</v>
      </c>
      <c r="K98" s="836">
        <f>C98*J98</f>
        <v>147</v>
      </c>
      <c r="L98" s="836">
        <f>F98-K98</f>
        <v>14</v>
      </c>
      <c r="M98" s="838">
        <f>(G98+H98+I98)*L98*1.49</f>
        <v>89.896169999999998</v>
      </c>
      <c r="N98" s="839">
        <f>M98*6</f>
        <v>539.37702000000002</v>
      </c>
    </row>
    <row r="99" spans="1:14" ht="30" customHeight="1">
      <c r="A99" s="827">
        <v>3</v>
      </c>
      <c r="B99" s="825" t="s">
        <v>966</v>
      </c>
      <c r="C99" s="841">
        <v>1</v>
      </c>
      <c r="D99" s="841">
        <v>21</v>
      </c>
      <c r="E99" s="836">
        <f>C99*D99</f>
        <v>21</v>
      </c>
      <c r="F99" s="841">
        <v>21</v>
      </c>
      <c r="G99" s="842">
        <f>31.94/21</f>
        <v>1.5209523809523811</v>
      </c>
      <c r="H99" s="842">
        <v>1.0429999999999999</v>
      </c>
      <c r="I99" s="842">
        <f>0.443</f>
        <v>0.443</v>
      </c>
      <c r="J99" s="841">
        <v>19</v>
      </c>
      <c r="K99" s="836">
        <f>C99*J99</f>
        <v>19</v>
      </c>
      <c r="L99" s="836">
        <f>F99-K99</f>
        <v>2</v>
      </c>
      <c r="M99" s="838">
        <f>(G99+H99+I99)*L99*1.49</f>
        <v>8.9607180952380965</v>
      </c>
      <c r="N99" s="839">
        <f>M99*6</f>
        <v>53.764308571428579</v>
      </c>
    </row>
    <row r="100" spans="1:14" ht="30" hidden="1" customHeight="1">
      <c r="A100" s="825"/>
      <c r="B100" s="828"/>
      <c r="C100" s="829"/>
      <c r="D100" s="828"/>
      <c r="E100" s="828"/>
      <c r="F100" s="828"/>
      <c r="G100" s="828"/>
      <c r="H100" s="828"/>
      <c r="I100" s="828"/>
      <c r="J100" s="828"/>
      <c r="K100" s="828"/>
      <c r="L100" s="828"/>
      <c r="M100" s="828"/>
      <c r="N100" s="830"/>
    </row>
    <row r="102" spans="1:14">
      <c r="G102" s="488">
        <f>'08'!G26</f>
        <v>906.78191279999999</v>
      </c>
    </row>
    <row r="103" spans="1:14">
      <c r="G103" s="488">
        <f>G102/F8</f>
        <v>3.2155386978723404</v>
      </c>
    </row>
  </sheetData>
  <mergeCells count="13">
    <mergeCell ref="J5:K5"/>
    <mergeCell ref="L5:L6"/>
    <mergeCell ref="M5:M6"/>
    <mergeCell ref="N5:N6"/>
    <mergeCell ref="M1:N1"/>
    <mergeCell ref="A2:N2"/>
    <mergeCell ref="A3:N3"/>
    <mergeCell ref="A5:A6"/>
    <mergeCell ref="B5:B6"/>
    <mergeCell ref="C5:C6"/>
    <mergeCell ref="D5:E5"/>
    <mergeCell ref="F5:F6"/>
    <mergeCell ref="G5:I5"/>
  </mergeCells>
  <pageMargins left="0.69" right="0.55000000000000004" top="0.74803149606299213" bottom="0.74803149606299213"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4"/>
  <sheetViews>
    <sheetView workbookViewId="0">
      <pane xSplit="5880" ySplit="5445" topLeftCell="E9" activePane="bottomLeft"/>
      <selection pane="topRight" activeCell="C1" sqref="C1"/>
      <selection pane="bottomLeft" activeCell="A10" sqref="A10:XFD10"/>
      <selection pane="bottomRight" activeCell="O12" sqref="O12:O31"/>
    </sheetView>
  </sheetViews>
  <sheetFormatPr defaultRowHeight="12.75"/>
  <cols>
    <col min="1" max="1" width="6.7109375" style="13" customWidth="1"/>
    <col min="2" max="2" width="45.5703125" style="13" customWidth="1"/>
    <col min="3" max="4" width="9.140625" style="13"/>
    <col min="5" max="5" width="10.5703125" style="13" customWidth="1"/>
    <col min="6" max="6" width="11.7109375" style="918" customWidth="1"/>
    <col min="7" max="7" width="9.140625" style="906"/>
    <col min="8" max="8" width="9.140625" style="13"/>
    <col min="9" max="9" width="11.85546875" style="13" customWidth="1"/>
    <col min="10" max="10" width="10.5703125" style="13" customWidth="1"/>
    <col min="11" max="11" width="12.140625" style="13" customWidth="1"/>
    <col min="12" max="256" width="9.140625" style="13"/>
    <col min="257" max="257" width="6.7109375" style="13" customWidth="1"/>
    <col min="258" max="258" width="40.140625" style="13" customWidth="1"/>
    <col min="259" max="260" width="9.140625" style="13"/>
    <col min="261" max="261" width="10.5703125" style="13" customWidth="1"/>
    <col min="262" max="262" width="11.7109375" style="13" customWidth="1"/>
    <col min="263" max="265" width="9.140625" style="13"/>
    <col min="266" max="266" width="10.5703125" style="13" customWidth="1"/>
    <col min="267" max="267" width="12.140625" style="13" customWidth="1"/>
    <col min="268" max="512" width="9.140625" style="13"/>
    <col min="513" max="513" width="6.7109375" style="13" customWidth="1"/>
    <col min="514" max="514" width="40.140625" style="13" customWidth="1"/>
    <col min="515" max="516" width="9.140625" style="13"/>
    <col min="517" max="517" width="10.5703125" style="13" customWidth="1"/>
    <col min="518" max="518" width="11.7109375" style="13" customWidth="1"/>
    <col min="519" max="521" width="9.140625" style="13"/>
    <col min="522" max="522" width="10.5703125" style="13" customWidth="1"/>
    <col min="523" max="523" width="12.140625" style="13" customWidth="1"/>
    <col min="524" max="768" width="9.140625" style="13"/>
    <col min="769" max="769" width="6.7109375" style="13" customWidth="1"/>
    <col min="770" max="770" width="40.140625" style="13" customWidth="1"/>
    <col min="771" max="772" width="9.140625" style="13"/>
    <col min="773" max="773" width="10.5703125" style="13" customWidth="1"/>
    <col min="774" max="774" width="11.7109375" style="13" customWidth="1"/>
    <col min="775" max="777" width="9.140625" style="13"/>
    <col min="778" max="778" width="10.5703125" style="13" customWidth="1"/>
    <col min="779" max="779" width="12.140625" style="13" customWidth="1"/>
    <col min="780" max="1024" width="9.140625" style="13"/>
    <col min="1025" max="1025" width="6.7109375" style="13" customWidth="1"/>
    <col min="1026" max="1026" width="40.140625" style="13" customWidth="1"/>
    <col min="1027" max="1028" width="9.140625" style="13"/>
    <col min="1029" max="1029" width="10.5703125" style="13" customWidth="1"/>
    <col min="1030" max="1030" width="11.7109375" style="13" customWidth="1"/>
    <col min="1031" max="1033" width="9.140625" style="13"/>
    <col min="1034" max="1034" width="10.5703125" style="13" customWidth="1"/>
    <col min="1035" max="1035" width="12.140625" style="13" customWidth="1"/>
    <col min="1036" max="1280" width="9.140625" style="13"/>
    <col min="1281" max="1281" width="6.7109375" style="13" customWidth="1"/>
    <col min="1282" max="1282" width="40.140625" style="13" customWidth="1"/>
    <col min="1283" max="1284" width="9.140625" style="13"/>
    <col min="1285" max="1285" width="10.5703125" style="13" customWidth="1"/>
    <col min="1286" max="1286" width="11.7109375" style="13" customWidth="1"/>
    <col min="1287" max="1289" width="9.140625" style="13"/>
    <col min="1290" max="1290" width="10.5703125" style="13" customWidth="1"/>
    <col min="1291" max="1291" width="12.140625" style="13" customWidth="1"/>
    <col min="1292" max="1536" width="9.140625" style="13"/>
    <col min="1537" max="1537" width="6.7109375" style="13" customWidth="1"/>
    <col min="1538" max="1538" width="40.140625" style="13" customWidth="1"/>
    <col min="1539" max="1540" width="9.140625" style="13"/>
    <col min="1541" max="1541" width="10.5703125" style="13" customWidth="1"/>
    <col min="1542" max="1542" width="11.7109375" style="13" customWidth="1"/>
    <col min="1543" max="1545" width="9.140625" style="13"/>
    <col min="1546" max="1546" width="10.5703125" style="13" customWidth="1"/>
    <col min="1547" max="1547" width="12.140625" style="13" customWidth="1"/>
    <col min="1548" max="1792" width="9.140625" style="13"/>
    <col min="1793" max="1793" width="6.7109375" style="13" customWidth="1"/>
    <col min="1794" max="1794" width="40.140625" style="13" customWidth="1"/>
    <col min="1795" max="1796" width="9.140625" style="13"/>
    <col min="1797" max="1797" width="10.5703125" style="13" customWidth="1"/>
    <col min="1798" max="1798" width="11.7109375" style="13" customWidth="1"/>
    <col min="1799" max="1801" width="9.140625" style="13"/>
    <col min="1802" max="1802" width="10.5703125" style="13" customWidth="1"/>
    <col min="1803" max="1803" width="12.140625" style="13" customWidth="1"/>
    <col min="1804" max="2048" width="9.140625" style="13"/>
    <col min="2049" max="2049" width="6.7109375" style="13" customWidth="1"/>
    <col min="2050" max="2050" width="40.140625" style="13" customWidth="1"/>
    <col min="2051" max="2052" width="9.140625" style="13"/>
    <col min="2053" max="2053" width="10.5703125" style="13" customWidth="1"/>
    <col min="2054" max="2054" width="11.7109375" style="13" customWidth="1"/>
    <col min="2055" max="2057" width="9.140625" style="13"/>
    <col min="2058" max="2058" width="10.5703125" style="13" customWidth="1"/>
    <col min="2059" max="2059" width="12.140625" style="13" customWidth="1"/>
    <col min="2060" max="2304" width="9.140625" style="13"/>
    <col min="2305" max="2305" width="6.7109375" style="13" customWidth="1"/>
    <col min="2306" max="2306" width="40.140625" style="13" customWidth="1"/>
    <col min="2307" max="2308" width="9.140625" style="13"/>
    <col min="2309" max="2309" width="10.5703125" style="13" customWidth="1"/>
    <col min="2310" max="2310" width="11.7109375" style="13" customWidth="1"/>
    <col min="2311" max="2313" width="9.140625" style="13"/>
    <col min="2314" max="2314" width="10.5703125" style="13" customWidth="1"/>
    <col min="2315" max="2315" width="12.140625" style="13" customWidth="1"/>
    <col min="2316" max="2560" width="9.140625" style="13"/>
    <col min="2561" max="2561" width="6.7109375" style="13" customWidth="1"/>
    <col min="2562" max="2562" width="40.140625" style="13" customWidth="1"/>
    <col min="2563" max="2564" width="9.140625" style="13"/>
    <col min="2565" max="2565" width="10.5703125" style="13" customWidth="1"/>
    <col min="2566" max="2566" width="11.7109375" style="13" customWidth="1"/>
    <col min="2567" max="2569" width="9.140625" style="13"/>
    <col min="2570" max="2570" width="10.5703125" style="13" customWidth="1"/>
    <col min="2571" max="2571" width="12.140625" style="13" customWidth="1"/>
    <col min="2572" max="2816" width="9.140625" style="13"/>
    <col min="2817" max="2817" width="6.7109375" style="13" customWidth="1"/>
    <col min="2818" max="2818" width="40.140625" style="13" customWidth="1"/>
    <col min="2819" max="2820" width="9.140625" style="13"/>
    <col min="2821" max="2821" width="10.5703125" style="13" customWidth="1"/>
    <col min="2822" max="2822" width="11.7109375" style="13" customWidth="1"/>
    <col min="2823" max="2825" width="9.140625" style="13"/>
    <col min="2826" max="2826" width="10.5703125" style="13" customWidth="1"/>
    <col min="2827" max="2827" width="12.140625" style="13" customWidth="1"/>
    <col min="2828" max="3072" width="9.140625" style="13"/>
    <col min="3073" max="3073" width="6.7109375" style="13" customWidth="1"/>
    <col min="3074" max="3074" width="40.140625" style="13" customWidth="1"/>
    <col min="3075" max="3076" width="9.140625" style="13"/>
    <col min="3077" max="3077" width="10.5703125" style="13" customWidth="1"/>
    <col min="3078" max="3078" width="11.7109375" style="13" customWidth="1"/>
    <col min="3079" max="3081" width="9.140625" style="13"/>
    <col min="3082" max="3082" width="10.5703125" style="13" customWidth="1"/>
    <col min="3083" max="3083" width="12.140625" style="13" customWidth="1"/>
    <col min="3084" max="3328" width="9.140625" style="13"/>
    <col min="3329" max="3329" width="6.7109375" style="13" customWidth="1"/>
    <col min="3330" max="3330" width="40.140625" style="13" customWidth="1"/>
    <col min="3331" max="3332" width="9.140625" style="13"/>
    <col min="3333" max="3333" width="10.5703125" style="13" customWidth="1"/>
    <col min="3334" max="3334" width="11.7109375" style="13" customWidth="1"/>
    <col min="3335" max="3337" width="9.140625" style="13"/>
    <col min="3338" max="3338" width="10.5703125" style="13" customWidth="1"/>
    <col min="3339" max="3339" width="12.140625" style="13" customWidth="1"/>
    <col min="3340" max="3584" width="9.140625" style="13"/>
    <col min="3585" max="3585" width="6.7109375" style="13" customWidth="1"/>
    <col min="3586" max="3586" width="40.140625" style="13" customWidth="1"/>
    <col min="3587" max="3588" width="9.140625" style="13"/>
    <col min="3589" max="3589" width="10.5703125" style="13" customWidth="1"/>
    <col min="3590" max="3590" width="11.7109375" style="13" customWidth="1"/>
    <col min="3591" max="3593" width="9.140625" style="13"/>
    <col min="3594" max="3594" width="10.5703125" style="13" customWidth="1"/>
    <col min="3595" max="3595" width="12.140625" style="13" customWidth="1"/>
    <col min="3596" max="3840" width="9.140625" style="13"/>
    <col min="3841" max="3841" width="6.7109375" style="13" customWidth="1"/>
    <col min="3842" max="3842" width="40.140625" style="13" customWidth="1"/>
    <col min="3843" max="3844" width="9.140625" style="13"/>
    <col min="3845" max="3845" width="10.5703125" style="13" customWidth="1"/>
    <col min="3846" max="3846" width="11.7109375" style="13" customWidth="1"/>
    <col min="3847" max="3849" width="9.140625" style="13"/>
    <col min="3850" max="3850" width="10.5703125" style="13" customWidth="1"/>
    <col min="3851" max="3851" width="12.140625" style="13" customWidth="1"/>
    <col min="3852" max="4096" width="9.140625" style="13"/>
    <col min="4097" max="4097" width="6.7109375" style="13" customWidth="1"/>
    <col min="4098" max="4098" width="40.140625" style="13" customWidth="1"/>
    <col min="4099" max="4100" width="9.140625" style="13"/>
    <col min="4101" max="4101" width="10.5703125" style="13" customWidth="1"/>
    <col min="4102" max="4102" width="11.7109375" style="13" customWidth="1"/>
    <col min="4103" max="4105" width="9.140625" style="13"/>
    <col min="4106" max="4106" width="10.5703125" style="13" customWidth="1"/>
    <col min="4107" max="4107" width="12.140625" style="13" customWidth="1"/>
    <col min="4108" max="4352" width="9.140625" style="13"/>
    <col min="4353" max="4353" width="6.7109375" style="13" customWidth="1"/>
    <col min="4354" max="4354" width="40.140625" style="13" customWidth="1"/>
    <col min="4355" max="4356" width="9.140625" style="13"/>
    <col min="4357" max="4357" width="10.5703125" style="13" customWidth="1"/>
    <col min="4358" max="4358" width="11.7109375" style="13" customWidth="1"/>
    <col min="4359" max="4361" width="9.140625" style="13"/>
    <col min="4362" max="4362" width="10.5703125" style="13" customWidth="1"/>
    <col min="4363" max="4363" width="12.140625" style="13" customWidth="1"/>
    <col min="4364" max="4608" width="9.140625" style="13"/>
    <col min="4609" max="4609" width="6.7109375" style="13" customWidth="1"/>
    <col min="4610" max="4610" width="40.140625" style="13" customWidth="1"/>
    <col min="4611" max="4612" width="9.140625" style="13"/>
    <col min="4613" max="4613" width="10.5703125" style="13" customWidth="1"/>
    <col min="4614" max="4614" width="11.7109375" style="13" customWidth="1"/>
    <col min="4615" max="4617" width="9.140625" style="13"/>
    <col min="4618" max="4618" width="10.5703125" style="13" customWidth="1"/>
    <col min="4619" max="4619" width="12.140625" style="13" customWidth="1"/>
    <col min="4620" max="4864" width="9.140625" style="13"/>
    <col min="4865" max="4865" width="6.7109375" style="13" customWidth="1"/>
    <col min="4866" max="4866" width="40.140625" style="13" customWidth="1"/>
    <col min="4867" max="4868" width="9.140625" style="13"/>
    <col min="4869" max="4869" width="10.5703125" style="13" customWidth="1"/>
    <col min="4870" max="4870" width="11.7109375" style="13" customWidth="1"/>
    <col min="4871" max="4873" width="9.140625" style="13"/>
    <col min="4874" max="4874" width="10.5703125" style="13" customWidth="1"/>
    <col min="4875" max="4875" width="12.140625" style="13" customWidth="1"/>
    <col min="4876" max="5120" width="9.140625" style="13"/>
    <col min="5121" max="5121" width="6.7109375" style="13" customWidth="1"/>
    <col min="5122" max="5122" width="40.140625" style="13" customWidth="1"/>
    <col min="5123" max="5124" width="9.140625" style="13"/>
    <col min="5125" max="5125" width="10.5703125" style="13" customWidth="1"/>
    <col min="5126" max="5126" width="11.7109375" style="13" customWidth="1"/>
    <col min="5127" max="5129" width="9.140625" style="13"/>
    <col min="5130" max="5130" width="10.5703125" style="13" customWidth="1"/>
    <col min="5131" max="5131" width="12.140625" style="13" customWidth="1"/>
    <col min="5132" max="5376" width="9.140625" style="13"/>
    <col min="5377" max="5377" width="6.7109375" style="13" customWidth="1"/>
    <col min="5378" max="5378" width="40.140625" style="13" customWidth="1"/>
    <col min="5379" max="5380" width="9.140625" style="13"/>
    <col min="5381" max="5381" width="10.5703125" style="13" customWidth="1"/>
    <col min="5382" max="5382" width="11.7109375" style="13" customWidth="1"/>
    <col min="5383" max="5385" width="9.140625" style="13"/>
    <col min="5386" max="5386" width="10.5703125" style="13" customWidth="1"/>
    <col min="5387" max="5387" width="12.140625" style="13" customWidth="1"/>
    <col min="5388" max="5632" width="9.140625" style="13"/>
    <col min="5633" max="5633" width="6.7109375" style="13" customWidth="1"/>
    <col min="5634" max="5634" width="40.140625" style="13" customWidth="1"/>
    <col min="5635" max="5636" width="9.140625" style="13"/>
    <col min="5637" max="5637" width="10.5703125" style="13" customWidth="1"/>
    <col min="5638" max="5638" width="11.7109375" style="13" customWidth="1"/>
    <col min="5639" max="5641" width="9.140625" style="13"/>
    <col min="5642" max="5642" width="10.5703125" style="13" customWidth="1"/>
    <col min="5643" max="5643" width="12.140625" style="13" customWidth="1"/>
    <col min="5644" max="5888" width="9.140625" style="13"/>
    <col min="5889" max="5889" width="6.7109375" style="13" customWidth="1"/>
    <col min="5890" max="5890" width="40.140625" style="13" customWidth="1"/>
    <col min="5891" max="5892" width="9.140625" style="13"/>
    <col min="5893" max="5893" width="10.5703125" style="13" customWidth="1"/>
    <col min="5894" max="5894" width="11.7109375" style="13" customWidth="1"/>
    <col min="5895" max="5897" width="9.140625" style="13"/>
    <col min="5898" max="5898" width="10.5703125" style="13" customWidth="1"/>
    <col min="5899" max="5899" width="12.140625" style="13" customWidth="1"/>
    <col min="5900" max="6144" width="9.140625" style="13"/>
    <col min="6145" max="6145" width="6.7109375" style="13" customWidth="1"/>
    <col min="6146" max="6146" width="40.140625" style="13" customWidth="1"/>
    <col min="6147" max="6148" width="9.140625" style="13"/>
    <col min="6149" max="6149" width="10.5703125" style="13" customWidth="1"/>
    <col min="6150" max="6150" width="11.7109375" style="13" customWidth="1"/>
    <col min="6151" max="6153" width="9.140625" style="13"/>
    <col min="6154" max="6154" width="10.5703125" style="13" customWidth="1"/>
    <col min="6155" max="6155" width="12.140625" style="13" customWidth="1"/>
    <col min="6156" max="6400" width="9.140625" style="13"/>
    <col min="6401" max="6401" width="6.7109375" style="13" customWidth="1"/>
    <col min="6402" max="6402" width="40.140625" style="13" customWidth="1"/>
    <col min="6403" max="6404" width="9.140625" style="13"/>
    <col min="6405" max="6405" width="10.5703125" style="13" customWidth="1"/>
    <col min="6406" max="6406" width="11.7109375" style="13" customWidth="1"/>
    <col min="6407" max="6409" width="9.140625" style="13"/>
    <col min="6410" max="6410" width="10.5703125" style="13" customWidth="1"/>
    <col min="6411" max="6411" width="12.140625" style="13" customWidth="1"/>
    <col min="6412" max="6656" width="9.140625" style="13"/>
    <col min="6657" max="6657" width="6.7109375" style="13" customWidth="1"/>
    <col min="6658" max="6658" width="40.140625" style="13" customWidth="1"/>
    <col min="6659" max="6660" width="9.140625" style="13"/>
    <col min="6661" max="6661" width="10.5703125" style="13" customWidth="1"/>
    <col min="6662" max="6662" width="11.7109375" style="13" customWidth="1"/>
    <col min="6663" max="6665" width="9.140625" style="13"/>
    <col min="6666" max="6666" width="10.5703125" style="13" customWidth="1"/>
    <col min="6667" max="6667" width="12.140625" style="13" customWidth="1"/>
    <col min="6668" max="6912" width="9.140625" style="13"/>
    <col min="6913" max="6913" width="6.7109375" style="13" customWidth="1"/>
    <col min="6914" max="6914" width="40.140625" style="13" customWidth="1"/>
    <col min="6915" max="6916" width="9.140625" style="13"/>
    <col min="6917" max="6917" width="10.5703125" style="13" customWidth="1"/>
    <col min="6918" max="6918" width="11.7109375" style="13" customWidth="1"/>
    <col min="6919" max="6921" width="9.140625" style="13"/>
    <col min="6922" max="6922" width="10.5703125" style="13" customWidth="1"/>
    <col min="6923" max="6923" width="12.140625" style="13" customWidth="1"/>
    <col min="6924" max="7168" width="9.140625" style="13"/>
    <col min="7169" max="7169" width="6.7109375" style="13" customWidth="1"/>
    <col min="7170" max="7170" width="40.140625" style="13" customWidth="1"/>
    <col min="7171" max="7172" width="9.140625" style="13"/>
    <col min="7173" max="7173" width="10.5703125" style="13" customWidth="1"/>
    <col min="7174" max="7174" width="11.7109375" style="13" customWidth="1"/>
    <col min="7175" max="7177" width="9.140625" style="13"/>
    <col min="7178" max="7178" width="10.5703125" style="13" customWidth="1"/>
    <col min="7179" max="7179" width="12.140625" style="13" customWidth="1"/>
    <col min="7180" max="7424" width="9.140625" style="13"/>
    <col min="7425" max="7425" width="6.7109375" style="13" customWidth="1"/>
    <col min="7426" max="7426" width="40.140625" style="13" customWidth="1"/>
    <col min="7427" max="7428" width="9.140625" style="13"/>
    <col min="7429" max="7429" width="10.5703125" style="13" customWidth="1"/>
    <col min="7430" max="7430" width="11.7109375" style="13" customWidth="1"/>
    <col min="7431" max="7433" width="9.140625" style="13"/>
    <col min="7434" max="7434" width="10.5703125" style="13" customWidth="1"/>
    <col min="7435" max="7435" width="12.140625" style="13" customWidth="1"/>
    <col min="7436" max="7680" width="9.140625" style="13"/>
    <col min="7681" max="7681" width="6.7109375" style="13" customWidth="1"/>
    <col min="7682" max="7682" width="40.140625" style="13" customWidth="1"/>
    <col min="7683" max="7684" width="9.140625" style="13"/>
    <col min="7685" max="7685" width="10.5703125" style="13" customWidth="1"/>
    <col min="7686" max="7686" width="11.7109375" style="13" customWidth="1"/>
    <col min="7687" max="7689" width="9.140625" style="13"/>
    <col min="7690" max="7690" width="10.5703125" style="13" customWidth="1"/>
    <col min="7691" max="7691" width="12.140625" style="13" customWidth="1"/>
    <col min="7692" max="7936" width="9.140625" style="13"/>
    <col min="7937" max="7937" width="6.7109375" style="13" customWidth="1"/>
    <col min="7938" max="7938" width="40.140625" style="13" customWidth="1"/>
    <col min="7939" max="7940" width="9.140625" style="13"/>
    <col min="7941" max="7941" width="10.5703125" style="13" customWidth="1"/>
    <col min="7942" max="7942" width="11.7109375" style="13" customWidth="1"/>
    <col min="7943" max="7945" width="9.140625" style="13"/>
    <col min="7946" max="7946" width="10.5703125" style="13" customWidth="1"/>
    <col min="7947" max="7947" width="12.140625" style="13" customWidth="1"/>
    <col min="7948" max="8192" width="9.140625" style="13"/>
    <col min="8193" max="8193" width="6.7109375" style="13" customWidth="1"/>
    <col min="8194" max="8194" width="40.140625" style="13" customWidth="1"/>
    <col min="8195" max="8196" width="9.140625" style="13"/>
    <col min="8197" max="8197" width="10.5703125" style="13" customWidth="1"/>
    <col min="8198" max="8198" width="11.7109375" style="13" customWidth="1"/>
    <col min="8199" max="8201" width="9.140625" style="13"/>
    <col min="8202" max="8202" width="10.5703125" style="13" customWidth="1"/>
    <col min="8203" max="8203" width="12.140625" style="13" customWidth="1"/>
    <col min="8204" max="8448" width="9.140625" style="13"/>
    <col min="8449" max="8449" width="6.7109375" style="13" customWidth="1"/>
    <col min="8450" max="8450" width="40.140625" style="13" customWidth="1"/>
    <col min="8451" max="8452" width="9.140625" style="13"/>
    <col min="8453" max="8453" width="10.5703125" style="13" customWidth="1"/>
    <col min="8454" max="8454" width="11.7109375" style="13" customWidth="1"/>
    <col min="8455" max="8457" width="9.140625" style="13"/>
    <col min="8458" max="8458" width="10.5703125" style="13" customWidth="1"/>
    <col min="8459" max="8459" width="12.140625" style="13" customWidth="1"/>
    <col min="8460" max="8704" width="9.140625" style="13"/>
    <col min="8705" max="8705" width="6.7109375" style="13" customWidth="1"/>
    <col min="8706" max="8706" width="40.140625" style="13" customWidth="1"/>
    <col min="8707" max="8708" width="9.140625" style="13"/>
    <col min="8709" max="8709" width="10.5703125" style="13" customWidth="1"/>
    <col min="8710" max="8710" width="11.7109375" style="13" customWidth="1"/>
    <col min="8711" max="8713" width="9.140625" style="13"/>
    <col min="8714" max="8714" width="10.5703125" style="13" customWidth="1"/>
    <col min="8715" max="8715" width="12.140625" style="13" customWidth="1"/>
    <col min="8716" max="8960" width="9.140625" style="13"/>
    <col min="8961" max="8961" width="6.7109375" style="13" customWidth="1"/>
    <col min="8962" max="8962" width="40.140625" style="13" customWidth="1"/>
    <col min="8963" max="8964" width="9.140625" style="13"/>
    <col min="8965" max="8965" width="10.5703125" style="13" customWidth="1"/>
    <col min="8966" max="8966" width="11.7109375" style="13" customWidth="1"/>
    <col min="8967" max="8969" width="9.140625" style="13"/>
    <col min="8970" max="8970" width="10.5703125" style="13" customWidth="1"/>
    <col min="8971" max="8971" width="12.140625" style="13" customWidth="1"/>
    <col min="8972" max="9216" width="9.140625" style="13"/>
    <col min="9217" max="9217" width="6.7109375" style="13" customWidth="1"/>
    <col min="9218" max="9218" width="40.140625" style="13" customWidth="1"/>
    <col min="9219" max="9220" width="9.140625" style="13"/>
    <col min="9221" max="9221" width="10.5703125" style="13" customWidth="1"/>
    <col min="9222" max="9222" width="11.7109375" style="13" customWidth="1"/>
    <col min="9223" max="9225" width="9.140625" style="13"/>
    <col min="9226" max="9226" width="10.5703125" style="13" customWidth="1"/>
    <col min="9227" max="9227" width="12.140625" style="13" customWidth="1"/>
    <col min="9228" max="9472" width="9.140625" style="13"/>
    <col min="9473" max="9473" width="6.7109375" style="13" customWidth="1"/>
    <col min="9474" max="9474" width="40.140625" style="13" customWidth="1"/>
    <col min="9475" max="9476" width="9.140625" style="13"/>
    <col min="9477" max="9477" width="10.5703125" style="13" customWidth="1"/>
    <col min="9478" max="9478" width="11.7109375" style="13" customWidth="1"/>
    <col min="9479" max="9481" width="9.140625" style="13"/>
    <col min="9482" max="9482" width="10.5703125" style="13" customWidth="1"/>
    <col min="9483" max="9483" width="12.140625" style="13" customWidth="1"/>
    <col min="9484" max="9728" width="9.140625" style="13"/>
    <col min="9729" max="9729" width="6.7109375" style="13" customWidth="1"/>
    <col min="9730" max="9730" width="40.140625" style="13" customWidth="1"/>
    <col min="9731" max="9732" width="9.140625" style="13"/>
    <col min="9733" max="9733" width="10.5703125" style="13" customWidth="1"/>
    <col min="9734" max="9734" width="11.7109375" style="13" customWidth="1"/>
    <col min="9735" max="9737" width="9.140625" style="13"/>
    <col min="9738" max="9738" width="10.5703125" style="13" customWidth="1"/>
    <col min="9739" max="9739" width="12.140625" style="13" customWidth="1"/>
    <col min="9740" max="9984" width="9.140625" style="13"/>
    <col min="9985" max="9985" width="6.7109375" style="13" customWidth="1"/>
    <col min="9986" max="9986" width="40.140625" style="13" customWidth="1"/>
    <col min="9987" max="9988" width="9.140625" style="13"/>
    <col min="9989" max="9989" width="10.5703125" style="13" customWidth="1"/>
    <col min="9990" max="9990" width="11.7109375" style="13" customWidth="1"/>
    <col min="9991" max="9993" width="9.140625" style="13"/>
    <col min="9994" max="9994" width="10.5703125" style="13" customWidth="1"/>
    <col min="9995" max="9995" width="12.140625" style="13" customWidth="1"/>
    <col min="9996" max="10240" width="9.140625" style="13"/>
    <col min="10241" max="10241" width="6.7109375" style="13" customWidth="1"/>
    <col min="10242" max="10242" width="40.140625" style="13" customWidth="1"/>
    <col min="10243" max="10244" width="9.140625" style="13"/>
    <col min="10245" max="10245" width="10.5703125" style="13" customWidth="1"/>
    <col min="10246" max="10246" width="11.7109375" style="13" customWidth="1"/>
    <col min="10247" max="10249" width="9.140625" style="13"/>
    <col min="10250" max="10250" width="10.5703125" style="13" customWidth="1"/>
    <col min="10251" max="10251" width="12.140625" style="13" customWidth="1"/>
    <col min="10252" max="10496" width="9.140625" style="13"/>
    <col min="10497" max="10497" width="6.7109375" style="13" customWidth="1"/>
    <col min="10498" max="10498" width="40.140625" style="13" customWidth="1"/>
    <col min="10499" max="10500" width="9.140625" style="13"/>
    <col min="10501" max="10501" width="10.5703125" style="13" customWidth="1"/>
    <col min="10502" max="10502" width="11.7109375" style="13" customWidth="1"/>
    <col min="10503" max="10505" width="9.140625" style="13"/>
    <col min="10506" max="10506" width="10.5703125" style="13" customWidth="1"/>
    <col min="10507" max="10507" width="12.140625" style="13" customWidth="1"/>
    <col min="10508" max="10752" width="9.140625" style="13"/>
    <col min="10753" max="10753" width="6.7109375" style="13" customWidth="1"/>
    <col min="10754" max="10754" width="40.140625" style="13" customWidth="1"/>
    <col min="10755" max="10756" width="9.140625" style="13"/>
    <col min="10757" max="10757" width="10.5703125" style="13" customWidth="1"/>
    <col min="10758" max="10758" width="11.7109375" style="13" customWidth="1"/>
    <col min="10759" max="10761" width="9.140625" style="13"/>
    <col min="10762" max="10762" width="10.5703125" style="13" customWidth="1"/>
    <col min="10763" max="10763" width="12.140625" style="13" customWidth="1"/>
    <col min="10764" max="11008" width="9.140625" style="13"/>
    <col min="11009" max="11009" width="6.7109375" style="13" customWidth="1"/>
    <col min="11010" max="11010" width="40.140625" style="13" customWidth="1"/>
    <col min="11011" max="11012" width="9.140625" style="13"/>
    <col min="11013" max="11013" width="10.5703125" style="13" customWidth="1"/>
    <col min="11014" max="11014" width="11.7109375" style="13" customWidth="1"/>
    <col min="11015" max="11017" width="9.140625" style="13"/>
    <col min="11018" max="11018" width="10.5703125" style="13" customWidth="1"/>
    <col min="11019" max="11019" width="12.140625" style="13" customWidth="1"/>
    <col min="11020" max="11264" width="9.140625" style="13"/>
    <col min="11265" max="11265" width="6.7109375" style="13" customWidth="1"/>
    <col min="11266" max="11266" width="40.140625" style="13" customWidth="1"/>
    <col min="11267" max="11268" width="9.140625" style="13"/>
    <col min="11269" max="11269" width="10.5703125" style="13" customWidth="1"/>
    <col min="11270" max="11270" width="11.7109375" style="13" customWidth="1"/>
    <col min="11271" max="11273" width="9.140625" style="13"/>
    <col min="11274" max="11274" width="10.5703125" style="13" customWidth="1"/>
    <col min="11275" max="11275" width="12.140625" style="13" customWidth="1"/>
    <col min="11276" max="11520" width="9.140625" style="13"/>
    <col min="11521" max="11521" width="6.7109375" style="13" customWidth="1"/>
    <col min="11522" max="11522" width="40.140625" style="13" customWidth="1"/>
    <col min="11523" max="11524" width="9.140625" style="13"/>
    <col min="11525" max="11525" width="10.5703125" style="13" customWidth="1"/>
    <col min="11526" max="11526" width="11.7109375" style="13" customWidth="1"/>
    <col min="11527" max="11529" width="9.140625" style="13"/>
    <col min="11530" max="11530" width="10.5703125" style="13" customWidth="1"/>
    <col min="11531" max="11531" width="12.140625" style="13" customWidth="1"/>
    <col min="11532" max="11776" width="9.140625" style="13"/>
    <col min="11777" max="11777" width="6.7109375" style="13" customWidth="1"/>
    <col min="11778" max="11778" width="40.140625" style="13" customWidth="1"/>
    <col min="11779" max="11780" width="9.140625" style="13"/>
    <col min="11781" max="11781" width="10.5703125" style="13" customWidth="1"/>
    <col min="11782" max="11782" width="11.7109375" style="13" customWidth="1"/>
    <col min="11783" max="11785" width="9.140625" style="13"/>
    <col min="11786" max="11786" width="10.5703125" style="13" customWidth="1"/>
    <col min="11787" max="11787" width="12.140625" style="13" customWidth="1"/>
    <col min="11788" max="12032" width="9.140625" style="13"/>
    <col min="12033" max="12033" width="6.7109375" style="13" customWidth="1"/>
    <col min="12034" max="12034" width="40.140625" style="13" customWidth="1"/>
    <col min="12035" max="12036" width="9.140625" style="13"/>
    <col min="12037" max="12037" width="10.5703125" style="13" customWidth="1"/>
    <col min="12038" max="12038" width="11.7109375" style="13" customWidth="1"/>
    <col min="12039" max="12041" width="9.140625" style="13"/>
    <col min="12042" max="12042" width="10.5703125" style="13" customWidth="1"/>
    <col min="12043" max="12043" width="12.140625" style="13" customWidth="1"/>
    <col min="12044" max="12288" width="9.140625" style="13"/>
    <col min="12289" max="12289" width="6.7109375" style="13" customWidth="1"/>
    <col min="12290" max="12290" width="40.140625" style="13" customWidth="1"/>
    <col min="12291" max="12292" width="9.140625" style="13"/>
    <col min="12293" max="12293" width="10.5703125" style="13" customWidth="1"/>
    <col min="12294" max="12294" width="11.7109375" style="13" customWidth="1"/>
    <col min="12295" max="12297" width="9.140625" style="13"/>
    <col min="12298" max="12298" width="10.5703125" style="13" customWidth="1"/>
    <col min="12299" max="12299" width="12.140625" style="13" customWidth="1"/>
    <col min="12300" max="12544" width="9.140625" style="13"/>
    <col min="12545" max="12545" width="6.7109375" style="13" customWidth="1"/>
    <col min="12546" max="12546" width="40.140625" style="13" customWidth="1"/>
    <col min="12547" max="12548" width="9.140625" style="13"/>
    <col min="12549" max="12549" width="10.5703125" style="13" customWidth="1"/>
    <col min="12550" max="12550" width="11.7109375" style="13" customWidth="1"/>
    <col min="12551" max="12553" width="9.140625" style="13"/>
    <col min="12554" max="12554" width="10.5703125" style="13" customWidth="1"/>
    <col min="12555" max="12555" width="12.140625" style="13" customWidth="1"/>
    <col min="12556" max="12800" width="9.140625" style="13"/>
    <col min="12801" max="12801" width="6.7109375" style="13" customWidth="1"/>
    <col min="12802" max="12802" width="40.140625" style="13" customWidth="1"/>
    <col min="12803" max="12804" width="9.140625" style="13"/>
    <col min="12805" max="12805" width="10.5703125" style="13" customWidth="1"/>
    <col min="12806" max="12806" width="11.7109375" style="13" customWidth="1"/>
    <col min="12807" max="12809" width="9.140625" style="13"/>
    <col min="12810" max="12810" width="10.5703125" style="13" customWidth="1"/>
    <col min="12811" max="12811" width="12.140625" style="13" customWidth="1"/>
    <col min="12812" max="13056" width="9.140625" style="13"/>
    <col min="13057" max="13057" width="6.7109375" style="13" customWidth="1"/>
    <col min="13058" max="13058" width="40.140625" style="13" customWidth="1"/>
    <col min="13059" max="13060" width="9.140625" style="13"/>
    <col min="13061" max="13061" width="10.5703125" style="13" customWidth="1"/>
    <col min="13062" max="13062" width="11.7109375" style="13" customWidth="1"/>
    <col min="13063" max="13065" width="9.140625" style="13"/>
    <col min="13066" max="13066" width="10.5703125" style="13" customWidth="1"/>
    <col min="13067" max="13067" width="12.140625" style="13" customWidth="1"/>
    <col min="13068" max="13312" width="9.140625" style="13"/>
    <col min="13313" max="13313" width="6.7109375" style="13" customWidth="1"/>
    <col min="13314" max="13314" width="40.140625" style="13" customWidth="1"/>
    <col min="13315" max="13316" width="9.140625" style="13"/>
    <col min="13317" max="13317" width="10.5703125" style="13" customWidth="1"/>
    <col min="13318" max="13318" width="11.7109375" style="13" customWidth="1"/>
    <col min="13319" max="13321" width="9.140625" style="13"/>
    <col min="13322" max="13322" width="10.5703125" style="13" customWidth="1"/>
    <col min="13323" max="13323" width="12.140625" style="13" customWidth="1"/>
    <col min="13324" max="13568" width="9.140625" style="13"/>
    <col min="13569" max="13569" width="6.7109375" style="13" customWidth="1"/>
    <col min="13570" max="13570" width="40.140625" style="13" customWidth="1"/>
    <col min="13571" max="13572" width="9.140625" style="13"/>
    <col min="13573" max="13573" width="10.5703125" style="13" customWidth="1"/>
    <col min="13574" max="13574" width="11.7109375" style="13" customWidth="1"/>
    <col min="13575" max="13577" width="9.140625" style="13"/>
    <col min="13578" max="13578" width="10.5703125" style="13" customWidth="1"/>
    <col min="13579" max="13579" width="12.140625" style="13" customWidth="1"/>
    <col min="13580" max="13824" width="9.140625" style="13"/>
    <col min="13825" max="13825" width="6.7109375" style="13" customWidth="1"/>
    <col min="13826" max="13826" width="40.140625" style="13" customWidth="1"/>
    <col min="13827" max="13828" width="9.140625" style="13"/>
    <col min="13829" max="13829" width="10.5703125" style="13" customWidth="1"/>
    <col min="13830" max="13830" width="11.7109375" style="13" customWidth="1"/>
    <col min="13831" max="13833" width="9.140625" style="13"/>
    <col min="13834" max="13834" width="10.5703125" style="13" customWidth="1"/>
    <col min="13835" max="13835" width="12.140625" style="13" customWidth="1"/>
    <col min="13836" max="14080" width="9.140625" style="13"/>
    <col min="14081" max="14081" width="6.7109375" style="13" customWidth="1"/>
    <col min="14082" max="14082" width="40.140625" style="13" customWidth="1"/>
    <col min="14083" max="14084" width="9.140625" style="13"/>
    <col min="14085" max="14085" width="10.5703125" style="13" customWidth="1"/>
    <col min="14086" max="14086" width="11.7109375" style="13" customWidth="1"/>
    <col min="14087" max="14089" width="9.140625" style="13"/>
    <col min="14090" max="14090" width="10.5703125" style="13" customWidth="1"/>
    <col min="14091" max="14091" width="12.140625" style="13" customWidth="1"/>
    <col min="14092" max="14336" width="9.140625" style="13"/>
    <col min="14337" max="14337" width="6.7109375" style="13" customWidth="1"/>
    <col min="14338" max="14338" width="40.140625" style="13" customWidth="1"/>
    <col min="14339" max="14340" width="9.140625" style="13"/>
    <col min="14341" max="14341" width="10.5703125" style="13" customWidth="1"/>
    <col min="14342" max="14342" width="11.7109375" style="13" customWidth="1"/>
    <col min="14343" max="14345" width="9.140625" style="13"/>
    <col min="14346" max="14346" width="10.5703125" style="13" customWidth="1"/>
    <col min="14347" max="14347" width="12.140625" style="13" customWidth="1"/>
    <col min="14348" max="14592" width="9.140625" style="13"/>
    <col min="14593" max="14593" width="6.7109375" style="13" customWidth="1"/>
    <col min="14594" max="14594" width="40.140625" style="13" customWidth="1"/>
    <col min="14595" max="14596" width="9.140625" style="13"/>
    <col min="14597" max="14597" width="10.5703125" style="13" customWidth="1"/>
    <col min="14598" max="14598" width="11.7109375" style="13" customWidth="1"/>
    <col min="14599" max="14601" width="9.140625" style="13"/>
    <col min="14602" max="14602" width="10.5703125" style="13" customWidth="1"/>
    <col min="14603" max="14603" width="12.140625" style="13" customWidth="1"/>
    <col min="14604" max="14848" width="9.140625" style="13"/>
    <col min="14849" max="14849" width="6.7109375" style="13" customWidth="1"/>
    <col min="14850" max="14850" width="40.140625" style="13" customWidth="1"/>
    <col min="14851" max="14852" width="9.140625" style="13"/>
    <col min="14853" max="14853" width="10.5703125" style="13" customWidth="1"/>
    <col min="14854" max="14854" width="11.7109375" style="13" customWidth="1"/>
    <col min="14855" max="14857" width="9.140625" style="13"/>
    <col min="14858" max="14858" width="10.5703125" style="13" customWidth="1"/>
    <col min="14859" max="14859" width="12.140625" style="13" customWidth="1"/>
    <col min="14860" max="15104" width="9.140625" style="13"/>
    <col min="15105" max="15105" width="6.7109375" style="13" customWidth="1"/>
    <col min="15106" max="15106" width="40.140625" style="13" customWidth="1"/>
    <col min="15107" max="15108" width="9.140625" style="13"/>
    <col min="15109" max="15109" width="10.5703125" style="13" customWidth="1"/>
    <col min="15110" max="15110" width="11.7109375" style="13" customWidth="1"/>
    <col min="15111" max="15113" width="9.140625" style="13"/>
    <col min="15114" max="15114" width="10.5703125" style="13" customWidth="1"/>
    <col min="15115" max="15115" width="12.140625" style="13" customWidth="1"/>
    <col min="15116" max="15360" width="9.140625" style="13"/>
    <col min="15361" max="15361" width="6.7109375" style="13" customWidth="1"/>
    <col min="15362" max="15362" width="40.140625" style="13" customWidth="1"/>
    <col min="15363" max="15364" width="9.140625" style="13"/>
    <col min="15365" max="15365" width="10.5703125" style="13" customWidth="1"/>
    <col min="15366" max="15366" width="11.7109375" style="13" customWidth="1"/>
    <col min="15367" max="15369" width="9.140625" style="13"/>
    <col min="15370" max="15370" width="10.5703125" style="13" customWidth="1"/>
    <col min="15371" max="15371" width="12.140625" style="13" customWidth="1"/>
    <col min="15372" max="15616" width="9.140625" style="13"/>
    <col min="15617" max="15617" width="6.7109375" style="13" customWidth="1"/>
    <col min="15618" max="15618" width="40.140625" style="13" customWidth="1"/>
    <col min="15619" max="15620" width="9.140625" style="13"/>
    <col min="15621" max="15621" width="10.5703125" style="13" customWidth="1"/>
    <col min="15622" max="15622" width="11.7109375" style="13" customWidth="1"/>
    <col min="15623" max="15625" width="9.140625" style="13"/>
    <col min="15626" max="15626" width="10.5703125" style="13" customWidth="1"/>
    <col min="15627" max="15627" width="12.140625" style="13" customWidth="1"/>
    <col min="15628" max="15872" width="9.140625" style="13"/>
    <col min="15873" max="15873" width="6.7109375" style="13" customWidth="1"/>
    <col min="15874" max="15874" width="40.140625" style="13" customWidth="1"/>
    <col min="15875" max="15876" width="9.140625" style="13"/>
    <col min="15877" max="15877" width="10.5703125" style="13" customWidth="1"/>
    <col min="15878" max="15878" width="11.7109375" style="13" customWidth="1"/>
    <col min="15879" max="15881" width="9.140625" style="13"/>
    <col min="15882" max="15882" width="10.5703125" style="13" customWidth="1"/>
    <col min="15883" max="15883" width="12.140625" style="13" customWidth="1"/>
    <col min="15884" max="16128" width="9.140625" style="13"/>
    <col min="16129" max="16129" width="6.7109375" style="13" customWidth="1"/>
    <col min="16130" max="16130" width="40.140625" style="13" customWidth="1"/>
    <col min="16131" max="16132" width="9.140625" style="13"/>
    <col min="16133" max="16133" width="10.5703125" style="13" customWidth="1"/>
    <col min="16134" max="16134" width="11.7109375" style="13" customWidth="1"/>
    <col min="16135" max="16137" width="9.140625" style="13"/>
    <col min="16138" max="16138" width="10.5703125" style="13" customWidth="1"/>
    <col min="16139" max="16139" width="12.140625" style="13" customWidth="1"/>
    <col min="16140" max="16384" width="9.140625" style="13"/>
  </cols>
  <sheetData>
    <row r="1" spans="1:17" ht="13.5" customHeight="1">
      <c r="A1" s="496"/>
      <c r="B1" s="497"/>
      <c r="C1" s="497"/>
      <c r="D1" s="497"/>
      <c r="E1" s="497"/>
      <c r="F1" s="907"/>
      <c r="G1" s="897"/>
      <c r="H1" s="497"/>
      <c r="I1" s="497"/>
      <c r="J1" s="497"/>
      <c r="K1" s="497"/>
      <c r="L1" s="497"/>
      <c r="M1" s="497"/>
      <c r="N1" s="497"/>
      <c r="O1" s="1221" t="s">
        <v>967</v>
      </c>
      <c r="P1" s="1221"/>
    </row>
    <row r="2" spans="1:17" ht="26.25" customHeight="1">
      <c r="A2" s="1222" t="s">
        <v>968</v>
      </c>
      <c r="B2" s="1222"/>
      <c r="C2" s="1222"/>
      <c r="D2" s="1222"/>
      <c r="E2" s="1222"/>
      <c r="F2" s="1222"/>
      <c r="G2" s="1222"/>
      <c r="H2" s="1222"/>
      <c r="I2" s="1222"/>
      <c r="J2" s="1222"/>
      <c r="K2" s="1222"/>
      <c r="L2" s="1222"/>
      <c r="M2" s="1222"/>
      <c r="N2" s="1222"/>
      <c r="O2" s="1222"/>
      <c r="P2" s="1222"/>
    </row>
    <row r="3" spans="1:17" ht="18.75" customHeight="1">
      <c r="A3" s="1223" t="s">
        <v>1323</v>
      </c>
      <c r="B3" s="1223"/>
      <c r="C3" s="1223"/>
      <c r="D3" s="1223"/>
      <c r="E3" s="1223"/>
      <c r="F3" s="1223"/>
      <c r="G3" s="1223"/>
      <c r="H3" s="1223"/>
      <c r="I3" s="1223"/>
      <c r="J3" s="1223"/>
      <c r="K3" s="1223"/>
      <c r="L3" s="1223"/>
      <c r="M3" s="1223"/>
      <c r="N3" s="1223"/>
      <c r="O3" s="1223"/>
      <c r="P3" s="1223"/>
    </row>
    <row r="4" spans="1:17">
      <c r="A4" s="1224"/>
      <c r="B4" s="1224"/>
      <c r="C4" s="1224"/>
      <c r="D4" s="1224"/>
      <c r="E4" s="1224"/>
      <c r="F4" s="1224"/>
      <c r="G4" s="1224"/>
      <c r="H4" s="1224"/>
      <c r="I4" s="1224"/>
      <c r="J4" s="1224"/>
      <c r="K4" s="1224"/>
      <c r="L4" s="1224"/>
      <c r="M4" s="1224"/>
      <c r="N4" s="1224"/>
      <c r="O4" s="1224"/>
      <c r="P4" s="1224"/>
    </row>
    <row r="5" spans="1:17">
      <c r="A5" s="496"/>
      <c r="B5" s="498"/>
      <c r="C5" s="497"/>
      <c r="D5" s="497"/>
      <c r="E5" s="499"/>
      <c r="F5" s="908"/>
      <c r="G5" s="1220" t="s">
        <v>969</v>
      </c>
      <c r="H5" s="1220"/>
      <c r="I5" s="1220"/>
      <c r="J5" s="1220"/>
      <c r="K5" s="1220"/>
      <c r="L5" s="1220"/>
      <c r="M5" s="1220"/>
      <c r="N5" s="1220"/>
      <c r="O5" s="1220"/>
      <c r="P5" s="1220"/>
    </row>
    <row r="6" spans="1:17" ht="12.75" customHeight="1">
      <c r="A6" s="1194" t="s">
        <v>862</v>
      </c>
      <c r="B6" s="1228" t="s">
        <v>970</v>
      </c>
      <c r="C6" s="1228" t="s">
        <v>971</v>
      </c>
      <c r="D6" s="1230"/>
      <c r="E6" s="1230"/>
      <c r="F6" s="1230"/>
      <c r="G6" s="1231"/>
      <c r="H6" s="1228" t="s">
        <v>972</v>
      </c>
      <c r="I6" s="1230"/>
      <c r="J6" s="1230"/>
      <c r="K6" s="1230"/>
      <c r="L6" s="1231"/>
      <c r="M6" s="1225" t="s">
        <v>973</v>
      </c>
      <c r="N6" s="1225" t="s">
        <v>974</v>
      </c>
      <c r="O6" s="1225" t="s">
        <v>975</v>
      </c>
      <c r="P6" s="1225" t="s">
        <v>753</v>
      </c>
    </row>
    <row r="7" spans="1:17" ht="24.75" customHeight="1">
      <c r="A7" s="1195"/>
      <c r="B7" s="1229"/>
      <c r="C7" s="1232"/>
      <c r="D7" s="1233"/>
      <c r="E7" s="1233"/>
      <c r="F7" s="1233"/>
      <c r="G7" s="1234"/>
      <c r="H7" s="1232"/>
      <c r="I7" s="1233"/>
      <c r="J7" s="1233"/>
      <c r="K7" s="1233"/>
      <c r="L7" s="1234"/>
      <c r="M7" s="1226"/>
      <c r="N7" s="1226"/>
      <c r="O7" s="1226"/>
      <c r="P7" s="1226"/>
    </row>
    <row r="8" spans="1:17" ht="135.75" customHeight="1">
      <c r="A8" s="1195"/>
      <c r="B8" s="1229"/>
      <c r="C8" s="500" t="s">
        <v>976</v>
      </c>
      <c r="D8" s="500" t="s">
        <v>977</v>
      </c>
      <c r="E8" s="500" t="s">
        <v>978</v>
      </c>
      <c r="F8" s="909" t="s">
        <v>979</v>
      </c>
      <c r="G8" s="898" t="s">
        <v>980</v>
      </c>
      <c r="H8" s="501" t="s">
        <v>981</v>
      </c>
      <c r="I8" s="501" t="s">
        <v>982</v>
      </c>
      <c r="J8" s="501" t="s">
        <v>983</v>
      </c>
      <c r="K8" s="501" t="s">
        <v>984</v>
      </c>
      <c r="L8" s="501" t="s">
        <v>985</v>
      </c>
      <c r="M8" s="1227"/>
      <c r="N8" s="1227"/>
      <c r="O8" s="1227"/>
      <c r="P8" s="1226"/>
      <c r="Q8" s="231"/>
    </row>
    <row r="9" spans="1:17" ht="34.5" customHeight="1">
      <c r="A9" s="502" t="s">
        <v>218</v>
      </c>
      <c r="B9" s="502" t="s">
        <v>219</v>
      </c>
      <c r="C9" s="502" t="s">
        <v>986</v>
      </c>
      <c r="D9" s="502" t="s">
        <v>987</v>
      </c>
      <c r="E9" s="502" t="s">
        <v>988</v>
      </c>
      <c r="F9" s="910" t="s">
        <v>989</v>
      </c>
      <c r="G9" s="899" t="s">
        <v>990</v>
      </c>
      <c r="H9" s="502" t="s">
        <v>991</v>
      </c>
      <c r="I9" s="502" t="s">
        <v>992</v>
      </c>
      <c r="J9" s="502" t="s">
        <v>993</v>
      </c>
      <c r="K9" s="502" t="s">
        <v>994</v>
      </c>
      <c r="L9" s="502" t="s">
        <v>995</v>
      </c>
      <c r="M9" s="502" t="s">
        <v>996</v>
      </c>
      <c r="N9" s="502" t="s">
        <v>997</v>
      </c>
      <c r="O9" s="502" t="s">
        <v>998</v>
      </c>
      <c r="P9" s="502" t="s">
        <v>999</v>
      </c>
    </row>
    <row r="10" spans="1:17" s="918" customFormat="1" ht="24.95" customHeight="1">
      <c r="A10" s="919"/>
      <c r="B10" s="920" t="s">
        <v>225</v>
      </c>
      <c r="C10" s="911">
        <f>C11+C32+C35</f>
        <v>1503</v>
      </c>
      <c r="D10" s="911">
        <f t="shared" ref="D10:O10" si="0">D11+D32+D35</f>
        <v>21.849999999999994</v>
      </c>
      <c r="E10" s="911">
        <f t="shared" si="0"/>
        <v>62.675099999999993</v>
      </c>
      <c r="F10" s="911">
        <f>F11+F32+F35</f>
        <v>292.48379999999997</v>
      </c>
      <c r="G10" s="911">
        <f t="shared" si="0"/>
        <v>1294.3123999999998</v>
      </c>
      <c r="H10" s="911">
        <f t="shared" si="0"/>
        <v>519</v>
      </c>
      <c r="I10" s="911">
        <f t="shared" si="0"/>
        <v>46.800000000000004</v>
      </c>
      <c r="J10" s="911">
        <f t="shared" si="0"/>
        <v>22.6629</v>
      </c>
      <c r="K10" s="911">
        <f t="shared" si="0"/>
        <v>105.76020000000001</v>
      </c>
      <c r="L10" s="911">
        <f t="shared" si="0"/>
        <v>1160.8441</v>
      </c>
      <c r="M10" s="911">
        <f t="shared" si="0"/>
        <v>190.53170000000003</v>
      </c>
      <c r="N10" s="911">
        <f t="shared" si="0"/>
        <v>210</v>
      </c>
      <c r="O10" s="911">
        <f t="shared" si="0"/>
        <v>1143.1902000000007</v>
      </c>
      <c r="P10" s="921"/>
      <c r="Q10" s="918">
        <f>M10*6</f>
        <v>1143.1902000000002</v>
      </c>
    </row>
    <row r="11" spans="1:17" ht="24.95" customHeight="1">
      <c r="A11" s="749" t="s">
        <v>220</v>
      </c>
      <c r="B11" s="750" t="s">
        <v>1000</v>
      </c>
      <c r="C11" s="772">
        <f>SUM(C12:C31)</f>
        <v>240</v>
      </c>
      <c r="D11" s="772">
        <f t="shared" ref="D11:O11" si="1">SUM(D12:D31)</f>
        <v>14.099999999999996</v>
      </c>
      <c r="E11" s="772">
        <f t="shared" si="1"/>
        <v>10.007999999999996</v>
      </c>
      <c r="F11" s="912">
        <f t="shared" si="1"/>
        <v>46.704000000000001</v>
      </c>
      <c r="G11" s="900">
        <f>SUM(G12:G31)</f>
        <v>291.89999999999986</v>
      </c>
      <c r="H11" s="772">
        <f t="shared" si="1"/>
        <v>96</v>
      </c>
      <c r="I11" s="772">
        <f t="shared" si="1"/>
        <v>12.100000000000001</v>
      </c>
      <c r="J11" s="772">
        <f t="shared" si="1"/>
        <v>4.2911999999999999</v>
      </c>
      <c r="K11" s="772">
        <f t="shared" si="1"/>
        <v>20.025600000000001</v>
      </c>
      <c r="L11" s="772">
        <f t="shared" si="1"/>
        <v>240.66479999999993</v>
      </c>
      <c r="M11" s="772">
        <f t="shared" si="1"/>
        <v>-51.235199999999985</v>
      </c>
      <c r="N11" s="772">
        <f t="shared" si="1"/>
        <v>120</v>
      </c>
      <c r="O11" s="772">
        <f t="shared" si="1"/>
        <v>-307.41119999999984</v>
      </c>
      <c r="P11" s="751"/>
    </row>
    <row r="12" spans="1:17" ht="24.95" customHeight="1">
      <c r="A12" s="752">
        <v>1</v>
      </c>
      <c r="B12" s="753" t="s">
        <v>1001</v>
      </c>
      <c r="C12" s="771">
        <v>12</v>
      </c>
      <c r="D12" s="755">
        <v>1</v>
      </c>
      <c r="E12" s="756">
        <f>C12*3%*1.39</f>
        <v>0.50039999999999996</v>
      </c>
      <c r="F12" s="913">
        <f>C12*14%*1.39</f>
        <v>2.3351999999999999</v>
      </c>
      <c r="G12" s="901">
        <f>(C12*D12*1.39)+(E12+F12)</f>
        <v>19.515599999999999</v>
      </c>
      <c r="H12" s="771">
        <v>12</v>
      </c>
      <c r="I12" s="755">
        <v>1.4</v>
      </c>
      <c r="J12" s="756">
        <f>H12*3%*1.49</f>
        <v>0.53639999999999999</v>
      </c>
      <c r="K12" s="754">
        <f>H12*14%*1.49</f>
        <v>2.5032000000000001</v>
      </c>
      <c r="L12" s="754">
        <f>(H12*I12*1.49)+(J12+K12)</f>
        <v>28.071599999999997</v>
      </c>
      <c r="M12" s="754">
        <f>L12-G12</f>
        <v>8.5559999999999974</v>
      </c>
      <c r="N12" s="754">
        <v>6</v>
      </c>
      <c r="O12" s="754">
        <f>M12*N12</f>
        <v>51.335999999999984</v>
      </c>
      <c r="P12" s="754"/>
    </row>
    <row r="13" spans="1:17" ht="24.95" customHeight="1">
      <c r="A13" s="752">
        <v>2</v>
      </c>
      <c r="B13" s="753" t="s">
        <v>1002</v>
      </c>
      <c r="C13" s="771">
        <v>12</v>
      </c>
      <c r="D13" s="755">
        <v>1</v>
      </c>
      <c r="E13" s="756">
        <f t="shared" ref="E13:E31" si="2">C13*3%*1.39</f>
        <v>0.50039999999999996</v>
      </c>
      <c r="F13" s="913">
        <f t="shared" ref="F13:F31" si="3">C13*14%*1.39</f>
        <v>2.3351999999999999</v>
      </c>
      <c r="G13" s="901">
        <f t="shared" ref="G13:G31" si="4">(C13*D13*1.39)+(E13+F13)</f>
        <v>19.515599999999999</v>
      </c>
      <c r="H13" s="771"/>
      <c r="I13" s="755"/>
      <c r="J13" s="756">
        <f t="shared" ref="J13:J31" si="5">H13*3%*1.49</f>
        <v>0</v>
      </c>
      <c r="K13" s="754">
        <f t="shared" ref="K13:K31" si="6">H13*14%*1.49</f>
        <v>0</v>
      </c>
      <c r="L13" s="754">
        <f t="shared" ref="L13:L31" si="7">(H13*I13*1.49)+(J13+K13)</f>
        <v>0</v>
      </c>
      <c r="M13" s="754">
        <f t="shared" ref="M13:M31" si="8">L13-G13</f>
        <v>-19.515599999999999</v>
      </c>
      <c r="N13" s="754">
        <v>6</v>
      </c>
      <c r="O13" s="754">
        <f t="shared" ref="O13:O31" si="9">M13*N13</f>
        <v>-117.0936</v>
      </c>
      <c r="P13" s="754"/>
    </row>
    <row r="14" spans="1:17" ht="24.95" customHeight="1">
      <c r="A14" s="752">
        <v>3</v>
      </c>
      <c r="B14" s="753" t="s">
        <v>1003</v>
      </c>
      <c r="C14" s="771">
        <v>12</v>
      </c>
      <c r="D14" s="755">
        <v>1</v>
      </c>
      <c r="E14" s="756">
        <f t="shared" si="2"/>
        <v>0.50039999999999996</v>
      </c>
      <c r="F14" s="913">
        <f t="shared" si="3"/>
        <v>2.3351999999999999</v>
      </c>
      <c r="G14" s="901">
        <f t="shared" si="4"/>
        <v>19.515599999999999</v>
      </c>
      <c r="H14" s="771">
        <v>12</v>
      </c>
      <c r="I14" s="755">
        <v>1.7</v>
      </c>
      <c r="J14" s="756">
        <f t="shared" si="5"/>
        <v>0.53639999999999999</v>
      </c>
      <c r="K14" s="754">
        <f t="shared" si="6"/>
        <v>2.5032000000000001</v>
      </c>
      <c r="L14" s="754">
        <f t="shared" si="7"/>
        <v>33.435599999999994</v>
      </c>
      <c r="M14" s="754">
        <f t="shared" si="8"/>
        <v>13.919999999999995</v>
      </c>
      <c r="N14" s="754">
        <v>6</v>
      </c>
      <c r="O14" s="754">
        <f t="shared" si="9"/>
        <v>83.519999999999968</v>
      </c>
      <c r="P14" s="754"/>
    </row>
    <row r="15" spans="1:17" ht="24.95" customHeight="1">
      <c r="A15" s="752">
        <v>4</v>
      </c>
      <c r="B15" s="753" t="s">
        <v>1004</v>
      </c>
      <c r="C15" s="771">
        <v>12</v>
      </c>
      <c r="D15" s="755">
        <v>1</v>
      </c>
      <c r="E15" s="756">
        <f t="shared" si="2"/>
        <v>0.50039999999999996</v>
      </c>
      <c r="F15" s="913">
        <f t="shared" si="3"/>
        <v>2.3351999999999999</v>
      </c>
      <c r="G15" s="901">
        <f t="shared" si="4"/>
        <v>19.515599999999999</v>
      </c>
      <c r="H15" s="771">
        <v>12</v>
      </c>
      <c r="I15" s="755">
        <v>1.7</v>
      </c>
      <c r="J15" s="756">
        <f t="shared" si="5"/>
        <v>0.53639999999999999</v>
      </c>
      <c r="K15" s="754">
        <f t="shared" si="6"/>
        <v>2.5032000000000001</v>
      </c>
      <c r="L15" s="754">
        <f t="shared" si="7"/>
        <v>33.435599999999994</v>
      </c>
      <c r="M15" s="754">
        <f t="shared" si="8"/>
        <v>13.919999999999995</v>
      </c>
      <c r="N15" s="754">
        <v>6</v>
      </c>
      <c r="O15" s="754">
        <f t="shared" si="9"/>
        <v>83.519999999999968</v>
      </c>
      <c r="P15" s="754"/>
    </row>
    <row r="16" spans="1:17" ht="24.95" customHeight="1">
      <c r="A16" s="752">
        <v>5</v>
      </c>
      <c r="B16" s="753" t="s">
        <v>1005</v>
      </c>
      <c r="C16" s="771">
        <v>12</v>
      </c>
      <c r="D16" s="755">
        <v>1</v>
      </c>
      <c r="E16" s="756">
        <f t="shared" si="2"/>
        <v>0.50039999999999996</v>
      </c>
      <c r="F16" s="913">
        <f t="shared" si="3"/>
        <v>2.3351999999999999</v>
      </c>
      <c r="G16" s="901">
        <f t="shared" si="4"/>
        <v>19.515599999999999</v>
      </c>
      <c r="H16" s="771"/>
      <c r="I16" s="755"/>
      <c r="J16" s="756">
        <f t="shared" si="5"/>
        <v>0</v>
      </c>
      <c r="K16" s="754">
        <f t="shared" si="6"/>
        <v>0</v>
      </c>
      <c r="L16" s="754">
        <f t="shared" si="7"/>
        <v>0</v>
      </c>
      <c r="M16" s="754">
        <f t="shared" si="8"/>
        <v>-19.515599999999999</v>
      </c>
      <c r="N16" s="754">
        <v>6</v>
      </c>
      <c r="O16" s="754">
        <f t="shared" si="9"/>
        <v>-117.0936</v>
      </c>
      <c r="P16" s="754"/>
    </row>
    <row r="17" spans="1:16" ht="24.95" customHeight="1">
      <c r="A17" s="752">
        <v>6</v>
      </c>
      <c r="B17" s="753" t="s">
        <v>1006</v>
      </c>
      <c r="C17" s="771">
        <v>12</v>
      </c>
      <c r="D17" s="755">
        <v>1</v>
      </c>
      <c r="E17" s="756">
        <f t="shared" si="2"/>
        <v>0.50039999999999996</v>
      </c>
      <c r="F17" s="913">
        <f t="shared" si="3"/>
        <v>2.3351999999999999</v>
      </c>
      <c r="G17" s="901">
        <f t="shared" si="4"/>
        <v>19.515599999999999</v>
      </c>
      <c r="H17" s="771"/>
      <c r="I17" s="755"/>
      <c r="J17" s="756">
        <f t="shared" si="5"/>
        <v>0</v>
      </c>
      <c r="K17" s="754">
        <f t="shared" si="6"/>
        <v>0</v>
      </c>
      <c r="L17" s="754">
        <f t="shared" si="7"/>
        <v>0</v>
      </c>
      <c r="M17" s="754">
        <f t="shared" si="8"/>
        <v>-19.515599999999999</v>
      </c>
      <c r="N17" s="754">
        <v>6</v>
      </c>
      <c r="O17" s="754">
        <f t="shared" si="9"/>
        <v>-117.0936</v>
      </c>
      <c r="P17" s="754"/>
    </row>
    <row r="18" spans="1:16" ht="24.95" customHeight="1">
      <c r="A18" s="752">
        <v>7</v>
      </c>
      <c r="B18" s="753" t="s">
        <v>1007</v>
      </c>
      <c r="C18" s="771">
        <v>12</v>
      </c>
      <c r="D18" s="755">
        <v>0.7</v>
      </c>
      <c r="E18" s="756">
        <f t="shared" si="2"/>
        <v>0.50039999999999996</v>
      </c>
      <c r="F18" s="913">
        <f t="shared" si="3"/>
        <v>2.3351999999999999</v>
      </c>
      <c r="G18" s="901">
        <f t="shared" si="4"/>
        <v>14.511599999999996</v>
      </c>
      <c r="H18" s="771"/>
      <c r="I18" s="755"/>
      <c r="J18" s="756">
        <f t="shared" si="5"/>
        <v>0</v>
      </c>
      <c r="K18" s="754">
        <f t="shared" si="6"/>
        <v>0</v>
      </c>
      <c r="L18" s="754">
        <f t="shared" si="7"/>
        <v>0</v>
      </c>
      <c r="M18" s="754">
        <f t="shared" si="8"/>
        <v>-14.511599999999996</v>
      </c>
      <c r="N18" s="754">
        <v>6</v>
      </c>
      <c r="O18" s="754">
        <f t="shared" si="9"/>
        <v>-87.06959999999998</v>
      </c>
      <c r="P18" s="754"/>
    </row>
    <row r="19" spans="1:16" ht="24.95" customHeight="1">
      <c r="A19" s="752">
        <v>8</v>
      </c>
      <c r="B19" s="753" t="s">
        <v>1008</v>
      </c>
      <c r="C19" s="771">
        <v>12</v>
      </c>
      <c r="D19" s="755">
        <v>0.7</v>
      </c>
      <c r="E19" s="756">
        <f t="shared" si="2"/>
        <v>0.50039999999999996</v>
      </c>
      <c r="F19" s="913">
        <f t="shared" si="3"/>
        <v>2.3351999999999999</v>
      </c>
      <c r="G19" s="901">
        <f t="shared" si="4"/>
        <v>14.511599999999996</v>
      </c>
      <c r="H19" s="771"/>
      <c r="I19" s="755"/>
      <c r="J19" s="756">
        <f t="shared" si="5"/>
        <v>0</v>
      </c>
      <c r="K19" s="754">
        <f t="shared" si="6"/>
        <v>0</v>
      </c>
      <c r="L19" s="754">
        <f t="shared" si="7"/>
        <v>0</v>
      </c>
      <c r="M19" s="754">
        <f t="shared" si="8"/>
        <v>-14.511599999999996</v>
      </c>
      <c r="N19" s="754">
        <v>6</v>
      </c>
      <c r="O19" s="754">
        <f t="shared" si="9"/>
        <v>-87.06959999999998</v>
      </c>
      <c r="P19" s="754"/>
    </row>
    <row r="20" spans="1:16" ht="24.95" customHeight="1">
      <c r="A20" s="752">
        <v>9</v>
      </c>
      <c r="B20" s="753" t="s">
        <v>1009</v>
      </c>
      <c r="C20" s="771">
        <v>12</v>
      </c>
      <c r="D20" s="755">
        <v>0.7</v>
      </c>
      <c r="E20" s="756">
        <f t="shared" si="2"/>
        <v>0.50039999999999996</v>
      </c>
      <c r="F20" s="913">
        <f t="shared" si="3"/>
        <v>2.3351999999999999</v>
      </c>
      <c r="G20" s="901">
        <f t="shared" si="4"/>
        <v>14.511599999999996</v>
      </c>
      <c r="H20" s="771"/>
      <c r="I20" s="755"/>
      <c r="J20" s="756">
        <f t="shared" si="5"/>
        <v>0</v>
      </c>
      <c r="K20" s="754">
        <f t="shared" si="6"/>
        <v>0</v>
      </c>
      <c r="L20" s="754">
        <f t="shared" si="7"/>
        <v>0</v>
      </c>
      <c r="M20" s="754">
        <f t="shared" si="8"/>
        <v>-14.511599999999996</v>
      </c>
      <c r="N20" s="754">
        <v>6</v>
      </c>
      <c r="O20" s="754">
        <f t="shared" si="9"/>
        <v>-87.06959999999998</v>
      </c>
      <c r="P20" s="754"/>
    </row>
    <row r="21" spans="1:16" ht="24.95" customHeight="1">
      <c r="A21" s="752">
        <v>10</v>
      </c>
      <c r="B21" s="753" t="s">
        <v>1010</v>
      </c>
      <c r="C21" s="771">
        <v>12</v>
      </c>
      <c r="D21" s="755">
        <v>0.7</v>
      </c>
      <c r="E21" s="756">
        <f t="shared" si="2"/>
        <v>0.50039999999999996</v>
      </c>
      <c r="F21" s="913">
        <f t="shared" si="3"/>
        <v>2.3351999999999999</v>
      </c>
      <c r="G21" s="901">
        <f t="shared" si="4"/>
        <v>14.511599999999996</v>
      </c>
      <c r="H21" s="771">
        <v>12</v>
      </c>
      <c r="I21" s="755">
        <v>1.7</v>
      </c>
      <c r="J21" s="756">
        <f t="shared" si="5"/>
        <v>0.53639999999999999</v>
      </c>
      <c r="K21" s="754">
        <f t="shared" si="6"/>
        <v>2.5032000000000001</v>
      </c>
      <c r="L21" s="754">
        <f t="shared" si="7"/>
        <v>33.435599999999994</v>
      </c>
      <c r="M21" s="754">
        <f t="shared" si="8"/>
        <v>18.923999999999999</v>
      </c>
      <c r="N21" s="754">
        <v>6</v>
      </c>
      <c r="O21" s="754">
        <f t="shared" si="9"/>
        <v>113.544</v>
      </c>
      <c r="P21" s="754"/>
    </row>
    <row r="22" spans="1:16" ht="24.95" customHeight="1">
      <c r="A22" s="752">
        <v>11</v>
      </c>
      <c r="B22" s="753" t="s">
        <v>1011</v>
      </c>
      <c r="C22" s="771">
        <v>12</v>
      </c>
      <c r="D22" s="755">
        <v>0.7</v>
      </c>
      <c r="E22" s="756">
        <f t="shared" si="2"/>
        <v>0.50039999999999996</v>
      </c>
      <c r="F22" s="913">
        <f t="shared" si="3"/>
        <v>2.3351999999999999</v>
      </c>
      <c r="G22" s="901">
        <f t="shared" si="4"/>
        <v>14.511599999999996</v>
      </c>
      <c r="H22" s="771">
        <v>12</v>
      </c>
      <c r="I22" s="755">
        <v>1.4</v>
      </c>
      <c r="J22" s="756">
        <f t="shared" si="5"/>
        <v>0.53639999999999999</v>
      </c>
      <c r="K22" s="754">
        <f t="shared" si="6"/>
        <v>2.5032000000000001</v>
      </c>
      <c r="L22" s="754">
        <f t="shared" si="7"/>
        <v>28.071599999999997</v>
      </c>
      <c r="M22" s="754">
        <f t="shared" si="8"/>
        <v>13.56</v>
      </c>
      <c r="N22" s="754">
        <v>6</v>
      </c>
      <c r="O22" s="754">
        <f t="shared" si="9"/>
        <v>81.36</v>
      </c>
      <c r="P22" s="754"/>
    </row>
    <row r="23" spans="1:16" ht="24.95" customHeight="1">
      <c r="A23" s="752">
        <v>12</v>
      </c>
      <c r="B23" s="753" t="s">
        <v>1012</v>
      </c>
      <c r="C23" s="771">
        <v>12</v>
      </c>
      <c r="D23" s="755">
        <v>0.7</v>
      </c>
      <c r="E23" s="756">
        <f t="shared" si="2"/>
        <v>0.50039999999999996</v>
      </c>
      <c r="F23" s="913">
        <f t="shared" si="3"/>
        <v>2.3351999999999999</v>
      </c>
      <c r="G23" s="901">
        <f t="shared" si="4"/>
        <v>14.511599999999996</v>
      </c>
      <c r="H23" s="771"/>
      <c r="I23" s="755"/>
      <c r="J23" s="756">
        <f t="shared" si="5"/>
        <v>0</v>
      </c>
      <c r="K23" s="754">
        <f t="shared" si="6"/>
        <v>0</v>
      </c>
      <c r="L23" s="754">
        <f t="shared" si="7"/>
        <v>0</v>
      </c>
      <c r="M23" s="754">
        <f t="shared" si="8"/>
        <v>-14.511599999999996</v>
      </c>
      <c r="N23" s="754">
        <v>6</v>
      </c>
      <c r="O23" s="754">
        <f t="shared" si="9"/>
        <v>-87.06959999999998</v>
      </c>
      <c r="P23" s="754"/>
    </row>
    <row r="24" spans="1:16" ht="24.95" customHeight="1">
      <c r="A24" s="752">
        <v>13</v>
      </c>
      <c r="B24" s="753" t="s">
        <v>1013</v>
      </c>
      <c r="C24" s="771">
        <v>12</v>
      </c>
      <c r="D24" s="755">
        <v>0.7</v>
      </c>
      <c r="E24" s="756">
        <f t="shared" si="2"/>
        <v>0.50039999999999996</v>
      </c>
      <c r="F24" s="913">
        <f t="shared" si="3"/>
        <v>2.3351999999999999</v>
      </c>
      <c r="G24" s="901">
        <f t="shared" si="4"/>
        <v>14.511599999999996</v>
      </c>
      <c r="H24" s="771">
        <v>12</v>
      </c>
      <c r="I24" s="755">
        <v>1.4</v>
      </c>
      <c r="J24" s="756">
        <f t="shared" si="5"/>
        <v>0.53639999999999999</v>
      </c>
      <c r="K24" s="754">
        <f t="shared" si="6"/>
        <v>2.5032000000000001</v>
      </c>
      <c r="L24" s="754">
        <f t="shared" si="7"/>
        <v>28.071599999999997</v>
      </c>
      <c r="M24" s="754">
        <f t="shared" si="8"/>
        <v>13.56</v>
      </c>
      <c r="N24" s="754">
        <v>6</v>
      </c>
      <c r="O24" s="754">
        <f t="shared" si="9"/>
        <v>81.36</v>
      </c>
      <c r="P24" s="754"/>
    </row>
    <row r="25" spans="1:16" ht="24.95" customHeight="1">
      <c r="A25" s="752">
        <v>14</v>
      </c>
      <c r="B25" s="753" t="s">
        <v>1014</v>
      </c>
      <c r="C25" s="771">
        <v>12</v>
      </c>
      <c r="D25" s="755">
        <v>0.7</v>
      </c>
      <c r="E25" s="756">
        <f t="shared" si="2"/>
        <v>0.50039999999999996</v>
      </c>
      <c r="F25" s="913">
        <f t="shared" si="3"/>
        <v>2.3351999999999999</v>
      </c>
      <c r="G25" s="901">
        <f t="shared" si="4"/>
        <v>14.511599999999996</v>
      </c>
      <c r="H25" s="771"/>
      <c r="I25" s="755"/>
      <c r="J25" s="756">
        <f t="shared" si="5"/>
        <v>0</v>
      </c>
      <c r="K25" s="754">
        <f t="shared" si="6"/>
        <v>0</v>
      </c>
      <c r="L25" s="754">
        <f t="shared" si="7"/>
        <v>0</v>
      </c>
      <c r="M25" s="754">
        <f t="shared" si="8"/>
        <v>-14.511599999999996</v>
      </c>
      <c r="N25" s="754">
        <v>6</v>
      </c>
      <c r="O25" s="754">
        <f t="shared" si="9"/>
        <v>-87.06959999999998</v>
      </c>
      <c r="P25" s="754"/>
    </row>
    <row r="26" spans="1:16" ht="24.95" customHeight="1">
      <c r="A26" s="752">
        <v>15</v>
      </c>
      <c r="B26" s="753" t="s">
        <v>1015</v>
      </c>
      <c r="C26" s="771">
        <v>12</v>
      </c>
      <c r="D26" s="755">
        <v>0.5</v>
      </c>
      <c r="E26" s="756">
        <f t="shared" si="2"/>
        <v>0.50039999999999996</v>
      </c>
      <c r="F26" s="913">
        <f t="shared" si="3"/>
        <v>2.3351999999999999</v>
      </c>
      <c r="G26" s="901">
        <f t="shared" si="4"/>
        <v>11.175599999999999</v>
      </c>
      <c r="H26" s="771"/>
      <c r="I26" s="755"/>
      <c r="J26" s="756">
        <f t="shared" si="5"/>
        <v>0</v>
      </c>
      <c r="K26" s="754">
        <f t="shared" si="6"/>
        <v>0</v>
      </c>
      <c r="L26" s="754">
        <f t="shared" si="7"/>
        <v>0</v>
      </c>
      <c r="M26" s="754">
        <f t="shared" si="8"/>
        <v>-11.175599999999999</v>
      </c>
      <c r="N26" s="754">
        <v>6</v>
      </c>
      <c r="O26" s="754">
        <f t="shared" si="9"/>
        <v>-67.053599999999989</v>
      </c>
      <c r="P26" s="754"/>
    </row>
    <row r="27" spans="1:16" ht="24.95" customHeight="1">
      <c r="A27" s="752">
        <v>16</v>
      </c>
      <c r="B27" s="753" t="s">
        <v>1016</v>
      </c>
      <c r="C27" s="771">
        <v>12</v>
      </c>
      <c r="D27" s="755">
        <v>0.5</v>
      </c>
      <c r="E27" s="756">
        <f t="shared" si="2"/>
        <v>0.50039999999999996</v>
      </c>
      <c r="F27" s="913">
        <f t="shared" si="3"/>
        <v>2.3351999999999999</v>
      </c>
      <c r="G27" s="901">
        <f t="shared" si="4"/>
        <v>11.175599999999999</v>
      </c>
      <c r="H27" s="771"/>
      <c r="I27" s="755"/>
      <c r="J27" s="756">
        <f t="shared" si="5"/>
        <v>0</v>
      </c>
      <c r="K27" s="754">
        <f t="shared" si="6"/>
        <v>0</v>
      </c>
      <c r="L27" s="754">
        <f t="shared" si="7"/>
        <v>0</v>
      </c>
      <c r="M27" s="754">
        <f t="shared" si="8"/>
        <v>-11.175599999999999</v>
      </c>
      <c r="N27" s="754">
        <v>6</v>
      </c>
      <c r="O27" s="754">
        <f t="shared" si="9"/>
        <v>-67.053599999999989</v>
      </c>
      <c r="P27" s="754"/>
    </row>
    <row r="28" spans="1:16" ht="24.95" customHeight="1">
      <c r="A28" s="752">
        <v>17</v>
      </c>
      <c r="B28" s="753" t="s">
        <v>1017</v>
      </c>
      <c r="C28" s="771">
        <v>12</v>
      </c>
      <c r="D28" s="755">
        <v>0.5</v>
      </c>
      <c r="E28" s="756">
        <f t="shared" si="2"/>
        <v>0.50039999999999996</v>
      </c>
      <c r="F28" s="913">
        <f t="shared" si="3"/>
        <v>2.3351999999999999</v>
      </c>
      <c r="G28" s="901">
        <f t="shared" si="4"/>
        <v>11.175599999999999</v>
      </c>
      <c r="H28" s="771">
        <v>12</v>
      </c>
      <c r="I28" s="755">
        <v>1.4</v>
      </c>
      <c r="J28" s="756">
        <f t="shared" si="5"/>
        <v>0.53639999999999999</v>
      </c>
      <c r="K28" s="754">
        <f t="shared" si="6"/>
        <v>2.5032000000000001</v>
      </c>
      <c r="L28" s="754">
        <f t="shared" si="7"/>
        <v>28.071599999999997</v>
      </c>
      <c r="M28" s="754">
        <f t="shared" si="8"/>
        <v>16.895999999999997</v>
      </c>
      <c r="N28" s="754">
        <v>6</v>
      </c>
      <c r="O28" s="754">
        <f t="shared" si="9"/>
        <v>101.37599999999998</v>
      </c>
      <c r="P28" s="754"/>
    </row>
    <row r="29" spans="1:16" ht="24.95" customHeight="1">
      <c r="A29" s="752">
        <v>18</v>
      </c>
      <c r="B29" s="753" t="s">
        <v>1018</v>
      </c>
      <c r="C29" s="771">
        <v>12</v>
      </c>
      <c r="D29" s="755">
        <v>0.5</v>
      </c>
      <c r="E29" s="756">
        <f t="shared" si="2"/>
        <v>0.50039999999999996</v>
      </c>
      <c r="F29" s="913">
        <f t="shared" si="3"/>
        <v>2.3351999999999999</v>
      </c>
      <c r="G29" s="901">
        <f t="shared" si="4"/>
        <v>11.175599999999999</v>
      </c>
      <c r="H29" s="771"/>
      <c r="I29" s="755"/>
      <c r="J29" s="756">
        <f t="shared" si="5"/>
        <v>0</v>
      </c>
      <c r="K29" s="754">
        <f t="shared" si="6"/>
        <v>0</v>
      </c>
      <c r="L29" s="754">
        <f t="shared" si="7"/>
        <v>0</v>
      </c>
      <c r="M29" s="754">
        <f t="shared" si="8"/>
        <v>-11.175599999999999</v>
      </c>
      <c r="N29" s="754">
        <v>6</v>
      </c>
      <c r="O29" s="754">
        <f t="shared" si="9"/>
        <v>-67.053599999999989</v>
      </c>
      <c r="P29" s="754"/>
    </row>
    <row r="30" spans="1:16" ht="24.95" customHeight="1">
      <c r="A30" s="752">
        <v>19</v>
      </c>
      <c r="B30" s="753" t="s">
        <v>1019</v>
      </c>
      <c r="C30" s="771">
        <v>12</v>
      </c>
      <c r="D30" s="755">
        <v>0.5</v>
      </c>
      <c r="E30" s="756">
        <f t="shared" si="2"/>
        <v>0.50039999999999996</v>
      </c>
      <c r="F30" s="913">
        <f t="shared" si="3"/>
        <v>2.3351999999999999</v>
      </c>
      <c r="G30" s="901">
        <f t="shared" si="4"/>
        <v>11.175599999999999</v>
      </c>
      <c r="H30" s="771"/>
      <c r="I30" s="755"/>
      <c r="J30" s="756">
        <f t="shared" si="5"/>
        <v>0</v>
      </c>
      <c r="K30" s="754">
        <f t="shared" si="6"/>
        <v>0</v>
      </c>
      <c r="L30" s="754">
        <f t="shared" si="7"/>
        <v>0</v>
      </c>
      <c r="M30" s="754">
        <f t="shared" si="8"/>
        <v>-11.175599999999999</v>
      </c>
      <c r="N30" s="754">
        <v>6</v>
      </c>
      <c r="O30" s="754">
        <f t="shared" si="9"/>
        <v>-67.053599999999989</v>
      </c>
      <c r="P30" s="754"/>
    </row>
    <row r="31" spans="1:16" ht="24.95" customHeight="1">
      <c r="A31" s="752">
        <v>20</v>
      </c>
      <c r="B31" s="753" t="s">
        <v>1020</v>
      </c>
      <c r="C31" s="771">
        <v>12</v>
      </c>
      <c r="D31" s="755"/>
      <c r="E31" s="756">
        <f t="shared" si="2"/>
        <v>0.50039999999999996</v>
      </c>
      <c r="F31" s="913">
        <f t="shared" si="3"/>
        <v>2.3351999999999999</v>
      </c>
      <c r="G31" s="901">
        <f t="shared" si="4"/>
        <v>2.8355999999999999</v>
      </c>
      <c r="H31" s="771">
        <v>12</v>
      </c>
      <c r="I31" s="755">
        <v>1.4</v>
      </c>
      <c r="J31" s="756">
        <f t="shared" si="5"/>
        <v>0.53639999999999999</v>
      </c>
      <c r="K31" s="754">
        <f t="shared" si="6"/>
        <v>2.5032000000000001</v>
      </c>
      <c r="L31" s="754">
        <f t="shared" si="7"/>
        <v>28.071599999999997</v>
      </c>
      <c r="M31" s="754">
        <f t="shared" si="8"/>
        <v>25.235999999999997</v>
      </c>
      <c r="N31" s="754">
        <v>6</v>
      </c>
      <c r="O31" s="754">
        <f t="shared" si="9"/>
        <v>151.416</v>
      </c>
      <c r="P31" s="754"/>
    </row>
    <row r="32" spans="1:16" s="69" customFormat="1" ht="38.25">
      <c r="A32" s="757" t="s">
        <v>223</v>
      </c>
      <c r="B32" s="758" t="s">
        <v>1021</v>
      </c>
      <c r="C32" s="759"/>
      <c r="D32" s="760"/>
      <c r="E32" s="761"/>
      <c r="F32" s="914"/>
      <c r="G32" s="902"/>
      <c r="H32" s="759">
        <v>12</v>
      </c>
      <c r="I32" s="819">
        <f>7+5*4</f>
        <v>27</v>
      </c>
      <c r="J32" s="759">
        <f t="shared" ref="J32:L32" si="10">J33+J34</f>
        <v>0</v>
      </c>
      <c r="K32" s="759">
        <f t="shared" si="10"/>
        <v>0</v>
      </c>
      <c r="L32" s="759">
        <f t="shared" si="10"/>
        <v>0</v>
      </c>
      <c r="M32" s="759">
        <f>H32*I32</f>
        <v>324</v>
      </c>
      <c r="N32" s="754">
        <v>6</v>
      </c>
      <c r="O32" s="754">
        <f>M32*N32</f>
        <v>1944</v>
      </c>
      <c r="P32" s="759"/>
    </row>
    <row r="33" spans="1:16" s="818" customFormat="1" hidden="1">
      <c r="A33" s="451"/>
      <c r="B33" s="815"/>
      <c r="C33" s="763"/>
      <c r="D33" s="816"/>
      <c r="E33" s="817"/>
      <c r="F33" s="915"/>
      <c r="G33" s="903"/>
      <c r="H33" s="763"/>
      <c r="I33" s="816"/>
      <c r="J33" s="817"/>
      <c r="K33" s="763"/>
      <c r="L33" s="754"/>
      <c r="M33" s="754"/>
      <c r="N33" s="763"/>
      <c r="O33" s="763"/>
      <c r="P33" s="763"/>
    </row>
    <row r="34" spans="1:16" s="818" customFormat="1" hidden="1">
      <c r="A34" s="451"/>
      <c r="B34" s="815"/>
      <c r="C34" s="763"/>
      <c r="D34" s="816"/>
      <c r="E34" s="817"/>
      <c r="F34" s="915"/>
      <c r="G34" s="903"/>
      <c r="H34" s="763"/>
      <c r="I34" s="816"/>
      <c r="J34" s="817"/>
      <c r="K34" s="763"/>
      <c r="L34" s="754"/>
      <c r="M34" s="754"/>
      <c r="N34" s="763"/>
      <c r="O34" s="763"/>
      <c r="P34" s="763"/>
    </row>
    <row r="35" spans="1:16" ht="25.5">
      <c r="A35" s="762" t="s">
        <v>1022</v>
      </c>
      <c r="B35" s="750" t="s">
        <v>1023</v>
      </c>
      <c r="C35" s="759">
        <f>C36+C44+C52</f>
        <v>1263</v>
      </c>
      <c r="D35" s="759">
        <f t="shared" ref="D35:O35" si="11">D36+D44+D52</f>
        <v>7.75</v>
      </c>
      <c r="E35" s="759">
        <f t="shared" si="11"/>
        <v>52.667099999999998</v>
      </c>
      <c r="F35" s="914">
        <f t="shared" si="11"/>
        <v>245.77979999999999</v>
      </c>
      <c r="G35" s="902">
        <f t="shared" si="11"/>
        <v>1002.4123999999999</v>
      </c>
      <c r="H35" s="759">
        <f t="shared" si="11"/>
        <v>411</v>
      </c>
      <c r="I35" s="759">
        <f t="shared" si="11"/>
        <v>7.7</v>
      </c>
      <c r="J35" s="759">
        <f t="shared" si="11"/>
        <v>18.371700000000001</v>
      </c>
      <c r="K35" s="759">
        <f t="shared" si="11"/>
        <v>85.734600000000015</v>
      </c>
      <c r="L35" s="759">
        <f t="shared" si="11"/>
        <v>920.17930000000001</v>
      </c>
      <c r="M35" s="759">
        <f t="shared" si="11"/>
        <v>-82.233100000000007</v>
      </c>
      <c r="N35" s="759">
        <f t="shared" si="11"/>
        <v>84</v>
      </c>
      <c r="O35" s="759">
        <f t="shared" si="11"/>
        <v>-493.39859999999953</v>
      </c>
      <c r="P35" s="759"/>
    </row>
    <row r="36" spans="1:16" s="69" customFormat="1" ht="27">
      <c r="A36" s="810" t="s">
        <v>668</v>
      </c>
      <c r="B36" s="811" t="s">
        <v>1024</v>
      </c>
      <c r="C36" s="812">
        <f>SUM(C37:C43)</f>
        <v>952</v>
      </c>
      <c r="D36" s="812">
        <f t="shared" ref="D36:M36" si="12">SUM(D37:D43)</f>
        <v>2.6</v>
      </c>
      <c r="E36" s="812">
        <f t="shared" si="12"/>
        <v>39.698399999999999</v>
      </c>
      <c r="F36" s="916">
        <f t="shared" si="12"/>
        <v>185.25919999999999</v>
      </c>
      <c r="G36" s="904">
        <f t="shared" si="12"/>
        <v>716.46159999999998</v>
      </c>
      <c r="H36" s="812">
        <f t="shared" si="12"/>
        <v>408</v>
      </c>
      <c r="I36" s="812">
        <f t="shared" si="12"/>
        <v>4</v>
      </c>
      <c r="J36" s="812">
        <f t="shared" si="12"/>
        <v>18.2376</v>
      </c>
      <c r="K36" s="812">
        <f t="shared" si="12"/>
        <v>85.108800000000016</v>
      </c>
      <c r="L36" s="812">
        <f t="shared" si="12"/>
        <v>913.90639999999996</v>
      </c>
      <c r="M36" s="812">
        <f t="shared" si="12"/>
        <v>197.44479999999999</v>
      </c>
      <c r="N36" s="812">
        <v>6</v>
      </c>
      <c r="O36" s="812">
        <f>SUM(O37:O43)</f>
        <v>1184.6688000000004</v>
      </c>
      <c r="P36" s="812"/>
    </row>
    <row r="37" spans="1:16" ht="24.95" customHeight="1">
      <c r="A37" s="748">
        <v>1</v>
      </c>
      <c r="B37" s="753" t="s">
        <v>1025</v>
      </c>
      <c r="C37" s="754">
        <v>136</v>
      </c>
      <c r="D37" s="754">
        <v>0.65</v>
      </c>
      <c r="E37" s="756">
        <f t="shared" ref="E37" si="13">C37*3%*1.39</f>
        <v>5.6711999999999998</v>
      </c>
      <c r="F37" s="913">
        <f t="shared" ref="F37" si="14">C37*14%*1.39</f>
        <v>26.465600000000002</v>
      </c>
      <c r="G37" s="901">
        <f>(C37*D37*1.39)+(E37+F37)</f>
        <v>155.0128</v>
      </c>
      <c r="H37" s="754">
        <v>136</v>
      </c>
      <c r="I37" s="754">
        <v>1.4</v>
      </c>
      <c r="J37" s="756">
        <f>H37*3%*1.49</f>
        <v>6.0792000000000002</v>
      </c>
      <c r="K37" s="754">
        <f>H37*14%*1.49</f>
        <v>28.369600000000005</v>
      </c>
      <c r="L37" s="754">
        <f>(H37*I37*1.49)+(J37+K37)</f>
        <v>318.14479999999998</v>
      </c>
      <c r="M37" s="754">
        <f t="shared" ref="M37:M58" si="15">L37-G37</f>
        <v>163.13199999999998</v>
      </c>
      <c r="N37" s="812">
        <v>6</v>
      </c>
      <c r="O37" s="754">
        <f t="shared" ref="O37:O58" si="16">M37*N37</f>
        <v>978.79199999999992</v>
      </c>
      <c r="P37" s="754"/>
    </row>
    <row r="38" spans="1:16" ht="24.95" customHeight="1">
      <c r="A38" s="748">
        <v>2</v>
      </c>
      <c r="B38" s="753" t="s">
        <v>1026</v>
      </c>
      <c r="C38" s="754">
        <v>136</v>
      </c>
      <c r="D38" s="754">
        <v>0.65</v>
      </c>
      <c r="E38" s="756">
        <f t="shared" ref="E38:E43" si="17">C38*3%*1.39</f>
        <v>5.6711999999999998</v>
      </c>
      <c r="F38" s="913">
        <f t="shared" ref="F38:F43" si="18">C38*14%*1.39</f>
        <v>26.465600000000002</v>
      </c>
      <c r="G38" s="901">
        <f t="shared" ref="G38:G43" si="19">(C38*D38*1.39)+(E38+F38)</f>
        <v>155.0128</v>
      </c>
      <c r="H38" s="754">
        <v>136</v>
      </c>
      <c r="I38" s="754">
        <v>1.4</v>
      </c>
      <c r="J38" s="756">
        <f t="shared" ref="J38:J43" si="20">H38*3%*1.49</f>
        <v>6.0792000000000002</v>
      </c>
      <c r="K38" s="754">
        <f t="shared" ref="K38:K43" si="21">H38*14%*1.49</f>
        <v>28.369600000000005</v>
      </c>
      <c r="L38" s="754">
        <f t="shared" ref="L38:L43" si="22">(H38*I38*1.49)+(J38+K38)</f>
        <v>318.14479999999998</v>
      </c>
      <c r="M38" s="754">
        <f t="shared" si="15"/>
        <v>163.13199999999998</v>
      </c>
      <c r="N38" s="812">
        <v>6</v>
      </c>
      <c r="O38" s="754">
        <f t="shared" si="16"/>
        <v>978.79199999999992</v>
      </c>
      <c r="P38" s="754"/>
    </row>
    <row r="39" spans="1:16" ht="24.95" customHeight="1">
      <c r="A39" s="748">
        <v>3</v>
      </c>
      <c r="B39" s="764" t="s">
        <v>1027</v>
      </c>
      <c r="C39" s="754">
        <v>136</v>
      </c>
      <c r="D39" s="765">
        <v>0.3</v>
      </c>
      <c r="E39" s="756">
        <f t="shared" si="17"/>
        <v>5.6711999999999998</v>
      </c>
      <c r="F39" s="913">
        <f t="shared" si="18"/>
        <v>26.465600000000002</v>
      </c>
      <c r="G39" s="901">
        <f t="shared" si="19"/>
        <v>88.848799999999983</v>
      </c>
      <c r="H39" s="754">
        <v>136</v>
      </c>
      <c r="I39" s="765">
        <v>1.2</v>
      </c>
      <c r="J39" s="756">
        <f t="shared" si="20"/>
        <v>6.0792000000000002</v>
      </c>
      <c r="K39" s="754">
        <f t="shared" si="21"/>
        <v>28.369600000000005</v>
      </c>
      <c r="L39" s="754">
        <f t="shared" si="22"/>
        <v>277.61680000000001</v>
      </c>
      <c r="M39" s="754">
        <f t="shared" si="15"/>
        <v>188.76800000000003</v>
      </c>
      <c r="N39" s="812">
        <v>6</v>
      </c>
      <c r="O39" s="754">
        <f t="shared" si="16"/>
        <v>1132.6080000000002</v>
      </c>
      <c r="P39" s="754"/>
    </row>
    <row r="40" spans="1:16" ht="24.95" customHeight="1">
      <c r="A40" s="748">
        <v>4</v>
      </c>
      <c r="B40" s="764" t="s">
        <v>1028</v>
      </c>
      <c r="C40" s="754">
        <v>136</v>
      </c>
      <c r="D40" s="765">
        <v>0.25</v>
      </c>
      <c r="E40" s="756">
        <f t="shared" si="17"/>
        <v>5.6711999999999998</v>
      </c>
      <c r="F40" s="913">
        <f t="shared" si="18"/>
        <v>26.465600000000002</v>
      </c>
      <c r="G40" s="901">
        <f t="shared" si="19"/>
        <v>79.396799999999999</v>
      </c>
      <c r="H40" s="754"/>
      <c r="I40" s="765"/>
      <c r="J40" s="756">
        <f t="shared" si="20"/>
        <v>0</v>
      </c>
      <c r="K40" s="754">
        <f t="shared" si="21"/>
        <v>0</v>
      </c>
      <c r="L40" s="754">
        <f t="shared" si="22"/>
        <v>0</v>
      </c>
      <c r="M40" s="754">
        <f t="shared" si="15"/>
        <v>-79.396799999999999</v>
      </c>
      <c r="N40" s="812">
        <v>6</v>
      </c>
      <c r="O40" s="754">
        <f t="shared" si="16"/>
        <v>-476.38080000000002</v>
      </c>
      <c r="P40" s="754"/>
    </row>
    <row r="41" spans="1:16" ht="24.95" customHeight="1">
      <c r="A41" s="748">
        <v>5</v>
      </c>
      <c r="B41" s="764" t="s">
        <v>1029</v>
      </c>
      <c r="C41" s="754">
        <v>136</v>
      </c>
      <c r="D41" s="765">
        <v>0.25</v>
      </c>
      <c r="E41" s="756">
        <f t="shared" si="17"/>
        <v>5.6711999999999998</v>
      </c>
      <c r="F41" s="913">
        <f t="shared" si="18"/>
        <v>26.465600000000002</v>
      </c>
      <c r="G41" s="901">
        <f t="shared" si="19"/>
        <v>79.396799999999999</v>
      </c>
      <c r="H41" s="754"/>
      <c r="I41" s="765"/>
      <c r="J41" s="756">
        <f t="shared" si="20"/>
        <v>0</v>
      </c>
      <c r="K41" s="754">
        <f t="shared" si="21"/>
        <v>0</v>
      </c>
      <c r="L41" s="754">
        <f t="shared" si="22"/>
        <v>0</v>
      </c>
      <c r="M41" s="754">
        <f t="shared" si="15"/>
        <v>-79.396799999999999</v>
      </c>
      <c r="N41" s="812">
        <v>6</v>
      </c>
      <c r="O41" s="754">
        <f t="shared" si="16"/>
        <v>-476.38080000000002</v>
      </c>
      <c r="P41" s="754"/>
    </row>
    <row r="42" spans="1:16" ht="24.95" customHeight="1">
      <c r="A42" s="748">
        <v>6</v>
      </c>
      <c r="B42" s="764" t="s">
        <v>1030</v>
      </c>
      <c r="C42" s="754">
        <v>136</v>
      </c>
      <c r="D42" s="765">
        <v>0.25</v>
      </c>
      <c r="E42" s="756">
        <f t="shared" si="17"/>
        <v>5.6711999999999998</v>
      </c>
      <c r="F42" s="913">
        <f t="shared" si="18"/>
        <v>26.465600000000002</v>
      </c>
      <c r="G42" s="901">
        <f t="shared" si="19"/>
        <v>79.396799999999999</v>
      </c>
      <c r="H42" s="754"/>
      <c r="I42" s="765"/>
      <c r="J42" s="756">
        <f>H42*3%*1.49</f>
        <v>0</v>
      </c>
      <c r="K42" s="754">
        <f t="shared" si="21"/>
        <v>0</v>
      </c>
      <c r="L42" s="754">
        <f t="shared" si="22"/>
        <v>0</v>
      </c>
      <c r="M42" s="754">
        <f t="shared" si="15"/>
        <v>-79.396799999999999</v>
      </c>
      <c r="N42" s="812">
        <v>6</v>
      </c>
      <c r="O42" s="754">
        <f t="shared" si="16"/>
        <v>-476.38080000000002</v>
      </c>
      <c r="P42" s="754"/>
    </row>
    <row r="43" spans="1:16" ht="24.95" customHeight="1">
      <c r="A43" s="748">
        <v>7</v>
      </c>
      <c r="B43" s="764" t="s">
        <v>1031</v>
      </c>
      <c r="C43" s="754">
        <v>136</v>
      </c>
      <c r="D43" s="765">
        <v>0.25</v>
      </c>
      <c r="E43" s="756">
        <f t="shared" si="17"/>
        <v>5.6711999999999998</v>
      </c>
      <c r="F43" s="913">
        <f t="shared" si="18"/>
        <v>26.465600000000002</v>
      </c>
      <c r="G43" s="901">
        <f t="shared" si="19"/>
        <v>79.396799999999999</v>
      </c>
      <c r="H43" s="754"/>
      <c r="I43" s="765"/>
      <c r="J43" s="756">
        <f t="shared" si="20"/>
        <v>0</v>
      </c>
      <c r="K43" s="754">
        <f t="shared" si="21"/>
        <v>0</v>
      </c>
      <c r="L43" s="754">
        <f t="shared" si="22"/>
        <v>0</v>
      </c>
      <c r="M43" s="754">
        <f t="shared" si="15"/>
        <v>-79.396799999999999</v>
      </c>
      <c r="N43" s="812">
        <v>6</v>
      </c>
      <c r="O43" s="754">
        <f t="shared" si="16"/>
        <v>-476.38080000000002</v>
      </c>
      <c r="P43" s="754"/>
    </row>
    <row r="44" spans="1:16" s="69" customFormat="1" ht="24.95" customHeight="1">
      <c r="A44" s="810" t="s">
        <v>668</v>
      </c>
      <c r="B44" s="811" t="s">
        <v>1032</v>
      </c>
      <c r="C44" s="759">
        <f>SUM(C45:C51)</f>
        <v>7</v>
      </c>
      <c r="D44" s="759">
        <f t="shared" ref="D44:O44" si="23">SUM(D45:D51)</f>
        <v>2.25</v>
      </c>
      <c r="E44" s="759">
        <f t="shared" si="23"/>
        <v>0.29189999999999999</v>
      </c>
      <c r="F44" s="914">
        <f t="shared" si="23"/>
        <v>1.3622000000000001</v>
      </c>
      <c r="G44" s="902">
        <f t="shared" si="23"/>
        <v>4.781600000000001</v>
      </c>
      <c r="H44" s="759">
        <f t="shared" si="23"/>
        <v>3</v>
      </c>
      <c r="I44" s="759">
        <f t="shared" si="23"/>
        <v>3.7</v>
      </c>
      <c r="J44" s="759">
        <f t="shared" si="23"/>
        <v>0.1341</v>
      </c>
      <c r="K44" s="759">
        <f t="shared" si="23"/>
        <v>0.62580000000000002</v>
      </c>
      <c r="L44" s="759">
        <f t="shared" si="23"/>
        <v>6.2728999999999999</v>
      </c>
      <c r="M44" s="759">
        <f t="shared" si="23"/>
        <v>1.4913000000000003</v>
      </c>
      <c r="N44" s="759">
        <f>SUM(N45:N51)</f>
        <v>42</v>
      </c>
      <c r="O44" s="759">
        <f t="shared" si="23"/>
        <v>8.9478000000000044</v>
      </c>
      <c r="P44" s="759"/>
    </row>
    <row r="45" spans="1:16" ht="24.95" customHeight="1">
      <c r="A45" s="748">
        <v>1</v>
      </c>
      <c r="B45" s="753" t="s">
        <v>1025</v>
      </c>
      <c r="C45" s="754">
        <v>1</v>
      </c>
      <c r="D45" s="766">
        <v>0.6</v>
      </c>
      <c r="E45" s="756">
        <f t="shared" ref="E45" si="24">C45*3%*1.39</f>
        <v>4.1699999999999994E-2</v>
      </c>
      <c r="F45" s="913">
        <f t="shared" ref="F45" si="25">C45*14%*1.39</f>
        <v>0.1946</v>
      </c>
      <c r="G45" s="901">
        <f>(C45*D45*1.39)+(E45+F45)</f>
        <v>1.0703</v>
      </c>
      <c r="H45" s="754">
        <v>1</v>
      </c>
      <c r="I45" s="767">
        <v>1.3</v>
      </c>
      <c r="J45" s="756">
        <f>H45*3%*1.49</f>
        <v>4.4699999999999997E-2</v>
      </c>
      <c r="K45" s="754">
        <f>H45*14%*1.49</f>
        <v>0.20860000000000001</v>
      </c>
      <c r="L45" s="754">
        <f>(H45*I45*1.49)+(J45+K45)</f>
        <v>2.1903000000000001</v>
      </c>
      <c r="M45" s="754">
        <f t="shared" si="15"/>
        <v>1.1200000000000001</v>
      </c>
      <c r="N45" s="754">
        <v>6</v>
      </c>
      <c r="O45" s="754">
        <f>M45*N45</f>
        <v>6.7200000000000006</v>
      </c>
      <c r="P45" s="754"/>
    </row>
    <row r="46" spans="1:16" ht="24.95" customHeight="1">
      <c r="A46" s="748">
        <v>2</v>
      </c>
      <c r="B46" s="753" t="s">
        <v>1026</v>
      </c>
      <c r="C46" s="754">
        <v>1</v>
      </c>
      <c r="D46" s="766">
        <v>0.6</v>
      </c>
      <c r="E46" s="756">
        <f t="shared" ref="E46:E51" si="26">C46*3%*1.39</f>
        <v>4.1699999999999994E-2</v>
      </c>
      <c r="F46" s="913">
        <f t="shared" ref="F46:F51" si="27">C46*14%*1.39</f>
        <v>0.1946</v>
      </c>
      <c r="G46" s="901">
        <f t="shared" ref="G46:G51" si="28">(C46*D46*1.39)+(E46+F46)</f>
        <v>1.0703</v>
      </c>
      <c r="H46" s="754">
        <v>1</v>
      </c>
      <c r="I46" s="767">
        <v>1.3</v>
      </c>
      <c r="J46" s="756">
        <f t="shared" ref="J46:J51" si="29">H46*3%*1.49</f>
        <v>4.4699999999999997E-2</v>
      </c>
      <c r="K46" s="754">
        <f t="shared" ref="K46:K51" si="30">H46*14%*1.49</f>
        <v>0.20860000000000001</v>
      </c>
      <c r="L46" s="754">
        <f t="shared" ref="L46:L51" si="31">(H46*I46*1.49)+(J46+K46)</f>
        <v>2.1903000000000001</v>
      </c>
      <c r="M46" s="754">
        <f t="shared" si="15"/>
        <v>1.1200000000000001</v>
      </c>
      <c r="N46" s="754">
        <v>6</v>
      </c>
      <c r="O46" s="754">
        <f t="shared" ref="O46:O51" si="32">M46*N46</f>
        <v>6.7200000000000006</v>
      </c>
      <c r="P46" s="754"/>
    </row>
    <row r="47" spans="1:16" ht="24.95" customHeight="1">
      <c r="A47" s="748">
        <v>3</v>
      </c>
      <c r="B47" s="764" t="s">
        <v>1027</v>
      </c>
      <c r="C47" s="754">
        <v>1</v>
      </c>
      <c r="D47" s="765">
        <v>0.25</v>
      </c>
      <c r="E47" s="756">
        <f t="shared" si="26"/>
        <v>4.1699999999999994E-2</v>
      </c>
      <c r="F47" s="913">
        <f t="shared" si="27"/>
        <v>0.1946</v>
      </c>
      <c r="G47" s="901">
        <f t="shared" si="28"/>
        <v>0.58379999999999999</v>
      </c>
      <c r="H47" s="754">
        <v>1</v>
      </c>
      <c r="I47" s="768">
        <v>1.1000000000000001</v>
      </c>
      <c r="J47" s="756">
        <f>H47*3%*1.49</f>
        <v>4.4699999999999997E-2</v>
      </c>
      <c r="K47" s="754">
        <f>H47*14%*1.49</f>
        <v>0.20860000000000001</v>
      </c>
      <c r="L47" s="754">
        <f t="shared" si="31"/>
        <v>1.8923000000000001</v>
      </c>
      <c r="M47" s="754">
        <f t="shared" si="15"/>
        <v>1.3085</v>
      </c>
      <c r="N47" s="754">
        <v>6</v>
      </c>
      <c r="O47" s="754">
        <f t="shared" si="32"/>
        <v>7.851</v>
      </c>
      <c r="P47" s="754"/>
    </row>
    <row r="48" spans="1:16" ht="24.95" customHeight="1">
      <c r="A48" s="748">
        <v>4</v>
      </c>
      <c r="B48" s="764" t="s">
        <v>1028</v>
      </c>
      <c r="C48" s="754">
        <v>1</v>
      </c>
      <c r="D48" s="765">
        <v>0.2</v>
      </c>
      <c r="E48" s="756">
        <f t="shared" si="26"/>
        <v>4.1699999999999994E-2</v>
      </c>
      <c r="F48" s="913">
        <f t="shared" si="27"/>
        <v>0.1946</v>
      </c>
      <c r="G48" s="901">
        <f t="shared" si="28"/>
        <v>0.51429999999999998</v>
      </c>
      <c r="H48" s="754"/>
      <c r="I48" s="765"/>
      <c r="J48" s="756">
        <f t="shared" si="29"/>
        <v>0</v>
      </c>
      <c r="K48" s="754">
        <f t="shared" si="30"/>
        <v>0</v>
      </c>
      <c r="L48" s="754">
        <f t="shared" si="31"/>
        <v>0</v>
      </c>
      <c r="M48" s="754">
        <f t="shared" si="15"/>
        <v>-0.51429999999999998</v>
      </c>
      <c r="N48" s="754">
        <v>6</v>
      </c>
      <c r="O48" s="754">
        <f t="shared" si="32"/>
        <v>-3.0857999999999999</v>
      </c>
      <c r="P48" s="754"/>
    </row>
    <row r="49" spans="1:16" ht="24.95" customHeight="1">
      <c r="A49" s="748">
        <v>5</v>
      </c>
      <c r="B49" s="764" t="s">
        <v>1029</v>
      </c>
      <c r="C49" s="754">
        <v>1</v>
      </c>
      <c r="D49" s="765">
        <v>0.2</v>
      </c>
      <c r="E49" s="756">
        <f t="shared" si="26"/>
        <v>4.1699999999999994E-2</v>
      </c>
      <c r="F49" s="913">
        <f t="shared" si="27"/>
        <v>0.1946</v>
      </c>
      <c r="G49" s="901">
        <f t="shared" si="28"/>
        <v>0.51429999999999998</v>
      </c>
      <c r="H49" s="754"/>
      <c r="I49" s="765"/>
      <c r="J49" s="756">
        <f t="shared" si="29"/>
        <v>0</v>
      </c>
      <c r="K49" s="754">
        <f t="shared" si="30"/>
        <v>0</v>
      </c>
      <c r="L49" s="754">
        <f t="shared" si="31"/>
        <v>0</v>
      </c>
      <c r="M49" s="754">
        <f t="shared" si="15"/>
        <v>-0.51429999999999998</v>
      </c>
      <c r="N49" s="754">
        <v>6</v>
      </c>
      <c r="O49" s="754">
        <f t="shared" si="32"/>
        <v>-3.0857999999999999</v>
      </c>
      <c r="P49" s="754"/>
    </row>
    <row r="50" spans="1:16" ht="24.95" customHeight="1">
      <c r="A50" s="748">
        <v>6</v>
      </c>
      <c r="B50" s="764" t="s">
        <v>1030</v>
      </c>
      <c r="C50" s="754">
        <v>1</v>
      </c>
      <c r="D50" s="765">
        <v>0.2</v>
      </c>
      <c r="E50" s="756">
        <f t="shared" si="26"/>
        <v>4.1699999999999994E-2</v>
      </c>
      <c r="F50" s="913">
        <f t="shared" si="27"/>
        <v>0.1946</v>
      </c>
      <c r="G50" s="901">
        <f t="shared" si="28"/>
        <v>0.51429999999999998</v>
      </c>
      <c r="H50" s="754"/>
      <c r="I50" s="765"/>
      <c r="J50" s="756">
        <f t="shared" si="29"/>
        <v>0</v>
      </c>
      <c r="K50" s="754">
        <f t="shared" si="30"/>
        <v>0</v>
      </c>
      <c r="L50" s="754">
        <f t="shared" si="31"/>
        <v>0</v>
      </c>
      <c r="M50" s="754">
        <f t="shared" si="15"/>
        <v>-0.51429999999999998</v>
      </c>
      <c r="N50" s="754">
        <v>6</v>
      </c>
      <c r="O50" s="754">
        <f t="shared" si="32"/>
        <v>-3.0857999999999999</v>
      </c>
      <c r="P50" s="754"/>
    </row>
    <row r="51" spans="1:16" ht="24.95" customHeight="1">
      <c r="A51" s="748">
        <v>7</v>
      </c>
      <c r="B51" s="764" t="s">
        <v>1031</v>
      </c>
      <c r="C51" s="754">
        <v>1</v>
      </c>
      <c r="D51" s="765">
        <v>0.2</v>
      </c>
      <c r="E51" s="756">
        <f t="shared" si="26"/>
        <v>4.1699999999999994E-2</v>
      </c>
      <c r="F51" s="913">
        <f t="shared" si="27"/>
        <v>0.1946</v>
      </c>
      <c r="G51" s="901">
        <f t="shared" si="28"/>
        <v>0.51429999999999998</v>
      </c>
      <c r="H51" s="754"/>
      <c r="I51" s="765"/>
      <c r="J51" s="756">
        <f t="shared" si="29"/>
        <v>0</v>
      </c>
      <c r="K51" s="754">
        <f t="shared" si="30"/>
        <v>0</v>
      </c>
      <c r="L51" s="754">
        <f t="shared" si="31"/>
        <v>0</v>
      </c>
      <c r="M51" s="754">
        <f t="shared" si="15"/>
        <v>-0.51429999999999998</v>
      </c>
      <c r="N51" s="754">
        <v>6</v>
      </c>
      <c r="O51" s="754">
        <f t="shared" si="32"/>
        <v>-3.0857999999999999</v>
      </c>
      <c r="P51" s="754"/>
    </row>
    <row r="52" spans="1:16" s="69" customFormat="1" ht="24.95" customHeight="1">
      <c r="A52" s="813" t="s">
        <v>668</v>
      </c>
      <c r="B52" s="814" t="s">
        <v>1033</v>
      </c>
      <c r="C52" s="759">
        <f>SUM(C53:C58)</f>
        <v>304</v>
      </c>
      <c r="D52" s="759">
        <f t="shared" ref="D52:O52" si="33">SUM(D53:D58)</f>
        <v>2.9</v>
      </c>
      <c r="E52" s="759">
        <f t="shared" si="33"/>
        <v>12.6768</v>
      </c>
      <c r="F52" s="914">
        <f t="shared" si="33"/>
        <v>59.158400000000007</v>
      </c>
      <c r="G52" s="902">
        <f t="shared" si="33"/>
        <v>281.16919999999999</v>
      </c>
      <c r="H52" s="759">
        <f t="shared" si="33"/>
        <v>0</v>
      </c>
      <c r="I52" s="759">
        <f t="shared" si="33"/>
        <v>0</v>
      </c>
      <c r="J52" s="759">
        <f t="shared" si="33"/>
        <v>0</v>
      </c>
      <c r="K52" s="759">
        <f t="shared" si="33"/>
        <v>0</v>
      </c>
      <c r="L52" s="759">
        <f t="shared" si="33"/>
        <v>0</v>
      </c>
      <c r="M52" s="759">
        <f t="shared" si="33"/>
        <v>-281.16919999999999</v>
      </c>
      <c r="N52" s="759">
        <f t="shared" si="33"/>
        <v>36</v>
      </c>
      <c r="O52" s="759">
        <f t="shared" si="33"/>
        <v>-1687.0151999999998</v>
      </c>
      <c r="P52" s="759"/>
    </row>
    <row r="53" spans="1:16" ht="24.95" customHeight="1">
      <c r="A53" s="748">
        <v>9</v>
      </c>
      <c r="B53" s="753" t="s">
        <v>1034</v>
      </c>
      <c r="C53" s="754">
        <v>143</v>
      </c>
      <c r="D53" s="766">
        <v>0.5</v>
      </c>
      <c r="E53" s="756">
        <f t="shared" ref="E53" si="34">C53*3%*1.39</f>
        <v>5.9630999999999998</v>
      </c>
      <c r="F53" s="913">
        <f t="shared" ref="F53" si="35">C53*14%*1.39</f>
        <v>27.827800000000003</v>
      </c>
      <c r="G53" s="901">
        <f>(C53*D53*1.39)+(E53+F53)</f>
        <v>133.17589999999998</v>
      </c>
      <c r="H53" s="754"/>
      <c r="I53" s="766"/>
      <c r="J53" s="756">
        <f t="shared" ref="J53" si="36">H53*3%*1.49</f>
        <v>0</v>
      </c>
      <c r="K53" s="754">
        <f t="shared" ref="K53" si="37">H53*14%*1.49</f>
        <v>0</v>
      </c>
      <c r="L53" s="754">
        <f t="shared" ref="L53" si="38">(H53*I53)+(J53+K53)</f>
        <v>0</v>
      </c>
      <c r="M53" s="754">
        <f t="shared" si="15"/>
        <v>-133.17589999999998</v>
      </c>
      <c r="N53" s="754">
        <v>6</v>
      </c>
      <c r="O53" s="754">
        <f>M53*N53</f>
        <v>-799.05539999999996</v>
      </c>
      <c r="P53" s="754"/>
    </row>
    <row r="54" spans="1:16" ht="24.95" customHeight="1">
      <c r="A54" s="748">
        <v>10</v>
      </c>
      <c r="B54" s="753" t="s">
        <v>1035</v>
      </c>
      <c r="C54" s="754">
        <v>143</v>
      </c>
      <c r="D54" s="766">
        <v>0.5</v>
      </c>
      <c r="E54" s="756">
        <f t="shared" ref="E54:E58" si="39">C54*3%*1.39</f>
        <v>5.9630999999999998</v>
      </c>
      <c r="F54" s="913">
        <f t="shared" ref="F54:F58" si="40">C54*14%*1.39</f>
        <v>27.827800000000003</v>
      </c>
      <c r="G54" s="901">
        <f t="shared" ref="G54:G58" si="41">(C54*D54*1.39)+(E54+F54)</f>
        <v>133.17589999999998</v>
      </c>
      <c r="H54" s="754"/>
      <c r="I54" s="766"/>
      <c r="J54" s="756">
        <f t="shared" ref="J54:J58" si="42">H54*3%*1.49</f>
        <v>0</v>
      </c>
      <c r="K54" s="754">
        <f t="shared" ref="K54:K58" si="43">H54*14%*1.49</f>
        <v>0</v>
      </c>
      <c r="L54" s="754">
        <f t="shared" ref="L54:L58" si="44">(H54*I54)+(J54+K54)</f>
        <v>0</v>
      </c>
      <c r="M54" s="754">
        <f t="shared" si="15"/>
        <v>-133.17589999999998</v>
      </c>
      <c r="N54" s="754">
        <v>6</v>
      </c>
      <c r="O54" s="754">
        <f t="shared" si="16"/>
        <v>-799.05539999999996</v>
      </c>
      <c r="P54" s="754"/>
    </row>
    <row r="55" spans="1:16" ht="24.95" customHeight="1">
      <c r="A55" s="748">
        <v>11</v>
      </c>
      <c r="B55" s="753" t="s">
        <v>1036</v>
      </c>
      <c r="C55" s="754">
        <v>1</v>
      </c>
      <c r="D55" s="755">
        <v>0.7</v>
      </c>
      <c r="E55" s="756">
        <f t="shared" si="39"/>
        <v>4.1699999999999994E-2</v>
      </c>
      <c r="F55" s="913">
        <f t="shared" si="40"/>
        <v>0.1946</v>
      </c>
      <c r="G55" s="901">
        <f t="shared" si="41"/>
        <v>1.2092999999999998</v>
      </c>
      <c r="H55" s="754"/>
      <c r="I55" s="755"/>
      <c r="J55" s="756">
        <f t="shared" si="42"/>
        <v>0</v>
      </c>
      <c r="K55" s="754">
        <f t="shared" si="43"/>
        <v>0</v>
      </c>
      <c r="L55" s="754">
        <f t="shared" si="44"/>
        <v>0</v>
      </c>
      <c r="M55" s="754">
        <f t="shared" si="15"/>
        <v>-1.2092999999999998</v>
      </c>
      <c r="N55" s="754">
        <v>6</v>
      </c>
      <c r="O55" s="754">
        <f t="shared" si="16"/>
        <v>-7.2557999999999989</v>
      </c>
      <c r="P55" s="754"/>
    </row>
    <row r="56" spans="1:16" ht="24.95" customHeight="1">
      <c r="A56" s="748">
        <v>12</v>
      </c>
      <c r="B56" s="753" t="s">
        <v>1037</v>
      </c>
      <c r="C56" s="754">
        <v>1</v>
      </c>
      <c r="D56" s="755">
        <v>0.5</v>
      </c>
      <c r="E56" s="756">
        <f t="shared" si="39"/>
        <v>4.1699999999999994E-2</v>
      </c>
      <c r="F56" s="913">
        <f t="shared" si="40"/>
        <v>0.1946</v>
      </c>
      <c r="G56" s="901">
        <f t="shared" si="41"/>
        <v>0.93129999999999991</v>
      </c>
      <c r="H56" s="754"/>
      <c r="I56" s="755"/>
      <c r="J56" s="756">
        <f t="shared" si="42"/>
        <v>0</v>
      </c>
      <c r="K56" s="754">
        <f t="shared" si="43"/>
        <v>0</v>
      </c>
      <c r="L56" s="754">
        <f t="shared" si="44"/>
        <v>0</v>
      </c>
      <c r="M56" s="754">
        <f t="shared" si="15"/>
        <v>-0.93129999999999991</v>
      </c>
      <c r="N56" s="754">
        <v>6</v>
      </c>
      <c r="O56" s="754">
        <f t="shared" si="16"/>
        <v>-5.5877999999999997</v>
      </c>
      <c r="P56" s="754"/>
    </row>
    <row r="57" spans="1:16" ht="24.95" customHeight="1">
      <c r="A57" s="748">
        <v>13</v>
      </c>
      <c r="B57" s="753" t="s">
        <v>1038</v>
      </c>
      <c r="C57" s="754">
        <v>16</v>
      </c>
      <c r="D57" s="755">
        <v>0.4</v>
      </c>
      <c r="E57" s="756">
        <f t="shared" si="39"/>
        <v>0.6671999999999999</v>
      </c>
      <c r="F57" s="913">
        <f t="shared" si="40"/>
        <v>3.1135999999999999</v>
      </c>
      <c r="G57" s="901">
        <f t="shared" si="41"/>
        <v>12.676799999999998</v>
      </c>
      <c r="H57" s="754"/>
      <c r="I57" s="755"/>
      <c r="J57" s="756">
        <f t="shared" si="42"/>
        <v>0</v>
      </c>
      <c r="K57" s="754">
        <f t="shared" si="43"/>
        <v>0</v>
      </c>
      <c r="L57" s="754">
        <f t="shared" si="44"/>
        <v>0</v>
      </c>
      <c r="M57" s="754">
        <f t="shared" si="15"/>
        <v>-12.676799999999998</v>
      </c>
      <c r="N57" s="754">
        <v>6</v>
      </c>
      <c r="O57" s="754">
        <f t="shared" si="16"/>
        <v>-76.060799999999986</v>
      </c>
      <c r="P57" s="754"/>
    </row>
    <row r="58" spans="1:16" ht="24.95" customHeight="1">
      <c r="A58" s="748">
        <v>14</v>
      </c>
      <c r="B58" s="753" t="s">
        <v>1039</v>
      </c>
      <c r="C58" s="754"/>
      <c r="D58" s="755">
        <v>0.3</v>
      </c>
      <c r="E58" s="756">
        <f t="shared" si="39"/>
        <v>0</v>
      </c>
      <c r="F58" s="913">
        <f t="shared" si="40"/>
        <v>0</v>
      </c>
      <c r="G58" s="901">
        <f t="shared" si="41"/>
        <v>0</v>
      </c>
      <c r="H58" s="754"/>
      <c r="I58" s="755"/>
      <c r="J58" s="756">
        <f t="shared" si="42"/>
        <v>0</v>
      </c>
      <c r="K58" s="754">
        <f t="shared" si="43"/>
        <v>0</v>
      </c>
      <c r="L58" s="754">
        <f t="shared" si="44"/>
        <v>0</v>
      </c>
      <c r="M58" s="754">
        <f t="shared" si="15"/>
        <v>0</v>
      </c>
      <c r="N58" s="754">
        <v>6</v>
      </c>
      <c r="O58" s="754">
        <f t="shared" si="16"/>
        <v>0</v>
      </c>
      <c r="P58" s="754"/>
    </row>
    <row r="59" spans="1:16" hidden="1">
      <c r="A59" s="757"/>
      <c r="B59" s="769"/>
      <c r="C59" s="754"/>
      <c r="D59" s="766"/>
      <c r="E59" s="756"/>
      <c r="F59" s="913"/>
      <c r="G59" s="901"/>
      <c r="H59" s="754"/>
      <c r="I59" s="766"/>
      <c r="J59" s="756"/>
      <c r="K59" s="754"/>
      <c r="L59" s="754"/>
      <c r="M59" s="754"/>
      <c r="N59" s="754"/>
      <c r="O59" s="754"/>
      <c r="P59" s="754"/>
    </row>
    <row r="60" spans="1:16" hidden="1">
      <c r="A60" s="757"/>
      <c r="B60" s="770"/>
      <c r="C60" s="759"/>
      <c r="D60" s="759"/>
      <c r="E60" s="759"/>
      <c r="F60" s="914"/>
      <c r="G60" s="902"/>
      <c r="H60" s="759"/>
      <c r="I60" s="759"/>
      <c r="J60" s="759"/>
      <c r="K60" s="759"/>
      <c r="L60" s="759"/>
      <c r="M60" s="759"/>
      <c r="N60" s="759"/>
      <c r="O60" s="759"/>
      <c r="P60" s="759"/>
    </row>
    <row r="61" spans="1:16">
      <c r="A61" s="503"/>
      <c r="B61" s="497"/>
      <c r="C61" s="1224"/>
      <c r="D61" s="1224"/>
      <c r="E61" s="1224"/>
      <c r="F61" s="1224"/>
      <c r="G61" s="1224"/>
      <c r="H61" s="1224"/>
      <c r="I61" s="1224"/>
      <c r="J61" s="1224"/>
      <c r="K61" s="1224"/>
      <c r="L61" s="1224"/>
      <c r="M61" s="1224"/>
      <c r="N61" s="1224"/>
      <c r="O61" s="1224"/>
      <c r="P61" s="1224"/>
    </row>
    <row r="62" spans="1:16">
      <c r="A62" s="503"/>
      <c r="B62" s="497"/>
      <c r="C62" s="497"/>
      <c r="D62" s="497"/>
      <c r="E62" s="504"/>
      <c r="F62" s="917"/>
      <c r="G62" s="905"/>
      <c r="H62" s="497"/>
      <c r="I62" s="497"/>
      <c r="J62" s="504"/>
      <c r="K62" s="504"/>
      <c r="L62" s="504"/>
      <c r="M62" s="504"/>
      <c r="N62" s="504"/>
      <c r="O62" s="504"/>
      <c r="P62" s="504"/>
    </row>
    <row r="63" spans="1:16">
      <c r="A63" s="503"/>
      <c r="B63" s="497"/>
      <c r="C63" s="497"/>
      <c r="D63" s="497"/>
      <c r="E63" s="504"/>
      <c r="F63" s="917"/>
      <c r="G63" s="905"/>
      <c r="H63" s="497"/>
      <c r="I63" s="497"/>
      <c r="J63" s="504"/>
      <c r="K63" s="504"/>
      <c r="L63" s="504"/>
      <c r="M63" s="504"/>
      <c r="N63" s="504"/>
      <c r="O63" s="504"/>
      <c r="P63" s="504"/>
    </row>
    <row r="64" spans="1:16">
      <c r="A64" s="503"/>
      <c r="B64" s="497"/>
      <c r="C64" s="497"/>
      <c r="D64" s="497"/>
      <c r="E64" s="504"/>
      <c r="F64" s="917"/>
      <c r="G64" s="905"/>
      <c r="H64" s="497"/>
      <c r="I64" s="497"/>
      <c r="J64" s="504"/>
      <c r="K64" s="504"/>
      <c r="L64" s="504"/>
      <c r="M64" s="504"/>
      <c r="N64" s="504"/>
      <c r="O64" s="504"/>
      <c r="P64" s="504"/>
    </row>
  </sheetData>
  <mergeCells count="14">
    <mergeCell ref="O6:O8"/>
    <mergeCell ref="P6:P8"/>
    <mergeCell ref="C61:P61"/>
    <mergeCell ref="A6:A8"/>
    <mergeCell ref="B6:B8"/>
    <mergeCell ref="C6:G7"/>
    <mergeCell ref="H6:L7"/>
    <mergeCell ref="M6:M8"/>
    <mergeCell ref="N6:N8"/>
    <mergeCell ref="G5:P5"/>
    <mergeCell ref="O1:P1"/>
    <mergeCell ref="A2:P2"/>
    <mergeCell ref="A3:P3"/>
    <mergeCell ref="A4:P4"/>
  </mergeCells>
  <pageMargins left="0.86" right="0.5" top="0.74803149606299213" bottom="0.74803149606299213" header="0.31496062992125984" footer="0.31496062992125984"/>
  <pageSetup paperSize="9" scale="7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RowColHeaders="0" workbookViewId="0">
      <selection activeCell="K16" sqref="K16"/>
    </sheetView>
  </sheetViews>
  <sheetFormatPr defaultColWidth="8" defaultRowHeight="12.75"/>
  <cols>
    <col min="1" max="1" width="5.140625" style="529" customWidth="1"/>
    <col min="2" max="2" width="30.140625" style="507" customWidth="1"/>
    <col min="3" max="5" width="8.5703125" style="507" customWidth="1"/>
    <col min="6" max="7" width="9.42578125" style="507" customWidth="1"/>
    <col min="8" max="8" width="8" style="507" customWidth="1"/>
    <col min="9" max="10" width="8.28515625" style="507" customWidth="1"/>
    <col min="11" max="11" width="9.140625" style="507" customWidth="1"/>
    <col min="12" max="12" width="24.7109375" style="507" customWidth="1"/>
    <col min="13" max="13" width="16.5703125" style="507" customWidth="1"/>
    <col min="14" max="256" width="8" style="507"/>
    <col min="257" max="257" width="5.140625" style="507" customWidth="1"/>
    <col min="258" max="258" width="30.140625" style="507" customWidth="1"/>
    <col min="259" max="261" width="8.5703125" style="507" customWidth="1"/>
    <col min="262" max="263" width="9.42578125" style="507" customWidth="1"/>
    <col min="264" max="264" width="8" style="507" customWidth="1"/>
    <col min="265" max="266" width="8.28515625" style="507" customWidth="1"/>
    <col min="267" max="267" width="9.140625" style="507" customWidth="1"/>
    <col min="268" max="268" width="24.7109375" style="507" customWidth="1"/>
    <col min="269" max="269" width="16.5703125" style="507" customWidth="1"/>
    <col min="270" max="512" width="8" style="507"/>
    <col min="513" max="513" width="5.140625" style="507" customWidth="1"/>
    <col min="514" max="514" width="30.140625" style="507" customWidth="1"/>
    <col min="515" max="517" width="8.5703125" style="507" customWidth="1"/>
    <col min="518" max="519" width="9.42578125" style="507" customWidth="1"/>
    <col min="520" max="520" width="8" style="507" customWidth="1"/>
    <col min="521" max="522" width="8.28515625" style="507" customWidth="1"/>
    <col min="523" max="523" width="9.140625" style="507" customWidth="1"/>
    <col min="524" max="524" width="24.7109375" style="507" customWidth="1"/>
    <col min="525" max="525" width="16.5703125" style="507" customWidth="1"/>
    <col min="526" max="768" width="8" style="507"/>
    <col min="769" max="769" width="5.140625" style="507" customWidth="1"/>
    <col min="770" max="770" width="30.140625" style="507" customWidth="1"/>
    <col min="771" max="773" width="8.5703125" style="507" customWidth="1"/>
    <col min="774" max="775" width="9.42578125" style="507" customWidth="1"/>
    <col min="776" max="776" width="8" style="507" customWidth="1"/>
    <col min="777" max="778" width="8.28515625" style="507" customWidth="1"/>
    <col min="779" max="779" width="9.140625" style="507" customWidth="1"/>
    <col min="780" max="780" width="24.7109375" style="507" customWidth="1"/>
    <col min="781" max="781" width="16.5703125" style="507" customWidth="1"/>
    <col min="782" max="1024" width="8" style="507"/>
    <col min="1025" max="1025" width="5.140625" style="507" customWidth="1"/>
    <col min="1026" max="1026" width="30.140625" style="507" customWidth="1"/>
    <col min="1027" max="1029" width="8.5703125" style="507" customWidth="1"/>
    <col min="1030" max="1031" width="9.42578125" style="507" customWidth="1"/>
    <col min="1032" max="1032" width="8" style="507" customWidth="1"/>
    <col min="1033" max="1034" width="8.28515625" style="507" customWidth="1"/>
    <col min="1035" max="1035" width="9.140625" style="507" customWidth="1"/>
    <col min="1036" max="1036" width="24.7109375" style="507" customWidth="1"/>
    <col min="1037" max="1037" width="16.5703125" style="507" customWidth="1"/>
    <col min="1038" max="1280" width="8" style="507"/>
    <col min="1281" max="1281" width="5.140625" style="507" customWidth="1"/>
    <col min="1282" max="1282" width="30.140625" style="507" customWidth="1"/>
    <col min="1283" max="1285" width="8.5703125" style="507" customWidth="1"/>
    <col min="1286" max="1287" width="9.42578125" style="507" customWidth="1"/>
    <col min="1288" max="1288" width="8" style="507" customWidth="1"/>
    <col min="1289" max="1290" width="8.28515625" style="507" customWidth="1"/>
    <col min="1291" max="1291" width="9.140625" style="507" customWidth="1"/>
    <col min="1292" max="1292" width="24.7109375" style="507" customWidth="1"/>
    <col min="1293" max="1293" width="16.5703125" style="507" customWidth="1"/>
    <col min="1294" max="1536" width="8" style="507"/>
    <col min="1537" max="1537" width="5.140625" style="507" customWidth="1"/>
    <col min="1538" max="1538" width="30.140625" style="507" customWidth="1"/>
    <col min="1539" max="1541" width="8.5703125" style="507" customWidth="1"/>
    <col min="1542" max="1543" width="9.42578125" style="507" customWidth="1"/>
    <col min="1544" max="1544" width="8" style="507" customWidth="1"/>
    <col min="1545" max="1546" width="8.28515625" style="507" customWidth="1"/>
    <col min="1547" max="1547" width="9.140625" style="507" customWidth="1"/>
    <col min="1548" max="1548" width="24.7109375" style="507" customWidth="1"/>
    <col min="1549" max="1549" width="16.5703125" style="507" customWidth="1"/>
    <col min="1550" max="1792" width="8" style="507"/>
    <col min="1793" max="1793" width="5.140625" style="507" customWidth="1"/>
    <col min="1794" max="1794" width="30.140625" style="507" customWidth="1"/>
    <col min="1795" max="1797" width="8.5703125" style="507" customWidth="1"/>
    <col min="1798" max="1799" width="9.42578125" style="507" customWidth="1"/>
    <col min="1800" max="1800" width="8" style="507" customWidth="1"/>
    <col min="1801" max="1802" width="8.28515625" style="507" customWidth="1"/>
    <col min="1803" max="1803" width="9.140625" style="507" customWidth="1"/>
    <col min="1804" max="1804" width="24.7109375" style="507" customWidth="1"/>
    <col min="1805" max="1805" width="16.5703125" style="507" customWidth="1"/>
    <col min="1806" max="2048" width="8" style="507"/>
    <col min="2049" max="2049" width="5.140625" style="507" customWidth="1"/>
    <col min="2050" max="2050" width="30.140625" style="507" customWidth="1"/>
    <col min="2051" max="2053" width="8.5703125" style="507" customWidth="1"/>
    <col min="2054" max="2055" width="9.42578125" style="507" customWidth="1"/>
    <col min="2056" max="2056" width="8" style="507" customWidth="1"/>
    <col min="2057" max="2058" width="8.28515625" style="507" customWidth="1"/>
    <col min="2059" max="2059" width="9.140625" style="507" customWidth="1"/>
    <col min="2060" max="2060" width="24.7109375" style="507" customWidth="1"/>
    <col min="2061" max="2061" width="16.5703125" style="507" customWidth="1"/>
    <col min="2062" max="2304" width="8" style="507"/>
    <col min="2305" max="2305" width="5.140625" style="507" customWidth="1"/>
    <col min="2306" max="2306" width="30.140625" style="507" customWidth="1"/>
    <col min="2307" max="2309" width="8.5703125" style="507" customWidth="1"/>
    <col min="2310" max="2311" width="9.42578125" style="507" customWidth="1"/>
    <col min="2312" max="2312" width="8" style="507" customWidth="1"/>
    <col min="2313" max="2314" width="8.28515625" style="507" customWidth="1"/>
    <col min="2315" max="2315" width="9.140625" style="507" customWidth="1"/>
    <col min="2316" max="2316" width="24.7109375" style="507" customWidth="1"/>
    <col min="2317" max="2317" width="16.5703125" style="507" customWidth="1"/>
    <col min="2318" max="2560" width="8" style="507"/>
    <col min="2561" max="2561" width="5.140625" style="507" customWidth="1"/>
    <col min="2562" max="2562" width="30.140625" style="507" customWidth="1"/>
    <col min="2563" max="2565" width="8.5703125" style="507" customWidth="1"/>
    <col min="2566" max="2567" width="9.42578125" style="507" customWidth="1"/>
    <col min="2568" max="2568" width="8" style="507" customWidth="1"/>
    <col min="2569" max="2570" width="8.28515625" style="507" customWidth="1"/>
    <col min="2571" max="2571" width="9.140625" style="507" customWidth="1"/>
    <col min="2572" max="2572" width="24.7109375" style="507" customWidth="1"/>
    <col min="2573" max="2573" width="16.5703125" style="507" customWidth="1"/>
    <col min="2574" max="2816" width="8" style="507"/>
    <col min="2817" max="2817" width="5.140625" style="507" customWidth="1"/>
    <col min="2818" max="2818" width="30.140625" style="507" customWidth="1"/>
    <col min="2819" max="2821" width="8.5703125" style="507" customWidth="1"/>
    <col min="2822" max="2823" width="9.42578125" style="507" customWidth="1"/>
    <col min="2824" max="2824" width="8" style="507" customWidth="1"/>
    <col min="2825" max="2826" width="8.28515625" style="507" customWidth="1"/>
    <col min="2827" max="2827" width="9.140625" style="507" customWidth="1"/>
    <col min="2828" max="2828" width="24.7109375" style="507" customWidth="1"/>
    <col min="2829" max="2829" width="16.5703125" style="507" customWidth="1"/>
    <col min="2830" max="3072" width="8" style="507"/>
    <col min="3073" max="3073" width="5.140625" style="507" customWidth="1"/>
    <col min="3074" max="3074" width="30.140625" style="507" customWidth="1"/>
    <col min="3075" max="3077" width="8.5703125" style="507" customWidth="1"/>
    <col min="3078" max="3079" width="9.42578125" style="507" customWidth="1"/>
    <col min="3080" max="3080" width="8" style="507" customWidth="1"/>
    <col min="3081" max="3082" width="8.28515625" style="507" customWidth="1"/>
    <col min="3083" max="3083" width="9.140625" style="507" customWidth="1"/>
    <col min="3084" max="3084" width="24.7109375" style="507" customWidth="1"/>
    <col min="3085" max="3085" width="16.5703125" style="507" customWidth="1"/>
    <col min="3086" max="3328" width="8" style="507"/>
    <col min="3329" max="3329" width="5.140625" style="507" customWidth="1"/>
    <col min="3330" max="3330" width="30.140625" style="507" customWidth="1"/>
    <col min="3331" max="3333" width="8.5703125" style="507" customWidth="1"/>
    <col min="3334" max="3335" width="9.42578125" style="507" customWidth="1"/>
    <col min="3336" max="3336" width="8" style="507" customWidth="1"/>
    <col min="3337" max="3338" width="8.28515625" style="507" customWidth="1"/>
    <col min="3339" max="3339" width="9.140625" style="507" customWidth="1"/>
    <col min="3340" max="3340" width="24.7109375" style="507" customWidth="1"/>
    <col min="3341" max="3341" width="16.5703125" style="507" customWidth="1"/>
    <col min="3342" max="3584" width="8" style="507"/>
    <col min="3585" max="3585" width="5.140625" style="507" customWidth="1"/>
    <col min="3586" max="3586" width="30.140625" style="507" customWidth="1"/>
    <col min="3587" max="3589" width="8.5703125" style="507" customWidth="1"/>
    <col min="3590" max="3591" width="9.42578125" style="507" customWidth="1"/>
    <col min="3592" max="3592" width="8" style="507" customWidth="1"/>
    <col min="3593" max="3594" width="8.28515625" style="507" customWidth="1"/>
    <col min="3595" max="3595" width="9.140625" style="507" customWidth="1"/>
    <col min="3596" max="3596" width="24.7109375" style="507" customWidth="1"/>
    <col min="3597" max="3597" width="16.5703125" style="507" customWidth="1"/>
    <col min="3598" max="3840" width="8" style="507"/>
    <col min="3841" max="3841" width="5.140625" style="507" customWidth="1"/>
    <col min="3842" max="3842" width="30.140625" style="507" customWidth="1"/>
    <col min="3843" max="3845" width="8.5703125" style="507" customWidth="1"/>
    <col min="3846" max="3847" width="9.42578125" style="507" customWidth="1"/>
    <col min="3848" max="3848" width="8" style="507" customWidth="1"/>
    <col min="3849" max="3850" width="8.28515625" style="507" customWidth="1"/>
    <col min="3851" max="3851" width="9.140625" style="507" customWidth="1"/>
    <col min="3852" max="3852" width="24.7109375" style="507" customWidth="1"/>
    <col min="3853" max="3853" width="16.5703125" style="507" customWidth="1"/>
    <col min="3854" max="4096" width="8" style="507"/>
    <col min="4097" max="4097" width="5.140625" style="507" customWidth="1"/>
    <col min="4098" max="4098" width="30.140625" style="507" customWidth="1"/>
    <col min="4099" max="4101" width="8.5703125" style="507" customWidth="1"/>
    <col min="4102" max="4103" width="9.42578125" style="507" customWidth="1"/>
    <col min="4104" max="4104" width="8" style="507" customWidth="1"/>
    <col min="4105" max="4106" width="8.28515625" style="507" customWidth="1"/>
    <col min="4107" max="4107" width="9.140625" style="507" customWidth="1"/>
    <col min="4108" max="4108" width="24.7109375" style="507" customWidth="1"/>
    <col min="4109" max="4109" width="16.5703125" style="507" customWidth="1"/>
    <col min="4110" max="4352" width="8" style="507"/>
    <col min="4353" max="4353" width="5.140625" style="507" customWidth="1"/>
    <col min="4354" max="4354" width="30.140625" style="507" customWidth="1"/>
    <col min="4355" max="4357" width="8.5703125" style="507" customWidth="1"/>
    <col min="4358" max="4359" width="9.42578125" style="507" customWidth="1"/>
    <col min="4360" max="4360" width="8" style="507" customWidth="1"/>
    <col min="4361" max="4362" width="8.28515625" style="507" customWidth="1"/>
    <col min="4363" max="4363" width="9.140625" style="507" customWidth="1"/>
    <col min="4364" max="4364" width="24.7109375" style="507" customWidth="1"/>
    <col min="4365" max="4365" width="16.5703125" style="507" customWidth="1"/>
    <col min="4366" max="4608" width="8" style="507"/>
    <col min="4609" max="4609" width="5.140625" style="507" customWidth="1"/>
    <col min="4610" max="4610" width="30.140625" style="507" customWidth="1"/>
    <col min="4611" max="4613" width="8.5703125" style="507" customWidth="1"/>
    <col min="4614" max="4615" width="9.42578125" style="507" customWidth="1"/>
    <col min="4616" max="4616" width="8" style="507" customWidth="1"/>
    <col min="4617" max="4618" width="8.28515625" style="507" customWidth="1"/>
    <col min="4619" max="4619" width="9.140625" style="507" customWidth="1"/>
    <col min="4620" max="4620" width="24.7109375" style="507" customWidth="1"/>
    <col min="4621" max="4621" width="16.5703125" style="507" customWidth="1"/>
    <col min="4622" max="4864" width="8" style="507"/>
    <col min="4865" max="4865" width="5.140625" style="507" customWidth="1"/>
    <col min="4866" max="4866" width="30.140625" style="507" customWidth="1"/>
    <col min="4867" max="4869" width="8.5703125" style="507" customWidth="1"/>
    <col min="4870" max="4871" width="9.42578125" style="507" customWidth="1"/>
    <col min="4872" max="4872" width="8" style="507" customWidth="1"/>
    <col min="4873" max="4874" width="8.28515625" style="507" customWidth="1"/>
    <col min="4875" max="4875" width="9.140625" style="507" customWidth="1"/>
    <col min="4876" max="4876" width="24.7109375" style="507" customWidth="1"/>
    <col min="4877" max="4877" width="16.5703125" style="507" customWidth="1"/>
    <col min="4878" max="5120" width="8" style="507"/>
    <col min="5121" max="5121" width="5.140625" style="507" customWidth="1"/>
    <col min="5122" max="5122" width="30.140625" style="507" customWidth="1"/>
    <col min="5123" max="5125" width="8.5703125" style="507" customWidth="1"/>
    <col min="5126" max="5127" width="9.42578125" style="507" customWidth="1"/>
    <col min="5128" max="5128" width="8" style="507" customWidth="1"/>
    <col min="5129" max="5130" width="8.28515625" style="507" customWidth="1"/>
    <col min="5131" max="5131" width="9.140625" style="507" customWidth="1"/>
    <col min="5132" max="5132" width="24.7109375" style="507" customWidth="1"/>
    <col min="5133" max="5133" width="16.5703125" style="507" customWidth="1"/>
    <col min="5134" max="5376" width="8" style="507"/>
    <col min="5377" max="5377" width="5.140625" style="507" customWidth="1"/>
    <col min="5378" max="5378" width="30.140625" style="507" customWidth="1"/>
    <col min="5379" max="5381" width="8.5703125" style="507" customWidth="1"/>
    <col min="5382" max="5383" width="9.42578125" style="507" customWidth="1"/>
    <col min="5384" max="5384" width="8" style="507" customWidth="1"/>
    <col min="5385" max="5386" width="8.28515625" style="507" customWidth="1"/>
    <col min="5387" max="5387" width="9.140625" style="507" customWidth="1"/>
    <col min="5388" max="5388" width="24.7109375" style="507" customWidth="1"/>
    <col min="5389" max="5389" width="16.5703125" style="507" customWidth="1"/>
    <col min="5390" max="5632" width="8" style="507"/>
    <col min="5633" max="5633" width="5.140625" style="507" customWidth="1"/>
    <col min="5634" max="5634" width="30.140625" style="507" customWidth="1"/>
    <col min="5635" max="5637" width="8.5703125" style="507" customWidth="1"/>
    <col min="5638" max="5639" width="9.42578125" style="507" customWidth="1"/>
    <col min="5640" max="5640" width="8" style="507" customWidth="1"/>
    <col min="5641" max="5642" width="8.28515625" style="507" customWidth="1"/>
    <col min="5643" max="5643" width="9.140625" style="507" customWidth="1"/>
    <col min="5644" max="5644" width="24.7109375" style="507" customWidth="1"/>
    <col min="5645" max="5645" width="16.5703125" style="507" customWidth="1"/>
    <col min="5646" max="5888" width="8" style="507"/>
    <col min="5889" max="5889" width="5.140625" style="507" customWidth="1"/>
    <col min="5890" max="5890" width="30.140625" style="507" customWidth="1"/>
    <col min="5891" max="5893" width="8.5703125" style="507" customWidth="1"/>
    <col min="5894" max="5895" width="9.42578125" style="507" customWidth="1"/>
    <col min="5896" max="5896" width="8" style="507" customWidth="1"/>
    <col min="5897" max="5898" width="8.28515625" style="507" customWidth="1"/>
    <col min="5899" max="5899" width="9.140625" style="507" customWidth="1"/>
    <col min="5900" max="5900" width="24.7109375" style="507" customWidth="1"/>
    <col min="5901" max="5901" width="16.5703125" style="507" customWidth="1"/>
    <col min="5902" max="6144" width="8" style="507"/>
    <col min="6145" max="6145" width="5.140625" style="507" customWidth="1"/>
    <col min="6146" max="6146" width="30.140625" style="507" customWidth="1"/>
    <col min="6147" max="6149" width="8.5703125" style="507" customWidth="1"/>
    <col min="6150" max="6151" width="9.42578125" style="507" customWidth="1"/>
    <col min="6152" max="6152" width="8" style="507" customWidth="1"/>
    <col min="6153" max="6154" width="8.28515625" style="507" customWidth="1"/>
    <col min="6155" max="6155" width="9.140625" style="507" customWidth="1"/>
    <col min="6156" max="6156" width="24.7109375" style="507" customWidth="1"/>
    <col min="6157" max="6157" width="16.5703125" style="507" customWidth="1"/>
    <col min="6158" max="6400" width="8" style="507"/>
    <col min="6401" max="6401" width="5.140625" style="507" customWidth="1"/>
    <col min="6402" max="6402" width="30.140625" style="507" customWidth="1"/>
    <col min="6403" max="6405" width="8.5703125" style="507" customWidth="1"/>
    <col min="6406" max="6407" width="9.42578125" style="507" customWidth="1"/>
    <col min="6408" max="6408" width="8" style="507" customWidth="1"/>
    <col min="6409" max="6410" width="8.28515625" style="507" customWidth="1"/>
    <col min="6411" max="6411" width="9.140625" style="507" customWidth="1"/>
    <col min="6412" max="6412" width="24.7109375" style="507" customWidth="1"/>
    <col min="6413" max="6413" width="16.5703125" style="507" customWidth="1"/>
    <col min="6414" max="6656" width="8" style="507"/>
    <col min="6657" max="6657" width="5.140625" style="507" customWidth="1"/>
    <col min="6658" max="6658" width="30.140625" style="507" customWidth="1"/>
    <col min="6659" max="6661" width="8.5703125" style="507" customWidth="1"/>
    <col min="6662" max="6663" width="9.42578125" style="507" customWidth="1"/>
    <col min="6664" max="6664" width="8" style="507" customWidth="1"/>
    <col min="6665" max="6666" width="8.28515625" style="507" customWidth="1"/>
    <col min="6667" max="6667" width="9.140625" style="507" customWidth="1"/>
    <col min="6668" max="6668" width="24.7109375" style="507" customWidth="1"/>
    <col min="6669" max="6669" width="16.5703125" style="507" customWidth="1"/>
    <col min="6670" max="6912" width="8" style="507"/>
    <col min="6913" max="6913" width="5.140625" style="507" customWidth="1"/>
    <col min="6914" max="6914" width="30.140625" style="507" customWidth="1"/>
    <col min="6915" max="6917" width="8.5703125" style="507" customWidth="1"/>
    <col min="6918" max="6919" width="9.42578125" style="507" customWidth="1"/>
    <col min="6920" max="6920" width="8" style="507" customWidth="1"/>
    <col min="6921" max="6922" width="8.28515625" style="507" customWidth="1"/>
    <col min="6923" max="6923" width="9.140625" style="507" customWidth="1"/>
    <col min="6924" max="6924" width="24.7109375" style="507" customWidth="1"/>
    <col min="6925" max="6925" width="16.5703125" style="507" customWidth="1"/>
    <col min="6926" max="7168" width="8" style="507"/>
    <col min="7169" max="7169" width="5.140625" style="507" customWidth="1"/>
    <col min="7170" max="7170" width="30.140625" style="507" customWidth="1"/>
    <col min="7171" max="7173" width="8.5703125" style="507" customWidth="1"/>
    <col min="7174" max="7175" width="9.42578125" style="507" customWidth="1"/>
    <col min="7176" max="7176" width="8" style="507" customWidth="1"/>
    <col min="7177" max="7178" width="8.28515625" style="507" customWidth="1"/>
    <col min="7179" max="7179" width="9.140625" style="507" customWidth="1"/>
    <col min="7180" max="7180" width="24.7109375" style="507" customWidth="1"/>
    <col min="7181" max="7181" width="16.5703125" style="507" customWidth="1"/>
    <col min="7182" max="7424" width="8" style="507"/>
    <col min="7425" max="7425" width="5.140625" style="507" customWidth="1"/>
    <col min="7426" max="7426" width="30.140625" style="507" customWidth="1"/>
    <col min="7427" max="7429" width="8.5703125" style="507" customWidth="1"/>
    <col min="7430" max="7431" width="9.42578125" style="507" customWidth="1"/>
    <col min="7432" max="7432" width="8" style="507" customWidth="1"/>
    <col min="7433" max="7434" width="8.28515625" style="507" customWidth="1"/>
    <col min="7435" max="7435" width="9.140625" style="507" customWidth="1"/>
    <col min="7436" max="7436" width="24.7109375" style="507" customWidth="1"/>
    <col min="7437" max="7437" width="16.5703125" style="507" customWidth="1"/>
    <col min="7438" max="7680" width="8" style="507"/>
    <col min="7681" max="7681" width="5.140625" style="507" customWidth="1"/>
    <col min="7682" max="7682" width="30.140625" style="507" customWidth="1"/>
    <col min="7683" max="7685" width="8.5703125" style="507" customWidth="1"/>
    <col min="7686" max="7687" width="9.42578125" style="507" customWidth="1"/>
    <col min="7688" max="7688" width="8" style="507" customWidth="1"/>
    <col min="7689" max="7690" width="8.28515625" style="507" customWidth="1"/>
    <col min="7691" max="7691" width="9.140625" style="507" customWidth="1"/>
    <col min="7692" max="7692" width="24.7109375" style="507" customWidth="1"/>
    <col min="7693" max="7693" width="16.5703125" style="507" customWidth="1"/>
    <col min="7694" max="7936" width="8" style="507"/>
    <col min="7937" max="7937" width="5.140625" style="507" customWidth="1"/>
    <col min="7938" max="7938" width="30.140625" style="507" customWidth="1"/>
    <col min="7939" max="7941" width="8.5703125" style="507" customWidth="1"/>
    <col min="7942" max="7943" width="9.42578125" style="507" customWidth="1"/>
    <col min="7944" max="7944" width="8" style="507" customWidth="1"/>
    <col min="7945" max="7946" width="8.28515625" style="507" customWidth="1"/>
    <col min="7947" max="7947" width="9.140625" style="507" customWidth="1"/>
    <col min="7948" max="7948" width="24.7109375" style="507" customWidth="1"/>
    <col min="7949" max="7949" width="16.5703125" style="507" customWidth="1"/>
    <col min="7950" max="8192" width="8" style="507"/>
    <col min="8193" max="8193" width="5.140625" style="507" customWidth="1"/>
    <col min="8194" max="8194" width="30.140625" style="507" customWidth="1"/>
    <col min="8195" max="8197" width="8.5703125" style="507" customWidth="1"/>
    <col min="8198" max="8199" width="9.42578125" style="507" customWidth="1"/>
    <col min="8200" max="8200" width="8" style="507" customWidth="1"/>
    <col min="8201" max="8202" width="8.28515625" style="507" customWidth="1"/>
    <col min="8203" max="8203" width="9.140625" style="507" customWidth="1"/>
    <col min="8204" max="8204" width="24.7109375" style="507" customWidth="1"/>
    <col min="8205" max="8205" width="16.5703125" style="507" customWidth="1"/>
    <col min="8206" max="8448" width="8" style="507"/>
    <col min="8449" max="8449" width="5.140625" style="507" customWidth="1"/>
    <col min="8450" max="8450" width="30.140625" style="507" customWidth="1"/>
    <col min="8451" max="8453" width="8.5703125" style="507" customWidth="1"/>
    <col min="8454" max="8455" width="9.42578125" style="507" customWidth="1"/>
    <col min="8456" max="8456" width="8" style="507" customWidth="1"/>
    <col min="8457" max="8458" width="8.28515625" style="507" customWidth="1"/>
    <col min="8459" max="8459" width="9.140625" style="507" customWidth="1"/>
    <col min="8460" max="8460" width="24.7109375" style="507" customWidth="1"/>
    <col min="8461" max="8461" width="16.5703125" style="507" customWidth="1"/>
    <col min="8462" max="8704" width="8" style="507"/>
    <col min="8705" max="8705" width="5.140625" style="507" customWidth="1"/>
    <col min="8706" max="8706" width="30.140625" style="507" customWidth="1"/>
    <col min="8707" max="8709" width="8.5703125" style="507" customWidth="1"/>
    <col min="8710" max="8711" width="9.42578125" style="507" customWidth="1"/>
    <col min="8712" max="8712" width="8" style="507" customWidth="1"/>
    <col min="8713" max="8714" width="8.28515625" style="507" customWidth="1"/>
    <col min="8715" max="8715" width="9.140625" style="507" customWidth="1"/>
    <col min="8716" max="8716" width="24.7109375" style="507" customWidth="1"/>
    <col min="8717" max="8717" width="16.5703125" style="507" customWidth="1"/>
    <col min="8718" max="8960" width="8" style="507"/>
    <col min="8961" max="8961" width="5.140625" style="507" customWidth="1"/>
    <col min="8962" max="8962" width="30.140625" style="507" customWidth="1"/>
    <col min="8963" max="8965" width="8.5703125" style="507" customWidth="1"/>
    <col min="8966" max="8967" width="9.42578125" style="507" customWidth="1"/>
    <col min="8968" max="8968" width="8" style="507" customWidth="1"/>
    <col min="8969" max="8970" width="8.28515625" style="507" customWidth="1"/>
    <col min="8971" max="8971" width="9.140625" style="507" customWidth="1"/>
    <col min="8972" max="8972" width="24.7109375" style="507" customWidth="1"/>
    <col min="8973" max="8973" width="16.5703125" style="507" customWidth="1"/>
    <col min="8974" max="9216" width="8" style="507"/>
    <col min="9217" max="9217" width="5.140625" style="507" customWidth="1"/>
    <col min="9218" max="9218" width="30.140625" style="507" customWidth="1"/>
    <col min="9219" max="9221" width="8.5703125" style="507" customWidth="1"/>
    <col min="9222" max="9223" width="9.42578125" style="507" customWidth="1"/>
    <col min="9224" max="9224" width="8" style="507" customWidth="1"/>
    <col min="9225" max="9226" width="8.28515625" style="507" customWidth="1"/>
    <col min="9227" max="9227" width="9.140625" style="507" customWidth="1"/>
    <col min="9228" max="9228" width="24.7109375" style="507" customWidth="1"/>
    <col min="9229" max="9229" width="16.5703125" style="507" customWidth="1"/>
    <col min="9230" max="9472" width="8" style="507"/>
    <col min="9473" max="9473" width="5.140625" style="507" customWidth="1"/>
    <col min="9474" max="9474" width="30.140625" style="507" customWidth="1"/>
    <col min="9475" max="9477" width="8.5703125" style="507" customWidth="1"/>
    <col min="9478" max="9479" width="9.42578125" style="507" customWidth="1"/>
    <col min="9480" max="9480" width="8" style="507" customWidth="1"/>
    <col min="9481" max="9482" width="8.28515625" style="507" customWidth="1"/>
    <col min="9483" max="9483" width="9.140625" style="507" customWidth="1"/>
    <col min="9484" max="9484" width="24.7109375" style="507" customWidth="1"/>
    <col min="9485" max="9485" width="16.5703125" style="507" customWidth="1"/>
    <col min="9486" max="9728" width="8" style="507"/>
    <col min="9729" max="9729" width="5.140625" style="507" customWidth="1"/>
    <col min="9730" max="9730" width="30.140625" style="507" customWidth="1"/>
    <col min="9731" max="9733" width="8.5703125" style="507" customWidth="1"/>
    <col min="9734" max="9735" width="9.42578125" style="507" customWidth="1"/>
    <col min="9736" max="9736" width="8" style="507" customWidth="1"/>
    <col min="9737" max="9738" width="8.28515625" style="507" customWidth="1"/>
    <col min="9739" max="9739" width="9.140625" style="507" customWidth="1"/>
    <col min="9740" max="9740" width="24.7109375" style="507" customWidth="1"/>
    <col min="9741" max="9741" width="16.5703125" style="507" customWidth="1"/>
    <col min="9742" max="9984" width="8" style="507"/>
    <col min="9985" max="9985" width="5.140625" style="507" customWidth="1"/>
    <col min="9986" max="9986" width="30.140625" style="507" customWidth="1"/>
    <col min="9987" max="9989" width="8.5703125" style="507" customWidth="1"/>
    <col min="9990" max="9991" width="9.42578125" style="507" customWidth="1"/>
    <col min="9992" max="9992" width="8" style="507" customWidth="1"/>
    <col min="9993" max="9994" width="8.28515625" style="507" customWidth="1"/>
    <col min="9995" max="9995" width="9.140625" style="507" customWidth="1"/>
    <col min="9996" max="9996" width="24.7109375" style="507" customWidth="1"/>
    <col min="9997" max="9997" width="16.5703125" style="507" customWidth="1"/>
    <col min="9998" max="10240" width="8" style="507"/>
    <col min="10241" max="10241" width="5.140625" style="507" customWidth="1"/>
    <col min="10242" max="10242" width="30.140625" style="507" customWidth="1"/>
    <col min="10243" max="10245" width="8.5703125" style="507" customWidth="1"/>
    <col min="10246" max="10247" width="9.42578125" style="507" customWidth="1"/>
    <col min="10248" max="10248" width="8" style="507" customWidth="1"/>
    <col min="10249" max="10250" width="8.28515625" style="507" customWidth="1"/>
    <col min="10251" max="10251" width="9.140625" style="507" customWidth="1"/>
    <col min="10252" max="10252" width="24.7109375" style="507" customWidth="1"/>
    <col min="10253" max="10253" width="16.5703125" style="507" customWidth="1"/>
    <col min="10254" max="10496" width="8" style="507"/>
    <col min="10497" max="10497" width="5.140625" style="507" customWidth="1"/>
    <col min="10498" max="10498" width="30.140625" style="507" customWidth="1"/>
    <col min="10499" max="10501" width="8.5703125" style="507" customWidth="1"/>
    <col min="10502" max="10503" width="9.42578125" style="507" customWidth="1"/>
    <col min="10504" max="10504" width="8" style="507" customWidth="1"/>
    <col min="10505" max="10506" width="8.28515625" style="507" customWidth="1"/>
    <col min="10507" max="10507" width="9.140625" style="507" customWidth="1"/>
    <col min="10508" max="10508" width="24.7109375" style="507" customWidth="1"/>
    <col min="10509" max="10509" width="16.5703125" style="507" customWidth="1"/>
    <col min="10510" max="10752" width="8" style="507"/>
    <col min="10753" max="10753" width="5.140625" style="507" customWidth="1"/>
    <col min="10754" max="10754" width="30.140625" style="507" customWidth="1"/>
    <col min="10755" max="10757" width="8.5703125" style="507" customWidth="1"/>
    <col min="10758" max="10759" width="9.42578125" style="507" customWidth="1"/>
    <col min="10760" max="10760" width="8" style="507" customWidth="1"/>
    <col min="10761" max="10762" width="8.28515625" style="507" customWidth="1"/>
    <col min="10763" max="10763" width="9.140625" style="507" customWidth="1"/>
    <col min="10764" max="10764" width="24.7109375" style="507" customWidth="1"/>
    <col min="10765" max="10765" width="16.5703125" style="507" customWidth="1"/>
    <col min="10766" max="11008" width="8" style="507"/>
    <col min="11009" max="11009" width="5.140625" style="507" customWidth="1"/>
    <col min="11010" max="11010" width="30.140625" style="507" customWidth="1"/>
    <col min="11011" max="11013" width="8.5703125" style="507" customWidth="1"/>
    <col min="11014" max="11015" width="9.42578125" style="507" customWidth="1"/>
    <col min="11016" max="11016" width="8" style="507" customWidth="1"/>
    <col min="11017" max="11018" width="8.28515625" style="507" customWidth="1"/>
    <col min="11019" max="11019" width="9.140625" style="507" customWidth="1"/>
    <col min="11020" max="11020" width="24.7109375" style="507" customWidth="1"/>
    <col min="11021" max="11021" width="16.5703125" style="507" customWidth="1"/>
    <col min="11022" max="11264" width="8" style="507"/>
    <col min="11265" max="11265" width="5.140625" style="507" customWidth="1"/>
    <col min="11266" max="11266" width="30.140625" style="507" customWidth="1"/>
    <col min="11267" max="11269" width="8.5703125" style="507" customWidth="1"/>
    <col min="11270" max="11271" width="9.42578125" style="507" customWidth="1"/>
    <col min="11272" max="11272" width="8" style="507" customWidth="1"/>
    <col min="11273" max="11274" width="8.28515625" style="507" customWidth="1"/>
    <col min="11275" max="11275" width="9.140625" style="507" customWidth="1"/>
    <col min="11276" max="11276" width="24.7109375" style="507" customWidth="1"/>
    <col min="11277" max="11277" width="16.5703125" style="507" customWidth="1"/>
    <col min="11278" max="11520" width="8" style="507"/>
    <col min="11521" max="11521" width="5.140625" style="507" customWidth="1"/>
    <col min="11522" max="11522" width="30.140625" style="507" customWidth="1"/>
    <col min="11523" max="11525" width="8.5703125" style="507" customWidth="1"/>
    <col min="11526" max="11527" width="9.42578125" style="507" customWidth="1"/>
    <col min="11528" max="11528" width="8" style="507" customWidth="1"/>
    <col min="11529" max="11530" width="8.28515625" style="507" customWidth="1"/>
    <col min="11531" max="11531" width="9.140625" style="507" customWidth="1"/>
    <col min="11532" max="11532" width="24.7109375" style="507" customWidth="1"/>
    <col min="11533" max="11533" width="16.5703125" style="507" customWidth="1"/>
    <col min="11534" max="11776" width="8" style="507"/>
    <col min="11777" max="11777" width="5.140625" style="507" customWidth="1"/>
    <col min="11778" max="11778" width="30.140625" style="507" customWidth="1"/>
    <col min="11779" max="11781" width="8.5703125" style="507" customWidth="1"/>
    <col min="11782" max="11783" width="9.42578125" style="507" customWidth="1"/>
    <col min="11784" max="11784" width="8" style="507" customWidth="1"/>
    <col min="11785" max="11786" width="8.28515625" style="507" customWidth="1"/>
    <col min="11787" max="11787" width="9.140625" style="507" customWidth="1"/>
    <col min="11788" max="11788" width="24.7109375" style="507" customWidth="1"/>
    <col min="11789" max="11789" width="16.5703125" style="507" customWidth="1"/>
    <col min="11790" max="12032" width="8" style="507"/>
    <col min="12033" max="12033" width="5.140625" style="507" customWidth="1"/>
    <col min="12034" max="12034" width="30.140625" style="507" customWidth="1"/>
    <col min="12035" max="12037" width="8.5703125" style="507" customWidth="1"/>
    <col min="12038" max="12039" width="9.42578125" style="507" customWidth="1"/>
    <col min="12040" max="12040" width="8" style="507" customWidth="1"/>
    <col min="12041" max="12042" width="8.28515625" style="507" customWidth="1"/>
    <col min="12043" max="12043" width="9.140625" style="507" customWidth="1"/>
    <col min="12044" max="12044" width="24.7109375" style="507" customWidth="1"/>
    <col min="12045" max="12045" width="16.5703125" style="507" customWidth="1"/>
    <col min="12046" max="12288" width="8" style="507"/>
    <col min="12289" max="12289" width="5.140625" style="507" customWidth="1"/>
    <col min="12290" max="12290" width="30.140625" style="507" customWidth="1"/>
    <col min="12291" max="12293" width="8.5703125" style="507" customWidth="1"/>
    <col min="12294" max="12295" width="9.42578125" style="507" customWidth="1"/>
    <col min="12296" max="12296" width="8" style="507" customWidth="1"/>
    <col min="12297" max="12298" width="8.28515625" style="507" customWidth="1"/>
    <col min="12299" max="12299" width="9.140625" style="507" customWidth="1"/>
    <col min="12300" max="12300" width="24.7109375" style="507" customWidth="1"/>
    <col min="12301" max="12301" width="16.5703125" style="507" customWidth="1"/>
    <col min="12302" max="12544" width="8" style="507"/>
    <col min="12545" max="12545" width="5.140625" style="507" customWidth="1"/>
    <col min="12546" max="12546" width="30.140625" style="507" customWidth="1"/>
    <col min="12547" max="12549" width="8.5703125" style="507" customWidth="1"/>
    <col min="12550" max="12551" width="9.42578125" style="507" customWidth="1"/>
    <col min="12552" max="12552" width="8" style="507" customWidth="1"/>
    <col min="12553" max="12554" width="8.28515625" style="507" customWidth="1"/>
    <col min="12555" max="12555" width="9.140625" style="507" customWidth="1"/>
    <col min="12556" max="12556" width="24.7109375" style="507" customWidth="1"/>
    <col min="12557" max="12557" width="16.5703125" style="507" customWidth="1"/>
    <col min="12558" max="12800" width="8" style="507"/>
    <col min="12801" max="12801" width="5.140625" style="507" customWidth="1"/>
    <col min="12802" max="12802" width="30.140625" style="507" customWidth="1"/>
    <col min="12803" max="12805" width="8.5703125" style="507" customWidth="1"/>
    <col min="12806" max="12807" width="9.42578125" style="507" customWidth="1"/>
    <col min="12808" max="12808" width="8" style="507" customWidth="1"/>
    <col min="12809" max="12810" width="8.28515625" style="507" customWidth="1"/>
    <col min="12811" max="12811" width="9.140625" style="507" customWidth="1"/>
    <col min="12812" max="12812" width="24.7109375" style="507" customWidth="1"/>
    <col min="12813" max="12813" width="16.5703125" style="507" customWidth="1"/>
    <col min="12814" max="13056" width="8" style="507"/>
    <col min="13057" max="13057" width="5.140625" style="507" customWidth="1"/>
    <col min="13058" max="13058" width="30.140625" style="507" customWidth="1"/>
    <col min="13059" max="13061" width="8.5703125" style="507" customWidth="1"/>
    <col min="13062" max="13063" width="9.42578125" style="507" customWidth="1"/>
    <col min="13064" max="13064" width="8" style="507" customWidth="1"/>
    <col min="13065" max="13066" width="8.28515625" style="507" customWidth="1"/>
    <col min="13067" max="13067" width="9.140625" style="507" customWidth="1"/>
    <col min="13068" max="13068" width="24.7109375" style="507" customWidth="1"/>
    <col min="13069" max="13069" width="16.5703125" style="507" customWidth="1"/>
    <col min="13070" max="13312" width="8" style="507"/>
    <col min="13313" max="13313" width="5.140625" style="507" customWidth="1"/>
    <col min="13314" max="13314" width="30.140625" style="507" customWidth="1"/>
    <col min="13315" max="13317" width="8.5703125" style="507" customWidth="1"/>
    <col min="13318" max="13319" width="9.42578125" style="507" customWidth="1"/>
    <col min="13320" max="13320" width="8" style="507" customWidth="1"/>
    <col min="13321" max="13322" width="8.28515625" style="507" customWidth="1"/>
    <col min="13323" max="13323" width="9.140625" style="507" customWidth="1"/>
    <col min="13324" max="13324" width="24.7109375" style="507" customWidth="1"/>
    <col min="13325" max="13325" width="16.5703125" style="507" customWidth="1"/>
    <col min="13326" max="13568" width="8" style="507"/>
    <col min="13569" max="13569" width="5.140625" style="507" customWidth="1"/>
    <col min="13570" max="13570" width="30.140625" style="507" customWidth="1"/>
    <col min="13571" max="13573" width="8.5703125" style="507" customWidth="1"/>
    <col min="13574" max="13575" width="9.42578125" style="507" customWidth="1"/>
    <col min="13576" max="13576" width="8" style="507" customWidth="1"/>
    <col min="13577" max="13578" width="8.28515625" style="507" customWidth="1"/>
    <col min="13579" max="13579" width="9.140625" style="507" customWidth="1"/>
    <col min="13580" max="13580" width="24.7109375" style="507" customWidth="1"/>
    <col min="13581" max="13581" width="16.5703125" style="507" customWidth="1"/>
    <col min="13582" max="13824" width="8" style="507"/>
    <col min="13825" max="13825" width="5.140625" style="507" customWidth="1"/>
    <col min="13826" max="13826" width="30.140625" style="507" customWidth="1"/>
    <col min="13827" max="13829" width="8.5703125" style="507" customWidth="1"/>
    <col min="13830" max="13831" width="9.42578125" style="507" customWidth="1"/>
    <col min="13832" max="13832" width="8" style="507" customWidth="1"/>
    <col min="13833" max="13834" width="8.28515625" style="507" customWidth="1"/>
    <col min="13835" max="13835" width="9.140625" style="507" customWidth="1"/>
    <col min="13836" max="13836" width="24.7109375" style="507" customWidth="1"/>
    <col min="13837" max="13837" width="16.5703125" style="507" customWidth="1"/>
    <col min="13838" max="14080" width="8" style="507"/>
    <col min="14081" max="14081" width="5.140625" style="507" customWidth="1"/>
    <col min="14082" max="14082" width="30.140625" style="507" customWidth="1"/>
    <col min="14083" max="14085" width="8.5703125" style="507" customWidth="1"/>
    <col min="14086" max="14087" width="9.42578125" style="507" customWidth="1"/>
    <col min="14088" max="14088" width="8" style="507" customWidth="1"/>
    <col min="14089" max="14090" width="8.28515625" style="507" customWidth="1"/>
    <col min="14091" max="14091" width="9.140625" style="507" customWidth="1"/>
    <col min="14092" max="14092" width="24.7109375" style="507" customWidth="1"/>
    <col min="14093" max="14093" width="16.5703125" style="507" customWidth="1"/>
    <col min="14094" max="14336" width="8" style="507"/>
    <col min="14337" max="14337" width="5.140625" style="507" customWidth="1"/>
    <col min="14338" max="14338" width="30.140625" style="507" customWidth="1"/>
    <col min="14339" max="14341" width="8.5703125" style="507" customWidth="1"/>
    <col min="14342" max="14343" width="9.42578125" style="507" customWidth="1"/>
    <col min="14344" max="14344" width="8" style="507" customWidth="1"/>
    <col min="14345" max="14346" width="8.28515625" style="507" customWidth="1"/>
    <col min="14347" max="14347" width="9.140625" style="507" customWidth="1"/>
    <col min="14348" max="14348" width="24.7109375" style="507" customWidth="1"/>
    <col min="14349" max="14349" width="16.5703125" style="507" customWidth="1"/>
    <col min="14350" max="14592" width="8" style="507"/>
    <col min="14593" max="14593" width="5.140625" style="507" customWidth="1"/>
    <col min="14594" max="14594" width="30.140625" style="507" customWidth="1"/>
    <col min="14595" max="14597" width="8.5703125" style="507" customWidth="1"/>
    <col min="14598" max="14599" width="9.42578125" style="507" customWidth="1"/>
    <col min="14600" max="14600" width="8" style="507" customWidth="1"/>
    <col min="14601" max="14602" width="8.28515625" style="507" customWidth="1"/>
    <col min="14603" max="14603" width="9.140625" style="507" customWidth="1"/>
    <col min="14604" max="14604" width="24.7109375" style="507" customWidth="1"/>
    <col min="14605" max="14605" width="16.5703125" style="507" customWidth="1"/>
    <col min="14606" max="14848" width="8" style="507"/>
    <col min="14849" max="14849" width="5.140625" style="507" customWidth="1"/>
    <col min="14850" max="14850" width="30.140625" style="507" customWidth="1"/>
    <col min="14851" max="14853" width="8.5703125" style="507" customWidth="1"/>
    <col min="14854" max="14855" width="9.42578125" style="507" customWidth="1"/>
    <col min="14856" max="14856" width="8" style="507" customWidth="1"/>
    <col min="14857" max="14858" width="8.28515625" style="507" customWidth="1"/>
    <col min="14859" max="14859" width="9.140625" style="507" customWidth="1"/>
    <col min="14860" max="14860" width="24.7109375" style="507" customWidth="1"/>
    <col min="14861" max="14861" width="16.5703125" style="507" customWidth="1"/>
    <col min="14862" max="15104" width="8" style="507"/>
    <col min="15105" max="15105" width="5.140625" style="507" customWidth="1"/>
    <col min="15106" max="15106" width="30.140625" style="507" customWidth="1"/>
    <col min="15107" max="15109" width="8.5703125" style="507" customWidth="1"/>
    <col min="15110" max="15111" width="9.42578125" style="507" customWidth="1"/>
    <col min="15112" max="15112" width="8" style="507" customWidth="1"/>
    <col min="15113" max="15114" width="8.28515625" style="507" customWidth="1"/>
    <col min="15115" max="15115" width="9.140625" style="507" customWidth="1"/>
    <col min="15116" max="15116" width="24.7109375" style="507" customWidth="1"/>
    <col min="15117" max="15117" width="16.5703125" style="507" customWidth="1"/>
    <col min="15118" max="15360" width="8" style="507"/>
    <col min="15361" max="15361" width="5.140625" style="507" customWidth="1"/>
    <col min="15362" max="15362" width="30.140625" style="507" customWidth="1"/>
    <col min="15363" max="15365" width="8.5703125" style="507" customWidth="1"/>
    <col min="15366" max="15367" width="9.42578125" style="507" customWidth="1"/>
    <col min="15368" max="15368" width="8" style="507" customWidth="1"/>
    <col min="15369" max="15370" width="8.28515625" style="507" customWidth="1"/>
    <col min="15371" max="15371" width="9.140625" style="507" customWidth="1"/>
    <col min="15372" max="15372" width="24.7109375" style="507" customWidth="1"/>
    <col min="15373" max="15373" width="16.5703125" style="507" customWidth="1"/>
    <col min="15374" max="15616" width="8" style="507"/>
    <col min="15617" max="15617" width="5.140625" style="507" customWidth="1"/>
    <col min="15618" max="15618" width="30.140625" style="507" customWidth="1"/>
    <col min="15619" max="15621" width="8.5703125" style="507" customWidth="1"/>
    <col min="15622" max="15623" width="9.42578125" style="507" customWidth="1"/>
    <col min="15624" max="15624" width="8" style="507" customWidth="1"/>
    <col min="15625" max="15626" width="8.28515625" style="507" customWidth="1"/>
    <col min="15627" max="15627" width="9.140625" style="507" customWidth="1"/>
    <col min="15628" max="15628" width="24.7109375" style="507" customWidth="1"/>
    <col min="15629" max="15629" width="16.5703125" style="507" customWidth="1"/>
    <col min="15630" max="15872" width="8" style="507"/>
    <col min="15873" max="15873" width="5.140625" style="507" customWidth="1"/>
    <col min="15874" max="15874" width="30.140625" style="507" customWidth="1"/>
    <col min="15875" max="15877" width="8.5703125" style="507" customWidth="1"/>
    <col min="15878" max="15879" width="9.42578125" style="507" customWidth="1"/>
    <col min="15880" max="15880" width="8" style="507" customWidth="1"/>
    <col min="15881" max="15882" width="8.28515625" style="507" customWidth="1"/>
    <col min="15883" max="15883" width="9.140625" style="507" customWidth="1"/>
    <col min="15884" max="15884" width="24.7109375" style="507" customWidth="1"/>
    <col min="15885" max="15885" width="16.5703125" style="507" customWidth="1"/>
    <col min="15886" max="16128" width="8" style="507"/>
    <col min="16129" max="16129" width="5.140625" style="507" customWidth="1"/>
    <col min="16130" max="16130" width="30.140625" style="507" customWidth="1"/>
    <col min="16131" max="16133" width="8.5703125" style="507" customWidth="1"/>
    <col min="16134" max="16135" width="9.42578125" style="507" customWidth="1"/>
    <col min="16136" max="16136" width="8" style="507" customWidth="1"/>
    <col min="16137" max="16138" width="8.28515625" style="507" customWidth="1"/>
    <col min="16139" max="16139" width="9.140625" style="507" customWidth="1"/>
    <col min="16140" max="16140" width="24.7109375" style="507" customWidth="1"/>
    <col min="16141" max="16141" width="16.5703125" style="507" customWidth="1"/>
    <col min="16142" max="16384" width="8" style="507"/>
  </cols>
  <sheetData>
    <row r="1" spans="1:12" ht="15.75">
      <c r="A1" s="505"/>
      <c r="B1" s="506"/>
      <c r="C1" s="506"/>
      <c r="D1" s="506"/>
      <c r="E1" s="506"/>
      <c r="F1" s="506"/>
      <c r="G1" s="506"/>
      <c r="H1" s="506"/>
      <c r="I1" s="506"/>
      <c r="J1" s="506"/>
      <c r="K1" s="1241" t="s">
        <v>1040</v>
      </c>
      <c r="L1" s="1241"/>
    </row>
    <row r="2" spans="1:12" ht="15.75">
      <c r="A2" s="1242" t="s">
        <v>1041</v>
      </c>
      <c r="B2" s="1242"/>
      <c r="C2" s="1242"/>
      <c r="D2" s="1242"/>
      <c r="E2" s="1242"/>
      <c r="F2" s="1242"/>
      <c r="G2" s="1242"/>
      <c r="H2" s="1242"/>
      <c r="I2" s="1242"/>
      <c r="J2" s="1242"/>
      <c r="K2" s="1242"/>
      <c r="L2" s="1242"/>
    </row>
    <row r="3" spans="1:12" ht="15">
      <c r="A3" s="1202" t="s">
        <v>1323</v>
      </c>
      <c r="B3" s="1202"/>
      <c r="C3" s="1202"/>
      <c r="D3" s="1202"/>
      <c r="E3" s="1202"/>
      <c r="F3" s="1202"/>
      <c r="G3" s="1202"/>
      <c r="H3" s="1202"/>
      <c r="I3" s="1202"/>
      <c r="J3" s="1202"/>
      <c r="K3" s="1202"/>
      <c r="L3" s="1202"/>
    </row>
    <row r="4" spans="1:12" s="510" customFormat="1" ht="15.75">
      <c r="A4" s="508"/>
      <c r="B4" s="509"/>
      <c r="C4" s="509"/>
      <c r="D4" s="509"/>
      <c r="E4" s="509"/>
      <c r="F4" s="509"/>
      <c r="G4" s="509"/>
      <c r="H4" s="509"/>
      <c r="I4" s="509"/>
      <c r="J4" s="509"/>
      <c r="K4" s="509"/>
    </row>
    <row r="5" spans="1:12" s="511" customFormat="1">
      <c r="A5" s="1243" t="s">
        <v>1042</v>
      </c>
      <c r="B5" s="1243" t="s">
        <v>1043</v>
      </c>
      <c r="C5" s="1243" t="s">
        <v>1044</v>
      </c>
      <c r="D5" s="1243"/>
      <c r="E5" s="1243"/>
      <c r="F5" s="1243"/>
      <c r="G5" s="1244" t="s">
        <v>1045</v>
      </c>
      <c r="H5" s="1245"/>
      <c r="I5" s="1245"/>
      <c r="J5" s="1246"/>
      <c r="K5" s="1243" t="s">
        <v>1046</v>
      </c>
      <c r="L5" s="1247" t="s">
        <v>753</v>
      </c>
    </row>
    <row r="6" spans="1:12" s="511" customFormat="1" ht="13.5">
      <c r="A6" s="1243"/>
      <c r="B6" s="1243"/>
      <c r="C6" s="1243" t="s">
        <v>225</v>
      </c>
      <c r="D6" s="1235" t="s">
        <v>240</v>
      </c>
      <c r="E6" s="1235"/>
      <c r="F6" s="1235"/>
      <c r="G6" s="1236" t="s">
        <v>225</v>
      </c>
      <c r="H6" s="1237" t="s">
        <v>240</v>
      </c>
      <c r="I6" s="1238"/>
      <c r="J6" s="1239"/>
      <c r="K6" s="1243"/>
      <c r="L6" s="1247"/>
    </row>
    <row r="7" spans="1:12" s="511" customFormat="1" ht="63.75">
      <c r="A7" s="1243"/>
      <c r="B7" s="1243"/>
      <c r="C7" s="1243"/>
      <c r="D7" s="512" t="s">
        <v>1047</v>
      </c>
      <c r="E7" s="512" t="s">
        <v>1048</v>
      </c>
      <c r="F7" s="513" t="s">
        <v>1049</v>
      </c>
      <c r="G7" s="1236"/>
      <c r="H7" s="513" t="s">
        <v>1050</v>
      </c>
      <c r="I7" s="513" t="s">
        <v>1051</v>
      </c>
      <c r="J7" s="513" t="s">
        <v>1052</v>
      </c>
      <c r="K7" s="1243"/>
      <c r="L7" s="1247"/>
    </row>
    <row r="8" spans="1:12" s="510" customFormat="1" ht="25.5">
      <c r="A8" s="514" t="s">
        <v>218</v>
      </c>
      <c r="B8" s="514" t="s">
        <v>219</v>
      </c>
      <c r="C8" s="514" t="s">
        <v>1053</v>
      </c>
      <c r="D8" s="515">
        <v>2</v>
      </c>
      <c r="E8" s="515">
        <v>3</v>
      </c>
      <c r="F8" s="515">
        <v>4</v>
      </c>
      <c r="G8" s="515" t="s">
        <v>1054</v>
      </c>
      <c r="H8" s="515">
        <v>6</v>
      </c>
      <c r="I8" s="515">
        <v>7</v>
      </c>
      <c r="J8" s="515">
        <v>8</v>
      </c>
      <c r="K8" s="515" t="s">
        <v>1055</v>
      </c>
      <c r="L8" s="516" t="s">
        <v>238</v>
      </c>
    </row>
    <row r="9" spans="1:12" s="510" customFormat="1">
      <c r="A9" s="517"/>
      <c r="B9" s="517"/>
      <c r="C9" s="518"/>
      <c r="D9" s="518"/>
      <c r="E9" s="518"/>
      <c r="F9" s="518"/>
      <c r="G9" s="518"/>
      <c r="H9" s="518"/>
      <c r="I9" s="518"/>
      <c r="J9" s="518"/>
      <c r="K9" s="518"/>
      <c r="L9" s="519"/>
    </row>
    <row r="10" spans="1:12" s="511" customFormat="1">
      <c r="A10" s="520"/>
      <c r="B10" s="520"/>
      <c r="C10" s="521"/>
      <c r="D10" s="521"/>
      <c r="E10" s="521"/>
      <c r="F10" s="521"/>
      <c r="G10" s="521"/>
      <c r="H10" s="521"/>
      <c r="I10" s="521"/>
      <c r="J10" s="521"/>
      <c r="K10" s="521"/>
      <c r="L10" s="522"/>
    </row>
    <row r="11" spans="1:12" s="528" customFormat="1">
      <c r="A11" s="523"/>
      <c r="B11" s="524"/>
      <c r="C11" s="524"/>
      <c r="D11" s="525"/>
      <c r="E11" s="525"/>
      <c r="F11" s="526"/>
      <c r="G11" s="526"/>
      <c r="H11" s="526"/>
      <c r="I11" s="526"/>
      <c r="J11" s="526"/>
      <c r="K11" s="526"/>
      <c r="L11" s="527"/>
    </row>
    <row r="12" spans="1:12" s="506" customFormat="1" ht="15.75">
      <c r="H12" s="1240"/>
      <c r="I12" s="1240"/>
      <c r="J12" s="1240"/>
      <c r="K12" s="1240"/>
    </row>
  </sheetData>
  <mergeCells count="14">
    <mergeCell ref="D6:F6"/>
    <mergeCell ref="G6:G7"/>
    <mergeCell ref="H6:J6"/>
    <mergeCell ref="H12:K12"/>
    <mergeCell ref="K1:L1"/>
    <mergeCell ref="A2:L2"/>
    <mergeCell ref="A3:L3"/>
    <mergeCell ref="A5:A7"/>
    <mergeCell ref="B5:B7"/>
    <mergeCell ref="C5:F5"/>
    <mergeCell ref="G5:J5"/>
    <mergeCell ref="K5:K7"/>
    <mergeCell ref="L5:L7"/>
    <mergeCell ref="C6:C7"/>
  </mergeCells>
  <pageMargins left="0.70866141732283472" right="0.56000000000000005" top="0.74803149606299213" bottom="0.74803149606299213" header="0.31496062992125984" footer="0.31496062992125984"/>
  <pageSetup paperSize="9" scale="8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J8" sqref="J8"/>
    </sheetView>
  </sheetViews>
  <sheetFormatPr defaultRowHeight="15"/>
  <cols>
    <col min="1" max="1" width="6.140625" customWidth="1"/>
    <col min="2" max="2" width="40.42578125" customWidth="1"/>
    <col min="3" max="3" width="14" style="139" customWidth="1"/>
    <col min="4" max="4" width="32.28515625" customWidth="1"/>
    <col min="257" max="257" width="6.140625" customWidth="1"/>
    <col min="258" max="258" width="40.42578125" customWidth="1"/>
    <col min="259" max="259" width="14" customWidth="1"/>
    <col min="260" max="260" width="31.140625" customWidth="1"/>
    <col min="513" max="513" width="6.140625" customWidth="1"/>
    <col min="514" max="514" width="40.42578125" customWidth="1"/>
    <col min="515" max="515" width="14" customWidth="1"/>
    <col min="516" max="516" width="31.140625" customWidth="1"/>
    <col min="769" max="769" width="6.140625" customWidth="1"/>
    <col min="770" max="770" width="40.42578125" customWidth="1"/>
    <col min="771" max="771" width="14" customWidth="1"/>
    <col min="772" max="772" width="31.140625" customWidth="1"/>
    <col min="1025" max="1025" width="6.140625" customWidth="1"/>
    <col min="1026" max="1026" width="40.42578125" customWidth="1"/>
    <col min="1027" max="1027" width="14" customWidth="1"/>
    <col min="1028" max="1028" width="31.140625" customWidth="1"/>
    <col min="1281" max="1281" width="6.140625" customWidth="1"/>
    <col min="1282" max="1282" width="40.42578125" customWidth="1"/>
    <col min="1283" max="1283" width="14" customWidth="1"/>
    <col min="1284" max="1284" width="31.140625" customWidth="1"/>
    <col min="1537" max="1537" width="6.140625" customWidth="1"/>
    <col min="1538" max="1538" width="40.42578125" customWidth="1"/>
    <col min="1539" max="1539" width="14" customWidth="1"/>
    <col min="1540" max="1540" width="31.140625" customWidth="1"/>
    <col min="1793" max="1793" width="6.140625" customWidth="1"/>
    <col min="1794" max="1794" width="40.42578125" customWidth="1"/>
    <col min="1795" max="1795" width="14" customWidth="1"/>
    <col min="1796" max="1796" width="31.140625" customWidth="1"/>
    <col min="2049" max="2049" width="6.140625" customWidth="1"/>
    <col min="2050" max="2050" width="40.42578125" customWidth="1"/>
    <col min="2051" max="2051" width="14" customWidth="1"/>
    <col min="2052" max="2052" width="31.140625" customWidth="1"/>
    <col min="2305" max="2305" width="6.140625" customWidth="1"/>
    <col min="2306" max="2306" width="40.42578125" customWidth="1"/>
    <col min="2307" max="2307" width="14" customWidth="1"/>
    <col min="2308" max="2308" width="31.140625" customWidth="1"/>
    <col min="2561" max="2561" width="6.140625" customWidth="1"/>
    <col min="2562" max="2562" width="40.42578125" customWidth="1"/>
    <col min="2563" max="2563" width="14" customWidth="1"/>
    <col min="2564" max="2564" width="31.140625" customWidth="1"/>
    <col min="2817" max="2817" width="6.140625" customWidth="1"/>
    <col min="2818" max="2818" width="40.42578125" customWidth="1"/>
    <col min="2819" max="2819" width="14" customWidth="1"/>
    <col min="2820" max="2820" width="31.140625" customWidth="1"/>
    <col min="3073" max="3073" width="6.140625" customWidth="1"/>
    <col min="3074" max="3074" width="40.42578125" customWidth="1"/>
    <col min="3075" max="3075" width="14" customWidth="1"/>
    <col min="3076" max="3076" width="31.140625" customWidth="1"/>
    <col min="3329" max="3329" width="6.140625" customWidth="1"/>
    <col min="3330" max="3330" width="40.42578125" customWidth="1"/>
    <col min="3331" max="3331" width="14" customWidth="1"/>
    <col min="3332" max="3332" width="31.140625" customWidth="1"/>
    <col min="3585" max="3585" width="6.140625" customWidth="1"/>
    <col min="3586" max="3586" width="40.42578125" customWidth="1"/>
    <col min="3587" max="3587" width="14" customWidth="1"/>
    <col min="3588" max="3588" width="31.140625" customWidth="1"/>
    <col min="3841" max="3841" width="6.140625" customWidth="1"/>
    <col min="3842" max="3842" width="40.42578125" customWidth="1"/>
    <col min="3843" max="3843" width="14" customWidth="1"/>
    <col min="3844" max="3844" width="31.140625" customWidth="1"/>
    <col min="4097" max="4097" width="6.140625" customWidth="1"/>
    <col min="4098" max="4098" width="40.42578125" customWidth="1"/>
    <col min="4099" max="4099" width="14" customWidth="1"/>
    <col min="4100" max="4100" width="31.140625" customWidth="1"/>
    <col min="4353" max="4353" width="6.140625" customWidth="1"/>
    <col min="4354" max="4354" width="40.42578125" customWidth="1"/>
    <col min="4355" max="4355" width="14" customWidth="1"/>
    <col min="4356" max="4356" width="31.140625" customWidth="1"/>
    <col min="4609" max="4609" width="6.140625" customWidth="1"/>
    <col min="4610" max="4610" width="40.42578125" customWidth="1"/>
    <col min="4611" max="4611" width="14" customWidth="1"/>
    <col min="4612" max="4612" width="31.140625" customWidth="1"/>
    <col min="4865" max="4865" width="6.140625" customWidth="1"/>
    <col min="4866" max="4866" width="40.42578125" customWidth="1"/>
    <col min="4867" max="4867" width="14" customWidth="1"/>
    <col min="4868" max="4868" width="31.140625" customWidth="1"/>
    <col min="5121" max="5121" width="6.140625" customWidth="1"/>
    <col min="5122" max="5122" width="40.42578125" customWidth="1"/>
    <col min="5123" max="5123" width="14" customWidth="1"/>
    <col min="5124" max="5124" width="31.140625" customWidth="1"/>
    <col min="5377" max="5377" width="6.140625" customWidth="1"/>
    <col min="5378" max="5378" width="40.42578125" customWidth="1"/>
    <col min="5379" max="5379" width="14" customWidth="1"/>
    <col min="5380" max="5380" width="31.140625" customWidth="1"/>
    <col min="5633" max="5633" width="6.140625" customWidth="1"/>
    <col min="5634" max="5634" width="40.42578125" customWidth="1"/>
    <col min="5635" max="5635" width="14" customWidth="1"/>
    <col min="5636" max="5636" width="31.140625" customWidth="1"/>
    <col min="5889" max="5889" width="6.140625" customWidth="1"/>
    <col min="5890" max="5890" width="40.42578125" customWidth="1"/>
    <col min="5891" max="5891" width="14" customWidth="1"/>
    <col min="5892" max="5892" width="31.140625" customWidth="1"/>
    <col min="6145" max="6145" width="6.140625" customWidth="1"/>
    <col min="6146" max="6146" width="40.42578125" customWidth="1"/>
    <col min="6147" max="6147" width="14" customWidth="1"/>
    <col min="6148" max="6148" width="31.140625" customWidth="1"/>
    <col min="6401" max="6401" width="6.140625" customWidth="1"/>
    <col min="6402" max="6402" width="40.42578125" customWidth="1"/>
    <col min="6403" max="6403" width="14" customWidth="1"/>
    <col min="6404" max="6404" width="31.140625" customWidth="1"/>
    <col min="6657" max="6657" width="6.140625" customWidth="1"/>
    <col min="6658" max="6658" width="40.42578125" customWidth="1"/>
    <col min="6659" max="6659" width="14" customWidth="1"/>
    <col min="6660" max="6660" width="31.140625" customWidth="1"/>
    <col min="6913" max="6913" width="6.140625" customWidth="1"/>
    <col min="6914" max="6914" width="40.42578125" customWidth="1"/>
    <col min="6915" max="6915" width="14" customWidth="1"/>
    <col min="6916" max="6916" width="31.140625" customWidth="1"/>
    <col min="7169" max="7169" width="6.140625" customWidth="1"/>
    <col min="7170" max="7170" width="40.42578125" customWidth="1"/>
    <col min="7171" max="7171" width="14" customWidth="1"/>
    <col min="7172" max="7172" width="31.140625" customWidth="1"/>
    <col min="7425" max="7425" width="6.140625" customWidth="1"/>
    <col min="7426" max="7426" width="40.42578125" customWidth="1"/>
    <col min="7427" max="7427" width="14" customWidth="1"/>
    <col min="7428" max="7428" width="31.140625" customWidth="1"/>
    <col min="7681" max="7681" width="6.140625" customWidth="1"/>
    <col min="7682" max="7682" width="40.42578125" customWidth="1"/>
    <col min="7683" max="7683" width="14" customWidth="1"/>
    <col min="7684" max="7684" width="31.140625" customWidth="1"/>
    <col min="7937" max="7937" width="6.140625" customWidth="1"/>
    <col min="7938" max="7938" width="40.42578125" customWidth="1"/>
    <col min="7939" max="7939" width="14" customWidth="1"/>
    <col min="7940" max="7940" width="31.140625" customWidth="1"/>
    <col min="8193" max="8193" width="6.140625" customWidth="1"/>
    <col min="8194" max="8194" width="40.42578125" customWidth="1"/>
    <col min="8195" max="8195" width="14" customWidth="1"/>
    <col min="8196" max="8196" width="31.140625" customWidth="1"/>
    <col min="8449" max="8449" width="6.140625" customWidth="1"/>
    <col min="8450" max="8450" width="40.42578125" customWidth="1"/>
    <col min="8451" max="8451" width="14" customWidth="1"/>
    <col min="8452" max="8452" width="31.140625" customWidth="1"/>
    <col min="8705" max="8705" width="6.140625" customWidth="1"/>
    <col min="8706" max="8706" width="40.42578125" customWidth="1"/>
    <col min="8707" max="8707" width="14" customWidth="1"/>
    <col min="8708" max="8708" width="31.140625" customWidth="1"/>
    <col min="8961" max="8961" width="6.140625" customWidth="1"/>
    <col min="8962" max="8962" width="40.42578125" customWidth="1"/>
    <col min="8963" max="8963" width="14" customWidth="1"/>
    <col min="8964" max="8964" width="31.140625" customWidth="1"/>
    <col min="9217" max="9217" width="6.140625" customWidth="1"/>
    <col min="9218" max="9218" width="40.42578125" customWidth="1"/>
    <col min="9219" max="9219" width="14" customWidth="1"/>
    <col min="9220" max="9220" width="31.140625" customWidth="1"/>
    <col min="9473" max="9473" width="6.140625" customWidth="1"/>
    <col min="9474" max="9474" width="40.42578125" customWidth="1"/>
    <col min="9475" max="9475" width="14" customWidth="1"/>
    <col min="9476" max="9476" width="31.140625" customWidth="1"/>
    <col min="9729" max="9729" width="6.140625" customWidth="1"/>
    <col min="9730" max="9730" width="40.42578125" customWidth="1"/>
    <col min="9731" max="9731" width="14" customWidth="1"/>
    <col min="9732" max="9732" width="31.140625" customWidth="1"/>
    <col min="9985" max="9985" width="6.140625" customWidth="1"/>
    <col min="9986" max="9986" width="40.42578125" customWidth="1"/>
    <col min="9987" max="9987" width="14" customWidth="1"/>
    <col min="9988" max="9988" width="31.140625" customWidth="1"/>
    <col min="10241" max="10241" width="6.140625" customWidth="1"/>
    <col min="10242" max="10242" width="40.42578125" customWidth="1"/>
    <col min="10243" max="10243" width="14" customWidth="1"/>
    <col min="10244" max="10244" width="31.140625" customWidth="1"/>
    <col min="10497" max="10497" width="6.140625" customWidth="1"/>
    <col min="10498" max="10498" width="40.42578125" customWidth="1"/>
    <col min="10499" max="10499" width="14" customWidth="1"/>
    <col min="10500" max="10500" width="31.140625" customWidth="1"/>
    <col min="10753" max="10753" width="6.140625" customWidth="1"/>
    <col min="10754" max="10754" width="40.42578125" customWidth="1"/>
    <col min="10755" max="10755" width="14" customWidth="1"/>
    <col min="10756" max="10756" width="31.140625" customWidth="1"/>
    <col min="11009" max="11009" width="6.140625" customWidth="1"/>
    <col min="11010" max="11010" width="40.42578125" customWidth="1"/>
    <col min="11011" max="11011" width="14" customWidth="1"/>
    <col min="11012" max="11012" width="31.140625" customWidth="1"/>
    <col min="11265" max="11265" width="6.140625" customWidth="1"/>
    <col min="11266" max="11266" width="40.42578125" customWidth="1"/>
    <col min="11267" max="11267" width="14" customWidth="1"/>
    <col min="11268" max="11268" width="31.140625" customWidth="1"/>
    <col min="11521" max="11521" width="6.140625" customWidth="1"/>
    <col min="11522" max="11522" width="40.42578125" customWidth="1"/>
    <col min="11523" max="11523" width="14" customWidth="1"/>
    <col min="11524" max="11524" width="31.140625" customWidth="1"/>
    <col min="11777" max="11777" width="6.140625" customWidth="1"/>
    <col min="11778" max="11778" width="40.42578125" customWidth="1"/>
    <col min="11779" max="11779" width="14" customWidth="1"/>
    <col min="11780" max="11780" width="31.140625" customWidth="1"/>
    <col min="12033" max="12033" width="6.140625" customWidth="1"/>
    <col min="12034" max="12034" width="40.42578125" customWidth="1"/>
    <col min="12035" max="12035" width="14" customWidth="1"/>
    <col min="12036" max="12036" width="31.140625" customWidth="1"/>
    <col min="12289" max="12289" width="6.140625" customWidth="1"/>
    <col min="12290" max="12290" width="40.42578125" customWidth="1"/>
    <col min="12291" max="12291" width="14" customWidth="1"/>
    <col min="12292" max="12292" width="31.140625" customWidth="1"/>
    <col min="12545" max="12545" width="6.140625" customWidth="1"/>
    <col min="12546" max="12546" width="40.42578125" customWidth="1"/>
    <col min="12547" max="12547" width="14" customWidth="1"/>
    <col min="12548" max="12548" width="31.140625" customWidth="1"/>
    <col min="12801" max="12801" width="6.140625" customWidth="1"/>
    <col min="12802" max="12802" width="40.42578125" customWidth="1"/>
    <col min="12803" max="12803" width="14" customWidth="1"/>
    <col min="12804" max="12804" width="31.140625" customWidth="1"/>
    <col min="13057" max="13057" width="6.140625" customWidth="1"/>
    <col min="13058" max="13058" width="40.42578125" customWidth="1"/>
    <col min="13059" max="13059" width="14" customWidth="1"/>
    <col min="13060" max="13060" width="31.140625" customWidth="1"/>
    <col min="13313" max="13313" width="6.140625" customWidth="1"/>
    <col min="13314" max="13314" width="40.42578125" customWidth="1"/>
    <col min="13315" max="13315" width="14" customWidth="1"/>
    <col min="13316" max="13316" width="31.140625" customWidth="1"/>
    <col min="13569" max="13569" width="6.140625" customWidth="1"/>
    <col min="13570" max="13570" width="40.42578125" customWidth="1"/>
    <col min="13571" max="13571" width="14" customWidth="1"/>
    <col min="13572" max="13572" width="31.140625" customWidth="1"/>
    <col min="13825" max="13825" width="6.140625" customWidth="1"/>
    <col min="13826" max="13826" width="40.42578125" customWidth="1"/>
    <col min="13827" max="13827" width="14" customWidth="1"/>
    <col min="13828" max="13828" width="31.140625" customWidth="1"/>
    <col min="14081" max="14081" width="6.140625" customWidth="1"/>
    <col min="14082" max="14082" width="40.42578125" customWidth="1"/>
    <col min="14083" max="14083" width="14" customWidth="1"/>
    <col min="14084" max="14084" width="31.140625" customWidth="1"/>
    <col min="14337" max="14337" width="6.140625" customWidth="1"/>
    <col min="14338" max="14338" width="40.42578125" customWidth="1"/>
    <col min="14339" max="14339" width="14" customWidth="1"/>
    <col min="14340" max="14340" width="31.140625" customWidth="1"/>
    <col min="14593" max="14593" width="6.140625" customWidth="1"/>
    <col min="14594" max="14594" width="40.42578125" customWidth="1"/>
    <col min="14595" max="14595" width="14" customWidth="1"/>
    <col min="14596" max="14596" width="31.140625" customWidth="1"/>
    <col min="14849" max="14849" width="6.140625" customWidth="1"/>
    <col min="14850" max="14850" width="40.42578125" customWidth="1"/>
    <col min="14851" max="14851" width="14" customWidth="1"/>
    <col min="14852" max="14852" width="31.140625" customWidth="1"/>
    <col min="15105" max="15105" width="6.140625" customWidth="1"/>
    <col min="15106" max="15106" width="40.42578125" customWidth="1"/>
    <col min="15107" max="15107" width="14" customWidth="1"/>
    <col min="15108" max="15108" width="31.140625" customWidth="1"/>
    <col min="15361" max="15361" width="6.140625" customWidth="1"/>
    <col min="15362" max="15362" width="40.42578125" customWidth="1"/>
    <col min="15363" max="15363" width="14" customWidth="1"/>
    <col min="15364" max="15364" width="31.140625" customWidth="1"/>
    <col min="15617" max="15617" width="6.140625" customWidth="1"/>
    <col min="15618" max="15618" width="40.42578125" customWidth="1"/>
    <col min="15619" max="15619" width="14" customWidth="1"/>
    <col min="15620" max="15620" width="31.140625" customWidth="1"/>
    <col min="15873" max="15873" width="6.140625" customWidth="1"/>
    <col min="15874" max="15874" width="40.42578125" customWidth="1"/>
    <col min="15875" max="15875" width="14" customWidth="1"/>
    <col min="15876" max="15876" width="31.140625" customWidth="1"/>
    <col min="16129" max="16129" width="6.140625" customWidth="1"/>
    <col min="16130" max="16130" width="40.42578125" customWidth="1"/>
    <col min="16131" max="16131" width="14" customWidth="1"/>
    <col min="16132" max="16132" width="31.140625" customWidth="1"/>
  </cols>
  <sheetData>
    <row r="1" spans="1:4">
      <c r="A1" s="1248"/>
      <c r="B1" s="1248"/>
      <c r="C1" s="13"/>
      <c r="D1" s="530" t="s">
        <v>1056</v>
      </c>
    </row>
    <row r="2" spans="1:4" ht="30" customHeight="1">
      <c r="A2" s="1249" t="s">
        <v>1057</v>
      </c>
      <c r="B2" s="1249"/>
      <c r="C2" s="1249"/>
      <c r="D2" s="1249"/>
    </row>
    <row r="3" spans="1:4" ht="15.75">
      <c r="A3" s="1250" t="s">
        <v>1334</v>
      </c>
      <c r="B3" s="1250"/>
      <c r="C3" s="1250"/>
      <c r="D3" s="1250"/>
    </row>
    <row r="4" spans="1:4">
      <c r="A4" s="531" t="s">
        <v>214</v>
      </c>
      <c r="B4" s="531" t="s">
        <v>949</v>
      </c>
      <c r="C4" s="532" t="s">
        <v>1058</v>
      </c>
      <c r="D4" s="531" t="s">
        <v>753</v>
      </c>
    </row>
    <row r="5" spans="1:4">
      <c r="A5" s="533" t="s">
        <v>218</v>
      </c>
      <c r="B5" s="533" t="s">
        <v>219</v>
      </c>
      <c r="C5" s="534">
        <v>1</v>
      </c>
      <c r="D5" s="533">
        <v>4</v>
      </c>
    </row>
    <row r="6" spans="1:4">
      <c r="A6" s="736"/>
      <c r="B6" s="737" t="s">
        <v>232</v>
      </c>
      <c r="C6" s="738"/>
      <c r="D6" s="739"/>
    </row>
    <row r="7" spans="1:4">
      <c r="A7" s="736" t="s">
        <v>1059</v>
      </c>
      <c r="B7" s="737" t="s">
        <v>1060</v>
      </c>
      <c r="C7" s="738">
        <f>C8+C9+C10</f>
        <v>12</v>
      </c>
      <c r="D7" s="739"/>
    </row>
    <row r="8" spans="1:4" ht="15.75">
      <c r="A8" s="740">
        <v>1</v>
      </c>
      <c r="B8" s="741" t="s">
        <v>1061</v>
      </c>
      <c r="C8" s="745">
        <v>4</v>
      </c>
      <c r="D8" s="743"/>
    </row>
    <row r="9" spans="1:4" ht="15.75">
      <c r="A9" s="740">
        <v>2</v>
      </c>
      <c r="B9" s="741" t="s">
        <v>1062</v>
      </c>
      <c r="C9" s="746">
        <v>7</v>
      </c>
      <c r="D9" s="743"/>
    </row>
    <row r="10" spans="1:4" ht="15.75">
      <c r="A10" s="740">
        <v>3</v>
      </c>
      <c r="B10" s="741" t="s">
        <v>1063</v>
      </c>
      <c r="C10" s="747">
        <v>1</v>
      </c>
      <c r="D10" s="743"/>
    </row>
    <row r="11" spans="1:4">
      <c r="A11" s="736" t="s">
        <v>223</v>
      </c>
      <c r="B11" s="737" t="s">
        <v>1064</v>
      </c>
      <c r="C11" s="738"/>
      <c r="D11" s="739"/>
    </row>
    <row r="12" spans="1:4">
      <c r="A12" s="744">
        <v>1</v>
      </c>
      <c r="B12" s="741" t="s">
        <v>1065</v>
      </c>
      <c r="C12" s="742"/>
      <c r="D12" s="743"/>
    </row>
    <row r="13" spans="1:4">
      <c r="A13" s="744"/>
      <c r="B13" s="741" t="s">
        <v>1066</v>
      </c>
      <c r="C13" s="742"/>
      <c r="D13" s="743"/>
    </row>
    <row r="14" spans="1:4" ht="39">
      <c r="A14" s="744">
        <v>2</v>
      </c>
      <c r="B14" s="741" t="s">
        <v>1067</v>
      </c>
      <c r="C14" s="742"/>
      <c r="D14" s="743"/>
    </row>
    <row r="15" spans="1:4" ht="39">
      <c r="A15" s="744"/>
      <c r="B15" s="741" t="s">
        <v>1068</v>
      </c>
      <c r="C15" s="742"/>
      <c r="D15" s="743"/>
    </row>
    <row r="16" spans="1:4">
      <c r="A16" s="744">
        <v>5</v>
      </c>
      <c r="B16" s="741" t="s">
        <v>1069</v>
      </c>
      <c r="C16" s="742">
        <v>136</v>
      </c>
      <c r="D16" s="743"/>
    </row>
    <row r="17" spans="1:4">
      <c r="A17" s="744"/>
      <c r="B17" s="741" t="s">
        <v>1070</v>
      </c>
      <c r="C17" s="742">
        <v>18</v>
      </c>
      <c r="D17" s="743"/>
    </row>
    <row r="18" spans="1:4">
      <c r="A18" s="740"/>
      <c r="B18" s="741" t="s">
        <v>1071</v>
      </c>
      <c r="C18" s="742">
        <f>136-C17</f>
        <v>118</v>
      </c>
      <c r="D18" s="743"/>
    </row>
  </sheetData>
  <mergeCells count="3">
    <mergeCell ref="A1:B1"/>
    <mergeCell ref="A2:D2"/>
    <mergeCell ref="A3:D3"/>
  </mergeCells>
  <pageMargins left="0.70866141732283472" right="0.70866141732283472" top="0.74803149606299213" bottom="0.74803149606299213" header="0.31496062992125984" footer="0.31496062992125984"/>
  <pageSetup paperSize="9" scale="95"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36"/>
  <sheetViews>
    <sheetView view="pageBreakPreview" topLeftCell="A32" zoomScaleNormal="100" workbookViewId="0">
      <selection activeCell="B46" sqref="B46"/>
    </sheetView>
  </sheetViews>
  <sheetFormatPr defaultRowHeight="15"/>
  <cols>
    <col min="1" max="1" width="6.28515625" customWidth="1"/>
    <col min="2" max="2" width="36.28515625" customWidth="1"/>
    <col min="4" max="7" width="10.5703125" customWidth="1"/>
  </cols>
  <sheetData>
    <row r="1" spans="1:7" s="1" customFormat="1" ht="15.75">
      <c r="A1" s="1251" t="s">
        <v>250</v>
      </c>
      <c r="B1" s="1251"/>
      <c r="C1" s="1251"/>
      <c r="D1" s="1251"/>
      <c r="E1" s="1251"/>
      <c r="F1" s="1251"/>
      <c r="G1" s="1251"/>
    </row>
    <row r="2" spans="1:7" ht="15.75">
      <c r="A2" s="1252" t="s">
        <v>1081</v>
      </c>
      <c r="B2" s="1252"/>
      <c r="C2" s="1252"/>
      <c r="D2" s="1252"/>
      <c r="E2" s="1252"/>
      <c r="F2" s="1252"/>
      <c r="G2" s="1252"/>
    </row>
    <row r="3" spans="1:7" ht="28.5" customHeight="1">
      <c r="A3" s="1253" t="s">
        <v>1334</v>
      </c>
      <c r="B3" s="1253"/>
      <c r="C3" s="1253"/>
      <c r="D3" s="1253"/>
      <c r="E3" s="1253"/>
      <c r="F3" s="1253"/>
      <c r="G3" s="1253"/>
    </row>
    <row r="4" spans="1:7" ht="71.25" customHeight="1">
      <c r="A4" s="4" t="s">
        <v>214</v>
      </c>
      <c r="B4" s="4" t="s">
        <v>215</v>
      </c>
      <c r="C4" s="4" t="s">
        <v>251</v>
      </c>
      <c r="D4" s="4" t="s">
        <v>252</v>
      </c>
      <c r="E4" s="4" t="s">
        <v>1078</v>
      </c>
      <c r="F4" s="4" t="s">
        <v>1080</v>
      </c>
      <c r="G4" s="4" t="s">
        <v>1082</v>
      </c>
    </row>
    <row r="5" spans="1:7" ht="15.75">
      <c r="A5" s="95" t="s">
        <v>218</v>
      </c>
      <c r="B5" s="95" t="s">
        <v>219</v>
      </c>
      <c r="C5" s="95" t="s">
        <v>238</v>
      </c>
      <c r="D5" s="95">
        <v>1</v>
      </c>
      <c r="E5" s="95">
        <v>2</v>
      </c>
      <c r="F5" s="95">
        <v>3</v>
      </c>
      <c r="G5" s="95">
        <v>4</v>
      </c>
    </row>
    <row r="6" spans="1:7" ht="15.75">
      <c r="A6" s="95">
        <v>1</v>
      </c>
      <c r="B6" s="99" t="s">
        <v>254</v>
      </c>
      <c r="C6" s="95" t="s">
        <v>756</v>
      </c>
      <c r="D6" s="95"/>
      <c r="E6" s="95"/>
      <c r="F6" s="95"/>
      <c r="G6" s="95"/>
    </row>
    <row r="7" spans="1:7" ht="15" customHeight="1">
      <c r="A7" s="95"/>
      <c r="B7" s="99" t="s">
        <v>244</v>
      </c>
      <c r="C7" s="95"/>
      <c r="D7" s="95"/>
      <c r="E7" s="95"/>
      <c r="F7" s="95"/>
      <c r="G7" s="95"/>
    </row>
    <row r="8" spans="1:7" ht="16.5" customHeight="1">
      <c r="A8" s="95"/>
      <c r="B8" s="99" t="s">
        <v>757</v>
      </c>
      <c r="C8" s="95" t="s">
        <v>756</v>
      </c>
      <c r="D8" s="95"/>
      <c r="E8" s="95"/>
      <c r="F8" s="95"/>
      <c r="G8" s="95"/>
    </row>
    <row r="9" spans="1:7" ht="15.75">
      <c r="A9" s="95"/>
      <c r="B9" s="99" t="s">
        <v>758</v>
      </c>
      <c r="C9" s="95" t="s">
        <v>756</v>
      </c>
      <c r="D9" s="95"/>
      <c r="E9" s="95"/>
      <c r="F9" s="95"/>
      <c r="G9" s="95"/>
    </row>
    <row r="10" spans="1:7" ht="15.75">
      <c r="A10" s="95"/>
      <c r="B10" s="99" t="s">
        <v>759</v>
      </c>
      <c r="C10" s="95" t="s">
        <v>756</v>
      </c>
      <c r="D10" s="95"/>
      <c r="E10" s="95"/>
      <c r="F10" s="95"/>
      <c r="G10" s="95"/>
    </row>
    <row r="11" spans="1:7" ht="15.75">
      <c r="A11" s="95"/>
      <c r="B11" s="99" t="s">
        <v>760</v>
      </c>
      <c r="C11" s="95" t="s">
        <v>756</v>
      </c>
      <c r="D11" s="95"/>
      <c r="E11" s="95"/>
      <c r="F11" s="95"/>
      <c r="G11" s="95"/>
    </row>
    <row r="12" spans="1:7" ht="15.75">
      <c r="A12" s="95"/>
      <c r="B12" s="99" t="s">
        <v>761</v>
      </c>
      <c r="C12" s="95" t="s">
        <v>756</v>
      </c>
      <c r="D12" s="95"/>
      <c r="E12" s="96">
        <v>4269</v>
      </c>
      <c r="F12" s="96">
        <v>4334</v>
      </c>
      <c r="G12" s="96">
        <v>4438</v>
      </c>
    </row>
    <row r="13" spans="1:7" ht="15.75">
      <c r="A13" s="95">
        <v>2</v>
      </c>
      <c r="B13" s="99" t="s">
        <v>255</v>
      </c>
      <c r="C13" s="95" t="s">
        <v>762</v>
      </c>
      <c r="D13" s="96">
        <v>54079</v>
      </c>
      <c r="E13" s="96">
        <v>52539</v>
      </c>
      <c r="F13" s="96">
        <v>53250</v>
      </c>
      <c r="G13" s="96">
        <v>54964</v>
      </c>
    </row>
    <row r="14" spans="1:7" ht="15.75">
      <c r="A14" s="95"/>
      <c r="B14" s="99" t="s">
        <v>244</v>
      </c>
      <c r="C14" s="95"/>
      <c r="D14" s="96"/>
      <c r="E14" s="96"/>
      <c r="F14" s="96"/>
      <c r="G14" s="96"/>
    </row>
    <row r="15" spans="1:7" ht="15.75">
      <c r="A15" s="95"/>
      <c r="B15" s="9" t="s">
        <v>256</v>
      </c>
      <c r="C15" s="10" t="s">
        <v>762</v>
      </c>
      <c r="D15" s="96"/>
      <c r="E15" s="96">
        <v>3831</v>
      </c>
      <c r="F15" s="96">
        <v>3873</v>
      </c>
      <c r="G15" s="96">
        <v>3908</v>
      </c>
    </row>
    <row r="16" spans="1:7" ht="15.75">
      <c r="A16" s="95"/>
      <c r="B16" s="9" t="s">
        <v>257</v>
      </c>
      <c r="C16" s="10" t="s">
        <v>762</v>
      </c>
      <c r="D16" s="96"/>
      <c r="E16" s="96"/>
      <c r="F16" s="96"/>
      <c r="G16" s="96"/>
    </row>
    <row r="17" spans="1:7" ht="31.5">
      <c r="A17" s="95"/>
      <c r="B17" s="9" t="s">
        <v>258</v>
      </c>
      <c r="C17" s="10" t="s">
        <v>762</v>
      </c>
      <c r="D17" s="96"/>
      <c r="E17" s="96">
        <f>E15</f>
        <v>3831</v>
      </c>
      <c r="F17" s="96">
        <f>F15</f>
        <v>3873</v>
      </c>
      <c r="G17" s="96">
        <f>G15</f>
        <v>3908</v>
      </c>
    </row>
    <row r="18" spans="1:7" ht="15.75">
      <c r="A18" s="95"/>
      <c r="B18" s="9" t="s">
        <v>259</v>
      </c>
      <c r="C18" s="10" t="s">
        <v>762</v>
      </c>
      <c r="D18" s="96"/>
      <c r="E18" s="96"/>
      <c r="F18" s="96"/>
      <c r="G18" s="96"/>
    </row>
    <row r="19" spans="1:7" ht="15.75">
      <c r="A19" s="95"/>
      <c r="B19" s="99" t="s">
        <v>260</v>
      </c>
      <c r="C19" s="95" t="s">
        <v>247</v>
      </c>
      <c r="D19" s="96"/>
      <c r="E19" s="96"/>
      <c r="F19" s="96"/>
      <c r="G19" s="96"/>
    </row>
    <row r="20" spans="1:7" ht="15.75">
      <c r="A20" s="95"/>
      <c r="B20" s="99" t="s">
        <v>763</v>
      </c>
      <c r="C20" s="95" t="s">
        <v>762</v>
      </c>
      <c r="D20" s="96"/>
      <c r="E20" s="96">
        <v>1448</v>
      </c>
      <c r="F20" s="96">
        <v>1704</v>
      </c>
      <c r="G20" s="96">
        <v>1551</v>
      </c>
    </row>
    <row r="21" spans="1:7" ht="31.5">
      <c r="A21" s="95"/>
      <c r="B21" s="99" t="s">
        <v>261</v>
      </c>
      <c r="C21" s="95" t="s">
        <v>762</v>
      </c>
      <c r="D21" s="96"/>
      <c r="E21" s="96">
        <v>17441</v>
      </c>
      <c r="F21" s="96">
        <v>18198</v>
      </c>
      <c r="G21" s="96">
        <v>18471</v>
      </c>
    </row>
    <row r="22" spans="1:7" ht="15.75">
      <c r="A22" s="95"/>
      <c r="B22" s="99" t="s">
        <v>262</v>
      </c>
      <c r="C22" s="95" t="s">
        <v>762</v>
      </c>
      <c r="D22" s="96"/>
      <c r="E22" s="96"/>
      <c r="F22" s="96"/>
      <c r="G22" s="96"/>
    </row>
    <row r="23" spans="1:7" ht="15.75">
      <c r="A23" s="95"/>
      <c r="B23" s="99" t="s">
        <v>263</v>
      </c>
      <c r="C23" s="95" t="s">
        <v>762</v>
      </c>
      <c r="D23" s="96"/>
      <c r="E23" s="96"/>
      <c r="F23" s="96"/>
      <c r="G23" s="96"/>
    </row>
    <row r="24" spans="1:7" ht="15.75">
      <c r="A24" s="95"/>
      <c r="B24" s="99" t="s">
        <v>264</v>
      </c>
      <c r="C24" s="95" t="s">
        <v>762</v>
      </c>
      <c r="D24" s="96"/>
      <c r="E24" s="96"/>
      <c r="F24" s="96"/>
      <c r="G24" s="96"/>
    </row>
    <row r="25" spans="1:7" ht="15.75">
      <c r="A25" s="95"/>
      <c r="B25" s="99" t="s">
        <v>265</v>
      </c>
      <c r="C25" s="95" t="s">
        <v>762</v>
      </c>
      <c r="D25" s="96"/>
      <c r="E25" s="96"/>
      <c r="F25" s="96"/>
      <c r="G25" s="96"/>
    </row>
    <row r="26" spans="1:7" ht="15.75">
      <c r="A26" s="95"/>
      <c r="B26" s="99" t="s">
        <v>266</v>
      </c>
      <c r="C26" s="95" t="s">
        <v>762</v>
      </c>
      <c r="D26" s="96"/>
      <c r="E26" s="96"/>
      <c r="F26" s="96"/>
      <c r="G26" s="96"/>
    </row>
    <row r="27" spans="1:7" ht="15.75">
      <c r="A27" s="95"/>
      <c r="B27" s="99" t="s">
        <v>267</v>
      </c>
      <c r="C27" s="95" t="s">
        <v>762</v>
      </c>
      <c r="D27" s="96"/>
      <c r="E27" s="96">
        <f>E17</f>
        <v>3831</v>
      </c>
      <c r="F27" s="96">
        <f>F17</f>
        <v>3873</v>
      </c>
      <c r="G27" s="96">
        <f>G17</f>
        <v>3908</v>
      </c>
    </row>
    <row r="28" spans="1:7" ht="15.75">
      <c r="A28" s="95"/>
      <c r="B28" s="99" t="s">
        <v>268</v>
      </c>
      <c r="C28" s="95" t="s">
        <v>762</v>
      </c>
      <c r="D28" s="96"/>
      <c r="E28" s="96"/>
      <c r="F28" s="96"/>
      <c r="G28" s="96"/>
    </row>
    <row r="29" spans="1:7" ht="15.75">
      <c r="A29" s="95"/>
      <c r="B29" s="99" t="s">
        <v>269</v>
      </c>
      <c r="C29" s="95" t="s">
        <v>762</v>
      </c>
      <c r="D29" s="96"/>
      <c r="E29" s="96">
        <f>52539-E27</f>
        <v>48708</v>
      </c>
      <c r="F29" s="96">
        <f>53250-F27</f>
        <v>49377</v>
      </c>
      <c r="G29" s="96">
        <f>53964-G27</f>
        <v>50056</v>
      </c>
    </row>
    <row r="30" spans="1:7" ht="15.75">
      <c r="A30" s="95"/>
      <c r="B30" s="99" t="s">
        <v>270</v>
      </c>
      <c r="C30" s="95" t="s">
        <v>762</v>
      </c>
      <c r="D30" s="96"/>
      <c r="E30" s="96"/>
      <c r="F30" s="96"/>
      <c r="G30" s="96"/>
    </row>
    <row r="31" spans="1:7" ht="15.75">
      <c r="A31" s="95">
        <v>3</v>
      </c>
      <c r="B31" s="99" t="s">
        <v>271</v>
      </c>
      <c r="C31" s="95" t="s">
        <v>764</v>
      </c>
      <c r="D31" s="96"/>
      <c r="E31" s="96"/>
      <c r="F31" s="96"/>
      <c r="G31" s="96"/>
    </row>
    <row r="32" spans="1:7" ht="15.75">
      <c r="A32" s="95"/>
      <c r="B32" s="99" t="s">
        <v>244</v>
      </c>
      <c r="C32" s="95"/>
      <c r="D32" s="96"/>
      <c r="E32" s="96"/>
      <c r="F32" s="96"/>
      <c r="G32" s="96"/>
    </row>
    <row r="33" spans="1:7" ht="15.75">
      <c r="A33" s="95"/>
      <c r="B33" s="99" t="s">
        <v>272</v>
      </c>
      <c r="C33" s="95" t="s">
        <v>765</v>
      </c>
      <c r="D33" s="96"/>
      <c r="E33" s="96"/>
      <c r="F33" s="96"/>
      <c r="G33" s="96"/>
    </row>
    <row r="34" spans="1:7" ht="15.75">
      <c r="A34" s="95"/>
      <c r="B34" s="99" t="s">
        <v>273</v>
      </c>
      <c r="C34" s="95" t="s">
        <v>765</v>
      </c>
      <c r="D34" s="96"/>
      <c r="E34" s="96"/>
      <c r="F34" s="96"/>
      <c r="G34" s="96"/>
    </row>
    <row r="35" spans="1:7" ht="15.75">
      <c r="A35" s="95"/>
      <c r="B35" s="99" t="s">
        <v>274</v>
      </c>
      <c r="C35" s="95" t="s">
        <v>765</v>
      </c>
      <c r="D35" s="96"/>
      <c r="E35" s="96"/>
      <c r="F35" s="96"/>
      <c r="G35" s="96"/>
    </row>
    <row r="36" spans="1:7" ht="15.75">
      <c r="A36" s="95"/>
      <c r="B36" s="99" t="s">
        <v>275</v>
      </c>
      <c r="C36" s="95" t="s">
        <v>765</v>
      </c>
      <c r="D36" s="96"/>
      <c r="E36" s="96"/>
      <c r="F36" s="96"/>
      <c r="G36" s="96"/>
    </row>
    <row r="37" spans="1:7" ht="15.75">
      <c r="A37" s="95"/>
      <c r="B37" s="99" t="s">
        <v>276</v>
      </c>
      <c r="C37" s="95" t="s">
        <v>765</v>
      </c>
      <c r="D37" s="96"/>
      <c r="E37" s="96"/>
      <c r="F37" s="96"/>
      <c r="G37" s="96"/>
    </row>
    <row r="38" spans="1:7" ht="31.5">
      <c r="A38" s="95"/>
      <c r="B38" s="99" t="s">
        <v>277</v>
      </c>
      <c r="C38" s="95" t="s">
        <v>764</v>
      </c>
      <c r="D38" s="96"/>
      <c r="E38" s="96"/>
      <c r="F38" s="96" t="s">
        <v>278</v>
      </c>
      <c r="G38" s="96"/>
    </row>
    <row r="39" spans="1:7" ht="15.75">
      <c r="A39" s="95"/>
      <c r="B39" s="99" t="s">
        <v>248</v>
      </c>
      <c r="C39" s="95" t="s">
        <v>764</v>
      </c>
      <c r="D39" s="96"/>
      <c r="E39" s="96">
        <v>1</v>
      </c>
      <c r="F39" s="96">
        <v>1</v>
      </c>
      <c r="G39" s="96">
        <v>1</v>
      </c>
    </row>
    <row r="40" spans="1:7" ht="31.5">
      <c r="A40" s="95"/>
      <c r="B40" s="99" t="s">
        <v>249</v>
      </c>
      <c r="C40" s="95" t="s">
        <v>764</v>
      </c>
      <c r="D40" s="96"/>
      <c r="E40" s="96"/>
      <c r="F40" s="96"/>
      <c r="G40" s="96"/>
    </row>
    <row r="41" spans="1:7" ht="15.75">
      <c r="A41" s="95">
        <v>4</v>
      </c>
      <c r="B41" s="99" t="s">
        <v>279</v>
      </c>
      <c r="C41" s="95" t="s">
        <v>766</v>
      </c>
      <c r="D41" s="96"/>
      <c r="E41" s="96">
        <v>11</v>
      </c>
      <c r="F41" s="96">
        <v>11</v>
      </c>
      <c r="G41" s="96">
        <v>11</v>
      </c>
    </row>
    <row r="42" spans="1:7" ht="15.75">
      <c r="A42" s="95"/>
      <c r="B42" s="99" t="s">
        <v>244</v>
      </c>
      <c r="C42" s="95"/>
      <c r="D42" s="96"/>
      <c r="E42" s="96"/>
      <c r="F42" s="96"/>
      <c r="G42" s="96"/>
    </row>
    <row r="43" spans="1:7" ht="15.75">
      <c r="A43" s="95"/>
      <c r="B43" s="99" t="s">
        <v>280</v>
      </c>
      <c r="C43" s="95" t="s">
        <v>766</v>
      </c>
      <c r="D43" s="96"/>
      <c r="E43" s="96"/>
      <c r="F43" s="96"/>
      <c r="G43" s="96"/>
    </row>
    <row r="44" spans="1:7" ht="15.75">
      <c r="A44" s="95"/>
      <c r="B44" s="9" t="s">
        <v>281</v>
      </c>
      <c r="C44" s="10" t="s">
        <v>766</v>
      </c>
      <c r="D44" s="96"/>
      <c r="E44" s="96"/>
      <c r="F44" s="96"/>
      <c r="G44" s="96"/>
    </row>
    <row r="45" spans="1:7" ht="15.75">
      <c r="A45" s="95"/>
      <c r="B45" s="9" t="s">
        <v>282</v>
      </c>
      <c r="C45" s="10" t="s">
        <v>766</v>
      </c>
      <c r="D45" s="96"/>
      <c r="E45" s="96"/>
      <c r="F45" s="96"/>
      <c r="G45" s="96"/>
    </row>
    <row r="46" spans="1:7" ht="15.75">
      <c r="A46" s="95"/>
      <c r="B46" s="99" t="s">
        <v>283</v>
      </c>
      <c r="C46" s="95" t="s">
        <v>766</v>
      </c>
      <c r="D46" s="96"/>
      <c r="E46" s="96"/>
      <c r="F46" s="96"/>
      <c r="G46" s="96"/>
    </row>
    <row r="47" spans="1:7" ht="15.75">
      <c r="A47" s="95"/>
      <c r="B47" s="99" t="s">
        <v>284</v>
      </c>
      <c r="C47" s="95" t="s">
        <v>766</v>
      </c>
      <c r="D47" s="96"/>
      <c r="E47" s="96">
        <v>11</v>
      </c>
      <c r="F47" s="96">
        <v>11</v>
      </c>
      <c r="G47" s="96">
        <v>11</v>
      </c>
    </row>
    <row r="48" spans="1:7" ht="31.5">
      <c r="A48" s="95"/>
      <c r="B48" s="99" t="s">
        <v>285</v>
      </c>
      <c r="C48" s="95" t="s">
        <v>766</v>
      </c>
      <c r="D48" s="96"/>
      <c r="E48" s="96"/>
      <c r="F48" s="96"/>
      <c r="G48" s="96"/>
    </row>
    <row r="49" spans="1:7" ht="15.75">
      <c r="A49" s="95">
        <v>5</v>
      </c>
      <c r="B49" s="99" t="s">
        <v>286</v>
      </c>
      <c r="C49" s="95" t="s">
        <v>767</v>
      </c>
      <c r="D49" s="96"/>
      <c r="E49" s="96"/>
      <c r="F49" s="96"/>
      <c r="G49" s="96"/>
    </row>
    <row r="50" spans="1:7" ht="15.75">
      <c r="A50" s="95"/>
      <c r="B50" s="99" t="s">
        <v>768</v>
      </c>
      <c r="C50" s="95" t="s">
        <v>767</v>
      </c>
      <c r="D50" s="96"/>
      <c r="E50" s="96"/>
      <c r="F50" s="96"/>
      <c r="G50" s="96"/>
    </row>
    <row r="51" spans="1:7" ht="15.75">
      <c r="A51" s="95"/>
      <c r="B51" s="99" t="s">
        <v>287</v>
      </c>
      <c r="C51" s="95" t="s">
        <v>767</v>
      </c>
      <c r="D51" s="96"/>
      <c r="E51" s="96"/>
      <c r="F51" s="96"/>
      <c r="G51" s="96"/>
    </row>
    <row r="52" spans="1:7" ht="31.5">
      <c r="A52" s="95">
        <v>6</v>
      </c>
      <c r="B52" s="99" t="s">
        <v>288</v>
      </c>
      <c r="C52" s="95" t="s">
        <v>247</v>
      </c>
      <c r="D52" s="96"/>
      <c r="E52" s="96"/>
      <c r="F52" s="96"/>
      <c r="G52" s="96"/>
    </row>
    <row r="53" spans="1:7" ht="15.75">
      <c r="A53" s="95"/>
      <c r="B53" s="99" t="s">
        <v>244</v>
      </c>
      <c r="C53" s="95"/>
      <c r="D53" s="96"/>
      <c r="E53" s="96"/>
      <c r="F53" s="96"/>
      <c r="G53" s="96"/>
    </row>
    <row r="54" spans="1:7" ht="15.75">
      <c r="A54" s="95"/>
      <c r="B54" s="99" t="s">
        <v>769</v>
      </c>
      <c r="C54" s="95" t="s">
        <v>247</v>
      </c>
      <c r="D54" s="96"/>
      <c r="E54" s="102">
        <v>11.45</v>
      </c>
      <c r="F54" s="102">
        <v>12.22</v>
      </c>
      <c r="G54" s="102">
        <v>12.06</v>
      </c>
    </row>
    <row r="55" spans="1:7" ht="15.75">
      <c r="A55" s="95"/>
      <c r="B55" s="99" t="s">
        <v>289</v>
      </c>
      <c r="C55" s="95" t="s">
        <v>247</v>
      </c>
      <c r="D55" s="96"/>
      <c r="E55" s="102">
        <v>66.14</v>
      </c>
      <c r="F55" s="103">
        <v>63.7</v>
      </c>
      <c r="G55" s="103">
        <v>62</v>
      </c>
    </row>
    <row r="56" spans="1:7" ht="15.75">
      <c r="A56" s="95"/>
      <c r="B56" s="99" t="s">
        <v>770</v>
      </c>
      <c r="C56" s="95" t="s">
        <v>247</v>
      </c>
      <c r="D56" s="96"/>
      <c r="E56" s="102">
        <f>100-E54-E55</f>
        <v>22.409999999999997</v>
      </c>
      <c r="F56" s="102">
        <f>100-F54-F55</f>
        <v>24.08</v>
      </c>
      <c r="G56" s="102">
        <f>100-G54-G55</f>
        <v>25.939999999999998</v>
      </c>
    </row>
    <row r="57" spans="1:7" ht="15.75">
      <c r="A57" s="95">
        <v>7</v>
      </c>
      <c r="B57" s="99" t="s">
        <v>290</v>
      </c>
      <c r="C57" s="95"/>
      <c r="D57" s="96"/>
      <c r="E57" s="96"/>
      <c r="F57" s="96"/>
      <c r="G57" s="96"/>
    </row>
    <row r="58" spans="1:7" ht="31.5">
      <c r="A58" s="95"/>
      <c r="B58" s="99" t="s">
        <v>771</v>
      </c>
      <c r="C58" s="95" t="s">
        <v>772</v>
      </c>
      <c r="D58" s="96"/>
      <c r="E58" s="103">
        <v>91.5</v>
      </c>
      <c r="F58" s="103">
        <v>89</v>
      </c>
      <c r="G58" s="103">
        <v>102</v>
      </c>
    </row>
    <row r="59" spans="1:7" ht="31.5">
      <c r="A59" s="95"/>
      <c r="B59" s="99" t="s">
        <v>291</v>
      </c>
      <c r="C59" s="95" t="s">
        <v>772</v>
      </c>
      <c r="D59" s="96"/>
      <c r="E59" s="96"/>
      <c r="F59" s="96"/>
      <c r="G59" s="96"/>
    </row>
    <row r="60" spans="1:7" ht="15.75">
      <c r="A60" s="95"/>
      <c r="B60" s="99" t="s">
        <v>773</v>
      </c>
      <c r="C60" s="95" t="s">
        <v>772</v>
      </c>
      <c r="D60" s="96"/>
      <c r="E60" s="96"/>
      <c r="F60" s="96"/>
      <c r="G60" s="96"/>
    </row>
    <row r="61" spans="1:7" ht="31.5">
      <c r="A61" s="95"/>
      <c r="B61" s="99" t="s">
        <v>292</v>
      </c>
      <c r="C61" s="95" t="s">
        <v>247</v>
      </c>
      <c r="D61" s="96"/>
      <c r="E61" s="96"/>
      <c r="F61" s="96"/>
      <c r="G61" s="96"/>
    </row>
    <row r="62" spans="1:7" ht="31.5">
      <c r="A62" s="95"/>
      <c r="B62" s="99" t="s">
        <v>300</v>
      </c>
      <c r="C62" s="95" t="s">
        <v>247</v>
      </c>
      <c r="D62" s="96"/>
      <c r="E62" s="96"/>
      <c r="F62" s="96"/>
      <c r="G62" s="96"/>
    </row>
    <row r="63" spans="1:7" ht="15.75">
      <c r="A63" s="95"/>
      <c r="B63" s="99" t="s">
        <v>301</v>
      </c>
      <c r="C63" s="95" t="s">
        <v>247</v>
      </c>
      <c r="D63" s="96"/>
      <c r="E63" s="96"/>
      <c r="F63" s="96"/>
      <c r="G63" s="96"/>
    </row>
    <row r="64" spans="1:7" ht="15.75">
      <c r="A64" s="95">
        <v>8</v>
      </c>
      <c r="B64" s="99" t="s">
        <v>302</v>
      </c>
      <c r="C64" s="95" t="s">
        <v>247</v>
      </c>
      <c r="D64" s="96"/>
      <c r="E64" s="96"/>
      <c r="F64" s="96"/>
      <c r="G64" s="96"/>
    </row>
    <row r="65" spans="1:7" ht="31.5">
      <c r="A65" s="95">
        <v>9</v>
      </c>
      <c r="B65" s="99" t="s">
        <v>303</v>
      </c>
      <c r="C65" s="95" t="s">
        <v>774</v>
      </c>
      <c r="D65" s="96"/>
      <c r="E65" s="96"/>
      <c r="F65" s="96"/>
      <c r="G65" s="96"/>
    </row>
    <row r="66" spans="1:7" ht="15.75">
      <c r="A66" s="95"/>
      <c r="B66" s="99" t="s">
        <v>244</v>
      </c>
      <c r="C66" s="95"/>
      <c r="D66" s="96"/>
      <c r="E66" s="96"/>
      <c r="F66" s="96"/>
      <c r="G66" s="96"/>
    </row>
    <row r="67" spans="1:7" ht="31.5">
      <c r="A67" s="95"/>
      <c r="B67" s="99" t="s">
        <v>775</v>
      </c>
      <c r="C67" s="95" t="s">
        <v>774</v>
      </c>
      <c r="D67" s="96"/>
      <c r="E67" s="96"/>
      <c r="F67" s="96"/>
      <c r="G67" s="96"/>
    </row>
    <row r="68" spans="1:7" ht="31.5">
      <c r="A68" s="95"/>
      <c r="B68" s="99" t="s">
        <v>776</v>
      </c>
      <c r="C68" s="95" t="s">
        <v>774</v>
      </c>
      <c r="D68" s="96"/>
      <c r="E68" s="96"/>
      <c r="F68" s="96"/>
      <c r="G68" s="96"/>
    </row>
    <row r="69" spans="1:7" ht="31.5">
      <c r="A69" s="95">
        <v>10</v>
      </c>
      <c r="B69" s="99" t="s">
        <v>304</v>
      </c>
      <c r="C69" s="95" t="s">
        <v>777</v>
      </c>
      <c r="D69" s="96"/>
      <c r="E69" s="96">
        <v>36</v>
      </c>
      <c r="F69" s="96">
        <v>36</v>
      </c>
      <c r="G69" s="96">
        <v>36</v>
      </c>
    </row>
    <row r="70" spans="1:7" ht="15.75">
      <c r="A70" s="95"/>
      <c r="B70" s="99" t="s">
        <v>305</v>
      </c>
      <c r="C70" s="95" t="s">
        <v>772</v>
      </c>
      <c r="D70" s="96"/>
      <c r="E70" s="96"/>
      <c r="F70" s="96"/>
      <c r="G70" s="96"/>
    </row>
    <row r="71" spans="1:7" ht="31.5">
      <c r="A71" s="95"/>
      <c r="B71" s="99" t="s">
        <v>306</v>
      </c>
      <c r="C71" s="95" t="s">
        <v>777</v>
      </c>
      <c r="D71" s="96"/>
      <c r="E71" s="96">
        <v>36</v>
      </c>
      <c r="F71" s="96">
        <v>36</v>
      </c>
      <c r="G71" s="96">
        <v>36</v>
      </c>
    </row>
    <row r="72" spans="1:7" ht="15.75">
      <c r="A72" s="95">
        <v>11</v>
      </c>
      <c r="B72" s="99" t="s">
        <v>307</v>
      </c>
      <c r="C72" s="95" t="s">
        <v>762</v>
      </c>
      <c r="D72" s="96"/>
      <c r="E72" s="96">
        <v>650</v>
      </c>
      <c r="F72" s="96">
        <v>600</v>
      </c>
      <c r="G72" s="96">
        <v>1000</v>
      </c>
    </row>
    <row r="73" spans="1:7" ht="15.75">
      <c r="A73" s="95">
        <v>12</v>
      </c>
      <c r="B73" s="99" t="s">
        <v>308</v>
      </c>
      <c r="C73" s="95" t="s">
        <v>762</v>
      </c>
      <c r="D73" s="96"/>
      <c r="E73" s="96"/>
      <c r="F73" s="96"/>
      <c r="G73" s="96"/>
    </row>
    <row r="74" spans="1:7" ht="31.5">
      <c r="A74" s="95">
        <v>13</v>
      </c>
      <c r="B74" s="99" t="s">
        <v>315</v>
      </c>
      <c r="C74" s="95" t="s">
        <v>316</v>
      </c>
      <c r="D74" s="96"/>
      <c r="E74" s="96"/>
      <c r="F74" s="96"/>
      <c r="G74" s="96"/>
    </row>
    <row r="75" spans="1:7" ht="15.75">
      <c r="A75" s="95"/>
      <c r="B75" s="99" t="s">
        <v>244</v>
      </c>
      <c r="C75" s="95"/>
      <c r="D75" s="96"/>
      <c r="E75" s="96"/>
      <c r="F75" s="96"/>
      <c r="G75" s="96"/>
    </row>
    <row r="76" spans="1:7" ht="15.75">
      <c r="A76" s="95"/>
      <c r="B76" s="99" t="s">
        <v>317</v>
      </c>
      <c r="C76" s="95" t="s">
        <v>762</v>
      </c>
      <c r="D76" s="96"/>
      <c r="E76" s="157"/>
      <c r="F76" s="157"/>
      <c r="G76" s="157"/>
    </row>
    <row r="77" spans="1:7" ht="31.5">
      <c r="A77" s="95"/>
      <c r="B77" s="99" t="s">
        <v>318</v>
      </c>
      <c r="C77" s="95" t="s">
        <v>762</v>
      </c>
      <c r="D77" s="96"/>
      <c r="E77" s="157"/>
      <c r="F77" s="157"/>
      <c r="G77" s="157"/>
    </row>
    <row r="78" spans="1:7" ht="15.75">
      <c r="A78" s="95"/>
      <c r="B78" s="99" t="s">
        <v>778</v>
      </c>
      <c r="C78" s="95" t="s">
        <v>247</v>
      </c>
      <c r="D78" s="96"/>
      <c r="E78" s="103">
        <v>60.2</v>
      </c>
      <c r="F78" s="102">
        <v>54.36</v>
      </c>
      <c r="G78" s="102">
        <v>46.3</v>
      </c>
    </row>
    <row r="79" spans="1:7" ht="15.75">
      <c r="A79" s="95">
        <v>14</v>
      </c>
      <c r="B79" s="99" t="s">
        <v>319</v>
      </c>
      <c r="C79" s="95"/>
      <c r="D79" s="96"/>
      <c r="E79" s="96"/>
      <c r="F79" s="96"/>
      <c r="G79" s="96"/>
    </row>
    <row r="80" spans="1:7" ht="15.75">
      <c r="A80" s="95"/>
      <c r="B80" s="99" t="s">
        <v>779</v>
      </c>
      <c r="C80" s="95" t="s">
        <v>762</v>
      </c>
      <c r="D80" s="96"/>
      <c r="E80" s="96">
        <v>1263</v>
      </c>
      <c r="F80" s="96">
        <v>1471</v>
      </c>
      <c r="G80" s="96">
        <v>1530</v>
      </c>
    </row>
    <row r="81" spans="1:7" ht="15.75">
      <c r="A81" s="95"/>
      <c r="B81" s="99" t="s">
        <v>780</v>
      </c>
      <c r="C81" s="95" t="s">
        <v>781</v>
      </c>
      <c r="D81" s="96"/>
      <c r="E81" s="96">
        <v>18474</v>
      </c>
      <c r="F81" s="96">
        <v>19248</v>
      </c>
      <c r="G81" s="96">
        <v>19500</v>
      </c>
    </row>
    <row r="82" spans="1:7" ht="15.75">
      <c r="A82" s="95"/>
      <c r="B82" s="99" t="s">
        <v>244</v>
      </c>
      <c r="C82" s="95"/>
      <c r="D82" s="96"/>
      <c r="E82" s="96"/>
      <c r="F82" s="96"/>
      <c r="G82" s="96"/>
    </row>
    <row r="83" spans="1:7" ht="15.75">
      <c r="A83" s="95"/>
      <c r="B83" s="99" t="s">
        <v>320</v>
      </c>
      <c r="C83" s="95" t="s">
        <v>781</v>
      </c>
      <c r="D83" s="96"/>
      <c r="E83" s="96"/>
      <c r="F83" s="96"/>
      <c r="G83" s="96"/>
    </row>
    <row r="84" spans="1:7" ht="15.75">
      <c r="A84" s="95"/>
      <c r="B84" s="99" t="s">
        <v>321</v>
      </c>
      <c r="C84" s="95" t="s">
        <v>781</v>
      </c>
      <c r="D84" s="96"/>
      <c r="E84" s="96">
        <v>8627</v>
      </c>
      <c r="F84" s="96">
        <v>6881</v>
      </c>
      <c r="G84" s="96">
        <v>6308</v>
      </c>
    </row>
    <row r="85" spans="1:7" ht="31.5">
      <c r="A85" s="95"/>
      <c r="B85" s="99" t="s">
        <v>322</v>
      </c>
      <c r="C85" s="95" t="s">
        <v>781</v>
      </c>
      <c r="D85" s="96"/>
      <c r="E85" s="96"/>
      <c r="F85" s="96"/>
      <c r="G85" s="96"/>
    </row>
    <row r="86" spans="1:7" ht="31.5">
      <c r="A86" s="95"/>
      <c r="B86" s="99" t="s">
        <v>323</v>
      </c>
      <c r="C86" s="95" t="s">
        <v>782</v>
      </c>
      <c r="D86" s="96"/>
      <c r="E86" s="96"/>
      <c r="F86" s="96"/>
      <c r="G86" s="96"/>
    </row>
    <row r="87" spans="1:7" ht="15.75">
      <c r="A87" s="95">
        <v>15</v>
      </c>
      <c r="B87" s="99" t="s">
        <v>324</v>
      </c>
      <c r="C87" s="95"/>
      <c r="D87" s="96"/>
      <c r="E87" s="96"/>
      <c r="F87" s="96"/>
      <c r="G87" s="96"/>
    </row>
    <row r="88" spans="1:7" ht="15.75">
      <c r="A88" s="95"/>
      <c r="B88" s="99" t="s">
        <v>783</v>
      </c>
      <c r="C88" s="95" t="s">
        <v>784</v>
      </c>
      <c r="D88" s="96"/>
      <c r="E88" s="96">
        <v>3</v>
      </c>
      <c r="F88" s="96">
        <v>3</v>
      </c>
      <c r="G88" s="96">
        <v>3</v>
      </c>
    </row>
    <row r="89" spans="1:7" ht="15.75">
      <c r="A89" s="95"/>
      <c r="B89" s="99" t="s">
        <v>785</v>
      </c>
      <c r="C89" s="95" t="s">
        <v>786</v>
      </c>
      <c r="D89" s="96"/>
      <c r="E89" s="96">
        <v>150</v>
      </c>
      <c r="F89" s="96">
        <v>166</v>
      </c>
      <c r="G89" s="96">
        <v>185</v>
      </c>
    </row>
    <row r="90" spans="1:7" ht="15.75">
      <c r="A90" s="95"/>
      <c r="B90" s="99" t="s">
        <v>244</v>
      </c>
      <c r="C90" s="95"/>
      <c r="D90" s="96"/>
      <c r="E90" s="96"/>
      <c r="F90" s="96"/>
      <c r="G90" s="96"/>
    </row>
    <row r="91" spans="1:7" ht="15.75">
      <c r="A91" s="95"/>
      <c r="B91" s="99" t="s">
        <v>787</v>
      </c>
      <c r="C91" s="95" t="s">
        <v>786</v>
      </c>
      <c r="D91" s="96"/>
      <c r="E91" s="96"/>
      <c r="F91" s="96"/>
      <c r="G91" s="96"/>
    </row>
    <row r="92" spans="1:7" ht="15.75">
      <c r="A92" s="95"/>
      <c r="B92" s="99" t="s">
        <v>788</v>
      </c>
      <c r="C92" s="95" t="s">
        <v>786</v>
      </c>
      <c r="D92" s="96"/>
      <c r="E92" s="96">
        <v>90</v>
      </c>
      <c r="F92" s="96">
        <v>100</v>
      </c>
      <c r="G92" s="96">
        <v>110</v>
      </c>
    </row>
    <row r="93" spans="1:7" ht="15.75">
      <c r="A93" s="95"/>
      <c r="B93" s="99" t="s">
        <v>789</v>
      </c>
      <c r="C93" s="95" t="s">
        <v>786</v>
      </c>
      <c r="D93" s="96"/>
      <c r="E93" s="96">
        <v>24</v>
      </c>
      <c r="F93" s="96">
        <v>30</v>
      </c>
      <c r="G93" s="96">
        <v>15</v>
      </c>
    </row>
    <row r="94" spans="1:7" ht="15.75">
      <c r="A94" s="95"/>
      <c r="B94" s="99" t="s">
        <v>790</v>
      </c>
      <c r="C94" s="95" t="s">
        <v>786</v>
      </c>
      <c r="D94" s="96"/>
      <c r="E94" s="96">
        <v>36</v>
      </c>
      <c r="F94" s="96">
        <v>36</v>
      </c>
      <c r="G94" s="96">
        <v>60</v>
      </c>
    </row>
    <row r="95" spans="1:7" ht="15.75">
      <c r="A95" s="95"/>
      <c r="B95" s="99" t="s">
        <v>325</v>
      </c>
      <c r="C95" s="95"/>
      <c r="D95" s="96"/>
      <c r="E95" s="96"/>
      <c r="F95" s="96"/>
      <c r="G95" s="96"/>
    </row>
    <row r="96" spans="1:7" ht="15.75">
      <c r="A96" s="95"/>
      <c r="B96" s="99" t="s">
        <v>326</v>
      </c>
      <c r="C96" s="95" t="s">
        <v>762</v>
      </c>
      <c r="D96" s="96"/>
      <c r="E96" s="96"/>
      <c r="F96" s="96"/>
      <c r="G96" s="96"/>
    </row>
    <row r="97" spans="1:7" ht="15.75">
      <c r="A97" s="95"/>
      <c r="B97" s="99" t="s">
        <v>327</v>
      </c>
      <c r="C97" s="95" t="s">
        <v>762</v>
      </c>
      <c r="D97" s="96"/>
      <c r="E97" s="96"/>
      <c r="F97" s="96"/>
      <c r="G97" s="96"/>
    </row>
    <row r="98" spans="1:7" ht="15.75">
      <c r="A98" s="95"/>
      <c r="B98" s="99" t="s">
        <v>328</v>
      </c>
      <c r="C98" s="95" t="s">
        <v>762</v>
      </c>
      <c r="D98" s="96"/>
      <c r="E98" s="96"/>
      <c r="F98" s="96"/>
      <c r="G98" s="96"/>
    </row>
    <row r="99" spans="1:7" ht="63">
      <c r="A99" s="95"/>
      <c r="B99" s="99" t="s">
        <v>329</v>
      </c>
      <c r="C99" s="95" t="s">
        <v>330</v>
      </c>
      <c r="D99" s="96"/>
      <c r="E99" s="96"/>
      <c r="F99" s="96"/>
      <c r="G99" s="96"/>
    </row>
    <row r="100" spans="1:7" ht="15.75">
      <c r="A100" s="95"/>
      <c r="B100" s="99" t="s">
        <v>331</v>
      </c>
      <c r="C100" s="95" t="s">
        <v>791</v>
      </c>
      <c r="D100" s="96"/>
      <c r="E100" s="96"/>
      <c r="F100" s="96"/>
      <c r="G100" s="96"/>
    </row>
    <row r="101" spans="1:7" ht="15.75">
      <c r="A101" s="95"/>
      <c r="B101" s="99" t="s">
        <v>332</v>
      </c>
      <c r="C101" s="95" t="s">
        <v>762</v>
      </c>
      <c r="D101" s="96"/>
      <c r="E101" s="96"/>
      <c r="F101" s="96"/>
      <c r="G101" s="96"/>
    </row>
    <row r="102" spans="1:7" ht="94.5">
      <c r="A102" s="95"/>
      <c r="B102" s="99" t="s">
        <v>333</v>
      </c>
      <c r="C102" s="95" t="s">
        <v>762</v>
      </c>
      <c r="D102" s="96"/>
      <c r="E102" s="96"/>
      <c r="F102" s="96"/>
      <c r="G102" s="96"/>
    </row>
    <row r="103" spans="1:7" ht="15.75">
      <c r="A103" s="95"/>
      <c r="B103" s="99" t="s">
        <v>334</v>
      </c>
      <c r="C103" s="95" t="s">
        <v>762</v>
      </c>
      <c r="D103" s="96"/>
      <c r="E103" s="96"/>
      <c r="F103" s="96"/>
      <c r="G103" s="96"/>
    </row>
    <row r="104" spans="1:7" ht="31.5">
      <c r="A104" s="95"/>
      <c r="B104" s="99" t="s">
        <v>335</v>
      </c>
      <c r="C104" s="95" t="s">
        <v>762</v>
      </c>
      <c r="D104" s="96"/>
      <c r="E104" s="96"/>
      <c r="F104" s="96"/>
      <c r="G104" s="96"/>
    </row>
    <row r="105" spans="1:7" ht="15.75">
      <c r="A105" s="95">
        <v>16</v>
      </c>
      <c r="B105" s="99" t="s">
        <v>336</v>
      </c>
      <c r="C105" s="95"/>
      <c r="D105" s="96"/>
      <c r="E105" s="96"/>
      <c r="F105" s="96"/>
      <c r="G105" s="96"/>
    </row>
    <row r="106" spans="1:7" ht="15.75">
      <c r="A106" s="95"/>
      <c r="B106" s="99" t="s">
        <v>337</v>
      </c>
      <c r="C106" s="95" t="s">
        <v>784</v>
      </c>
      <c r="D106" s="96"/>
      <c r="E106" s="96"/>
      <c r="F106" s="96"/>
      <c r="G106" s="96"/>
    </row>
    <row r="107" spans="1:7" ht="31.5">
      <c r="A107" s="95"/>
      <c r="B107" s="99" t="s">
        <v>338</v>
      </c>
      <c r="C107" s="95" t="s">
        <v>762</v>
      </c>
      <c r="D107" s="96"/>
      <c r="E107" s="96">
        <v>64</v>
      </c>
      <c r="F107" s="96">
        <v>64</v>
      </c>
      <c r="G107" s="96">
        <v>28</v>
      </c>
    </row>
    <row r="108" spans="1:7" ht="31.5">
      <c r="A108" s="99"/>
      <c r="B108" s="99" t="s">
        <v>339</v>
      </c>
      <c r="C108" s="95" t="s">
        <v>762</v>
      </c>
      <c r="D108" s="96"/>
      <c r="E108" s="96"/>
      <c r="F108" s="96"/>
      <c r="G108" s="96"/>
    </row>
    <row r="109" spans="1:7" ht="15.75">
      <c r="A109" s="99"/>
      <c r="B109" s="99" t="s">
        <v>792</v>
      </c>
      <c r="C109" s="95" t="s">
        <v>793</v>
      </c>
      <c r="D109" s="96"/>
      <c r="E109" s="96"/>
      <c r="F109" s="96"/>
      <c r="G109" s="96"/>
    </row>
    <row r="110" spans="1:7" ht="15.75">
      <c r="A110" s="99"/>
      <c r="B110" s="99" t="s">
        <v>794</v>
      </c>
      <c r="C110" s="95" t="s">
        <v>793</v>
      </c>
      <c r="D110" s="96"/>
      <c r="E110" s="96"/>
      <c r="F110" s="96"/>
      <c r="G110" s="96"/>
    </row>
    <row r="111" spans="1:7" ht="15.75">
      <c r="A111" s="95"/>
      <c r="B111" s="99" t="s">
        <v>340</v>
      </c>
      <c r="C111" s="95" t="s">
        <v>793</v>
      </c>
      <c r="D111" s="96"/>
      <c r="E111" s="96"/>
      <c r="F111" s="96"/>
      <c r="G111" s="96"/>
    </row>
    <row r="112" spans="1:7" ht="15.75">
      <c r="A112" s="95"/>
      <c r="B112" s="99" t="s">
        <v>341</v>
      </c>
      <c r="C112" s="95" t="s">
        <v>793</v>
      </c>
      <c r="D112" s="96"/>
      <c r="E112" s="96"/>
      <c r="F112" s="96"/>
      <c r="G112" s="96"/>
    </row>
    <row r="113" spans="1:7" ht="31.5">
      <c r="A113" s="95"/>
      <c r="B113" s="99" t="s">
        <v>795</v>
      </c>
      <c r="C113" s="95" t="s">
        <v>793</v>
      </c>
      <c r="D113" s="96"/>
      <c r="E113" s="96"/>
      <c r="F113" s="96"/>
      <c r="G113" s="96"/>
    </row>
    <row r="114" spans="1:7" ht="31.5">
      <c r="A114" s="95"/>
      <c r="B114" s="99" t="s">
        <v>16</v>
      </c>
      <c r="C114" s="95" t="s">
        <v>793</v>
      </c>
      <c r="D114" s="96"/>
      <c r="E114" s="96"/>
      <c r="F114" s="96"/>
      <c r="G114" s="96"/>
    </row>
    <row r="115" spans="1:7" ht="31.5">
      <c r="A115" s="95"/>
      <c r="B115" s="99" t="s">
        <v>17</v>
      </c>
      <c r="C115" s="95" t="s">
        <v>793</v>
      </c>
      <c r="D115" s="96"/>
      <c r="E115" s="96"/>
      <c r="F115" s="96"/>
      <c r="G115" s="96"/>
    </row>
    <row r="116" spans="1:7" ht="31.5">
      <c r="A116" s="95"/>
      <c r="B116" s="99" t="s">
        <v>18</v>
      </c>
      <c r="C116" s="95" t="s">
        <v>793</v>
      </c>
      <c r="D116" s="96"/>
      <c r="E116" s="96"/>
      <c r="F116" s="96"/>
      <c r="G116" s="96"/>
    </row>
    <row r="117" spans="1:7" ht="15.75">
      <c r="A117" s="95"/>
      <c r="B117" s="99" t="s">
        <v>19</v>
      </c>
      <c r="C117" s="95" t="s">
        <v>762</v>
      </c>
      <c r="D117" s="96"/>
      <c r="E117" s="96"/>
      <c r="F117" s="96"/>
      <c r="G117" s="96"/>
    </row>
    <row r="118" spans="1:7" ht="15.75">
      <c r="A118" s="95"/>
      <c r="B118" s="99" t="s">
        <v>342</v>
      </c>
      <c r="C118" s="95" t="s">
        <v>20</v>
      </c>
      <c r="D118" s="96"/>
      <c r="E118" s="96"/>
      <c r="F118" s="96"/>
      <c r="G118" s="96"/>
    </row>
    <row r="119" spans="1:7" ht="31.5">
      <c r="A119" s="95"/>
      <c r="B119" s="99" t="s">
        <v>21</v>
      </c>
      <c r="C119" s="95" t="s">
        <v>20</v>
      </c>
      <c r="D119" s="96"/>
      <c r="E119" s="96"/>
      <c r="F119" s="96"/>
      <c r="G119" s="96"/>
    </row>
    <row r="120" spans="1:7" ht="31.5">
      <c r="A120" s="95"/>
      <c r="B120" s="99" t="s">
        <v>343</v>
      </c>
      <c r="C120" s="95" t="s">
        <v>762</v>
      </c>
      <c r="D120" s="96"/>
      <c r="E120" s="96"/>
      <c r="F120" s="96"/>
      <c r="G120" s="96"/>
    </row>
    <row r="121" spans="1:7" ht="15.75">
      <c r="A121" s="95">
        <v>17</v>
      </c>
      <c r="B121" s="99" t="s">
        <v>344</v>
      </c>
      <c r="C121" s="95"/>
      <c r="D121" s="96"/>
      <c r="E121" s="96">
        <f>SUM(E122:E126)</f>
        <v>3</v>
      </c>
      <c r="F121" s="96">
        <f>SUM(F122:F126)</f>
        <v>3</v>
      </c>
      <c r="G121" s="96">
        <f>SUM(G122:G126)</f>
        <v>3</v>
      </c>
    </row>
    <row r="122" spans="1:7" ht="15.75">
      <c r="A122" s="95"/>
      <c r="B122" s="99" t="s">
        <v>345</v>
      </c>
      <c r="C122" s="95" t="s">
        <v>22</v>
      </c>
      <c r="D122" s="96"/>
      <c r="E122" s="96"/>
      <c r="F122" s="96"/>
      <c r="G122" s="96"/>
    </row>
    <row r="123" spans="1:7" ht="15.75">
      <c r="A123" s="95"/>
      <c r="B123" s="99" t="s">
        <v>23</v>
      </c>
      <c r="C123" s="95" t="s">
        <v>22</v>
      </c>
      <c r="D123" s="96"/>
      <c r="E123" s="96"/>
      <c r="F123" s="96"/>
      <c r="G123" s="96"/>
    </row>
    <row r="124" spans="1:7" ht="15.75">
      <c r="A124" s="95"/>
      <c r="B124" s="99" t="s">
        <v>346</v>
      </c>
      <c r="C124" s="95" t="s">
        <v>24</v>
      </c>
      <c r="D124" s="96"/>
      <c r="E124" s="96"/>
      <c r="F124" s="96"/>
      <c r="G124" s="96"/>
    </row>
    <row r="125" spans="1:7" ht="15.75">
      <c r="A125" s="95"/>
      <c r="B125" s="99" t="s">
        <v>347</v>
      </c>
      <c r="C125" s="95" t="s">
        <v>25</v>
      </c>
      <c r="D125" s="96"/>
      <c r="E125" s="96"/>
      <c r="F125" s="96"/>
      <c r="G125" s="96"/>
    </row>
    <row r="126" spans="1:7" ht="15.75">
      <c r="A126" s="95"/>
      <c r="B126" s="99" t="s">
        <v>348</v>
      </c>
      <c r="C126" s="95" t="s">
        <v>25</v>
      </c>
      <c r="D126" s="96"/>
      <c r="E126" s="96">
        <v>3</v>
      </c>
      <c r="F126" s="96">
        <v>3</v>
      </c>
      <c r="G126" s="96">
        <v>3</v>
      </c>
    </row>
    <row r="127" spans="1:7" ht="15.75">
      <c r="A127" s="95">
        <v>18</v>
      </c>
      <c r="B127" s="99" t="s">
        <v>349</v>
      </c>
      <c r="C127" s="95"/>
      <c r="D127" s="96"/>
      <c r="E127" s="96">
        <f>SUM(E128)</f>
        <v>1</v>
      </c>
      <c r="F127" s="96">
        <f>SUM(F128)</f>
        <v>1</v>
      </c>
      <c r="G127" s="96">
        <f>SUM(G128)</f>
        <v>1</v>
      </c>
    </row>
    <row r="128" spans="1:7" ht="47.25">
      <c r="A128" s="95"/>
      <c r="B128" s="99" t="s">
        <v>350</v>
      </c>
      <c r="C128" s="95" t="s">
        <v>764</v>
      </c>
      <c r="D128" s="96"/>
      <c r="E128" s="96">
        <v>1</v>
      </c>
      <c r="F128" s="96">
        <v>1</v>
      </c>
      <c r="G128" s="96">
        <v>1</v>
      </c>
    </row>
    <row r="129" spans="1:7" ht="15.75">
      <c r="A129" s="95">
        <v>19</v>
      </c>
      <c r="B129" s="99" t="s">
        <v>351</v>
      </c>
      <c r="C129" s="95"/>
      <c r="D129" s="96"/>
      <c r="E129" s="96">
        <f>E130+E131</f>
        <v>3</v>
      </c>
      <c r="F129" s="96">
        <f>F130+F131</f>
        <v>12</v>
      </c>
      <c r="G129" s="96">
        <f>G130+G131</f>
        <v>12</v>
      </c>
    </row>
    <row r="130" spans="1:7" ht="31.5">
      <c r="A130" s="95"/>
      <c r="B130" s="99" t="s">
        <v>352</v>
      </c>
      <c r="C130" s="95" t="s">
        <v>762</v>
      </c>
      <c r="D130" s="96"/>
      <c r="E130" s="96">
        <v>3</v>
      </c>
      <c r="F130" s="96">
        <v>12</v>
      </c>
      <c r="G130" s="96">
        <v>12</v>
      </c>
    </row>
    <row r="131" spans="1:7" ht="31.5">
      <c r="A131" s="95"/>
      <c r="B131" s="99" t="s">
        <v>353</v>
      </c>
      <c r="C131" s="95" t="s">
        <v>762</v>
      </c>
      <c r="D131" s="96"/>
      <c r="E131" s="96"/>
      <c r="F131" s="96"/>
      <c r="G131" s="96"/>
    </row>
    <row r="132" spans="1:7" ht="15.75" hidden="1">
      <c r="A132" s="97"/>
    </row>
    <row r="133" spans="1:7" ht="15.75" hidden="1">
      <c r="A133" s="1254"/>
      <c r="D133" s="1255"/>
      <c r="E133" s="1255"/>
      <c r="F133" s="1255"/>
      <c r="G133" s="1255"/>
    </row>
    <row r="134" spans="1:7" ht="15.75" hidden="1">
      <c r="A134" s="1254"/>
      <c r="D134" s="1256"/>
      <c r="E134" s="1256"/>
      <c r="F134" s="1256"/>
      <c r="G134" s="1256"/>
    </row>
    <row r="135" spans="1:7" ht="15.75" hidden="1">
      <c r="A135" s="1254"/>
      <c r="D135" s="1256"/>
      <c r="E135" s="1256"/>
      <c r="F135" s="1256"/>
      <c r="G135" s="1256"/>
    </row>
    <row r="136" spans="1:7" ht="15.75" hidden="1">
      <c r="A136" s="1254"/>
      <c r="D136" s="1255"/>
      <c r="E136" s="1255"/>
      <c r="F136" s="1255"/>
      <c r="G136" s="1255"/>
    </row>
  </sheetData>
  <mergeCells count="8">
    <mergeCell ref="A1:G1"/>
    <mergeCell ref="A2:G2"/>
    <mergeCell ref="A3:G3"/>
    <mergeCell ref="A133:A136"/>
    <mergeCell ref="D133:G133"/>
    <mergeCell ref="D134:G134"/>
    <mergeCell ref="D135:G135"/>
    <mergeCell ref="D136:G136"/>
  </mergeCells>
  <phoneticPr fontId="13" type="noConversion"/>
  <pageMargins left="0.56000000000000005" right="0.38"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2"/>
  <sheetViews>
    <sheetView view="pageBreakPreview" topLeftCell="A16" zoomScaleNormal="100" zoomScaleSheetLayoutView="100" workbookViewId="0">
      <selection activeCell="F24" sqref="F24"/>
    </sheetView>
  </sheetViews>
  <sheetFormatPr defaultColWidth="10.28515625" defaultRowHeight="15.75"/>
  <cols>
    <col min="1" max="1" width="5.7109375" style="12" customWidth="1"/>
    <col min="2" max="2" width="24.85546875" style="12" customWidth="1"/>
    <col min="3" max="3" width="18.7109375" style="12" customWidth="1"/>
    <col min="4" max="4" width="13.7109375" style="12" customWidth="1"/>
    <col min="5" max="5" width="17.5703125" style="12" customWidth="1"/>
    <col min="6" max="6" width="17.28515625" style="968" customWidth="1"/>
    <col min="7" max="7" width="13.85546875" style="12" customWidth="1"/>
    <col min="8" max="8" width="17.28515625" style="968" customWidth="1"/>
    <col min="9" max="9" width="14.42578125" style="12" customWidth="1"/>
    <col min="10" max="10" width="17.140625" style="12" customWidth="1"/>
    <col min="11" max="11" width="13.7109375" style="12" customWidth="1"/>
    <col min="12" max="12" width="14.5703125" style="12" customWidth="1"/>
    <col min="13" max="13" width="9.140625" style="968" customWidth="1"/>
    <col min="14" max="14" width="7.85546875" style="12" customWidth="1"/>
    <col min="15" max="15" width="8.140625" style="968" customWidth="1"/>
    <col min="16" max="16" width="8.140625" style="12" customWidth="1"/>
    <col min="17" max="17" width="8" style="12" customWidth="1"/>
    <col min="18" max="18" width="17.7109375" style="12" hidden="1" customWidth="1"/>
    <col min="19" max="19" width="15.140625" style="12" hidden="1" customWidth="1"/>
    <col min="20" max="20" width="17.5703125" style="12" hidden="1" customWidth="1"/>
    <col min="21" max="26" width="10.28515625" style="12" customWidth="1"/>
    <col min="27" max="27" width="11.7109375" style="12" bestFit="1" customWidth="1"/>
    <col min="28" max="16384" width="10.28515625" style="12"/>
  </cols>
  <sheetData>
    <row r="1" spans="1:29" ht="18.75">
      <c r="A1" s="1141" t="s">
        <v>1382</v>
      </c>
      <c r="B1" s="1141"/>
      <c r="C1" s="1141"/>
      <c r="D1" s="1141"/>
      <c r="E1" s="1141"/>
      <c r="F1" s="1141"/>
      <c r="G1" s="1141"/>
      <c r="H1" s="1141"/>
      <c r="I1" s="1141"/>
      <c r="J1" s="1141"/>
      <c r="K1" s="1141"/>
      <c r="L1" s="1141"/>
      <c r="M1" s="1141"/>
      <c r="N1" s="1141"/>
      <c r="O1" s="1141"/>
      <c r="P1" s="1141"/>
      <c r="Q1" s="1141"/>
    </row>
    <row r="2" spans="1:29" ht="18.75">
      <c r="A2" s="1142" t="s">
        <v>1383</v>
      </c>
      <c r="B2" s="1142"/>
      <c r="C2" s="1142"/>
      <c r="D2" s="1142"/>
      <c r="E2" s="1142"/>
      <c r="F2" s="1142"/>
      <c r="G2" s="1142"/>
      <c r="H2" s="1142"/>
      <c r="I2" s="1142"/>
      <c r="J2" s="1142"/>
      <c r="K2" s="1142"/>
      <c r="L2" s="1142"/>
      <c r="M2" s="1142"/>
      <c r="N2" s="1142"/>
      <c r="O2" s="1142"/>
      <c r="P2" s="1142"/>
      <c r="Q2" s="1142"/>
    </row>
    <row r="3" spans="1:29" ht="18.75">
      <c r="A3" s="1143" t="s">
        <v>1384</v>
      </c>
      <c r="B3" s="1143"/>
      <c r="C3" s="1143"/>
      <c r="D3" s="1143"/>
      <c r="E3" s="1143"/>
      <c r="F3" s="1143"/>
      <c r="G3" s="1143"/>
      <c r="H3" s="1143"/>
      <c r="I3" s="1143"/>
      <c r="J3" s="1143"/>
      <c r="K3" s="1143"/>
      <c r="L3" s="1143"/>
      <c r="M3" s="1143"/>
      <c r="N3" s="1143"/>
      <c r="O3" s="1143"/>
      <c r="P3" s="1143"/>
      <c r="Q3" s="1143"/>
    </row>
    <row r="4" spans="1:29" ht="18.75">
      <c r="A4" s="1257" t="s">
        <v>1474</v>
      </c>
      <c r="B4" s="1257"/>
      <c r="C4" s="1257"/>
      <c r="D4" s="1257"/>
      <c r="E4" s="1257"/>
      <c r="F4" s="1257"/>
      <c r="G4" s="1257"/>
      <c r="H4" s="1257"/>
      <c r="I4" s="1257"/>
      <c r="J4" s="1257"/>
      <c r="K4" s="1257"/>
      <c r="L4" s="1257"/>
      <c r="M4" s="1257"/>
      <c r="N4" s="1257"/>
      <c r="O4" s="1257"/>
      <c r="P4" s="1257"/>
      <c r="Q4" s="1257"/>
    </row>
    <row r="5" spans="1:29" s="424" customFormat="1" ht="42.75" customHeight="1">
      <c r="A5" s="1153" t="s">
        <v>214</v>
      </c>
      <c r="B5" s="1153" t="s">
        <v>1356</v>
      </c>
      <c r="C5" s="1153" t="s">
        <v>594</v>
      </c>
      <c r="D5" s="1153"/>
      <c r="E5" s="1153"/>
      <c r="F5" s="1153" t="s">
        <v>1357</v>
      </c>
      <c r="G5" s="1153"/>
      <c r="H5" s="1258" t="s">
        <v>1080</v>
      </c>
      <c r="I5" s="1259"/>
      <c r="J5" s="1259"/>
      <c r="K5" s="1259"/>
      <c r="L5" s="1260"/>
      <c r="M5" s="1258" t="s">
        <v>1333</v>
      </c>
      <c r="N5" s="1259"/>
      <c r="O5" s="1259"/>
      <c r="P5" s="1259"/>
      <c r="Q5" s="1260"/>
    </row>
    <row r="6" spans="1:29" s="424" customFormat="1" ht="16.5">
      <c r="A6" s="1153"/>
      <c r="B6" s="1153"/>
      <c r="C6" s="1153" t="s">
        <v>225</v>
      </c>
      <c r="D6" s="1264" t="s">
        <v>178</v>
      </c>
      <c r="E6" s="1264"/>
      <c r="F6" s="1153" t="s">
        <v>225</v>
      </c>
      <c r="G6" s="1261" t="s">
        <v>1385</v>
      </c>
      <c r="H6" s="1153" t="s">
        <v>225</v>
      </c>
      <c r="I6" s="1265" t="s">
        <v>178</v>
      </c>
      <c r="J6" s="1266"/>
      <c r="K6" s="1266"/>
      <c r="L6" s="1267"/>
      <c r="M6" s="1153" t="s">
        <v>1386</v>
      </c>
      <c r="N6" s="1261" t="s">
        <v>1387</v>
      </c>
      <c r="O6" s="1153" t="s">
        <v>1388</v>
      </c>
      <c r="P6" s="1153" t="s">
        <v>178</v>
      </c>
      <c r="Q6" s="1153"/>
    </row>
    <row r="7" spans="1:29" s="424" customFormat="1" ht="16.5">
      <c r="A7" s="1153"/>
      <c r="B7" s="1153"/>
      <c r="C7" s="1153"/>
      <c r="D7" s="1264" t="s">
        <v>1389</v>
      </c>
      <c r="E7" s="1264" t="s">
        <v>57</v>
      </c>
      <c r="F7" s="1153"/>
      <c r="G7" s="1262"/>
      <c r="H7" s="1153"/>
      <c r="I7" s="1264" t="s">
        <v>1389</v>
      </c>
      <c r="J7" s="1264" t="s">
        <v>57</v>
      </c>
      <c r="K7" s="1261" t="s">
        <v>393</v>
      </c>
      <c r="L7" s="1261" t="s">
        <v>1390</v>
      </c>
      <c r="M7" s="1153"/>
      <c r="N7" s="1262"/>
      <c r="O7" s="1153"/>
      <c r="P7" s="1268" t="s">
        <v>1389</v>
      </c>
      <c r="Q7" s="1268" t="s">
        <v>57</v>
      </c>
    </row>
    <row r="8" spans="1:29" s="424" customFormat="1" ht="16.5">
      <c r="A8" s="1153"/>
      <c r="B8" s="1153"/>
      <c r="C8" s="1153"/>
      <c r="D8" s="1264"/>
      <c r="E8" s="1264"/>
      <c r="F8" s="1153"/>
      <c r="G8" s="1262"/>
      <c r="H8" s="1153"/>
      <c r="I8" s="1264"/>
      <c r="J8" s="1264"/>
      <c r="K8" s="1262"/>
      <c r="L8" s="1262"/>
      <c r="M8" s="1153"/>
      <c r="N8" s="1262"/>
      <c r="O8" s="1153"/>
      <c r="P8" s="1269"/>
      <c r="Q8" s="1269"/>
    </row>
    <row r="9" spans="1:29" s="424" customFormat="1" ht="16.5">
      <c r="A9" s="1153"/>
      <c r="B9" s="1153"/>
      <c r="C9" s="1153"/>
      <c r="D9" s="1264"/>
      <c r="E9" s="1264"/>
      <c r="F9" s="1153"/>
      <c r="G9" s="1262"/>
      <c r="H9" s="1153"/>
      <c r="I9" s="1264"/>
      <c r="J9" s="1264"/>
      <c r="K9" s="1262"/>
      <c r="L9" s="1262"/>
      <c r="M9" s="1153"/>
      <c r="N9" s="1262"/>
      <c r="O9" s="1153"/>
      <c r="P9" s="1269"/>
      <c r="Q9" s="1269"/>
    </row>
    <row r="10" spans="1:29" s="424" customFormat="1" ht="24.75" customHeight="1">
      <c r="A10" s="1153"/>
      <c r="B10" s="1153"/>
      <c r="C10" s="1153"/>
      <c r="D10" s="1264"/>
      <c r="E10" s="1264"/>
      <c r="F10" s="1153"/>
      <c r="G10" s="1263"/>
      <c r="H10" s="1153"/>
      <c r="I10" s="1264"/>
      <c r="J10" s="1264"/>
      <c r="K10" s="1263"/>
      <c r="L10" s="1263"/>
      <c r="M10" s="1153"/>
      <c r="N10" s="1262"/>
      <c r="O10" s="1153"/>
      <c r="P10" s="1269"/>
      <c r="Q10" s="1269"/>
      <c r="AA10" s="956"/>
    </row>
    <row r="11" spans="1:29" s="424" customFormat="1" ht="16.5" hidden="1">
      <c r="A11" s="1153"/>
      <c r="B11" s="1153"/>
      <c r="C11" s="1153"/>
      <c r="D11" s="1264"/>
      <c r="E11" s="1264"/>
      <c r="F11" s="983"/>
      <c r="G11" s="984"/>
      <c r="H11" s="1153"/>
      <c r="I11" s="1264"/>
      <c r="J11" s="1264"/>
      <c r="K11" s="984"/>
      <c r="L11" s="984"/>
      <c r="M11" s="1153"/>
      <c r="N11" s="1263"/>
      <c r="O11" s="1153"/>
      <c r="P11" s="1270"/>
      <c r="Q11" s="1270"/>
    </row>
    <row r="12" spans="1:29" s="215" customFormat="1" ht="24.75" customHeight="1">
      <c r="A12" s="963" t="s">
        <v>218</v>
      </c>
      <c r="B12" s="963" t="s">
        <v>219</v>
      </c>
      <c r="C12" s="963">
        <v>1</v>
      </c>
      <c r="D12" s="963">
        <v>2</v>
      </c>
      <c r="E12" s="963">
        <v>3</v>
      </c>
      <c r="F12" s="972">
        <v>4</v>
      </c>
      <c r="G12" s="963">
        <v>5</v>
      </c>
      <c r="H12" s="972">
        <v>6</v>
      </c>
      <c r="I12" s="963">
        <v>7</v>
      </c>
      <c r="J12" s="963">
        <v>8</v>
      </c>
      <c r="K12" s="963">
        <v>9</v>
      </c>
      <c r="L12" s="963">
        <v>10</v>
      </c>
      <c r="M12" s="972" t="s">
        <v>1391</v>
      </c>
      <c r="N12" s="963" t="s">
        <v>1392</v>
      </c>
      <c r="O12" s="972" t="s">
        <v>1393</v>
      </c>
      <c r="P12" s="963" t="s">
        <v>1394</v>
      </c>
      <c r="Q12" s="963" t="s">
        <v>1395</v>
      </c>
      <c r="AB12" s="965"/>
    </row>
    <row r="13" spans="1:29" s="105" customFormat="1" ht="24.75" customHeight="1">
      <c r="A13" s="110"/>
      <c r="B13" s="110" t="s">
        <v>225</v>
      </c>
      <c r="C13" s="1124">
        <f t="shared" ref="C13:K13" si="0">+C14+C27</f>
        <v>126206685921</v>
      </c>
      <c r="D13" s="1124">
        <f t="shared" si="0"/>
        <v>940000000</v>
      </c>
      <c r="E13" s="1124">
        <f t="shared" si="0"/>
        <v>125266685921</v>
      </c>
      <c r="F13" s="1124">
        <f t="shared" si="0"/>
        <v>116441840944</v>
      </c>
      <c r="G13" s="1124">
        <f t="shared" si="0"/>
        <v>575562592</v>
      </c>
      <c r="H13" s="1124">
        <f>+H14+H27</f>
        <v>135447924773.995</v>
      </c>
      <c r="I13" s="1124">
        <f>+I14+I27</f>
        <v>669350000</v>
      </c>
      <c r="J13" s="1124">
        <f>+J14+J27</f>
        <v>130252226719</v>
      </c>
      <c r="K13" s="1124">
        <f t="shared" si="0"/>
        <v>826524624</v>
      </c>
      <c r="L13" s="1124">
        <f>+L14+L27</f>
        <v>3699823431</v>
      </c>
      <c r="M13" s="186">
        <f>F13/C13</f>
        <v>0.92262814837628826</v>
      </c>
      <c r="N13" s="186">
        <f>G13/D13</f>
        <v>0.6123006297872341</v>
      </c>
      <c r="O13" s="186">
        <f>H13/C13</f>
        <v>1.0732230530067133</v>
      </c>
      <c r="P13" s="186">
        <f>I13/D13</f>
        <v>0.71207446808510644</v>
      </c>
      <c r="Q13" s="186">
        <f>J13/E13</f>
        <v>1.0397994148351952</v>
      </c>
      <c r="S13" s="1125">
        <f>H13-F13</f>
        <v>19006083829.994995</v>
      </c>
      <c r="T13" s="1125">
        <v>134764922305.67923</v>
      </c>
      <c r="AA13" s="1125"/>
      <c r="AB13" s="1125"/>
      <c r="AC13" s="1125"/>
    </row>
    <row r="14" spans="1:29" s="105" customFormat="1" ht="24.75" hidden="1" customHeight="1">
      <c r="A14" s="110"/>
      <c r="B14" s="111" t="s">
        <v>1396</v>
      </c>
      <c r="C14" s="1124">
        <f t="shared" ref="C14:L14" si="1">+SUM(C15:C26)</f>
        <v>126206685921</v>
      </c>
      <c r="D14" s="1124">
        <f t="shared" si="1"/>
        <v>940000000</v>
      </c>
      <c r="E14" s="1124">
        <f t="shared" si="1"/>
        <v>125266685921</v>
      </c>
      <c r="F14" s="1124">
        <f t="shared" si="1"/>
        <v>116441840944</v>
      </c>
      <c r="G14" s="1124">
        <f t="shared" si="1"/>
        <v>575562592</v>
      </c>
      <c r="H14" s="1124">
        <f>+SUM(H15:H26)</f>
        <v>135447924773.995</v>
      </c>
      <c r="I14" s="1124">
        <f t="shared" si="1"/>
        <v>669350000</v>
      </c>
      <c r="J14" s="1124">
        <f t="shared" si="1"/>
        <v>130252226719</v>
      </c>
      <c r="K14" s="1124">
        <f t="shared" si="1"/>
        <v>826524624</v>
      </c>
      <c r="L14" s="1124">
        <f t="shared" si="1"/>
        <v>3699823431</v>
      </c>
      <c r="M14" s="186">
        <f t="shared" ref="M14:N26" si="2">F14/C14</f>
        <v>0.92262814837628826</v>
      </c>
      <c r="N14" s="186">
        <f t="shared" si="2"/>
        <v>0.6123006297872341</v>
      </c>
      <c r="O14" s="186">
        <f t="shared" ref="O14:Q26" si="3">H14/C14</f>
        <v>1.0732230530067133</v>
      </c>
      <c r="P14" s="186">
        <f t="shared" si="3"/>
        <v>0.71207446808510644</v>
      </c>
      <c r="Q14" s="186">
        <f t="shared" si="3"/>
        <v>1.0397994148351952</v>
      </c>
      <c r="R14" s="1126"/>
      <c r="S14" s="1125">
        <v>6570816484</v>
      </c>
      <c r="T14" s="1125">
        <f>J15-F15-G15</f>
        <v>1113449686</v>
      </c>
      <c r="AA14" s="1125"/>
      <c r="AB14" s="1125"/>
      <c r="AC14" s="1125"/>
    </row>
    <row r="15" spans="1:29" s="104" customFormat="1" ht="27.95" customHeight="1">
      <c r="A15" s="1127">
        <v>1</v>
      </c>
      <c r="B15" s="113" t="s">
        <v>1397</v>
      </c>
      <c r="C15" s="978">
        <f>SUM(D15:E15)</f>
        <v>6375000000</v>
      </c>
      <c r="D15" s="978">
        <f>270000000+360000000</f>
        <v>630000000</v>
      </c>
      <c r="E15" s="978">
        <f>5958000000-70000000-143000000</f>
        <v>5745000000</v>
      </c>
      <c r="F15" s="978">
        <v>6570821348</v>
      </c>
      <c r="G15" s="978">
        <v>309814966</v>
      </c>
      <c r="H15" s="978">
        <f>SUM(I15:L15)-0.005</f>
        <v>9093231821.9950008</v>
      </c>
      <c r="I15" s="978">
        <v>350000000</v>
      </c>
      <c r="J15" s="978">
        <v>7994086000</v>
      </c>
      <c r="K15" s="978">
        <v>163139440</v>
      </c>
      <c r="L15" s="978">
        <v>586006382</v>
      </c>
      <c r="M15" s="193">
        <f t="shared" si="2"/>
        <v>1.0307170741960785</v>
      </c>
      <c r="N15" s="193">
        <f t="shared" si="2"/>
        <v>0.49176978730158732</v>
      </c>
      <c r="O15" s="193">
        <f t="shared" si="3"/>
        <v>1.4263893054109806</v>
      </c>
      <c r="P15" s="193">
        <f t="shared" si="3"/>
        <v>0.55555555555555558</v>
      </c>
      <c r="Q15" s="193">
        <f t="shared" si="3"/>
        <v>1.3914858137510879</v>
      </c>
      <c r="R15" s="182"/>
      <c r="S15" s="1125">
        <v>8616259222</v>
      </c>
      <c r="T15" s="1125">
        <f t="shared" ref="T15:T26" si="4">J16-F16-G16</f>
        <v>672279663</v>
      </c>
      <c r="U15" s="1128"/>
      <c r="V15" s="207"/>
      <c r="AA15" s="1125"/>
      <c r="AB15" s="1125"/>
      <c r="AC15" s="1125"/>
    </row>
    <row r="16" spans="1:29" s="104" customFormat="1" ht="27.95" customHeight="1">
      <c r="A16" s="1127">
        <v>2</v>
      </c>
      <c r="B16" s="113" t="s">
        <v>1371</v>
      </c>
      <c r="C16" s="978">
        <f t="shared" ref="C16:C27" si="5">SUM(D16:E16)</f>
        <v>9144977678</v>
      </c>
      <c r="D16" s="979">
        <v>30000000</v>
      </c>
      <c r="E16" s="979">
        <f>10044977678-530000000-400000000</f>
        <v>9114977678</v>
      </c>
      <c r="F16" s="978">
        <v>8616272688</v>
      </c>
      <c r="G16" s="978">
        <v>25133927</v>
      </c>
      <c r="H16" s="978">
        <f>SUM(I16:L16)</f>
        <v>9463139370</v>
      </c>
      <c r="I16" s="978">
        <f t="shared" ref="I16:I26" si="6">D16</f>
        <v>30000000</v>
      </c>
      <c r="J16" s="978">
        <f>E16+198708600</f>
        <v>9313686278</v>
      </c>
      <c r="K16" s="978">
        <v>34612009</v>
      </c>
      <c r="L16" s="978">
        <v>84841083</v>
      </c>
      <c r="M16" s="193">
        <f t="shared" si="2"/>
        <v>0.94218630065419395</v>
      </c>
      <c r="N16" s="193">
        <f t="shared" si="2"/>
        <v>0.83779756666666672</v>
      </c>
      <c r="O16" s="193">
        <f t="shared" si="3"/>
        <v>1.0347908658941178</v>
      </c>
      <c r="P16" s="193">
        <f t="shared" si="3"/>
        <v>1</v>
      </c>
      <c r="Q16" s="193">
        <f t="shared" si="3"/>
        <v>1.0218002289220747</v>
      </c>
      <c r="R16" s="182"/>
      <c r="S16" s="1125">
        <v>13418574827</v>
      </c>
      <c r="T16" s="1125">
        <f t="shared" si="4"/>
        <v>785326498</v>
      </c>
      <c r="AA16" s="1125"/>
      <c r="AB16" s="1125"/>
      <c r="AC16" s="1125"/>
    </row>
    <row r="17" spans="1:29" s="104" customFormat="1" ht="27.95" customHeight="1">
      <c r="A17" s="1127">
        <v>3</v>
      </c>
      <c r="B17" s="113" t="s">
        <v>1372</v>
      </c>
      <c r="C17" s="978">
        <f t="shared" si="5"/>
        <v>14107500000</v>
      </c>
      <c r="D17" s="978">
        <v>50000000</v>
      </c>
      <c r="E17" s="978">
        <f>14917500000-340000000-520000000</f>
        <v>14057500000</v>
      </c>
      <c r="F17" s="978">
        <v>13418583803</v>
      </c>
      <c r="G17" s="978">
        <v>19589699</v>
      </c>
      <c r="H17" s="978">
        <f t="shared" ref="H17:H26" si="7">SUM(I17:L17)</f>
        <v>14333952104</v>
      </c>
      <c r="I17" s="978">
        <f t="shared" si="6"/>
        <v>50000000</v>
      </c>
      <c r="J17" s="978">
        <f>E17+166000000</f>
        <v>14223500000</v>
      </c>
      <c r="K17" s="978">
        <v>40719000</v>
      </c>
      <c r="L17" s="978">
        <v>19733104</v>
      </c>
      <c r="M17" s="193">
        <f t="shared" si="2"/>
        <v>0.95116667042353353</v>
      </c>
      <c r="N17" s="193">
        <f t="shared" si="2"/>
        <v>0.39179397999999999</v>
      </c>
      <c r="O17" s="193">
        <f t="shared" si="3"/>
        <v>1.0160518946659578</v>
      </c>
      <c r="P17" s="193">
        <f t="shared" si="3"/>
        <v>1</v>
      </c>
      <c r="Q17" s="193">
        <f t="shared" si="3"/>
        <v>1.0118086430730926</v>
      </c>
      <c r="R17" s="182"/>
      <c r="S17" s="1125">
        <v>10078423232</v>
      </c>
      <c r="T17" s="1125">
        <f t="shared" si="4"/>
        <v>1633806455</v>
      </c>
      <c r="AA17" s="1125"/>
      <c r="AB17" s="1125"/>
      <c r="AC17" s="1125"/>
    </row>
    <row r="18" spans="1:29" s="104" customFormat="1" ht="27.95" customHeight="1">
      <c r="A18" s="1127">
        <v>4</v>
      </c>
      <c r="B18" s="113" t="s">
        <v>1373</v>
      </c>
      <c r="C18" s="978">
        <f t="shared" si="5"/>
        <v>9519500000</v>
      </c>
      <c r="D18" s="978">
        <v>22000000</v>
      </c>
      <c r="E18" s="978">
        <f>10477500000-460000000-520000000</f>
        <v>9497500000</v>
      </c>
      <c r="F18" s="978">
        <v>10078430545</v>
      </c>
      <c r="G18" s="978">
        <v>25263000</v>
      </c>
      <c r="H18" s="978">
        <f t="shared" si="7"/>
        <v>12053127745</v>
      </c>
      <c r="I18" s="978">
        <v>25263000</v>
      </c>
      <c r="J18" s="978">
        <f>E18+2000000000+240000000</f>
        <v>11737500000</v>
      </c>
      <c r="K18" s="978">
        <v>22197200</v>
      </c>
      <c r="L18" s="978">
        <v>268167545</v>
      </c>
      <c r="M18" s="193">
        <f t="shared" si="2"/>
        <v>1.0587142754346341</v>
      </c>
      <c r="N18" s="193">
        <f t="shared" si="2"/>
        <v>1.1483181818181818</v>
      </c>
      <c r="O18" s="193">
        <f t="shared" si="3"/>
        <v>1.2661513467093859</v>
      </c>
      <c r="P18" s="193">
        <f t="shared" si="3"/>
        <v>1.1483181818181818</v>
      </c>
      <c r="Q18" s="193">
        <f t="shared" si="3"/>
        <v>1.2358515398789156</v>
      </c>
      <c r="R18" s="182"/>
      <c r="S18" s="1125">
        <v>10187084710</v>
      </c>
      <c r="T18" s="1125">
        <f t="shared" si="4"/>
        <v>415626895</v>
      </c>
      <c r="AA18" s="1125"/>
      <c r="AB18" s="1125"/>
      <c r="AC18" s="1125"/>
    </row>
    <row r="19" spans="1:29" s="104" customFormat="1" ht="27.95" customHeight="1">
      <c r="A19" s="1127">
        <v>5</v>
      </c>
      <c r="B19" s="113" t="s">
        <v>1374</v>
      </c>
      <c r="C19" s="978">
        <f t="shared" si="5"/>
        <v>10647099334</v>
      </c>
      <c r="D19" s="978">
        <v>22000000</v>
      </c>
      <c r="E19" s="978">
        <f>11405099334-260000000-520000000</f>
        <v>10625099334</v>
      </c>
      <c r="F19" s="978">
        <v>10187091439</v>
      </c>
      <c r="G19" s="978">
        <v>22381000</v>
      </c>
      <c r="H19" s="978">
        <f t="shared" si="7"/>
        <v>10727846877</v>
      </c>
      <c r="I19" s="978">
        <v>22381000</v>
      </c>
      <c r="J19" s="978">
        <f t="shared" ref="J19:J27" si="8">E19</f>
        <v>10625099334</v>
      </c>
      <c r="K19" s="978">
        <v>54055438</v>
      </c>
      <c r="L19" s="978">
        <v>26311105</v>
      </c>
      <c r="M19" s="193">
        <f t="shared" si="2"/>
        <v>0.95679500297972897</v>
      </c>
      <c r="N19" s="193">
        <f t="shared" si="2"/>
        <v>1.0173181818181818</v>
      </c>
      <c r="O19" s="193">
        <f t="shared" si="3"/>
        <v>1.0075839945197227</v>
      </c>
      <c r="P19" s="193">
        <f t="shared" si="3"/>
        <v>1.0173181818181818</v>
      </c>
      <c r="Q19" s="193">
        <f t="shared" si="3"/>
        <v>1</v>
      </c>
      <c r="R19" s="182"/>
      <c r="S19" s="1125">
        <v>10216598040</v>
      </c>
      <c r="T19" s="1125">
        <f t="shared" si="4"/>
        <v>1093456805</v>
      </c>
      <c r="AA19" s="1125"/>
      <c r="AB19" s="1125"/>
      <c r="AC19" s="1125"/>
    </row>
    <row r="20" spans="1:29" s="104" customFormat="1" ht="27.95" customHeight="1">
      <c r="A20" s="1127">
        <v>6</v>
      </c>
      <c r="B20" s="113" t="s">
        <v>1375</v>
      </c>
      <c r="C20" s="978">
        <f t="shared" si="5"/>
        <v>11352234152</v>
      </c>
      <c r="D20" s="978">
        <v>22000000</v>
      </c>
      <c r="E20" s="978">
        <f>11943234152-93000000-520000000</f>
        <v>11330234152</v>
      </c>
      <c r="F20" s="978">
        <v>10216603347</v>
      </c>
      <c r="G20" s="978">
        <v>20174000</v>
      </c>
      <c r="H20" s="978">
        <f t="shared" si="7"/>
        <v>11730588483</v>
      </c>
      <c r="I20" s="978">
        <f t="shared" si="6"/>
        <v>22000000</v>
      </c>
      <c r="J20" s="978">
        <f t="shared" si="8"/>
        <v>11330234152</v>
      </c>
      <c r="K20" s="978">
        <v>22459136</v>
      </c>
      <c r="L20" s="978">
        <v>355895195</v>
      </c>
      <c r="M20" s="193">
        <f t="shared" si="2"/>
        <v>0.89996411368946894</v>
      </c>
      <c r="N20" s="193">
        <f t="shared" si="2"/>
        <v>0.91700000000000004</v>
      </c>
      <c r="O20" s="193">
        <f t="shared" si="3"/>
        <v>1.0333286228890322</v>
      </c>
      <c r="P20" s="193">
        <f t="shared" si="3"/>
        <v>1</v>
      </c>
      <c r="Q20" s="193">
        <f t="shared" si="3"/>
        <v>1</v>
      </c>
      <c r="R20" s="182"/>
      <c r="S20" s="1125">
        <v>9554571423</v>
      </c>
      <c r="T20" s="1125">
        <f t="shared" si="4"/>
        <v>2345875461</v>
      </c>
      <c r="AA20" s="1125"/>
      <c r="AB20" s="1125"/>
      <c r="AC20" s="1125"/>
    </row>
    <row r="21" spans="1:29" s="104" customFormat="1" ht="27.95" customHeight="1">
      <c r="A21" s="1127">
        <v>7</v>
      </c>
      <c r="B21" s="113" t="s">
        <v>1376</v>
      </c>
      <c r="C21" s="978">
        <f t="shared" si="5"/>
        <v>11862600000</v>
      </c>
      <c r="D21" s="978">
        <v>27000000</v>
      </c>
      <c r="E21" s="978">
        <f>12455600000-120000000-500000000</f>
        <v>11835600000</v>
      </c>
      <c r="F21" s="978">
        <v>9554578539</v>
      </c>
      <c r="G21" s="978">
        <v>31646000</v>
      </c>
      <c r="H21" s="978">
        <f t="shared" si="7"/>
        <v>12384286039</v>
      </c>
      <c r="I21" s="978">
        <v>31646000</v>
      </c>
      <c r="J21" s="978">
        <f>E21+96500000</f>
        <v>11932100000</v>
      </c>
      <c r="K21" s="978">
        <v>53607500</v>
      </c>
      <c r="L21" s="978">
        <v>366932539</v>
      </c>
      <c r="M21" s="193">
        <f t="shared" si="2"/>
        <v>0.8054371334277477</v>
      </c>
      <c r="N21" s="193">
        <f t="shared" si="2"/>
        <v>1.172074074074074</v>
      </c>
      <c r="O21" s="193">
        <f t="shared" si="3"/>
        <v>1.0439773775563537</v>
      </c>
      <c r="P21" s="193">
        <f t="shared" si="3"/>
        <v>1.172074074074074</v>
      </c>
      <c r="Q21" s="193">
        <f t="shared" si="3"/>
        <v>1.0081533678056034</v>
      </c>
      <c r="R21" s="182"/>
      <c r="S21" s="1125">
        <v>7424874502</v>
      </c>
      <c r="T21" s="1125">
        <f t="shared" si="4"/>
        <v>518757002</v>
      </c>
      <c r="AA21" s="1125"/>
      <c r="AB21" s="1125"/>
      <c r="AC21" s="1125"/>
    </row>
    <row r="22" spans="1:29" s="104" customFormat="1" ht="27.95" customHeight="1">
      <c r="A22" s="1127">
        <v>8</v>
      </c>
      <c r="B22" s="113" t="s">
        <v>1377</v>
      </c>
      <c r="C22" s="978">
        <f t="shared" si="5"/>
        <v>7822700000</v>
      </c>
      <c r="D22" s="978">
        <v>50000000</v>
      </c>
      <c r="E22" s="978">
        <f>8405700000-133000000-500000000</f>
        <v>7772700000</v>
      </c>
      <c r="F22" s="978">
        <v>7424880196</v>
      </c>
      <c r="G22" s="978">
        <v>50610000</v>
      </c>
      <c r="H22" s="978">
        <f>SUM(I22:L22)</f>
        <v>8433304795</v>
      </c>
      <c r="I22" s="978">
        <v>50610000</v>
      </c>
      <c r="J22" s="978">
        <v>7994247198</v>
      </c>
      <c r="K22" s="978">
        <v>79177401</v>
      </c>
      <c r="L22" s="978">
        <v>309270196</v>
      </c>
      <c r="M22" s="193">
        <f t="shared" si="2"/>
        <v>0.94914546077441297</v>
      </c>
      <c r="N22" s="193">
        <f t="shared" si="2"/>
        <v>1.0122</v>
      </c>
      <c r="O22" s="193">
        <f t="shared" si="3"/>
        <v>1.0780555044933335</v>
      </c>
      <c r="P22" s="193">
        <f t="shared" si="3"/>
        <v>1.0122</v>
      </c>
      <c r="Q22" s="193">
        <f t="shared" si="3"/>
        <v>1.0285032482920993</v>
      </c>
      <c r="R22" s="182"/>
      <c r="S22" s="1125">
        <v>8329786790</v>
      </c>
      <c r="T22" s="1125">
        <f t="shared" si="4"/>
        <v>1116858488</v>
      </c>
      <c r="AA22" s="1125"/>
      <c r="AB22" s="1125"/>
      <c r="AC22" s="1125"/>
    </row>
    <row r="23" spans="1:29" s="104" customFormat="1" ht="27.95" customHeight="1">
      <c r="A23" s="1127">
        <v>9</v>
      </c>
      <c r="B23" s="113" t="s">
        <v>1378</v>
      </c>
      <c r="C23" s="978">
        <f t="shared" si="5"/>
        <v>9491100000</v>
      </c>
      <c r="D23" s="978">
        <v>22000000</v>
      </c>
      <c r="E23" s="978">
        <f>10349100000-390000000-490000000</f>
        <v>9469100000</v>
      </c>
      <c r="F23" s="978">
        <v>8329791512</v>
      </c>
      <c r="G23" s="978">
        <v>22450000</v>
      </c>
      <c r="H23" s="978">
        <f t="shared" si="7"/>
        <v>10243752612</v>
      </c>
      <c r="I23" s="978">
        <v>22450000</v>
      </c>
      <c r="J23" s="978">
        <f t="shared" si="8"/>
        <v>9469100000</v>
      </c>
      <c r="K23" s="978">
        <v>122361100</v>
      </c>
      <c r="L23" s="978">
        <v>629841512</v>
      </c>
      <c r="M23" s="193">
        <f t="shared" si="2"/>
        <v>0.87764237148486479</v>
      </c>
      <c r="N23" s="193">
        <f t="shared" si="2"/>
        <v>1.0204545454545455</v>
      </c>
      <c r="O23" s="193">
        <f t="shared" si="3"/>
        <v>1.0793008831431552</v>
      </c>
      <c r="P23" s="193">
        <f t="shared" si="3"/>
        <v>1.0204545454545455</v>
      </c>
      <c r="Q23" s="193">
        <f t="shared" si="3"/>
        <v>1</v>
      </c>
      <c r="R23" s="182"/>
      <c r="S23" s="1125">
        <v>6365540141</v>
      </c>
      <c r="T23" s="1125">
        <f t="shared" si="4"/>
        <v>1657758700</v>
      </c>
      <c r="AA23" s="1125"/>
      <c r="AB23" s="1125"/>
      <c r="AC23" s="1125"/>
    </row>
    <row r="24" spans="1:29" s="104" customFormat="1" ht="27.95" customHeight="1">
      <c r="A24" s="1127">
        <v>10</v>
      </c>
      <c r="B24" s="113" t="s">
        <v>1379</v>
      </c>
      <c r="C24" s="978">
        <f t="shared" si="5"/>
        <v>8058604972</v>
      </c>
      <c r="D24" s="978">
        <v>20000000</v>
      </c>
      <c r="E24" s="978">
        <f>8608604972-80000000-490000000</f>
        <v>8038604972</v>
      </c>
      <c r="F24" s="978">
        <v>6365546272</v>
      </c>
      <c r="G24" s="978">
        <v>15300000</v>
      </c>
      <c r="H24" s="978">
        <f t="shared" si="7"/>
        <v>8357844272</v>
      </c>
      <c r="I24" s="978">
        <f t="shared" si="6"/>
        <v>20000000</v>
      </c>
      <c r="J24" s="978">
        <f t="shared" si="8"/>
        <v>8038604972</v>
      </c>
      <c r="K24" s="978">
        <v>100898000</v>
      </c>
      <c r="L24" s="978">
        <v>198341300</v>
      </c>
      <c r="M24" s="193">
        <f t="shared" si="2"/>
        <v>0.78990672630280157</v>
      </c>
      <c r="N24" s="193">
        <f t="shared" si="2"/>
        <v>0.76500000000000001</v>
      </c>
      <c r="O24" s="193">
        <f t="shared" si="3"/>
        <v>1.0371328909953672</v>
      </c>
      <c r="P24" s="193">
        <f t="shared" si="3"/>
        <v>1</v>
      </c>
      <c r="Q24" s="193">
        <f t="shared" si="3"/>
        <v>1</v>
      </c>
      <c r="R24" s="182"/>
      <c r="S24" s="1125">
        <v>8824453493</v>
      </c>
      <c r="T24" s="1125">
        <f t="shared" si="4"/>
        <v>463207237</v>
      </c>
      <c r="AA24" s="1125"/>
      <c r="AB24" s="1125"/>
      <c r="AC24" s="1125"/>
    </row>
    <row r="25" spans="1:29" s="104" customFormat="1" ht="27.95" customHeight="1">
      <c r="A25" s="1127">
        <v>11</v>
      </c>
      <c r="B25" s="113" t="s">
        <v>1380</v>
      </c>
      <c r="C25" s="978">
        <f t="shared" si="5"/>
        <v>9407169785</v>
      </c>
      <c r="D25" s="978">
        <v>20000000</v>
      </c>
      <c r="E25" s="978">
        <f>10057169785-180000000-490000000</f>
        <v>9387169785</v>
      </c>
      <c r="F25" s="978">
        <v>8824461548</v>
      </c>
      <c r="G25" s="978">
        <v>13200000</v>
      </c>
      <c r="H25" s="978">
        <f>SUM(I25:L25)</f>
        <v>9558328448</v>
      </c>
      <c r="I25" s="978">
        <f t="shared" si="6"/>
        <v>20000000</v>
      </c>
      <c r="J25" s="978">
        <v>9300868785</v>
      </c>
      <c r="K25" s="978">
        <v>65755900</v>
      </c>
      <c r="L25" s="978">
        <v>171703763</v>
      </c>
      <c r="M25" s="193">
        <f t="shared" si="2"/>
        <v>0.93805700860963037</v>
      </c>
      <c r="N25" s="193">
        <f t="shared" si="2"/>
        <v>0.66</v>
      </c>
      <c r="O25" s="193">
        <f t="shared" si="3"/>
        <v>1.0160684527285802</v>
      </c>
      <c r="P25" s="193">
        <f t="shared" si="3"/>
        <v>1</v>
      </c>
      <c r="Q25" s="193">
        <f t="shared" si="3"/>
        <v>0.99080649418551026</v>
      </c>
      <c r="R25" s="182"/>
      <c r="S25" s="1125">
        <v>16854772982</v>
      </c>
      <c r="T25" s="1125">
        <f t="shared" si="4"/>
        <v>1418420293</v>
      </c>
      <c r="AA25" s="1125"/>
      <c r="AB25" s="1125"/>
      <c r="AC25" s="1125"/>
    </row>
    <row r="26" spans="1:29" s="104" customFormat="1" ht="27.95" customHeight="1">
      <c r="A26" s="1127">
        <v>12</v>
      </c>
      <c r="B26" s="113" t="s">
        <v>1381</v>
      </c>
      <c r="C26" s="978">
        <f t="shared" si="5"/>
        <v>18418200000</v>
      </c>
      <c r="D26" s="978">
        <v>25000000</v>
      </c>
      <c r="E26" s="978">
        <f>19193200000-280000000-520000000</f>
        <v>18393200000</v>
      </c>
      <c r="F26" s="978">
        <v>16854779707</v>
      </c>
      <c r="G26" s="978">
        <v>20000000</v>
      </c>
      <c r="H26" s="978">
        <f t="shared" si="7"/>
        <v>19068522207</v>
      </c>
      <c r="I26" s="978">
        <f t="shared" si="6"/>
        <v>25000000</v>
      </c>
      <c r="J26" s="978">
        <f>E26-100000000</f>
        <v>18293200000</v>
      </c>
      <c r="K26" s="978">
        <v>67542500</v>
      </c>
      <c r="L26" s="978">
        <v>682779707</v>
      </c>
      <c r="M26" s="193">
        <f t="shared" si="2"/>
        <v>0.91511546768956797</v>
      </c>
      <c r="N26" s="193">
        <f t="shared" si="2"/>
        <v>0.8</v>
      </c>
      <c r="O26" s="193">
        <f t="shared" si="3"/>
        <v>1.035308673323126</v>
      </c>
      <c r="P26" s="193">
        <f t="shared" si="3"/>
        <v>1</v>
      </c>
      <c r="Q26" s="193">
        <f t="shared" si="3"/>
        <v>0.9945632081421395</v>
      </c>
      <c r="R26" s="182"/>
      <c r="S26" s="1125">
        <v>0</v>
      </c>
      <c r="T26" s="1125">
        <f t="shared" si="4"/>
        <v>0</v>
      </c>
      <c r="AA26" s="1125"/>
      <c r="AB26" s="1125"/>
      <c r="AC26" s="1125"/>
    </row>
    <row r="27" spans="1:29" s="968" customFormat="1" hidden="1">
      <c r="A27" s="983" t="s">
        <v>223</v>
      </c>
      <c r="B27" s="121" t="s">
        <v>1398</v>
      </c>
      <c r="C27" s="973">
        <f t="shared" si="5"/>
        <v>0</v>
      </c>
      <c r="D27" s="973"/>
      <c r="E27" s="974"/>
      <c r="F27" s="974">
        <v>0</v>
      </c>
      <c r="G27" s="974"/>
      <c r="H27" s="975">
        <f>+I27</f>
        <v>0</v>
      </c>
      <c r="I27" s="975"/>
      <c r="J27" s="610">
        <f t="shared" si="8"/>
        <v>0</v>
      </c>
      <c r="K27" s="974"/>
      <c r="L27" s="974"/>
      <c r="M27" s="974"/>
      <c r="N27" s="974"/>
      <c r="O27" s="967" t="e">
        <f>H27/C27</f>
        <v>#DIV/0!</v>
      </c>
      <c r="P27" s="967" t="e">
        <f>I27/D27</f>
        <v>#DIV/0!</v>
      </c>
      <c r="Q27" s="973"/>
    </row>
    <row r="28" spans="1:29" ht="18.75">
      <c r="A28" s="27"/>
      <c r="B28" s="27"/>
      <c r="C28" s="27"/>
      <c r="D28" s="27"/>
      <c r="E28" s="27"/>
      <c r="F28" s="84"/>
      <c r="G28" s="27"/>
      <c r="H28" s="84"/>
      <c r="I28" s="27"/>
      <c r="J28" s="27"/>
      <c r="K28" s="27"/>
      <c r="L28" s="27"/>
      <c r="M28" s="84"/>
      <c r="N28" s="27"/>
      <c r="O28" s="84"/>
      <c r="P28" s="27"/>
      <c r="Q28" s="27"/>
    </row>
    <row r="29" spans="1:29" ht="18.75">
      <c r="A29" s="27"/>
      <c r="B29" s="27"/>
      <c r="C29" s="27"/>
      <c r="D29" s="27"/>
      <c r="E29" s="27"/>
      <c r="F29" s="976"/>
      <c r="G29" s="27"/>
      <c r="H29" s="84"/>
      <c r="I29" s="27"/>
      <c r="J29" s="27"/>
      <c r="K29" s="27"/>
      <c r="L29" s="27"/>
      <c r="M29" s="84"/>
      <c r="N29" s="27"/>
      <c r="O29" s="84"/>
      <c r="P29" s="27"/>
      <c r="Q29" s="27"/>
    </row>
    <row r="30" spans="1:29" ht="18.75">
      <c r="A30" s="27"/>
      <c r="B30" s="27"/>
      <c r="C30" s="971"/>
      <c r="D30" s="27"/>
      <c r="E30" s="27"/>
      <c r="F30" s="84"/>
      <c r="G30" s="27"/>
      <c r="H30" s="84"/>
      <c r="I30" s="27"/>
      <c r="J30" s="27"/>
      <c r="K30" s="27"/>
      <c r="L30" s="27"/>
      <c r="M30" s="84"/>
      <c r="N30" s="27"/>
      <c r="O30" s="84"/>
      <c r="P30" s="27"/>
      <c r="Q30" s="27"/>
    </row>
    <row r="31" spans="1:29" ht="18.75">
      <c r="A31" s="27"/>
      <c r="B31" s="27"/>
      <c r="C31" s="27"/>
      <c r="D31" s="27"/>
      <c r="E31" s="27"/>
      <c r="F31" s="84"/>
      <c r="G31" s="27"/>
      <c r="H31" s="84"/>
      <c r="I31" s="27"/>
      <c r="J31" s="27"/>
      <c r="K31" s="27"/>
      <c r="L31" s="27"/>
      <c r="M31" s="84"/>
      <c r="N31" s="27"/>
      <c r="O31" s="84"/>
      <c r="P31" s="27"/>
      <c r="Q31" s="27"/>
    </row>
    <row r="32" spans="1:29" ht="18.75">
      <c r="A32" s="27"/>
      <c r="B32" s="27"/>
      <c r="C32" s="27"/>
      <c r="D32" s="27"/>
      <c r="E32" s="27"/>
      <c r="F32" s="84"/>
      <c r="G32" s="27"/>
      <c r="H32" s="84"/>
      <c r="I32" s="977"/>
      <c r="J32" s="27"/>
      <c r="K32" s="27"/>
      <c r="L32" s="27"/>
      <c r="M32" s="84"/>
      <c r="N32" s="27"/>
      <c r="O32" s="84"/>
      <c r="P32" s="27"/>
      <c r="Q32" s="27"/>
    </row>
  </sheetData>
  <mergeCells count="28">
    <mergeCell ref="P7:P11"/>
    <mergeCell ref="Q7:Q11"/>
    <mergeCell ref="M6:M11"/>
    <mergeCell ref="N6:N11"/>
    <mergeCell ref="O6:O11"/>
    <mergeCell ref="P6:Q6"/>
    <mergeCell ref="I6:L6"/>
    <mergeCell ref="D7:D11"/>
    <mergeCell ref="E7:E11"/>
    <mergeCell ref="I7:I11"/>
    <mergeCell ref="J7:J11"/>
    <mergeCell ref="K7:K10"/>
    <mergeCell ref="A1:Q1"/>
    <mergeCell ref="A2:Q2"/>
    <mergeCell ref="A3:Q3"/>
    <mergeCell ref="A4:Q4"/>
    <mergeCell ref="A5:A11"/>
    <mergeCell ref="B5:B11"/>
    <mergeCell ref="C5:E5"/>
    <mergeCell ref="F5:G5"/>
    <mergeCell ref="H5:L5"/>
    <mergeCell ref="M5:Q5"/>
    <mergeCell ref="L7:L10"/>
    <mergeCell ref="C6:C11"/>
    <mergeCell ref="D6:E6"/>
    <mergeCell ref="F6:F10"/>
    <mergeCell ref="G6:G10"/>
    <mergeCell ref="H6:H11"/>
  </mergeCells>
  <pageMargins left="0.70866141732283472" right="0.35433070866141736" top="0.74803149606299213" bottom="0.74803149606299213" header="0.31496062992125984" footer="0.31496062992125984"/>
  <pageSetup paperSize="9" scale="6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30"/>
  <sheetViews>
    <sheetView view="pageBreakPreview" zoomScale="85" zoomScaleNormal="85" zoomScaleSheetLayoutView="85" workbookViewId="0">
      <selection activeCell="I38" sqref="I38"/>
    </sheetView>
  </sheetViews>
  <sheetFormatPr defaultColWidth="10.28515625" defaultRowHeight="15.75"/>
  <cols>
    <col min="1" max="1" width="6.7109375" style="12" customWidth="1"/>
    <col min="2" max="2" width="29.140625" style="12" customWidth="1"/>
    <col min="3" max="3" width="20" style="12" customWidth="1"/>
    <col min="4" max="4" width="19.5703125" style="12" customWidth="1"/>
    <col min="5" max="5" width="19.28515625" style="12" customWidth="1"/>
    <col min="6" max="6" width="20.85546875" style="12" bestFit="1" customWidth="1"/>
    <col min="7" max="7" width="18.28515625" style="12" customWidth="1"/>
    <col min="8" max="8" width="19.28515625" style="12" customWidth="1"/>
    <col min="9" max="9" width="20.5703125" style="12" customWidth="1"/>
    <col min="10" max="10" width="18.5703125" style="12" customWidth="1"/>
    <col min="11" max="11" width="19.28515625" style="12" customWidth="1"/>
    <col min="12" max="12" width="8.7109375" style="12" customWidth="1"/>
    <col min="13" max="13" width="9.42578125" style="12" customWidth="1"/>
    <col min="14" max="14" width="8.7109375" style="12" hidden="1" customWidth="1"/>
    <col min="15" max="15" width="10.28515625" style="12" hidden="1" customWidth="1"/>
    <col min="16" max="16" width="18" style="12" hidden="1" customWidth="1"/>
    <col min="17" max="18" width="0" style="12" hidden="1" customWidth="1"/>
    <col min="19" max="19" width="19.85546875" style="12" hidden="1" customWidth="1"/>
    <col min="20" max="35" width="0" style="12" hidden="1" customWidth="1"/>
    <col min="36" max="36" width="16.5703125" style="12" hidden="1" customWidth="1"/>
    <col min="37" max="37" width="15.140625" style="12" hidden="1" customWidth="1"/>
    <col min="38" max="38" width="0" style="12" hidden="1" customWidth="1"/>
    <col min="39" max="39" width="18.5703125" style="12" hidden="1" customWidth="1"/>
    <col min="40" max="40" width="0" style="12" hidden="1" customWidth="1"/>
    <col min="41" max="41" width="12.140625" style="12" hidden="1" customWidth="1"/>
    <col min="42" max="42" width="0" style="12" hidden="1" customWidth="1"/>
    <col min="43" max="43" width="12.140625" style="12" hidden="1" customWidth="1"/>
    <col min="44" max="48" width="0" style="12" hidden="1" customWidth="1"/>
    <col min="49" max="49" width="11.28515625" style="12" hidden="1" customWidth="1"/>
    <col min="50" max="52" width="0" style="12" hidden="1" customWidth="1"/>
    <col min="53" max="53" width="14.85546875" style="12" hidden="1" customWidth="1"/>
    <col min="54" max="16384" width="10.28515625" style="12"/>
  </cols>
  <sheetData>
    <row r="1" spans="1:56" ht="18.75">
      <c r="A1" s="1141" t="s">
        <v>1354</v>
      </c>
      <c r="B1" s="1141"/>
      <c r="C1" s="1141"/>
      <c r="D1" s="1141"/>
      <c r="E1" s="1141"/>
      <c r="F1" s="1141"/>
      <c r="G1" s="1141"/>
      <c r="H1" s="1141"/>
      <c r="I1" s="1141"/>
      <c r="J1" s="1141"/>
      <c r="K1" s="1141"/>
      <c r="L1" s="1141"/>
      <c r="M1" s="1141"/>
      <c r="N1" s="1141"/>
      <c r="O1" s="1141"/>
    </row>
    <row r="2" spans="1:56" ht="18.75">
      <c r="A2" s="1142" t="s">
        <v>1355</v>
      </c>
      <c r="B2" s="1142"/>
      <c r="C2" s="1142"/>
      <c r="D2" s="1142"/>
      <c r="E2" s="1142"/>
      <c r="F2" s="1142"/>
      <c r="G2" s="1142"/>
      <c r="H2" s="1142"/>
      <c r="I2" s="1142"/>
      <c r="J2" s="1142"/>
      <c r="K2" s="1142"/>
      <c r="L2" s="1142"/>
      <c r="M2" s="1142"/>
      <c r="N2" s="1142"/>
      <c r="O2" s="1142"/>
    </row>
    <row r="3" spans="1:56" ht="18.75">
      <c r="A3" s="1143" t="s">
        <v>1384</v>
      </c>
      <c r="B3" s="1143"/>
      <c r="C3" s="1143"/>
      <c r="D3" s="1143"/>
      <c r="E3" s="1143"/>
      <c r="F3" s="1143"/>
      <c r="G3" s="1143"/>
      <c r="H3" s="1143"/>
      <c r="I3" s="1143"/>
      <c r="J3" s="1143"/>
      <c r="K3" s="1143"/>
      <c r="L3" s="1143"/>
      <c r="M3" s="1143"/>
      <c r="N3" s="1143"/>
      <c r="O3" s="1143"/>
    </row>
    <row r="4" spans="1:56" ht="18.75">
      <c r="A4" s="1257" t="s">
        <v>1474</v>
      </c>
      <c r="B4" s="1257"/>
      <c r="C4" s="1257"/>
      <c r="D4" s="1257"/>
      <c r="E4" s="1257"/>
      <c r="F4" s="1257"/>
      <c r="G4" s="1257"/>
      <c r="H4" s="1257"/>
      <c r="I4" s="1257"/>
      <c r="J4" s="1257"/>
      <c r="K4" s="1257"/>
      <c r="L4" s="1257"/>
      <c r="M4" s="1257"/>
      <c r="N4" s="1257"/>
      <c r="O4" s="1257"/>
    </row>
    <row r="5" spans="1:56" s="424" customFormat="1" ht="16.5">
      <c r="A5" s="1153" t="s">
        <v>214</v>
      </c>
      <c r="B5" s="1153" t="s">
        <v>1356</v>
      </c>
      <c r="C5" s="1153" t="s">
        <v>594</v>
      </c>
      <c r="D5" s="1153"/>
      <c r="E5" s="1153"/>
      <c r="F5" s="1271" t="s">
        <v>1357</v>
      </c>
      <c r="G5" s="1272"/>
      <c r="H5" s="1273"/>
      <c r="I5" s="1153" t="s">
        <v>1080</v>
      </c>
      <c r="J5" s="1153"/>
      <c r="K5" s="1153"/>
      <c r="L5" s="1153" t="s">
        <v>1358</v>
      </c>
      <c r="M5" s="1153" t="s">
        <v>1359</v>
      </c>
      <c r="N5" s="954"/>
      <c r="O5" s="955"/>
    </row>
    <row r="6" spans="1:56" s="424" customFormat="1" ht="31.5">
      <c r="A6" s="1153"/>
      <c r="B6" s="1153"/>
      <c r="C6" s="1153" t="s">
        <v>225</v>
      </c>
      <c r="D6" s="1153" t="s">
        <v>240</v>
      </c>
      <c r="E6" s="1153"/>
      <c r="F6" s="1153" t="s">
        <v>225</v>
      </c>
      <c r="G6" s="1153" t="s">
        <v>240</v>
      </c>
      <c r="H6" s="1153"/>
      <c r="I6" s="1153" t="s">
        <v>225</v>
      </c>
      <c r="J6" s="1153" t="s">
        <v>240</v>
      </c>
      <c r="K6" s="1153"/>
      <c r="L6" s="1153"/>
      <c r="M6" s="1153"/>
      <c r="N6" s="954" t="s">
        <v>178</v>
      </c>
      <c r="O6" s="955"/>
      <c r="BB6" s="956"/>
    </row>
    <row r="7" spans="1:56" s="424" customFormat="1" ht="63">
      <c r="A7" s="1153"/>
      <c r="B7" s="1153"/>
      <c r="C7" s="1153"/>
      <c r="D7" s="1264" t="s">
        <v>231</v>
      </c>
      <c r="E7" s="1264" t="s">
        <v>1360</v>
      </c>
      <c r="F7" s="1153"/>
      <c r="G7" s="1264" t="s">
        <v>231</v>
      </c>
      <c r="H7" s="1264" t="s">
        <v>1360</v>
      </c>
      <c r="I7" s="1153"/>
      <c r="J7" s="1264" t="s">
        <v>231</v>
      </c>
      <c r="K7" s="1264" t="s">
        <v>1360</v>
      </c>
      <c r="L7" s="1153"/>
      <c r="M7" s="1153"/>
      <c r="N7" s="957" t="s">
        <v>1361</v>
      </c>
      <c r="O7" s="958" t="s">
        <v>1362</v>
      </c>
    </row>
    <row r="8" spans="1:56" s="424" customFormat="1" ht="16.5">
      <c r="A8" s="1153"/>
      <c r="B8" s="1153"/>
      <c r="C8" s="1153"/>
      <c r="D8" s="1264"/>
      <c r="E8" s="1264"/>
      <c r="F8" s="1153"/>
      <c r="G8" s="1264"/>
      <c r="H8" s="1264"/>
      <c r="I8" s="1153"/>
      <c r="J8" s="1264"/>
      <c r="K8" s="1264"/>
      <c r="L8" s="1153"/>
      <c r="M8" s="1153"/>
      <c r="N8" s="959"/>
      <c r="O8" s="960"/>
    </row>
    <row r="9" spans="1:56" s="424" customFormat="1" ht="16.5">
      <c r="A9" s="1153"/>
      <c r="B9" s="1153"/>
      <c r="C9" s="1153"/>
      <c r="D9" s="1264"/>
      <c r="E9" s="1264"/>
      <c r="F9" s="1153"/>
      <c r="G9" s="1264"/>
      <c r="H9" s="1264"/>
      <c r="I9" s="1153"/>
      <c r="J9" s="1264"/>
      <c r="K9" s="1264"/>
      <c r="L9" s="1153"/>
      <c r="M9" s="1153"/>
      <c r="N9" s="959"/>
      <c r="O9" s="960"/>
      <c r="AU9" s="956">
        <v>66273239899.026863</v>
      </c>
    </row>
    <row r="10" spans="1:56" s="424" customFormat="1" ht="16.5">
      <c r="A10" s="1153"/>
      <c r="B10" s="1153"/>
      <c r="C10" s="1153"/>
      <c r="D10" s="1264"/>
      <c r="E10" s="1264"/>
      <c r="F10" s="1153"/>
      <c r="G10" s="1264"/>
      <c r="H10" s="1264"/>
      <c r="I10" s="1153"/>
      <c r="J10" s="1264"/>
      <c r="K10" s="1264"/>
      <c r="L10" s="1153"/>
      <c r="M10" s="1153"/>
      <c r="N10" s="959"/>
      <c r="O10" s="960"/>
    </row>
    <row r="11" spans="1:56" s="424" customFormat="1" ht="16.5" hidden="1">
      <c r="A11" s="1153"/>
      <c r="B11" s="1153"/>
      <c r="C11" s="1153"/>
      <c r="D11" s="1264"/>
      <c r="E11" s="1264"/>
      <c r="F11" s="1153"/>
      <c r="G11" s="1264"/>
      <c r="H11" s="1264"/>
      <c r="I11" s="1153"/>
      <c r="J11" s="1264"/>
      <c r="K11" s="1264"/>
      <c r="L11" s="983"/>
      <c r="M11" s="59"/>
      <c r="N11" s="961"/>
      <c r="O11" s="962"/>
    </row>
    <row r="12" spans="1:56" s="215" customFormat="1">
      <c r="A12" s="963" t="s">
        <v>218</v>
      </c>
      <c r="B12" s="963" t="s">
        <v>219</v>
      </c>
      <c r="C12" s="963" t="s">
        <v>1363</v>
      </c>
      <c r="D12" s="963">
        <v>2</v>
      </c>
      <c r="E12" s="963">
        <v>3</v>
      </c>
      <c r="F12" s="963" t="s">
        <v>1364</v>
      </c>
      <c r="G12" s="963">
        <v>5</v>
      </c>
      <c r="H12" s="963">
        <v>6</v>
      </c>
      <c r="I12" s="963" t="s">
        <v>1365</v>
      </c>
      <c r="J12" s="963">
        <v>8</v>
      </c>
      <c r="K12" s="963">
        <v>9</v>
      </c>
      <c r="L12" s="963" t="s">
        <v>1366</v>
      </c>
      <c r="M12" s="963" t="s">
        <v>1367</v>
      </c>
      <c r="N12" s="964" t="s">
        <v>1368</v>
      </c>
      <c r="O12" s="963" t="s">
        <v>1369</v>
      </c>
      <c r="AR12" s="215">
        <v>67593</v>
      </c>
      <c r="AS12" s="965">
        <f>AR12-J13</f>
        <v>-67237917141.995003</v>
      </c>
      <c r="AT12" s="965"/>
      <c r="AU12" s="965">
        <v>68482332407</v>
      </c>
      <c r="AW12" s="965">
        <v>113615.33025800002</v>
      </c>
      <c r="AX12" s="965">
        <f>AW12-I13</f>
        <v>-135447811158.66473</v>
      </c>
      <c r="BC12" s="965"/>
    </row>
    <row r="13" spans="1:56" s="105" customFormat="1" ht="30" customHeight="1">
      <c r="A13" s="288"/>
      <c r="B13" s="288" t="s">
        <v>225</v>
      </c>
      <c r="C13" s="1129">
        <f t="shared" ref="C13:K13" si="0">SUM(C14:C25)</f>
        <v>126206685921</v>
      </c>
      <c r="D13" s="1129">
        <f t="shared" si="0"/>
        <v>59933400000</v>
      </c>
      <c r="E13" s="1129">
        <f t="shared" si="0"/>
        <v>66273285921</v>
      </c>
      <c r="F13" s="1129">
        <f t="shared" si="0"/>
        <v>107373843393</v>
      </c>
      <c r="G13" s="1129">
        <f t="shared" si="0"/>
        <v>53764945533</v>
      </c>
      <c r="H13" s="1129">
        <f t="shared" si="0"/>
        <v>53608897860</v>
      </c>
      <c r="I13" s="1129">
        <f>SUM(I14:I25)</f>
        <v>135447924773.995</v>
      </c>
      <c r="J13" s="1129">
        <f>SUM(J14:J25)</f>
        <v>67237984734.995003</v>
      </c>
      <c r="K13" s="1129">
        <f t="shared" si="0"/>
        <v>68209940039</v>
      </c>
      <c r="L13" s="1130">
        <f>F13/C13</f>
        <v>0.85077777464350379</v>
      </c>
      <c r="M13" s="1130">
        <f>I13/C13</f>
        <v>1.0732230530067133</v>
      </c>
      <c r="N13" s="1131">
        <f t="shared" ref="N13:O25" si="1">J13/D13</f>
        <v>1.121878363900513</v>
      </c>
      <c r="O13" s="186">
        <f t="shared" si="1"/>
        <v>1.0292222437907872</v>
      </c>
      <c r="S13" s="187">
        <v>64594055000</v>
      </c>
      <c r="AQ13" s="1125"/>
      <c r="AR13" s="1125">
        <v>67593</v>
      </c>
      <c r="AS13" s="1125">
        <f>D13-AQ13-AR13</f>
        <v>59933332407</v>
      </c>
      <c r="AT13" s="1125"/>
      <c r="AU13" s="1125">
        <v>134755572306.02686</v>
      </c>
      <c r="AV13" s="1125">
        <v>68482332407</v>
      </c>
      <c r="AW13" s="105">
        <f>AV13/12</f>
        <v>5706861033.916667</v>
      </c>
      <c r="BC13" s="1125"/>
    </row>
    <row r="14" spans="1:56" s="104" customFormat="1" ht="30" customHeight="1">
      <c r="A14" s="289">
        <v>1</v>
      </c>
      <c r="B14" s="290" t="s">
        <v>1370</v>
      </c>
      <c r="C14" s="1132">
        <f>SUM(D14:E14)</f>
        <v>6375000000</v>
      </c>
      <c r="D14" s="1132">
        <f>6354000000-70000000-143000000</f>
        <v>6141000000</v>
      </c>
      <c r="E14" s="1132">
        <v>234000000</v>
      </c>
      <c r="F14" s="1132">
        <f>G14+H14</f>
        <v>6659738346</v>
      </c>
      <c r="G14" s="1132">
        <f>6507927513+2460833</f>
        <v>6510388346</v>
      </c>
      <c r="H14" s="1132">
        <v>149350000</v>
      </c>
      <c r="I14" s="1132">
        <f>J14+K14</f>
        <v>9093231821.9950008</v>
      </c>
      <c r="J14" s="1132">
        <f>'[2]ƯỚC THU SỐ 03'!H15-'[2]ƯỚC CHI SỐ 04'!E14</f>
        <v>8859231821.9950008</v>
      </c>
      <c r="K14" s="1132">
        <f>E14</f>
        <v>234000000</v>
      </c>
      <c r="L14" s="1133">
        <f t="shared" ref="L14:L25" si="2">F14/C14</f>
        <v>1.0446648385882353</v>
      </c>
      <c r="M14" s="1133">
        <f t="shared" ref="M14:M25" si="3">I14/C14</f>
        <v>1.4263893054109806</v>
      </c>
      <c r="N14" s="1134">
        <f t="shared" si="1"/>
        <v>1.4426366751335289</v>
      </c>
      <c r="O14" s="193">
        <f t="shared" si="1"/>
        <v>1</v>
      </c>
      <c r="P14" s="207">
        <v>744314335</v>
      </c>
      <c r="Q14" s="207" t="e">
        <f>D14+#REF!</f>
        <v>#REF!</v>
      </c>
      <c r="AJ14" s="207">
        <f t="shared" ref="AJ14:AJ25" si="4">F14-I14</f>
        <v>-2433493475.9950008</v>
      </c>
      <c r="AK14" s="207">
        <f t="shared" ref="AK14:AK25" si="5">F14-I14</f>
        <v>-2433493475.9950008</v>
      </c>
      <c r="AM14" s="207">
        <v>-6587992574.6608276</v>
      </c>
      <c r="AO14" s="207">
        <v>6587992574.6608276</v>
      </c>
      <c r="AP14" s="207">
        <v>6587992574.6608276</v>
      </c>
      <c r="AQ14" s="207">
        <v>6587992574.6608276</v>
      </c>
      <c r="AR14" s="207">
        <f t="shared" ref="AR14:AR25" si="6">J14-D14</f>
        <v>2718231821.9950008</v>
      </c>
      <c r="AS14" s="207">
        <v>66273239899.026863</v>
      </c>
      <c r="AT14" s="207">
        <f t="shared" ref="AT14:AT25" si="7">I14-F14</f>
        <v>2433493475.9950008</v>
      </c>
      <c r="AU14" s="207"/>
      <c r="AV14" s="207">
        <v>-6587992574.6608276</v>
      </c>
      <c r="AW14" s="1135">
        <f t="shared" ref="AW14:AW25" si="8">I14-F14</f>
        <v>2433493475.9950008</v>
      </c>
      <c r="AX14" s="104">
        <v>129</v>
      </c>
      <c r="AY14" s="1128">
        <f t="shared" ref="AY14:AY25" si="9">D14+AX14</f>
        <v>6141000129</v>
      </c>
      <c r="AZ14" s="207">
        <v>6587992574.6608276</v>
      </c>
      <c r="BA14" s="1136"/>
      <c r="BB14" s="207"/>
      <c r="BD14" s="207"/>
    </row>
    <row r="15" spans="1:56" s="104" customFormat="1" ht="30" customHeight="1">
      <c r="A15" s="289">
        <v>2</v>
      </c>
      <c r="B15" s="290" t="s">
        <v>1371</v>
      </c>
      <c r="C15" s="1132">
        <f t="shared" ref="C15:C25" si="10">SUM(D15:E15)</f>
        <v>9144977678</v>
      </c>
      <c r="D15" s="1132">
        <f>7255900000-530000000-400000000</f>
        <v>6325900000</v>
      </c>
      <c r="E15" s="1132">
        <v>2819077678</v>
      </c>
      <c r="F15" s="1132">
        <f t="shared" ref="F15:F25" si="11">G15+H15</f>
        <v>7490262571</v>
      </c>
      <c r="G15" s="1132">
        <f>5137444992+29852009</f>
        <v>5167297001</v>
      </c>
      <c r="H15" s="1132">
        <v>2322965570</v>
      </c>
      <c r="I15" s="1132">
        <f t="shared" ref="I15:I25" si="12">J15+K15</f>
        <v>9463139370</v>
      </c>
      <c r="J15" s="1132">
        <f>'[2]ƯỚC THU SỐ 03'!H16-'[2]ƯỚC CHI SỐ 04'!E15</f>
        <v>6644061692</v>
      </c>
      <c r="K15" s="1132">
        <f t="shared" ref="K15:K23" si="13">E15</f>
        <v>2819077678</v>
      </c>
      <c r="L15" s="1133">
        <f t="shared" si="2"/>
        <v>0.81905750180443471</v>
      </c>
      <c r="M15" s="1133">
        <f t="shared" si="3"/>
        <v>1.0347908658941178</v>
      </c>
      <c r="N15" s="1134">
        <f t="shared" si="1"/>
        <v>1.0502950871812706</v>
      </c>
      <c r="O15" s="193">
        <f t="shared" si="1"/>
        <v>1</v>
      </c>
      <c r="P15" s="207">
        <v>625010938</v>
      </c>
      <c r="AJ15" s="207">
        <f t="shared" si="4"/>
        <v>-1972876799</v>
      </c>
      <c r="AK15" s="207">
        <f t="shared" si="5"/>
        <v>-1972876799</v>
      </c>
      <c r="AM15" s="207">
        <v>-10074962349.238857</v>
      </c>
      <c r="AO15" s="207">
        <v>10074962349.238857</v>
      </c>
      <c r="AP15" s="207">
        <v>10074962349.238857</v>
      </c>
      <c r="AQ15" s="207">
        <v>10074962349.238857</v>
      </c>
      <c r="AR15" s="207">
        <f t="shared" si="6"/>
        <v>318161692</v>
      </c>
      <c r="AT15" s="207">
        <f t="shared" si="7"/>
        <v>1972876799</v>
      </c>
      <c r="AV15" s="207">
        <v>-10074962349.238857</v>
      </c>
      <c r="AW15" s="1135">
        <f t="shared" si="8"/>
        <v>1972876799</v>
      </c>
      <c r="AX15" s="104">
        <v>129</v>
      </c>
      <c r="AY15" s="1128">
        <f t="shared" si="9"/>
        <v>6325900129</v>
      </c>
      <c r="AZ15" s="207">
        <v>10074962349.238857</v>
      </c>
      <c r="BA15" s="1136">
        <v>10074962349.238857</v>
      </c>
      <c r="BB15" s="207"/>
      <c r="BD15" s="207"/>
    </row>
    <row r="16" spans="1:56" s="104" customFormat="1" ht="30" customHeight="1">
      <c r="A16" s="289">
        <v>3</v>
      </c>
      <c r="B16" s="290" t="s">
        <v>1372</v>
      </c>
      <c r="C16" s="1132">
        <f t="shared" si="10"/>
        <v>14107500000</v>
      </c>
      <c r="D16" s="1132">
        <f>6881500000-340000000-520000000</f>
        <v>6021500000</v>
      </c>
      <c r="E16" s="1132">
        <v>8086000000</v>
      </c>
      <c r="F16" s="1132">
        <f t="shared" si="11"/>
        <v>11941152634</v>
      </c>
      <c r="G16" s="1132">
        <f>4662080634+10769000</f>
        <v>4672849634</v>
      </c>
      <c r="H16" s="1132">
        <v>7268303000</v>
      </c>
      <c r="I16" s="1132">
        <f t="shared" si="12"/>
        <v>14333952104</v>
      </c>
      <c r="J16" s="1132">
        <f>'[2]ƯỚC THU SỐ 03'!H17-'[2]ƯỚC CHI SỐ 04'!E16-166000000</f>
        <v>6081952104</v>
      </c>
      <c r="K16" s="1132">
        <f>E16+166000000</f>
        <v>8252000000</v>
      </c>
      <c r="L16" s="1133">
        <f t="shared" si="2"/>
        <v>0.84644002367534998</v>
      </c>
      <c r="M16" s="1133">
        <f t="shared" si="3"/>
        <v>1.0160518946659578</v>
      </c>
      <c r="N16" s="1134">
        <f t="shared" si="1"/>
        <v>1.0100393762351574</v>
      </c>
      <c r="O16" s="193">
        <f t="shared" si="1"/>
        <v>1.0205293099183774</v>
      </c>
      <c r="P16" s="207">
        <v>1261109500</v>
      </c>
      <c r="S16" s="183">
        <f>I13-S13</f>
        <v>70853869773.994995</v>
      </c>
      <c r="AJ16" s="207">
        <f t="shared" si="4"/>
        <v>-2392799470</v>
      </c>
      <c r="AK16" s="207">
        <f t="shared" si="5"/>
        <v>-2392799470</v>
      </c>
      <c r="AM16" s="207">
        <v>-14967489084.726757</v>
      </c>
      <c r="AO16" s="207">
        <v>14967489084.726757</v>
      </c>
      <c r="AP16" s="207">
        <v>14967489084.726757</v>
      </c>
      <c r="AQ16" s="207">
        <v>14967489084.726757</v>
      </c>
      <c r="AR16" s="207">
        <f t="shared" si="6"/>
        <v>60452104</v>
      </c>
      <c r="AT16" s="207">
        <f t="shared" si="7"/>
        <v>2392799470</v>
      </c>
      <c r="AV16" s="207">
        <v>-14967489084.726757</v>
      </c>
      <c r="AW16" s="1135">
        <f t="shared" si="8"/>
        <v>2392799470</v>
      </c>
      <c r="AX16" s="104">
        <v>129</v>
      </c>
      <c r="AY16" s="1128">
        <f t="shared" si="9"/>
        <v>6021500129</v>
      </c>
      <c r="AZ16" s="207">
        <v>14967489084.726757</v>
      </c>
      <c r="BA16" s="1136">
        <v>14967489084.726757</v>
      </c>
      <c r="BB16" s="207"/>
      <c r="BD16" s="207"/>
    </row>
    <row r="17" spans="1:56" s="104" customFormat="1" ht="30" customHeight="1">
      <c r="A17" s="289">
        <v>4</v>
      </c>
      <c r="B17" s="290" t="s">
        <v>1373</v>
      </c>
      <c r="C17" s="1132">
        <f t="shared" si="10"/>
        <v>9519500000</v>
      </c>
      <c r="D17" s="1132">
        <f>5614500000-460000000-520000000</f>
        <v>4634500000</v>
      </c>
      <c r="E17" s="1132">
        <v>4885000000</v>
      </c>
      <c r="F17" s="1132">
        <f t="shared" si="11"/>
        <v>9921565571</v>
      </c>
      <c r="G17" s="1132">
        <f>4288934026+22197200</f>
        <v>4311131226</v>
      </c>
      <c r="H17" s="1132">
        <v>5610434345</v>
      </c>
      <c r="I17" s="1132">
        <f t="shared" si="12"/>
        <v>12053127745</v>
      </c>
      <c r="J17" s="1132">
        <f>'[2]ƯỚC THU SỐ 03'!H18-'[2]ƯỚC CHI SỐ 04'!E17-2000000000-240000000</f>
        <v>4928127745</v>
      </c>
      <c r="K17" s="1132">
        <f>E17+2000000000+240000000</f>
        <v>7125000000</v>
      </c>
      <c r="L17" s="1133">
        <f t="shared" si="2"/>
        <v>1.0422359967435264</v>
      </c>
      <c r="M17" s="1133">
        <f t="shared" si="3"/>
        <v>1.2661513467093859</v>
      </c>
      <c r="N17" s="1134">
        <f t="shared" si="1"/>
        <v>1.0633569414176287</v>
      </c>
      <c r="O17" s="193">
        <f t="shared" si="1"/>
        <v>1.458546571136131</v>
      </c>
      <c r="P17" s="207">
        <v>813084239</v>
      </c>
      <c r="AJ17" s="207">
        <f t="shared" si="4"/>
        <v>-2131562174</v>
      </c>
      <c r="AK17" s="207">
        <f t="shared" si="5"/>
        <v>-2131562174</v>
      </c>
      <c r="AM17" s="207">
        <v>-10499489831.256851</v>
      </c>
      <c r="AO17" s="207">
        <v>10499489831.256851</v>
      </c>
      <c r="AP17" s="207">
        <v>10499489831.256851</v>
      </c>
      <c r="AQ17" s="207">
        <v>10499489831.256851</v>
      </c>
      <c r="AR17" s="207">
        <f t="shared" si="6"/>
        <v>293627745</v>
      </c>
      <c r="AT17" s="207">
        <f t="shared" si="7"/>
        <v>2131562174</v>
      </c>
      <c r="AV17" s="207">
        <v>-10499489831.256851</v>
      </c>
      <c r="AW17" s="1135">
        <f t="shared" si="8"/>
        <v>2131562174</v>
      </c>
      <c r="AX17" s="104">
        <v>129</v>
      </c>
      <c r="AY17" s="1128">
        <f t="shared" si="9"/>
        <v>4634500129</v>
      </c>
      <c r="AZ17" s="207">
        <v>10499489831.256851</v>
      </c>
      <c r="BA17" s="1136">
        <v>10499489831.256851</v>
      </c>
      <c r="BB17" s="207"/>
      <c r="BD17" s="207"/>
    </row>
    <row r="18" spans="1:56" s="104" customFormat="1" ht="30" customHeight="1">
      <c r="A18" s="289">
        <v>5</v>
      </c>
      <c r="B18" s="290" t="s">
        <v>1374</v>
      </c>
      <c r="C18" s="1132">
        <f t="shared" si="10"/>
        <v>10647099334</v>
      </c>
      <c r="D18" s="1132">
        <f>5718700000-260000000-520000000</f>
        <v>4938700000</v>
      </c>
      <c r="E18" s="1132">
        <v>5708399334</v>
      </c>
      <c r="F18" s="1132">
        <f t="shared" si="11"/>
        <v>9067644303</v>
      </c>
      <c r="G18" s="1132">
        <f>4485370303</f>
        <v>4485370303</v>
      </c>
      <c r="H18" s="1132">
        <v>4582274000</v>
      </c>
      <c r="I18" s="1132">
        <f t="shared" si="12"/>
        <v>10727846877</v>
      </c>
      <c r="J18" s="1132">
        <f>'[2]ƯỚC THU SỐ 03'!H19-'[2]ƯỚC CHI SỐ 04'!E18</f>
        <v>5019447543</v>
      </c>
      <c r="K18" s="1132">
        <f t="shared" si="13"/>
        <v>5708399334</v>
      </c>
      <c r="L18" s="1133">
        <f t="shared" si="2"/>
        <v>0.85165395931300891</v>
      </c>
      <c r="M18" s="1133">
        <f t="shared" si="3"/>
        <v>1.0075839945197227</v>
      </c>
      <c r="N18" s="1134">
        <f t="shared" si="1"/>
        <v>1.0163499590985483</v>
      </c>
      <c r="O18" s="193">
        <f t="shared" si="1"/>
        <v>1</v>
      </c>
      <c r="P18" s="207">
        <v>972758381</v>
      </c>
      <c r="S18" s="1137">
        <v>81781</v>
      </c>
      <c r="AJ18" s="207">
        <f t="shared" si="4"/>
        <v>-1660202574</v>
      </c>
      <c r="AK18" s="207">
        <f t="shared" si="5"/>
        <v>-1660202574</v>
      </c>
      <c r="AM18" s="207">
        <v>-11427090315.539034</v>
      </c>
      <c r="AO18" s="207">
        <v>11427090315.539034</v>
      </c>
      <c r="AP18" s="207">
        <v>11427090315.539034</v>
      </c>
      <c r="AQ18" s="207">
        <v>11427090315.539034</v>
      </c>
      <c r="AR18" s="207">
        <f t="shared" si="6"/>
        <v>80747543</v>
      </c>
      <c r="AT18" s="207">
        <f t="shared" si="7"/>
        <v>1660202574</v>
      </c>
      <c r="AV18" s="207">
        <v>-11427090315.539034</v>
      </c>
      <c r="AW18" s="1135">
        <f t="shared" si="8"/>
        <v>1660202574</v>
      </c>
      <c r="AX18" s="104">
        <v>129</v>
      </c>
      <c r="AY18" s="1128">
        <f t="shared" si="9"/>
        <v>4938700129</v>
      </c>
      <c r="AZ18" s="207">
        <v>11427090315.539034</v>
      </c>
      <c r="BA18" s="1136">
        <v>11427090315.539034</v>
      </c>
      <c r="BB18" s="207"/>
      <c r="BD18" s="207"/>
    </row>
    <row r="19" spans="1:56" s="104" customFormat="1" ht="30" customHeight="1">
      <c r="A19" s="289">
        <v>6</v>
      </c>
      <c r="B19" s="290" t="s">
        <v>1375</v>
      </c>
      <c r="C19" s="1132">
        <f t="shared" si="10"/>
        <v>11352234152</v>
      </c>
      <c r="D19" s="1132">
        <f>4796000000-93000000-520000000</f>
        <v>4183000000</v>
      </c>
      <c r="E19" s="1132">
        <v>7169234152</v>
      </c>
      <c r="F19" s="1132">
        <f t="shared" si="11"/>
        <v>10026626323</v>
      </c>
      <c r="G19" s="1132">
        <f>4121977384+12697659</f>
        <v>4134675043</v>
      </c>
      <c r="H19" s="1132">
        <f>5891951280</f>
        <v>5891951280</v>
      </c>
      <c r="I19" s="1132">
        <f t="shared" si="12"/>
        <v>11730588483</v>
      </c>
      <c r="J19" s="1132">
        <f>'[2]ƯỚC THU SỐ 03'!H20-'[2]ƯỚC CHI SỐ 04'!E19</f>
        <v>4561354331</v>
      </c>
      <c r="K19" s="1132">
        <f t="shared" si="13"/>
        <v>7169234152</v>
      </c>
      <c r="L19" s="1133">
        <f t="shared" si="2"/>
        <v>0.88322934399952813</v>
      </c>
      <c r="M19" s="1133">
        <f t="shared" si="3"/>
        <v>1.0333286228890322</v>
      </c>
      <c r="N19" s="1134">
        <f t="shared" si="1"/>
        <v>1.0904504735835525</v>
      </c>
      <c r="O19" s="193">
        <f t="shared" si="1"/>
        <v>1</v>
      </c>
      <c r="P19" s="207">
        <v>1015497634</v>
      </c>
      <c r="S19" s="207">
        <f>S18-63728</f>
        <v>18053</v>
      </c>
      <c r="AJ19" s="207">
        <f t="shared" si="4"/>
        <v>-1703962160</v>
      </c>
      <c r="AK19" s="207">
        <f t="shared" si="5"/>
        <v>-1703962160</v>
      </c>
      <c r="AM19" s="207">
        <v>-11965225666.307812</v>
      </c>
      <c r="AO19" s="207">
        <v>11965225666.307812</v>
      </c>
      <c r="AP19" s="207">
        <v>11965225666.307812</v>
      </c>
      <c r="AQ19" s="207">
        <v>11965225666.307812</v>
      </c>
      <c r="AR19" s="207">
        <f t="shared" si="6"/>
        <v>378354331</v>
      </c>
      <c r="AT19" s="207">
        <f t="shared" si="7"/>
        <v>1703962160</v>
      </c>
      <c r="AV19" s="207">
        <v>-11965225666.307812</v>
      </c>
      <c r="AW19" s="1135">
        <f t="shared" si="8"/>
        <v>1703962160</v>
      </c>
      <c r="AX19" s="104">
        <v>129</v>
      </c>
      <c r="AY19" s="1128">
        <f t="shared" si="9"/>
        <v>4183000129</v>
      </c>
      <c r="AZ19" s="207">
        <v>11965225666.307812</v>
      </c>
      <c r="BA19" s="1136">
        <v>11965225666.307812</v>
      </c>
      <c r="BB19" s="207"/>
      <c r="BD19" s="207"/>
    </row>
    <row r="20" spans="1:56" s="104" customFormat="1" ht="30" customHeight="1">
      <c r="A20" s="289">
        <v>7</v>
      </c>
      <c r="B20" s="290" t="s">
        <v>1376</v>
      </c>
      <c r="C20" s="1132">
        <f t="shared" si="10"/>
        <v>11862600000</v>
      </c>
      <c r="D20" s="1132">
        <f>5751600000-120000000-500000000</f>
        <v>5131600000</v>
      </c>
      <c r="E20" s="1132">
        <v>6731000000</v>
      </c>
      <c r="F20" s="1132">
        <f t="shared" si="11"/>
        <v>8358586623</v>
      </c>
      <c r="G20" s="1132">
        <f>4358027623+53607500</f>
        <v>4411635123</v>
      </c>
      <c r="H20" s="1132">
        <v>3946951500</v>
      </c>
      <c r="I20" s="1132">
        <f t="shared" si="12"/>
        <v>12384286039</v>
      </c>
      <c r="J20" s="1132">
        <f>'[2]ƯỚC THU SỐ 03'!H21-'[2]ƯỚC CHI SỐ 04'!E20-96500000</f>
        <v>5556786039</v>
      </c>
      <c r="K20" s="1132">
        <f>E20+96500000</f>
        <v>6827500000</v>
      </c>
      <c r="L20" s="1133">
        <f t="shared" si="2"/>
        <v>0.70461674700318644</v>
      </c>
      <c r="M20" s="1133">
        <f t="shared" si="3"/>
        <v>1.0439773775563537</v>
      </c>
      <c r="N20" s="1134">
        <f t="shared" si="1"/>
        <v>1.0828564266505574</v>
      </c>
      <c r="O20" s="193">
        <f t="shared" si="1"/>
        <v>1.014336651314812</v>
      </c>
      <c r="P20" s="207">
        <v>369325781</v>
      </c>
      <c r="AJ20" s="207">
        <f t="shared" si="4"/>
        <v>-4025699416</v>
      </c>
      <c r="AK20" s="207">
        <f t="shared" si="5"/>
        <v>-4025699416</v>
      </c>
      <c r="AM20" s="207">
        <v>-12482590974.141544</v>
      </c>
      <c r="AO20" s="207">
        <v>12482590974.141544</v>
      </c>
      <c r="AP20" s="207">
        <v>12482590974.141544</v>
      </c>
      <c r="AQ20" s="207">
        <v>12482590974.141544</v>
      </c>
      <c r="AR20" s="207">
        <f t="shared" si="6"/>
        <v>425186039</v>
      </c>
      <c r="AT20" s="207">
        <f t="shared" si="7"/>
        <v>4025699416</v>
      </c>
      <c r="AV20" s="207">
        <v>-12482590974.141544</v>
      </c>
      <c r="AW20" s="1135">
        <f t="shared" si="8"/>
        <v>4025699416</v>
      </c>
      <c r="AX20" s="104">
        <v>129</v>
      </c>
      <c r="AY20" s="1128">
        <f t="shared" si="9"/>
        <v>5131600129</v>
      </c>
      <c r="AZ20" s="207">
        <v>12482590974.141544</v>
      </c>
      <c r="BA20" s="1136">
        <v>12482590974.141544</v>
      </c>
      <c r="BB20" s="207"/>
      <c r="BD20" s="207"/>
    </row>
    <row r="21" spans="1:56" s="104" customFormat="1" ht="30" customHeight="1">
      <c r="A21" s="289">
        <v>8</v>
      </c>
      <c r="B21" s="290" t="s">
        <v>1377</v>
      </c>
      <c r="C21" s="1132">
        <f t="shared" si="10"/>
        <v>7822700000</v>
      </c>
      <c r="D21" s="1132">
        <f>4810700000-133000000-500000000</f>
        <v>4177700000</v>
      </c>
      <c r="E21" s="1132">
        <v>3645000000</v>
      </c>
      <c r="F21" s="1132">
        <f t="shared" si="11"/>
        <v>7181991374</v>
      </c>
      <c r="G21" s="1132">
        <f>4056578581+75677401</f>
        <v>4132255982</v>
      </c>
      <c r="H21" s="1132">
        <v>3049735392</v>
      </c>
      <c r="I21" s="1132">
        <f t="shared" si="12"/>
        <v>8433304795</v>
      </c>
      <c r="J21" s="1132">
        <f>'[2]ƯỚC THU SỐ 03'!H22-'[2]ƯỚC CHI SỐ 04'!E21</f>
        <v>4788304795</v>
      </c>
      <c r="K21" s="1132">
        <f t="shared" si="13"/>
        <v>3645000000</v>
      </c>
      <c r="L21" s="1133">
        <f t="shared" si="2"/>
        <v>0.91809622943484981</v>
      </c>
      <c r="M21" s="1133">
        <f t="shared" si="3"/>
        <v>1.0780555044933335</v>
      </c>
      <c r="N21" s="1134">
        <f t="shared" si="1"/>
        <v>1.1461581240874166</v>
      </c>
      <c r="O21" s="193">
        <f t="shared" si="1"/>
        <v>1</v>
      </c>
      <c r="P21" s="207">
        <v>2088146609</v>
      </c>
      <c r="AJ21" s="207">
        <f t="shared" si="4"/>
        <v>-1251313421</v>
      </c>
      <c r="AK21" s="207">
        <f t="shared" si="5"/>
        <v>-1251313421</v>
      </c>
      <c r="AM21" s="207">
        <v>-8455691869.2589912</v>
      </c>
      <c r="AO21" s="207">
        <v>8455691869.2589912</v>
      </c>
      <c r="AP21" s="207">
        <v>8455691869.2589912</v>
      </c>
      <c r="AQ21" s="207">
        <v>8455691869.2589912</v>
      </c>
      <c r="AR21" s="207">
        <f t="shared" si="6"/>
        <v>610604795</v>
      </c>
      <c r="AT21" s="207">
        <f t="shared" si="7"/>
        <v>1251313421</v>
      </c>
      <c r="AV21" s="207">
        <v>-8455691869.2589912</v>
      </c>
      <c r="AW21" s="1135">
        <f t="shared" si="8"/>
        <v>1251313421</v>
      </c>
      <c r="AX21" s="104">
        <v>129</v>
      </c>
      <c r="AY21" s="1128">
        <f t="shared" si="9"/>
        <v>4177700129</v>
      </c>
      <c r="AZ21" s="207">
        <v>8455691869.2589912</v>
      </c>
      <c r="BA21" s="1136">
        <v>8455691869.2589912</v>
      </c>
      <c r="BB21" s="207"/>
      <c r="BD21" s="207"/>
    </row>
    <row r="22" spans="1:56" s="104" customFormat="1" ht="30" customHeight="1">
      <c r="A22" s="289">
        <v>9</v>
      </c>
      <c r="B22" s="290" t="s">
        <v>1378</v>
      </c>
      <c r="C22" s="1132">
        <f t="shared" si="10"/>
        <v>9491100000</v>
      </c>
      <c r="D22" s="1132">
        <f>5577100000-390000000-490000000</f>
        <v>4697100000</v>
      </c>
      <c r="E22" s="1132">
        <v>4794000000</v>
      </c>
      <c r="F22" s="1132">
        <f t="shared" si="11"/>
        <v>7672186197</v>
      </c>
      <c r="G22" s="1132">
        <f>4021046080+122361100</f>
        <v>4143407180</v>
      </c>
      <c r="H22" s="1132">
        <v>3528779017</v>
      </c>
      <c r="I22" s="1132">
        <f t="shared" si="12"/>
        <v>10243752612</v>
      </c>
      <c r="J22" s="1132">
        <f>'[2]ƯỚC THU SỐ 03'!H23-'[2]ƯỚC CHI SỐ 04'!E22</f>
        <v>5449752612</v>
      </c>
      <c r="K22" s="1132">
        <f t="shared" si="13"/>
        <v>4794000000</v>
      </c>
      <c r="L22" s="1133">
        <f t="shared" si="2"/>
        <v>0.80835584884786804</v>
      </c>
      <c r="M22" s="1133">
        <f t="shared" si="3"/>
        <v>1.0793008831431552</v>
      </c>
      <c r="N22" s="1134">
        <f t="shared" si="1"/>
        <v>1.1602377237018586</v>
      </c>
      <c r="O22" s="193">
        <f t="shared" si="1"/>
        <v>1</v>
      </c>
      <c r="P22" s="207">
        <v>1335294600</v>
      </c>
      <c r="AJ22" s="207">
        <f t="shared" si="4"/>
        <v>-2571566415</v>
      </c>
      <c r="AK22" s="207">
        <f t="shared" si="5"/>
        <v>-2571566415</v>
      </c>
      <c r="AM22" s="207">
        <v>-10371092066.542101</v>
      </c>
      <c r="AO22" s="207">
        <v>10371092066.542101</v>
      </c>
      <c r="AP22" s="207">
        <v>10371092066.542101</v>
      </c>
      <c r="AQ22" s="207">
        <v>10371092066.542101</v>
      </c>
      <c r="AR22" s="207">
        <f t="shared" si="6"/>
        <v>752652612</v>
      </c>
      <c r="AT22" s="207">
        <f t="shared" si="7"/>
        <v>2571566415</v>
      </c>
      <c r="AV22" s="207">
        <v>-10371092066.542101</v>
      </c>
      <c r="AW22" s="1135">
        <f t="shared" si="8"/>
        <v>2571566415</v>
      </c>
      <c r="AX22" s="104">
        <v>129</v>
      </c>
      <c r="AY22" s="1128">
        <f t="shared" si="9"/>
        <v>4697100129</v>
      </c>
      <c r="AZ22" s="207">
        <v>10371092066.542101</v>
      </c>
      <c r="BA22" s="1136">
        <v>10371092066.542101</v>
      </c>
      <c r="BB22" s="207"/>
      <c r="BD22" s="207"/>
    </row>
    <row r="23" spans="1:56" s="104" customFormat="1" ht="30" customHeight="1">
      <c r="A23" s="289">
        <v>10</v>
      </c>
      <c r="B23" s="290" t="s">
        <v>1379</v>
      </c>
      <c r="C23" s="1132">
        <f t="shared" si="10"/>
        <v>8058604972</v>
      </c>
      <c r="D23" s="1132">
        <f>4991700000-80000000-490000000</f>
        <v>4421700000</v>
      </c>
      <c r="E23" s="1132">
        <v>3636904972</v>
      </c>
      <c r="F23" s="1132">
        <f t="shared" si="11"/>
        <v>5914735694</v>
      </c>
      <c r="G23" s="1132">
        <f>3061935194+100898000</f>
        <v>3162833194</v>
      </c>
      <c r="H23" s="1132">
        <v>2751902500</v>
      </c>
      <c r="I23" s="1132">
        <f t="shared" si="12"/>
        <v>8357844272</v>
      </c>
      <c r="J23" s="1132">
        <f>'[2]ƯỚC THU SỐ 03'!H24-'[2]ƯỚC CHI SỐ 04'!E23</f>
        <v>4720939300</v>
      </c>
      <c r="K23" s="1132">
        <f t="shared" si="13"/>
        <v>3636904972</v>
      </c>
      <c r="L23" s="1133">
        <f t="shared" si="2"/>
        <v>0.73396521042426399</v>
      </c>
      <c r="M23" s="1133">
        <f t="shared" si="3"/>
        <v>1.0371328909953672</v>
      </c>
      <c r="N23" s="1134">
        <f t="shared" si="1"/>
        <v>1.0676751701834135</v>
      </c>
      <c r="O23" s="193">
        <f t="shared" si="1"/>
        <v>1</v>
      </c>
      <c r="P23" s="207">
        <v>610851600</v>
      </c>
      <c r="AJ23" s="207">
        <f t="shared" si="4"/>
        <v>-2443108578</v>
      </c>
      <c r="AK23" s="207">
        <f t="shared" si="5"/>
        <v>-2443108578</v>
      </c>
      <c r="AM23" s="207">
        <v>-8628596497.3421993</v>
      </c>
      <c r="AO23" s="207">
        <v>8628596497.3421993</v>
      </c>
      <c r="AP23" s="207">
        <v>8628596497.3421993</v>
      </c>
      <c r="AQ23" s="207">
        <v>8628596497.3421993</v>
      </c>
      <c r="AR23" s="207">
        <f t="shared" si="6"/>
        <v>299239300</v>
      </c>
      <c r="AT23" s="207">
        <f t="shared" si="7"/>
        <v>2443108578</v>
      </c>
      <c r="AV23" s="207">
        <v>-8628596497.3421993</v>
      </c>
      <c r="AW23" s="1135">
        <f t="shared" si="8"/>
        <v>2443108578</v>
      </c>
      <c r="AX23" s="104">
        <v>129</v>
      </c>
      <c r="AY23" s="1128">
        <f t="shared" si="9"/>
        <v>4421700129</v>
      </c>
      <c r="AZ23" s="207">
        <v>8628596497.3421993</v>
      </c>
      <c r="BA23" s="1136">
        <v>8628596497.3421993</v>
      </c>
      <c r="BB23" s="207"/>
      <c r="BD23" s="207"/>
    </row>
    <row r="24" spans="1:56" s="104" customFormat="1" ht="30" customHeight="1">
      <c r="A24" s="289">
        <v>11</v>
      </c>
      <c r="B24" s="290" t="s">
        <v>1380</v>
      </c>
      <c r="C24" s="1132">
        <f t="shared" si="10"/>
        <v>9407169785</v>
      </c>
      <c r="D24" s="1132">
        <f>5048500000-180000000-490000000</f>
        <v>4378500000</v>
      </c>
      <c r="E24" s="1132">
        <v>5028669785</v>
      </c>
      <c r="F24" s="1132">
        <f>G24+H24</f>
        <v>7656723951</v>
      </c>
      <c r="G24" s="1132">
        <f>3947287251+24244900</f>
        <v>3971532151</v>
      </c>
      <c r="H24" s="1132">
        <v>3685191800</v>
      </c>
      <c r="I24" s="1132">
        <f t="shared" si="12"/>
        <v>9558328448</v>
      </c>
      <c r="J24" s="287">
        <v>4995504545</v>
      </c>
      <c r="K24" s="1132">
        <v>4562823903</v>
      </c>
      <c r="L24" s="1133">
        <f t="shared" si="2"/>
        <v>0.81392428604922862</v>
      </c>
      <c r="M24" s="1133">
        <f t="shared" si="3"/>
        <v>1.0160684527285802</v>
      </c>
      <c r="N24" s="1134">
        <f t="shared" si="1"/>
        <v>1.1409168767842868</v>
      </c>
      <c r="O24" s="193">
        <f t="shared" si="1"/>
        <v>0.9073620058748797</v>
      </c>
      <c r="P24" s="207">
        <v>1147707974</v>
      </c>
      <c r="AJ24" s="207">
        <f t="shared" si="4"/>
        <v>-1901604497</v>
      </c>
      <c r="AK24" s="207">
        <f t="shared" si="5"/>
        <v>-1901604497</v>
      </c>
      <c r="AM24" s="207">
        <v>-10077159833.526567</v>
      </c>
      <c r="AO24" s="207">
        <v>10077159833.526567</v>
      </c>
      <c r="AP24" s="207">
        <v>10077159833.526567</v>
      </c>
      <c r="AQ24" s="1138">
        <v>10077159833.526567</v>
      </c>
      <c r="AR24" s="207">
        <f t="shared" si="6"/>
        <v>617004545</v>
      </c>
      <c r="AT24" s="207">
        <f t="shared" si="7"/>
        <v>1901604497</v>
      </c>
      <c r="AV24" s="207">
        <v>-10077159833.526567</v>
      </c>
      <c r="AW24" s="1135">
        <f t="shared" si="8"/>
        <v>1901604497</v>
      </c>
      <c r="AX24" s="104">
        <v>129</v>
      </c>
      <c r="AY24" s="1128">
        <f t="shared" si="9"/>
        <v>4378500129</v>
      </c>
      <c r="AZ24" s="207">
        <v>10077159833.526567</v>
      </c>
      <c r="BA24" s="1136">
        <v>10077159833.526567</v>
      </c>
      <c r="BB24" s="207"/>
      <c r="BD24" s="207"/>
    </row>
    <row r="25" spans="1:56" s="104" customFormat="1" ht="30" customHeight="1">
      <c r="A25" s="289">
        <v>12</v>
      </c>
      <c r="B25" s="290" t="s">
        <v>1381</v>
      </c>
      <c r="C25" s="1132">
        <f t="shared" si="10"/>
        <v>18418200000</v>
      </c>
      <c r="D25" s="1132">
        <f>5682200000-280000000-520000000</f>
        <v>4882200000</v>
      </c>
      <c r="E25" s="1132">
        <v>13536000000</v>
      </c>
      <c r="F25" s="1132">
        <f t="shared" si="11"/>
        <v>15482629806</v>
      </c>
      <c r="G25" s="1132">
        <f>4599245350+62325000</f>
        <v>4661570350</v>
      </c>
      <c r="H25" s="1132">
        <v>10821059456</v>
      </c>
      <c r="I25" s="1132">
        <f t="shared" si="12"/>
        <v>19068522207</v>
      </c>
      <c r="J25" s="1132">
        <f>'[2]ƯỚC THU SỐ 03'!H26-'[2]ƯỚC CHI SỐ 04'!E25+100000000</f>
        <v>5632522207</v>
      </c>
      <c r="K25" s="1132">
        <f>E25-100000000</f>
        <v>13436000000</v>
      </c>
      <c r="L25" s="1133">
        <f t="shared" si="2"/>
        <v>0.84061579340000647</v>
      </c>
      <c r="M25" s="1133">
        <f t="shared" si="3"/>
        <v>1.035308673323126</v>
      </c>
      <c r="N25" s="1134">
        <f t="shared" si="1"/>
        <v>1.1536852662734014</v>
      </c>
      <c r="O25" s="193">
        <f t="shared" si="1"/>
        <v>0.99261229314420807</v>
      </c>
      <c r="P25" s="207">
        <v>579042477</v>
      </c>
      <c r="AJ25" s="207">
        <f t="shared" si="4"/>
        <v>-3585892401</v>
      </c>
      <c r="AK25" s="207">
        <f t="shared" si="5"/>
        <v>-3585892401</v>
      </c>
      <c r="AM25" s="207">
        <v>-19218191243.128201</v>
      </c>
      <c r="AO25" s="207">
        <v>19218191243.128201</v>
      </c>
      <c r="AQ25" s="1138">
        <v>19218191243.128201</v>
      </c>
      <c r="AR25" s="207">
        <f t="shared" si="6"/>
        <v>750322207</v>
      </c>
      <c r="AT25" s="207">
        <f t="shared" si="7"/>
        <v>3585892401</v>
      </c>
      <c r="AV25" s="207">
        <v>-19218191243.128201</v>
      </c>
      <c r="AW25" s="1135">
        <f t="shared" si="8"/>
        <v>3585892401</v>
      </c>
      <c r="AX25" s="104">
        <v>129</v>
      </c>
      <c r="AY25" s="1128">
        <f t="shared" si="9"/>
        <v>4882200129</v>
      </c>
      <c r="AZ25" s="207">
        <v>19218191243.128201</v>
      </c>
      <c r="BA25" s="1136">
        <v>19218191243.128201</v>
      </c>
      <c r="BB25" s="207"/>
      <c r="BD25" s="207"/>
    </row>
    <row r="26" spans="1:56" ht="18.75">
      <c r="A26" s="27"/>
      <c r="B26" s="27"/>
      <c r="C26" s="27"/>
      <c r="D26" s="971"/>
      <c r="E26" s="27"/>
      <c r="F26" s="27"/>
      <c r="G26" s="27"/>
      <c r="H26" s="27"/>
      <c r="I26" s="27"/>
      <c r="J26" s="27"/>
      <c r="K26" s="27"/>
      <c r="L26" s="27"/>
      <c r="M26" s="27"/>
      <c r="N26" s="27"/>
      <c r="O26" s="27"/>
    </row>
    <row r="27" spans="1:56" ht="18.75">
      <c r="A27" s="27"/>
      <c r="B27" s="27"/>
      <c r="C27" s="27"/>
      <c r="D27" s="27"/>
      <c r="E27" s="27"/>
      <c r="F27" s="27"/>
      <c r="G27" s="27"/>
      <c r="H27" s="27"/>
      <c r="I27" s="27"/>
      <c r="J27" s="27"/>
      <c r="K27" s="27"/>
      <c r="L27" s="27"/>
      <c r="M27" s="27"/>
      <c r="N27" s="27"/>
      <c r="O27" s="27"/>
    </row>
    <row r="28" spans="1:56" ht="18.75">
      <c r="A28" s="27"/>
      <c r="B28" s="27"/>
      <c r="C28" s="971"/>
      <c r="D28" s="27"/>
      <c r="E28" s="27"/>
      <c r="F28" s="27"/>
      <c r="G28" s="27"/>
      <c r="H28" s="27"/>
      <c r="I28" s="27"/>
      <c r="J28" s="27"/>
      <c r="K28" s="27"/>
      <c r="L28" s="27"/>
      <c r="M28" s="27"/>
      <c r="N28" s="27"/>
      <c r="O28" s="27"/>
    </row>
    <row r="29" spans="1:56" ht="18.75">
      <c r="A29" s="27"/>
      <c r="B29" s="27"/>
      <c r="C29" s="27"/>
      <c r="D29" s="27"/>
      <c r="E29" s="27"/>
      <c r="F29" s="27"/>
      <c r="G29" s="27"/>
      <c r="H29" s="27"/>
      <c r="I29" s="27"/>
      <c r="J29" s="27"/>
      <c r="K29" s="27"/>
      <c r="L29" s="27"/>
      <c r="M29" s="27"/>
      <c r="N29" s="27"/>
      <c r="O29" s="27"/>
    </row>
    <row r="30" spans="1:56" ht="18.75">
      <c r="A30" s="27"/>
      <c r="B30" s="27"/>
      <c r="C30" s="27"/>
      <c r="D30" s="27"/>
      <c r="E30" s="27"/>
      <c r="F30" s="27"/>
      <c r="G30" s="27"/>
      <c r="H30" s="27"/>
      <c r="I30" s="27"/>
      <c r="J30" s="27"/>
      <c r="K30" s="27"/>
      <c r="L30" s="27"/>
      <c r="M30" s="27"/>
      <c r="N30" s="27"/>
      <c r="O30" s="27"/>
    </row>
  </sheetData>
  <mergeCells count="23">
    <mergeCell ref="F6:F11"/>
    <mergeCell ref="G6:H6"/>
    <mergeCell ref="I6:I11"/>
    <mergeCell ref="J6:K6"/>
    <mergeCell ref="D7:D11"/>
    <mergeCell ref="E7:E11"/>
    <mergeCell ref="G7:G11"/>
    <mergeCell ref="A1:O1"/>
    <mergeCell ref="A2:O2"/>
    <mergeCell ref="A3:O3"/>
    <mergeCell ref="A4:O4"/>
    <mergeCell ref="A5:A11"/>
    <mergeCell ref="B5:B11"/>
    <mergeCell ref="C5:E5"/>
    <mergeCell ref="F5:H5"/>
    <mergeCell ref="I5:K5"/>
    <mergeCell ref="L5:L10"/>
    <mergeCell ref="H7:H11"/>
    <mergeCell ref="J7:J11"/>
    <mergeCell ref="K7:K11"/>
    <mergeCell ref="M5:M10"/>
    <mergeCell ref="C6:C11"/>
    <mergeCell ref="D6:E6"/>
  </mergeCells>
  <pageMargins left="0.70866141732283472" right="0.4" top="0.74803149606299213" bottom="0.74803149606299213" header="0.31496062992125984" footer="0.31496062992125984"/>
  <pageSetup paperSize="9" scale="6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3"/>
  <sheetViews>
    <sheetView view="pageBreakPreview" topLeftCell="A10" zoomScaleNormal="100" workbookViewId="0">
      <selection activeCell="R18" sqref="R18"/>
    </sheetView>
  </sheetViews>
  <sheetFormatPr defaultRowHeight="15"/>
  <cols>
    <col min="1" max="1" width="6.42578125" style="139" customWidth="1"/>
    <col min="2" max="2" width="44.140625" style="139" customWidth="1"/>
    <col min="3" max="3" width="19.85546875" style="139" customWidth="1"/>
    <col min="4" max="4" width="17.7109375" style="139" customWidth="1"/>
    <col min="5" max="5" width="18.140625" style="139" customWidth="1"/>
    <col min="6" max="6" width="18.7109375" style="139" customWidth="1"/>
    <col min="7" max="7" width="0" style="139" hidden="1" customWidth="1"/>
    <col min="8" max="8" width="9.5703125" style="139" hidden="1" customWidth="1"/>
    <col min="9" max="16" width="0" style="139" hidden="1" customWidth="1"/>
    <col min="17" max="17" width="9.140625" style="139"/>
    <col min="18" max="18" width="10.42578125" style="139" bestFit="1" customWidth="1"/>
    <col min="19" max="16384" width="9.140625" style="139"/>
  </cols>
  <sheetData>
    <row r="1" spans="1:18" s="137" customFormat="1" ht="15.75">
      <c r="A1" s="1274"/>
      <c r="B1" s="1274"/>
      <c r="F1" s="138" t="s">
        <v>26</v>
      </c>
    </row>
    <row r="2" spans="1:18" ht="22.5" customHeight="1">
      <c r="A2" s="1276" t="s">
        <v>1083</v>
      </c>
      <c r="B2" s="1276"/>
      <c r="C2" s="1276"/>
      <c r="D2" s="1276"/>
      <c r="E2" s="1276"/>
      <c r="F2" s="1276"/>
    </row>
    <row r="3" spans="1:18" ht="27.75" customHeight="1">
      <c r="A3" s="1277" t="s">
        <v>1399</v>
      </c>
      <c r="B3" s="1277"/>
      <c r="C3" s="1277"/>
      <c r="D3" s="1277"/>
      <c r="E3" s="1277"/>
      <c r="F3" s="1277"/>
    </row>
    <row r="4" spans="1:18" ht="30" customHeight="1">
      <c r="A4" s="1278" t="s">
        <v>797</v>
      </c>
      <c r="B4" s="1278"/>
      <c r="C4" s="1278"/>
      <c r="D4" s="1278"/>
      <c r="E4" s="1278"/>
      <c r="F4" s="1278"/>
    </row>
    <row r="5" spans="1:18" ht="31.5" customHeight="1">
      <c r="A5" s="1275" t="s">
        <v>246</v>
      </c>
      <c r="B5" s="1275" t="s">
        <v>215</v>
      </c>
      <c r="C5" s="1275" t="s">
        <v>1078</v>
      </c>
      <c r="D5" s="1275" t="s">
        <v>606</v>
      </c>
      <c r="E5" s="1275"/>
      <c r="F5" s="1275" t="s">
        <v>1084</v>
      </c>
    </row>
    <row r="6" spans="1:18" ht="45.75" customHeight="1">
      <c r="A6" s="1275"/>
      <c r="B6" s="1275"/>
      <c r="C6" s="1275"/>
      <c r="D6" s="140" t="s">
        <v>216</v>
      </c>
      <c r="E6" s="140" t="s">
        <v>217</v>
      </c>
      <c r="F6" s="1275"/>
    </row>
    <row r="7" spans="1:18" s="142" customFormat="1" ht="15.75">
      <c r="A7" s="141" t="s">
        <v>218</v>
      </c>
      <c r="B7" s="141" t="s">
        <v>219</v>
      </c>
      <c r="C7" s="141">
        <v>1</v>
      </c>
      <c r="D7" s="141">
        <v>2</v>
      </c>
      <c r="E7" s="141">
        <v>3</v>
      </c>
      <c r="F7" s="141">
        <v>4</v>
      </c>
    </row>
    <row r="8" spans="1:18" ht="24.95" customHeight="1">
      <c r="A8" s="140" t="s">
        <v>218</v>
      </c>
      <c r="B8" s="143" t="s">
        <v>27</v>
      </c>
      <c r="C8" s="144">
        <f>C9</f>
        <v>14074783073</v>
      </c>
      <c r="D8" s="144">
        <f>D9</f>
        <v>15500000000</v>
      </c>
      <c r="E8" s="144">
        <f>E9</f>
        <v>15076482000</v>
      </c>
      <c r="F8" s="144">
        <f>F9</f>
        <v>12600000000</v>
      </c>
      <c r="R8" s="148"/>
    </row>
    <row r="9" spans="1:18" ht="24.95" customHeight="1">
      <c r="A9" s="145">
        <v>1</v>
      </c>
      <c r="B9" s="146" t="s">
        <v>221</v>
      </c>
      <c r="C9" s="147">
        <f>C15</f>
        <v>14074783073</v>
      </c>
      <c r="D9" s="147">
        <f>D15</f>
        <v>15500000000</v>
      </c>
      <c r="E9" s="147">
        <f>E15</f>
        <v>15076482000</v>
      </c>
      <c r="F9" s="147">
        <f>F15</f>
        <v>12600000000</v>
      </c>
      <c r="R9" s="922"/>
    </row>
    <row r="10" spans="1:18" ht="24.95" customHeight="1">
      <c r="A10" s="145">
        <v>2</v>
      </c>
      <c r="B10" s="146" t="s">
        <v>224</v>
      </c>
      <c r="C10" s="145"/>
      <c r="D10" s="145"/>
      <c r="E10" s="145"/>
      <c r="F10" s="145"/>
    </row>
    <row r="11" spans="1:18" ht="24.95" customHeight="1">
      <c r="A11" s="145">
        <v>3</v>
      </c>
      <c r="B11" s="146" t="s">
        <v>28</v>
      </c>
      <c r="C11" s="145"/>
      <c r="D11" s="145"/>
      <c r="E11" s="145"/>
      <c r="F11" s="145"/>
    </row>
    <row r="12" spans="1:18" ht="24.95" customHeight="1">
      <c r="A12" s="145">
        <v>4</v>
      </c>
      <c r="B12" s="146" t="s">
        <v>29</v>
      </c>
      <c r="C12" s="145"/>
      <c r="D12" s="145"/>
      <c r="E12" s="145"/>
      <c r="F12" s="145"/>
    </row>
    <row r="13" spans="1:18" ht="24.95" customHeight="1">
      <c r="A13" s="140" t="s">
        <v>219</v>
      </c>
      <c r="B13" s="143" t="s">
        <v>30</v>
      </c>
      <c r="C13" s="144">
        <f>C15+C18+C21+C22+C23</f>
        <v>721681629015</v>
      </c>
      <c r="D13" s="144">
        <f>D15+D18+D21+D22+D23</f>
        <v>559355000000</v>
      </c>
      <c r="E13" s="144">
        <f>E15+E18+E21+E22+E23</f>
        <v>780562024566</v>
      </c>
      <c r="F13" s="144">
        <f>F15+F18+F21+F22+F23</f>
        <v>429280000000</v>
      </c>
      <c r="H13" s="148"/>
      <c r="I13" s="148"/>
      <c r="R13" s="148">
        <f>E13-'UOC THU SÔ 01'!G46</f>
        <v>0</v>
      </c>
    </row>
    <row r="14" spans="1:18" s="925" customFormat="1" ht="24.95" hidden="1" customHeight="1">
      <c r="A14" s="141"/>
      <c r="B14" s="923" t="s">
        <v>1340</v>
      </c>
      <c r="C14" s="924"/>
      <c r="D14" s="924">
        <v>559355000000</v>
      </c>
      <c r="E14" s="924">
        <f>E13</f>
        <v>780562024566</v>
      </c>
      <c r="F14" s="924">
        <f>F13</f>
        <v>429280000000</v>
      </c>
      <c r="H14" s="926"/>
      <c r="I14" s="926"/>
    </row>
    <row r="15" spans="1:18" ht="24.95" customHeight="1">
      <c r="A15" s="140" t="s">
        <v>220</v>
      </c>
      <c r="B15" s="143" t="s">
        <v>31</v>
      </c>
      <c r="C15" s="144">
        <f>C16+C17</f>
        <v>14074783073</v>
      </c>
      <c r="D15" s="144">
        <f>D16+D17</f>
        <v>15500000000</v>
      </c>
      <c r="E15" s="144">
        <f>E16+E17</f>
        <v>15076482000</v>
      </c>
      <c r="F15" s="144">
        <f>F16+F17</f>
        <v>12600000000</v>
      </c>
    </row>
    <row r="16" spans="1:18" ht="24.95" customHeight="1">
      <c r="A16" s="145">
        <v>1</v>
      </c>
      <c r="B16" s="146" t="s">
        <v>32</v>
      </c>
      <c r="C16" s="149">
        <f>13493488651</f>
        <v>13493488651</v>
      </c>
      <c r="D16" s="150">
        <v>14560000000</v>
      </c>
      <c r="E16" s="150">
        <f>'UOC THU SÔ 01'!G48-E17</f>
        <v>14406482000</v>
      </c>
      <c r="F16" s="150">
        <f>'[3]BIEU THU NS 2021'!$D$9</f>
        <v>11980000000</v>
      </c>
    </row>
    <row r="17" spans="1:17" ht="24.95" customHeight="1">
      <c r="A17" s="145">
        <v>2</v>
      </c>
      <c r="B17" s="146" t="s">
        <v>56</v>
      </c>
      <c r="C17" s="149">
        <f>581294422</f>
        <v>581294422</v>
      </c>
      <c r="D17" s="150">
        <v>940000000</v>
      </c>
      <c r="E17" s="150">
        <v>670000000</v>
      </c>
      <c r="F17" s="150">
        <f>'[3]BIEU THU NS 2021'!$D$10</f>
        <v>620000000</v>
      </c>
    </row>
    <row r="18" spans="1:17" ht="24.95" customHeight="1">
      <c r="A18" s="140" t="s">
        <v>223</v>
      </c>
      <c r="B18" s="143" t="s">
        <v>57</v>
      </c>
      <c r="C18" s="144">
        <f>C19+C20</f>
        <v>688445718372</v>
      </c>
      <c r="D18" s="144">
        <f>D19+D20</f>
        <v>543855000000</v>
      </c>
      <c r="E18" s="144">
        <f>E19+E20</f>
        <v>693604854921</v>
      </c>
      <c r="F18" s="144">
        <f>F19+F20</f>
        <v>416680000000</v>
      </c>
    </row>
    <row r="19" spans="1:17" ht="24.95" customHeight="1">
      <c r="A19" s="145">
        <v>1</v>
      </c>
      <c r="B19" s="146" t="s">
        <v>58</v>
      </c>
      <c r="C19" s="150">
        <f>448863699506</f>
        <v>448863699506</v>
      </c>
      <c r="D19" s="150">
        <v>417306000000</v>
      </c>
      <c r="E19" s="150">
        <f>'UOC THU SÔ 01'!G70</f>
        <v>462883569000</v>
      </c>
      <c r="F19" s="150">
        <f>'[3]BIEU THU NS 2021'!$D$35+'[3]BIEU THU NS 2021'!$D$36</f>
        <v>416661000000</v>
      </c>
      <c r="H19" s="148"/>
    </row>
    <row r="20" spans="1:17" ht="24.95" customHeight="1">
      <c r="A20" s="145">
        <v>2</v>
      </c>
      <c r="B20" s="146" t="s">
        <v>59</v>
      </c>
      <c r="C20" s="150">
        <f>239582018866</f>
        <v>239582018866</v>
      </c>
      <c r="D20" s="150">
        <v>126549000000</v>
      </c>
      <c r="E20" s="150">
        <f>'UOC THU SÔ 01'!G71</f>
        <v>230721285921</v>
      </c>
      <c r="F20" s="150">
        <f>'[3]BIEU THU NS 2021'!$D$38</f>
        <v>19000000</v>
      </c>
      <c r="H20" s="148"/>
    </row>
    <row r="21" spans="1:17" ht="24.95" customHeight="1">
      <c r="A21" s="140" t="s">
        <v>226</v>
      </c>
      <c r="B21" s="143" t="s">
        <v>463</v>
      </c>
      <c r="C21" s="151">
        <v>199081912</v>
      </c>
      <c r="D21" s="140"/>
      <c r="E21" s="152">
        <f>'UOC THU SÔ 01'!G74</f>
        <v>1231166269</v>
      </c>
      <c r="F21" s="140"/>
      <c r="H21" s="148"/>
    </row>
    <row r="22" spans="1:17" ht="24.95" customHeight="1">
      <c r="A22" s="140" t="s">
        <v>227</v>
      </c>
      <c r="B22" s="143" t="s">
        <v>60</v>
      </c>
      <c r="C22" s="152">
        <v>1166251894</v>
      </c>
      <c r="D22" s="140"/>
      <c r="E22" s="152">
        <f>'UOC THU SÔ 01'!G73</f>
        <v>1025606536</v>
      </c>
      <c r="F22" s="140"/>
    </row>
    <row r="23" spans="1:17" ht="31.5">
      <c r="A23" s="140" t="s">
        <v>228</v>
      </c>
      <c r="B23" s="143" t="s">
        <v>61</v>
      </c>
      <c r="C23" s="152">
        <v>17795793764</v>
      </c>
      <c r="D23" s="140"/>
      <c r="E23" s="152">
        <f>'UOC THU SÔ 01'!G72</f>
        <v>69623914840</v>
      </c>
      <c r="F23" s="140"/>
    </row>
    <row r="24" spans="1:17" ht="24.95" customHeight="1">
      <c r="A24" s="140" t="s">
        <v>238</v>
      </c>
      <c r="B24" s="143" t="s">
        <v>62</v>
      </c>
      <c r="C24" s="144">
        <f>C25+C31+C35+C36+C34</f>
        <v>575748280319</v>
      </c>
      <c r="D24" s="144">
        <f>D25+D31+D35+D36+D34</f>
        <v>559355000000</v>
      </c>
      <c r="E24" s="144">
        <f>E25+E31+E35+E36+E34</f>
        <v>780562024566</v>
      </c>
      <c r="F24" s="144">
        <f>F25+F31+F35+F36+F34</f>
        <v>429280000000</v>
      </c>
      <c r="G24" s="148"/>
      <c r="H24" s="65">
        <f>'29.2'!F24</f>
        <v>429280000000</v>
      </c>
      <c r="I24" s="148"/>
      <c r="Q24" s="148">
        <f>E24-'ƯỚC CHI SỐ 02'!F8</f>
        <v>0</v>
      </c>
    </row>
    <row r="25" spans="1:17" ht="24.95" customHeight="1">
      <c r="A25" s="140" t="s">
        <v>220</v>
      </c>
      <c r="B25" s="143" t="s">
        <v>63</v>
      </c>
      <c r="C25" s="152">
        <f>SUM(C26:C30)</f>
        <v>426013014618</v>
      </c>
      <c r="D25" s="152">
        <f>SUM(D26:D30)</f>
        <v>432806000000</v>
      </c>
      <c r="E25" s="153">
        <f>SUM(E26:E30)</f>
        <v>464254322305</v>
      </c>
      <c r="F25" s="152">
        <f>SUM(F26:F30)</f>
        <v>429261000000</v>
      </c>
    </row>
    <row r="26" spans="1:17" ht="24.95" customHeight="1">
      <c r="A26" s="145">
        <v>1</v>
      </c>
      <c r="B26" s="146" t="s">
        <v>407</v>
      </c>
      <c r="C26" s="535">
        <v>2210709995</v>
      </c>
      <c r="D26" s="535">
        <v>1800000000</v>
      </c>
      <c r="E26" s="535">
        <f>'ƯỚC CHI SỐ 02'!F10</f>
        <v>1671000000</v>
      </c>
      <c r="F26" s="535">
        <f>'[3]BIỂU THUYẾT MINH 2021 H+X'!$C$9</f>
        <v>16698000000</v>
      </c>
    </row>
    <row r="27" spans="1:17" ht="24.95" customHeight="1">
      <c r="A27" s="145">
        <v>2</v>
      </c>
      <c r="B27" s="146" t="s">
        <v>231</v>
      </c>
      <c r="C27" s="332">
        <v>423802304623</v>
      </c>
      <c r="D27" s="535">
        <f>431006000000-D29-D30</f>
        <v>423116000000</v>
      </c>
      <c r="E27" s="535">
        <f>'ƯỚC CHI SỐ 02'!F14</f>
        <v>462583322305</v>
      </c>
      <c r="F27" s="535">
        <f>'[3]BIỂU THUYẾT MINH 2021 H+X'!$C$7-F26-F29-F30-F31</f>
        <v>405075000000</v>
      </c>
    </row>
    <row r="28" spans="1:17" ht="24.95" customHeight="1">
      <c r="A28" s="145">
        <v>3</v>
      </c>
      <c r="B28" s="146" t="s">
        <v>65</v>
      </c>
      <c r="C28" s="149"/>
      <c r="D28" s="149"/>
      <c r="E28" s="149"/>
      <c r="F28" s="149"/>
    </row>
    <row r="29" spans="1:17" ht="24.95" customHeight="1">
      <c r="A29" s="145">
        <v>4</v>
      </c>
      <c r="B29" s="146" t="s">
        <v>66</v>
      </c>
      <c r="C29" s="535"/>
      <c r="D29" s="535">
        <v>7210000000</v>
      </c>
      <c r="E29" s="535"/>
      <c r="F29" s="535">
        <f>'[3]BIỂU THUYẾT MINH 2021 H+X'!$C$281</f>
        <v>7488000000</v>
      </c>
    </row>
    <row r="30" spans="1:17" ht="24.95" customHeight="1">
      <c r="A30" s="145">
        <v>5</v>
      </c>
      <c r="B30" s="146" t="s">
        <v>67</v>
      </c>
      <c r="C30" s="535"/>
      <c r="D30" s="535">
        <v>680000000</v>
      </c>
      <c r="E30" s="535"/>
      <c r="F30" s="535"/>
    </row>
    <row r="31" spans="1:17" ht="24.95" customHeight="1">
      <c r="A31" s="140" t="s">
        <v>223</v>
      </c>
      <c r="B31" s="143" t="s">
        <v>68</v>
      </c>
      <c r="C31" s="152">
        <f>SUM(C32:C33)</f>
        <v>23321547190</v>
      </c>
      <c r="D31" s="152">
        <f>SUM(D32:D33)</f>
        <v>126549000000</v>
      </c>
      <c r="E31" s="152">
        <f>SUM(E32:E33)</f>
        <v>181772959602</v>
      </c>
      <c r="F31" s="152">
        <f>SUM(F32:F33)</f>
        <v>19000000</v>
      </c>
    </row>
    <row r="32" spans="1:17" ht="24.95" customHeight="1">
      <c r="A32" s="145">
        <v>1</v>
      </c>
      <c r="B32" s="146" t="s">
        <v>70</v>
      </c>
      <c r="C32" s="536">
        <v>9138464756</v>
      </c>
      <c r="D32" s="536">
        <v>118496000000</v>
      </c>
      <c r="E32" s="536">
        <f>'ƯỚC CHI SỐ 02'!F28</f>
        <v>178056185602</v>
      </c>
      <c r="F32" s="535">
        <f>'[3]BIỂU THUYẾT MINH 2021 H+X'!$D$284</f>
        <v>0</v>
      </c>
    </row>
    <row r="33" spans="1:10" ht="24.95" customHeight="1">
      <c r="A33" s="145">
        <v>2</v>
      </c>
      <c r="B33" s="146" t="s">
        <v>69</v>
      </c>
      <c r="C33" s="537">
        <v>14183082434</v>
      </c>
      <c r="D33" s="535">
        <v>8053000000</v>
      </c>
      <c r="E33" s="536">
        <f>'ƯỚC CHI SỐ 02'!F51</f>
        <v>3716774000</v>
      </c>
      <c r="F33" s="535">
        <f>'[3]BIỂU THUYẾT MINH 2021 H+X'!$D$318</f>
        <v>19000000</v>
      </c>
    </row>
    <row r="34" spans="1:10" ht="24.95" customHeight="1">
      <c r="A34" s="140" t="s">
        <v>226</v>
      </c>
      <c r="B34" s="143" t="s">
        <v>71</v>
      </c>
      <c r="C34" s="538">
        <v>6962391484</v>
      </c>
      <c r="D34" s="539"/>
      <c r="E34" s="539"/>
      <c r="F34" s="539"/>
    </row>
    <row r="35" spans="1:10" ht="24.95" customHeight="1">
      <c r="A35" s="140" t="s">
        <v>227</v>
      </c>
      <c r="B35" s="143" t="s">
        <v>595</v>
      </c>
      <c r="C35" s="538">
        <v>118073499506</v>
      </c>
      <c r="D35" s="539"/>
      <c r="E35" s="538">
        <f>'ƯỚC CHI SỐ 02'!F73</f>
        <v>132674699506</v>
      </c>
      <c r="F35" s="538"/>
      <c r="H35" s="148"/>
      <c r="J35" s="148"/>
    </row>
    <row r="36" spans="1:10" ht="24.95" customHeight="1">
      <c r="A36" s="140" t="s">
        <v>228</v>
      </c>
      <c r="B36" s="143" t="s">
        <v>596</v>
      </c>
      <c r="C36" s="538">
        <v>1377827521</v>
      </c>
      <c r="D36" s="539"/>
      <c r="E36" s="538">
        <f>'ƯỚC CHI SỐ 02'!F76</f>
        <v>1860043153</v>
      </c>
      <c r="F36" s="539"/>
      <c r="H36" s="148"/>
    </row>
    <row r="37" spans="1:10" s="154" customFormat="1" ht="24.95" customHeight="1">
      <c r="A37" s="140" t="s">
        <v>74</v>
      </c>
      <c r="B37" s="143" t="s">
        <v>467</v>
      </c>
      <c r="C37" s="540">
        <f>C13-C24</f>
        <v>145933348696</v>
      </c>
      <c r="D37" s="540">
        <f>D13-D24</f>
        <v>0</v>
      </c>
      <c r="E37" s="540">
        <f t="shared" ref="E37" si="0">E13-E24</f>
        <v>0</v>
      </c>
      <c r="F37" s="540">
        <f>F13-F24</f>
        <v>0</v>
      </c>
    </row>
    <row r="38" spans="1:10" ht="15.75">
      <c r="A38" s="155"/>
    </row>
    <row r="39" spans="1:10" ht="15.75">
      <c r="A39" s="155"/>
    </row>
    <row r="40" spans="1:10" ht="15.75">
      <c r="A40" s="1279"/>
      <c r="C40" s="148"/>
      <c r="D40" s="1280"/>
      <c r="E40" s="1280"/>
      <c r="F40" s="1280"/>
    </row>
    <row r="41" spans="1:10" ht="15.75">
      <c r="A41" s="1279"/>
      <c r="D41" s="1281"/>
      <c r="E41" s="1281"/>
      <c r="F41" s="1281"/>
    </row>
    <row r="42" spans="1:10" ht="15.75">
      <c r="A42" s="1279"/>
      <c r="D42" s="1281"/>
      <c r="E42" s="1281"/>
      <c r="F42" s="1281"/>
    </row>
    <row r="43" spans="1:10" ht="15.75">
      <c r="A43" s="1279"/>
      <c r="D43" s="1280"/>
      <c r="E43" s="1280"/>
      <c r="F43" s="1280"/>
    </row>
  </sheetData>
  <mergeCells count="14">
    <mergeCell ref="A40:A43"/>
    <mergeCell ref="D43:F43"/>
    <mergeCell ref="D41:F41"/>
    <mergeCell ref="D40:F40"/>
    <mergeCell ref="D42:F42"/>
    <mergeCell ref="A1:B1"/>
    <mergeCell ref="B5:B6"/>
    <mergeCell ref="C5:C6"/>
    <mergeCell ref="A2:F2"/>
    <mergeCell ref="A3:F3"/>
    <mergeCell ref="D5:E5"/>
    <mergeCell ref="F5:F6"/>
    <mergeCell ref="A5:A6"/>
    <mergeCell ref="A4:F4"/>
  </mergeCells>
  <phoneticPr fontId="13" type="noConversion"/>
  <pageMargins left="0.70866141732283472" right="0.35433070866141736"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8"/>
  <sheetViews>
    <sheetView view="pageBreakPreview" topLeftCell="A4" zoomScaleNormal="100" workbookViewId="0">
      <selection activeCell="E36" sqref="E36"/>
    </sheetView>
  </sheetViews>
  <sheetFormatPr defaultRowHeight="15"/>
  <cols>
    <col min="1" max="1" width="6.42578125" customWidth="1"/>
    <col min="2" max="2" width="49.5703125" customWidth="1"/>
    <col min="3" max="3" width="20.28515625" customWidth="1"/>
    <col min="4" max="4" width="20.7109375" customWidth="1"/>
    <col min="5" max="6" width="20" customWidth="1"/>
    <col min="7" max="17" width="0" hidden="1" customWidth="1"/>
  </cols>
  <sheetData>
    <row r="1" spans="1:17" s="1" customFormat="1" ht="15.75">
      <c r="A1" s="1283"/>
      <c r="B1" s="1283"/>
      <c r="F1" s="8" t="s">
        <v>72</v>
      </c>
    </row>
    <row r="2" spans="1:17" ht="15.75">
      <c r="A2" s="2"/>
    </row>
    <row r="3" spans="1:17" ht="15.75">
      <c r="A3" s="1252" t="s">
        <v>1083</v>
      </c>
      <c r="B3" s="1252"/>
      <c r="C3" s="1252"/>
      <c r="D3" s="1252"/>
      <c r="E3" s="1252"/>
      <c r="F3" s="1252"/>
    </row>
    <row r="4" spans="1:17" ht="15.75">
      <c r="A4" s="1284" t="s">
        <v>1085</v>
      </c>
      <c r="B4" s="1284"/>
      <c r="C4" s="1284"/>
      <c r="D4" s="1284"/>
      <c r="E4" s="1284"/>
      <c r="F4" s="1284"/>
    </row>
    <row r="5" spans="1:17" ht="22.5" customHeight="1">
      <c r="A5" s="1285" t="s">
        <v>797</v>
      </c>
      <c r="B5" s="1285"/>
      <c r="C5" s="1285"/>
      <c r="D5" s="1285"/>
      <c r="E5" s="1285"/>
      <c r="F5" s="1285"/>
    </row>
    <row r="6" spans="1:17" ht="24" customHeight="1">
      <c r="A6" s="1282" t="s">
        <v>246</v>
      </c>
      <c r="B6" s="1282" t="s">
        <v>215</v>
      </c>
      <c r="C6" s="1282" t="s">
        <v>1078</v>
      </c>
      <c r="D6" s="1282" t="s">
        <v>606</v>
      </c>
      <c r="E6" s="1282"/>
      <c r="F6" s="1282" t="s">
        <v>1084</v>
      </c>
    </row>
    <row r="7" spans="1:17" ht="15.75">
      <c r="A7" s="1282"/>
      <c r="B7" s="1282"/>
      <c r="C7" s="1282"/>
      <c r="D7" s="4" t="s">
        <v>216</v>
      </c>
      <c r="E7" s="4" t="s">
        <v>217</v>
      </c>
      <c r="F7" s="1282"/>
    </row>
    <row r="8" spans="1:17" s="156" customFormat="1" ht="15.75">
      <c r="A8" s="10" t="s">
        <v>218</v>
      </c>
      <c r="B8" s="10" t="s">
        <v>219</v>
      </c>
      <c r="C8" s="10">
        <v>1</v>
      </c>
      <c r="D8" s="10">
        <v>2</v>
      </c>
      <c r="E8" s="10">
        <v>3</v>
      </c>
      <c r="F8" s="10">
        <v>4</v>
      </c>
    </row>
    <row r="9" spans="1:17" ht="15.75">
      <c r="A9" s="4" t="s">
        <v>218</v>
      </c>
      <c r="B9" s="6" t="s">
        <v>27</v>
      </c>
      <c r="C9" s="14">
        <f>C10</f>
        <v>14074783073</v>
      </c>
      <c r="D9" s="14">
        <f>D10</f>
        <v>15500000000</v>
      </c>
      <c r="E9" s="14">
        <f>E10</f>
        <v>15076482000</v>
      </c>
      <c r="F9" s="14">
        <f>F10</f>
        <v>12600000000</v>
      </c>
    </row>
    <row r="10" spans="1:17" ht="15.75">
      <c r="A10" s="5">
        <v>1</v>
      </c>
      <c r="B10" s="7" t="s">
        <v>221</v>
      </c>
      <c r="C10" s="21">
        <f>C15</f>
        <v>14074783073</v>
      </c>
      <c r="D10" s="21">
        <f>D15</f>
        <v>15500000000</v>
      </c>
      <c r="E10" s="21">
        <f>E15</f>
        <v>15076482000</v>
      </c>
      <c r="F10" s="21">
        <f>F15</f>
        <v>12600000000</v>
      </c>
    </row>
    <row r="11" spans="1:17" ht="15.75">
      <c r="A11" s="5">
        <v>2</v>
      </c>
      <c r="B11" s="7" t="s">
        <v>224</v>
      </c>
      <c r="C11" s="5"/>
      <c r="D11" s="5"/>
      <c r="E11" s="5"/>
      <c r="F11" s="5"/>
    </row>
    <row r="12" spans="1:17" ht="15.75">
      <c r="A12" s="5">
        <v>3</v>
      </c>
      <c r="B12" s="7" t="s">
        <v>28</v>
      </c>
      <c r="C12" s="5"/>
      <c r="D12" s="5"/>
      <c r="E12" s="5"/>
      <c r="F12" s="5"/>
    </row>
    <row r="13" spans="1:17" ht="15.75">
      <c r="A13" s="5">
        <v>4</v>
      </c>
      <c r="B13" s="7" t="s">
        <v>29</v>
      </c>
      <c r="C13" s="5"/>
      <c r="D13" s="5"/>
      <c r="E13" s="5"/>
      <c r="F13" s="5"/>
    </row>
    <row r="14" spans="1:17" ht="15.75">
      <c r="A14" s="4" t="s">
        <v>219</v>
      </c>
      <c r="B14" s="6" t="s">
        <v>30</v>
      </c>
      <c r="C14" s="14">
        <f>C15+C18+C21+C22+C23</f>
        <v>721681629015</v>
      </c>
      <c r="D14" s="14">
        <f>D15+D18+D21+D22+D23</f>
        <v>559355000000</v>
      </c>
      <c r="E14" s="14">
        <f>E15+E18+E21+E22+E23</f>
        <v>780562024566</v>
      </c>
      <c r="F14" s="14">
        <f>F15+F18+F21+F22+F23</f>
        <v>429280000000</v>
      </c>
      <c r="H14" s="65"/>
      <c r="P14" s="17">
        <f>E14-'29.1'!E13</f>
        <v>0</v>
      </c>
      <c r="Q14" s="17">
        <f>F14-'32'!E7</f>
        <v>0</v>
      </c>
    </row>
    <row r="15" spans="1:17" ht="15.75">
      <c r="A15" s="4" t="s">
        <v>220</v>
      </c>
      <c r="B15" s="6" t="s">
        <v>31</v>
      </c>
      <c r="C15" s="14">
        <f>C16+C17</f>
        <v>14074783073</v>
      </c>
      <c r="D15" s="14">
        <f>D16+D17</f>
        <v>15500000000</v>
      </c>
      <c r="E15" s="14">
        <f>E16+E17</f>
        <v>15076482000</v>
      </c>
      <c r="F15" s="14">
        <f>F16+F17</f>
        <v>12600000000</v>
      </c>
      <c r="H15" s="17"/>
      <c r="J15" s="17"/>
    </row>
    <row r="16" spans="1:17" ht="15.75">
      <c r="A16" s="5">
        <v>1</v>
      </c>
      <c r="B16" s="7" t="s">
        <v>32</v>
      </c>
      <c r="C16" s="11">
        <f>'29.1'!C16</f>
        <v>13493488651</v>
      </c>
      <c r="D16" s="11">
        <f>'29.1'!D16</f>
        <v>14560000000</v>
      </c>
      <c r="E16" s="11">
        <f>'29.1'!E16</f>
        <v>14406482000</v>
      </c>
      <c r="F16" s="11">
        <f>'29.1'!F16</f>
        <v>11980000000</v>
      </c>
      <c r="H16" s="17"/>
      <c r="I16" s="17"/>
    </row>
    <row r="17" spans="1:9" ht="15.75">
      <c r="A17" s="5">
        <v>2</v>
      </c>
      <c r="B17" s="7" t="s">
        <v>56</v>
      </c>
      <c r="C17" s="11">
        <f>'29.1'!C17</f>
        <v>581294422</v>
      </c>
      <c r="D17" s="11">
        <f>'29.1'!D17</f>
        <v>940000000</v>
      </c>
      <c r="E17" s="11">
        <f>'29.1'!E17</f>
        <v>670000000</v>
      </c>
      <c r="F17" s="11">
        <f>'29.1'!F17</f>
        <v>620000000</v>
      </c>
    </row>
    <row r="18" spans="1:9" ht="15.75">
      <c r="A18" s="4" t="s">
        <v>223</v>
      </c>
      <c r="B18" s="6" t="s">
        <v>57</v>
      </c>
      <c r="C18" s="14">
        <f>C19+C20</f>
        <v>688445718372</v>
      </c>
      <c r="D18" s="14">
        <f>D19+D20</f>
        <v>543855000000</v>
      </c>
      <c r="E18" s="14">
        <f>E19+E20</f>
        <v>693604854921</v>
      </c>
      <c r="F18" s="14">
        <f>F19+F20</f>
        <v>416680000000</v>
      </c>
      <c r="H18" s="17"/>
    </row>
    <row r="19" spans="1:9" ht="15.75">
      <c r="A19" s="5">
        <v>1</v>
      </c>
      <c r="B19" s="7" t="s">
        <v>58</v>
      </c>
      <c r="C19" s="15">
        <f>'29.1'!C19</f>
        <v>448863699506</v>
      </c>
      <c r="D19" s="15">
        <f>'29.1'!D19</f>
        <v>417306000000</v>
      </c>
      <c r="E19" s="15">
        <f>'29.1'!E19</f>
        <v>462883569000</v>
      </c>
      <c r="F19" s="15">
        <f>'29.1'!F19</f>
        <v>416661000000</v>
      </c>
      <c r="H19" s="17"/>
    </row>
    <row r="20" spans="1:9" ht="15.75">
      <c r="A20" s="5">
        <v>2</v>
      </c>
      <c r="B20" s="7" t="s">
        <v>59</v>
      </c>
      <c r="C20" s="15">
        <f>'29.1'!C20</f>
        <v>239582018866</v>
      </c>
      <c r="D20" s="15">
        <f>'29.1'!D20</f>
        <v>126549000000</v>
      </c>
      <c r="E20" s="15">
        <f>'29.1'!E20</f>
        <v>230721285921</v>
      </c>
      <c r="F20" s="15">
        <f>'29.1'!F20</f>
        <v>19000000</v>
      </c>
    </row>
    <row r="21" spans="1:9" ht="15.75">
      <c r="A21" s="4" t="s">
        <v>226</v>
      </c>
      <c r="B21" s="6" t="s">
        <v>463</v>
      </c>
      <c r="C21" s="20">
        <f>'29.1'!C21</f>
        <v>199081912</v>
      </c>
      <c r="D21" s="4"/>
      <c r="E21" s="16">
        <f>'29.1'!E21</f>
        <v>1231166269</v>
      </c>
      <c r="F21" s="4"/>
      <c r="H21" s="17"/>
    </row>
    <row r="22" spans="1:9" ht="15.75">
      <c r="A22" s="4" t="s">
        <v>227</v>
      </c>
      <c r="B22" s="6" t="s">
        <v>60</v>
      </c>
      <c r="C22" s="16">
        <f>'29.1'!C22</f>
        <v>1166251894</v>
      </c>
      <c r="D22" s="16">
        <f>'29.1'!D22</f>
        <v>0</v>
      </c>
      <c r="E22" s="16">
        <f>'29.1'!E22</f>
        <v>1025606536</v>
      </c>
      <c r="F22" s="16">
        <f>'29.1'!F22</f>
        <v>0</v>
      </c>
    </row>
    <row r="23" spans="1:9" ht="15.75">
      <c r="A23" s="4" t="s">
        <v>228</v>
      </c>
      <c r="B23" s="6" t="s">
        <v>61</v>
      </c>
      <c r="C23" s="16">
        <f>'29.1'!C23</f>
        <v>17795793764</v>
      </c>
      <c r="D23" s="16">
        <f>'29.1'!D23</f>
        <v>0</v>
      </c>
      <c r="E23" s="16">
        <f>'29.1'!E23</f>
        <v>69623914840</v>
      </c>
      <c r="F23" s="16">
        <f>'29.1'!F23</f>
        <v>0</v>
      </c>
    </row>
    <row r="24" spans="1:9" ht="15.75">
      <c r="A24" s="4" t="s">
        <v>238</v>
      </c>
      <c r="B24" s="6" t="s">
        <v>62</v>
      </c>
      <c r="C24" s="14">
        <f>C25+C31+C34+C35+C36</f>
        <v>575748280319</v>
      </c>
      <c r="D24" s="14">
        <f>D25+D31+D34+D35+D36</f>
        <v>559355000000</v>
      </c>
      <c r="E24" s="14">
        <f>E25+E31+E34+E35+E36</f>
        <v>780562024566</v>
      </c>
      <c r="F24" s="14">
        <f>F25+F31+F34+F35+F36</f>
        <v>429280000000</v>
      </c>
      <c r="H24" s="17"/>
    </row>
    <row r="25" spans="1:9" ht="15.75">
      <c r="A25" s="4" t="s">
        <v>220</v>
      </c>
      <c r="B25" s="6" t="s">
        <v>63</v>
      </c>
      <c r="C25" s="16">
        <f>SUM(C26:C30)</f>
        <v>426013014618</v>
      </c>
      <c r="D25" s="16">
        <f>SUM(D26:D30)</f>
        <v>432806000000</v>
      </c>
      <c r="E25" s="20">
        <f>SUM(E26:E30)</f>
        <v>464254322305</v>
      </c>
      <c r="F25" s="16">
        <f>SUM(F26:F30)</f>
        <v>429261000000</v>
      </c>
      <c r="H25" s="98">
        <f>F24-535000</f>
        <v>429279465000</v>
      </c>
      <c r="I25" s="17">
        <f>E24-476000</f>
        <v>780561548566</v>
      </c>
    </row>
    <row r="26" spans="1:9" ht="15.75">
      <c r="A26" s="5">
        <v>1</v>
      </c>
      <c r="B26" s="7" t="s">
        <v>64</v>
      </c>
      <c r="C26" s="11">
        <f>'29.1'!C26</f>
        <v>2210709995</v>
      </c>
      <c r="D26" s="11">
        <f>'29.1'!D26</f>
        <v>1800000000</v>
      </c>
      <c r="E26" s="11">
        <f>'29.1'!E26</f>
        <v>1671000000</v>
      </c>
      <c r="F26" s="11">
        <f>'29.1'!F26</f>
        <v>16698000000</v>
      </c>
    </row>
    <row r="27" spans="1:9" ht="15.75">
      <c r="A27" s="5">
        <v>2</v>
      </c>
      <c r="B27" s="7" t="s">
        <v>231</v>
      </c>
      <c r="C27" s="11">
        <f>'29.1'!C27</f>
        <v>423802304623</v>
      </c>
      <c r="D27" s="11">
        <f>'29.1'!D27</f>
        <v>423116000000</v>
      </c>
      <c r="E27" s="11">
        <f>'29.1'!E27</f>
        <v>462583322305</v>
      </c>
      <c r="F27" s="11">
        <f>'29.1'!F27</f>
        <v>405075000000</v>
      </c>
      <c r="I27" s="17"/>
    </row>
    <row r="28" spans="1:9" ht="15.75">
      <c r="A28" s="5">
        <v>3</v>
      </c>
      <c r="B28" s="7" t="s">
        <v>65</v>
      </c>
      <c r="C28" s="11"/>
      <c r="D28" s="11"/>
      <c r="E28" s="11"/>
      <c r="F28" s="11"/>
      <c r="I28" s="17"/>
    </row>
    <row r="29" spans="1:9" ht="15.75">
      <c r="A29" s="5">
        <v>4</v>
      </c>
      <c r="B29" s="7" t="s">
        <v>66</v>
      </c>
      <c r="C29" s="11"/>
      <c r="D29" s="11">
        <f>'29.1'!D29</f>
        <v>7210000000</v>
      </c>
      <c r="E29" s="11">
        <f>'29.1'!E29</f>
        <v>0</v>
      </c>
      <c r="F29" s="11">
        <f>'29.1'!F29</f>
        <v>7488000000</v>
      </c>
    </row>
    <row r="30" spans="1:9" ht="15.75">
      <c r="A30" s="5">
        <v>5</v>
      </c>
      <c r="B30" s="7" t="s">
        <v>67</v>
      </c>
      <c r="C30" s="11"/>
      <c r="D30" s="11">
        <f>'29.1'!D30</f>
        <v>680000000</v>
      </c>
      <c r="E30" s="11">
        <f>'29.1'!E30</f>
        <v>0</v>
      </c>
      <c r="F30" s="11">
        <f>'29.1'!F30</f>
        <v>0</v>
      </c>
    </row>
    <row r="31" spans="1:9" ht="15.75">
      <c r="A31" s="4" t="s">
        <v>223</v>
      </c>
      <c r="B31" s="6" t="s">
        <v>68</v>
      </c>
      <c r="C31" s="16">
        <f>SUM(C32:C33)</f>
        <v>23321547190</v>
      </c>
      <c r="D31" s="16">
        <f>SUM(D32:D33)</f>
        <v>126549000000</v>
      </c>
      <c r="E31" s="16">
        <f>SUM(E32:E33)</f>
        <v>181772959602</v>
      </c>
      <c r="F31" s="16">
        <f>SUM(F32:F33)</f>
        <v>19000000</v>
      </c>
      <c r="H31" s="18"/>
    </row>
    <row r="32" spans="1:9" ht="30.75" customHeight="1">
      <c r="A32" s="5">
        <v>1</v>
      </c>
      <c r="B32" s="7" t="s">
        <v>70</v>
      </c>
      <c r="C32" s="11">
        <f>'29.1'!C32</f>
        <v>9138464756</v>
      </c>
      <c r="D32" s="11">
        <f>'29.1'!D32</f>
        <v>118496000000</v>
      </c>
      <c r="E32" s="11">
        <f>'29.1'!E32</f>
        <v>178056185602</v>
      </c>
      <c r="F32" s="11">
        <f>'29.1'!F32</f>
        <v>0</v>
      </c>
    </row>
    <row r="33" spans="1:6" ht="15.75">
      <c r="A33" s="5">
        <v>2</v>
      </c>
      <c r="B33" s="7" t="s">
        <v>69</v>
      </c>
      <c r="C33" s="19">
        <f>'29.1'!C33</f>
        <v>14183082434</v>
      </c>
      <c r="D33" s="15">
        <f>'29.1'!D33</f>
        <v>8053000000</v>
      </c>
      <c r="E33" s="15">
        <f>'29.1'!E33</f>
        <v>3716774000</v>
      </c>
      <c r="F33" s="15">
        <f>'29.1'!F33</f>
        <v>19000000</v>
      </c>
    </row>
    <row r="34" spans="1:6" ht="15.75">
      <c r="A34" s="4" t="s">
        <v>226</v>
      </c>
      <c r="B34" s="6" t="s">
        <v>71</v>
      </c>
      <c r="C34" s="16">
        <f>'29.1'!C34</f>
        <v>6962391484</v>
      </c>
      <c r="D34" s="4"/>
      <c r="E34" s="4"/>
      <c r="F34" s="4"/>
    </row>
    <row r="35" spans="1:6" s="139" customFormat="1" ht="24.95" customHeight="1">
      <c r="A35" s="140" t="s">
        <v>227</v>
      </c>
      <c r="B35" s="143" t="s">
        <v>595</v>
      </c>
      <c r="C35" s="152">
        <f>'29.1'!C35</f>
        <v>118073499506</v>
      </c>
      <c r="D35" s="140"/>
      <c r="E35" s="152">
        <f>'29.1'!E35</f>
        <v>132674699506</v>
      </c>
      <c r="F35" s="152">
        <f>'29.1'!F35</f>
        <v>0</v>
      </c>
    </row>
    <row r="36" spans="1:6" s="139" customFormat="1" ht="24.95" customHeight="1">
      <c r="A36" s="140" t="s">
        <v>228</v>
      </c>
      <c r="B36" s="143" t="s">
        <v>596</v>
      </c>
      <c r="C36" s="152">
        <f>'29.1'!C36</f>
        <v>1377827521</v>
      </c>
      <c r="D36" s="140"/>
      <c r="E36" s="152">
        <f>'29.1'!E36</f>
        <v>1860043153</v>
      </c>
      <c r="F36" s="140"/>
    </row>
    <row r="37" spans="1:6" ht="31.5">
      <c r="A37" s="4" t="s">
        <v>75</v>
      </c>
      <c r="B37" s="6" t="s">
        <v>76</v>
      </c>
      <c r="C37" s="5"/>
      <c r="D37" s="5"/>
      <c r="E37" s="5"/>
      <c r="F37" s="5"/>
    </row>
    <row r="38" spans="1:6" ht="31.5">
      <c r="A38" s="4" t="s">
        <v>77</v>
      </c>
      <c r="B38" s="6" t="s">
        <v>78</v>
      </c>
      <c r="C38" s="5"/>
      <c r="D38" s="5"/>
      <c r="E38" s="5"/>
      <c r="F38" s="5"/>
    </row>
  </sheetData>
  <mergeCells count="9">
    <mergeCell ref="B6:B7"/>
    <mergeCell ref="C6:C7"/>
    <mergeCell ref="D6:E6"/>
    <mergeCell ref="A1:B1"/>
    <mergeCell ref="A3:F3"/>
    <mergeCell ref="A4:F4"/>
    <mergeCell ref="F6:F7"/>
    <mergeCell ref="A6:A7"/>
    <mergeCell ref="A5:F5"/>
  </mergeCells>
  <phoneticPr fontId="13" type="noConversion"/>
  <pageMargins left="0.70866141732283472" right="0.43307086614173229" top="0.59055118110236227" bottom="0.31496062992125984"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7"/>
  <sheetViews>
    <sheetView view="pageBreakPreview" zoomScaleNormal="100" workbookViewId="0">
      <selection activeCell="J9" sqref="J9"/>
    </sheetView>
  </sheetViews>
  <sheetFormatPr defaultRowHeight="15"/>
  <cols>
    <col min="1" max="1" width="6" customWidth="1"/>
    <col min="2" max="2" width="73.42578125" customWidth="1"/>
    <col min="3" max="3" width="19.28515625" customWidth="1"/>
    <col min="4" max="4" width="19.85546875" customWidth="1"/>
    <col min="5" max="5" width="20.7109375" customWidth="1"/>
    <col min="6" max="6" width="9.42578125" hidden="1" customWidth="1"/>
    <col min="7" max="7" width="17.7109375" hidden="1" customWidth="1"/>
  </cols>
  <sheetData>
    <row r="1" spans="1:9" s="1" customFormat="1" ht="15.75">
      <c r="A1" s="1286"/>
      <c r="B1" s="1286"/>
      <c r="E1" s="8" t="s">
        <v>79</v>
      </c>
    </row>
    <row r="2" spans="1:9" ht="15.75">
      <c r="A2" s="1252" t="s">
        <v>1339</v>
      </c>
      <c r="B2" s="1252"/>
      <c r="C2" s="1252"/>
      <c r="D2" s="1252"/>
      <c r="E2" s="1252"/>
    </row>
    <row r="3" spans="1:9" ht="24" customHeight="1">
      <c r="A3" s="1284" t="str">
        <f>'29.2'!A4:F4</f>
        <v>(Kèm theo Báo cáo số           /BC-UBND ngày           /          /2020 của UBND huyện Tủa Chùa)</v>
      </c>
      <c r="B3" s="1284"/>
      <c r="C3" s="1284"/>
      <c r="D3" s="1284"/>
      <c r="E3" s="1284"/>
    </row>
    <row r="4" spans="1:9" ht="21" customHeight="1">
      <c r="E4" s="3" t="s">
        <v>213</v>
      </c>
    </row>
    <row r="5" spans="1:9" ht="57" customHeight="1">
      <c r="A5" s="4" t="s">
        <v>214</v>
      </c>
      <c r="B5" s="4" t="s">
        <v>215</v>
      </c>
      <c r="C5" s="4" t="s">
        <v>594</v>
      </c>
      <c r="D5" s="4" t="s">
        <v>1086</v>
      </c>
      <c r="E5" s="4" t="s">
        <v>1084</v>
      </c>
    </row>
    <row r="6" spans="1:9" ht="15.75">
      <c r="A6" s="5" t="s">
        <v>218</v>
      </c>
      <c r="B6" s="5" t="s">
        <v>219</v>
      </c>
      <c r="C6" s="5">
        <v>1</v>
      </c>
      <c r="D6" s="5">
        <v>2</v>
      </c>
      <c r="E6" s="5">
        <v>3</v>
      </c>
    </row>
    <row r="7" spans="1:9" ht="15.75">
      <c r="A7" s="4" t="s">
        <v>218</v>
      </c>
      <c r="B7" s="6" t="s">
        <v>80</v>
      </c>
      <c r="C7" s="14">
        <f>C8+C51</f>
        <v>559298000000</v>
      </c>
      <c r="D7" s="14">
        <f>D8+D51+D54+D55</f>
        <v>780562024566</v>
      </c>
      <c r="E7" s="14">
        <f>E8+E51+E54</f>
        <v>429280000000</v>
      </c>
      <c r="G7" s="17">
        <f>'[3]BIỂU THUYẾT MINH 2021 H+X'!$C$7</f>
        <v>429280000000</v>
      </c>
      <c r="I7" s="17"/>
    </row>
    <row r="8" spans="1:9" ht="15.75">
      <c r="A8" s="4" t="s">
        <v>220</v>
      </c>
      <c r="B8" s="6" t="s">
        <v>81</v>
      </c>
      <c r="C8" s="14">
        <f>C10+C33+C47+C48+C49+C50</f>
        <v>432749000000</v>
      </c>
      <c r="D8" s="14">
        <f>D10+D33+D47+D48+D49+D50</f>
        <v>464254322305</v>
      </c>
      <c r="E8" s="14">
        <f>E10+E33+E47+E48+E49+E50</f>
        <v>429261000000</v>
      </c>
      <c r="G8" s="17">
        <f>E7-G7</f>
        <v>0</v>
      </c>
    </row>
    <row r="9" spans="1:9" s="101" customFormat="1" ht="31.5">
      <c r="A9" s="95"/>
      <c r="B9" s="9" t="s">
        <v>354</v>
      </c>
      <c r="C9" s="95"/>
      <c r="D9" s="95"/>
      <c r="E9" s="95"/>
    </row>
    <row r="10" spans="1:9" ht="15.75">
      <c r="A10" s="4">
        <v>1</v>
      </c>
      <c r="B10" s="6" t="s">
        <v>230</v>
      </c>
      <c r="C10" s="14">
        <f>C12</f>
        <v>1800000000</v>
      </c>
      <c r="D10" s="14">
        <f>D12</f>
        <v>1671000000</v>
      </c>
      <c r="E10" s="14">
        <f>E12</f>
        <v>16698000000</v>
      </c>
    </row>
    <row r="11" spans="1:9" s="101" customFormat="1" ht="47.25">
      <c r="A11" s="95" t="s">
        <v>222</v>
      </c>
      <c r="B11" s="99" t="s">
        <v>82</v>
      </c>
      <c r="C11" s="96"/>
      <c r="D11" s="95"/>
      <c r="E11" s="95"/>
    </row>
    <row r="12" spans="1:9" ht="15.75">
      <c r="A12" s="4" t="s">
        <v>237</v>
      </c>
      <c r="B12" s="6" t="s">
        <v>355</v>
      </c>
      <c r="C12" s="14">
        <f>C14+C19</f>
        <v>1800000000</v>
      </c>
      <c r="D12" s="14">
        <f>D14+D19</f>
        <v>1671000000</v>
      </c>
      <c r="E12" s="14">
        <f>E14+E19</f>
        <v>16698000000</v>
      </c>
    </row>
    <row r="13" spans="1:9" ht="15.75">
      <c r="A13" s="4"/>
      <c r="B13" s="6" t="s">
        <v>244</v>
      </c>
      <c r="C13" s="5"/>
      <c r="D13" s="5"/>
      <c r="E13" s="5"/>
    </row>
    <row r="14" spans="1:9" ht="15.75">
      <c r="A14" s="4" t="s">
        <v>83</v>
      </c>
      <c r="B14" s="6" t="s">
        <v>84</v>
      </c>
      <c r="C14" s="16">
        <f>SUM(C15:C18)</f>
        <v>1800000000</v>
      </c>
      <c r="D14" s="16">
        <f>SUM(D15:D18)</f>
        <v>1671000000</v>
      </c>
      <c r="E14" s="16">
        <f>SUM(E15:E18)</f>
        <v>16698000000</v>
      </c>
    </row>
    <row r="15" spans="1:9" ht="15.75">
      <c r="A15" s="5" t="s">
        <v>233</v>
      </c>
      <c r="B15" s="7" t="s">
        <v>85</v>
      </c>
      <c r="C15" s="15"/>
      <c r="D15" s="15"/>
      <c r="E15" s="15">
        <f>'29.2'!F26</f>
        <v>16698000000</v>
      </c>
    </row>
    <row r="16" spans="1:9" ht="15.75">
      <c r="A16" s="5" t="s">
        <v>234</v>
      </c>
      <c r="B16" s="7" t="s">
        <v>86</v>
      </c>
      <c r="C16" s="15">
        <f>'29.2'!D26</f>
        <v>1800000000</v>
      </c>
      <c r="D16" s="15">
        <f>'ƯỚC CHI SỐ 02'!F10</f>
        <v>1671000000</v>
      </c>
      <c r="E16" s="15"/>
    </row>
    <row r="17" spans="1:5" ht="15.75">
      <c r="A17" s="5" t="s">
        <v>235</v>
      </c>
      <c r="B17" s="7" t="s">
        <v>87</v>
      </c>
      <c r="C17" s="15"/>
      <c r="D17" s="15"/>
      <c r="E17" s="15"/>
    </row>
    <row r="18" spans="1:5" ht="15.75">
      <c r="A18" s="5" t="s">
        <v>239</v>
      </c>
      <c r="B18" s="7" t="s">
        <v>88</v>
      </c>
      <c r="C18" s="15"/>
      <c r="D18" s="15"/>
      <c r="E18" s="15"/>
    </row>
    <row r="19" spans="1:5" ht="15.75">
      <c r="A19" s="4" t="s">
        <v>89</v>
      </c>
      <c r="B19" s="6" t="s">
        <v>90</v>
      </c>
      <c r="C19" s="20">
        <f>SUM(C20:C32)</f>
        <v>0</v>
      </c>
      <c r="D19" s="20">
        <f>SUM(D20:D32)</f>
        <v>0</v>
      </c>
      <c r="E19" s="20">
        <f>SUM(E20:E32)</f>
        <v>0</v>
      </c>
    </row>
    <row r="20" spans="1:5" ht="15.75">
      <c r="A20" s="10" t="s">
        <v>233</v>
      </c>
      <c r="B20" s="9" t="s">
        <v>236</v>
      </c>
      <c r="C20" s="15"/>
      <c r="D20" s="15"/>
      <c r="E20" s="15"/>
    </row>
    <row r="21" spans="1:5" ht="15.75">
      <c r="A21" s="10" t="s">
        <v>234</v>
      </c>
      <c r="B21" s="9" t="s">
        <v>91</v>
      </c>
      <c r="C21" s="15"/>
      <c r="D21" s="15"/>
      <c r="E21" s="15"/>
    </row>
    <row r="22" spans="1:5" ht="15.75">
      <c r="A22" s="10" t="s">
        <v>235</v>
      </c>
      <c r="B22" s="9" t="s">
        <v>92</v>
      </c>
      <c r="C22" s="15"/>
      <c r="D22" s="15"/>
      <c r="E22" s="15"/>
    </row>
    <row r="23" spans="1:5" ht="15.75">
      <c r="A23" s="10" t="s">
        <v>239</v>
      </c>
      <c r="B23" s="9" t="s">
        <v>93</v>
      </c>
      <c r="C23" s="15"/>
      <c r="D23" s="15"/>
      <c r="E23" s="15"/>
    </row>
    <row r="24" spans="1:5" ht="15.75">
      <c r="A24" s="10" t="s">
        <v>242</v>
      </c>
      <c r="B24" s="9" t="s">
        <v>94</v>
      </c>
      <c r="C24" s="15"/>
      <c r="D24" s="15"/>
      <c r="E24" s="15"/>
    </row>
    <row r="25" spans="1:5" ht="15.75">
      <c r="A25" s="10" t="s">
        <v>95</v>
      </c>
      <c r="B25" s="9" t="s">
        <v>96</v>
      </c>
      <c r="C25" s="15"/>
      <c r="D25" s="15"/>
      <c r="E25" s="15"/>
    </row>
    <row r="26" spans="1:5" ht="15.75">
      <c r="A26" s="10" t="s">
        <v>97</v>
      </c>
      <c r="B26" s="9" t="s">
        <v>98</v>
      </c>
      <c r="C26" s="15"/>
      <c r="D26" s="15"/>
      <c r="E26" s="15"/>
    </row>
    <row r="27" spans="1:5" ht="15.75">
      <c r="A27" s="10" t="s">
        <v>99</v>
      </c>
      <c r="B27" s="9" t="s">
        <v>100</v>
      </c>
      <c r="C27" s="15"/>
      <c r="D27" s="15"/>
      <c r="E27" s="15"/>
    </row>
    <row r="28" spans="1:5" ht="15.75">
      <c r="A28" s="10" t="s">
        <v>101</v>
      </c>
      <c r="B28" s="9" t="s">
        <v>102</v>
      </c>
      <c r="C28" s="15"/>
      <c r="D28" s="15"/>
      <c r="E28" s="15"/>
    </row>
    <row r="29" spans="1:5" ht="15.75">
      <c r="A29" s="10" t="s">
        <v>103</v>
      </c>
      <c r="B29" s="9" t="s">
        <v>104</v>
      </c>
      <c r="C29" s="15"/>
      <c r="D29" s="15"/>
      <c r="E29" s="15"/>
    </row>
    <row r="30" spans="1:5" ht="15.75">
      <c r="A30" s="10" t="s">
        <v>105</v>
      </c>
      <c r="B30" s="9" t="s">
        <v>106</v>
      </c>
      <c r="C30" s="22"/>
      <c r="D30" s="15"/>
      <c r="E30" s="15"/>
    </row>
    <row r="31" spans="1:5" ht="15.75">
      <c r="A31" s="10" t="s">
        <v>107</v>
      </c>
      <c r="B31" s="9" t="s">
        <v>229</v>
      </c>
      <c r="C31" s="15"/>
      <c r="D31" s="15"/>
      <c r="E31" s="15"/>
    </row>
    <row r="32" spans="1:5" ht="15.75">
      <c r="A32" s="10" t="s">
        <v>201</v>
      </c>
      <c r="B32" s="9" t="s">
        <v>202</v>
      </c>
      <c r="C32" s="15"/>
      <c r="D32" s="15"/>
      <c r="E32" s="15"/>
    </row>
    <row r="33" spans="1:7" s="23" customFormat="1" ht="15.75">
      <c r="A33" s="4">
        <v>2</v>
      </c>
      <c r="B33" s="6" t="s">
        <v>231</v>
      </c>
      <c r="C33" s="20">
        <f>SUM(C34:C46)</f>
        <v>422838000000</v>
      </c>
      <c r="D33" s="20">
        <f>SUM(D34:D46)</f>
        <v>462583322305</v>
      </c>
      <c r="E33" s="20">
        <f>SUM(E34:E46)</f>
        <v>404475000000</v>
      </c>
      <c r="F33" s="541"/>
      <c r="G33" s="541">
        <f>C33-'ƯỚC CHI SỐ 02'!C14</f>
        <v>-57000000</v>
      </c>
    </row>
    <row r="34" spans="1:7" ht="15.75">
      <c r="A34" s="10" t="s">
        <v>233</v>
      </c>
      <c r="B34" s="9" t="s">
        <v>236</v>
      </c>
      <c r="C34" s="15">
        <f>'ƯỚC CHI SỐ 02'!C17</f>
        <v>253133800000</v>
      </c>
      <c r="D34" s="15">
        <f>'ƯỚC CHI SỐ 02'!F17</f>
        <v>261634478000</v>
      </c>
      <c r="E34" s="15">
        <f>'[3]BIỂU THUYẾT MINH 2021 H+X'!$D$49+'[3]BIỂU THUYẾT MINH 2021 H+X'!$D$70</f>
        <v>247836200000</v>
      </c>
      <c r="G34" s="17"/>
    </row>
    <row r="35" spans="1:7" ht="15.75">
      <c r="A35" s="10" t="s">
        <v>234</v>
      </c>
      <c r="B35" s="9" t="s">
        <v>91</v>
      </c>
      <c r="C35" s="15">
        <v>193000000</v>
      </c>
      <c r="D35" s="15">
        <f>'ƯỚC CHI SỐ 02'!F18</f>
        <v>58620000</v>
      </c>
      <c r="E35" s="15">
        <f>'[3]BIỂU THUYẾT MINH 2021 H+X'!$D$160</f>
        <v>250000000</v>
      </c>
      <c r="G35" s="17"/>
    </row>
    <row r="36" spans="1:7" ht="15.75">
      <c r="A36" s="10" t="s">
        <v>235</v>
      </c>
      <c r="B36" s="9" t="s">
        <v>92</v>
      </c>
      <c r="C36" s="15">
        <f>'ƯỚC CHI SỐ 02'!C15</f>
        <v>5170600000</v>
      </c>
      <c r="D36" s="15">
        <f>'ƯỚC CHI SỐ 02'!F15</f>
        <v>5570500000</v>
      </c>
      <c r="E36" s="15">
        <f>'[3]BIỂU THUYẾT MINH 2021 H+X'!$C$252</f>
        <v>6875500000</v>
      </c>
      <c r="G36" s="17"/>
    </row>
    <row r="37" spans="1:7" ht="15.75">
      <c r="A37" s="10" t="s">
        <v>239</v>
      </c>
      <c r="B37" s="9" t="s">
        <v>93</v>
      </c>
      <c r="C37" s="15">
        <f>'ƯỚC CHI SỐ 02'!C16</f>
        <v>1858500000</v>
      </c>
      <c r="D37" s="15">
        <f>'ƯỚC CHI SỐ 02'!F16</f>
        <v>1889666269</v>
      </c>
      <c r="E37" s="15">
        <f>'[3]BIỂU THUYẾT MINH 2021 H+X'!$C$251</f>
        <v>1651000000</v>
      </c>
      <c r="G37" s="17"/>
    </row>
    <row r="38" spans="1:7" ht="15.75">
      <c r="A38" s="10" t="s">
        <v>242</v>
      </c>
      <c r="B38" s="9" t="s">
        <v>203</v>
      </c>
      <c r="C38" s="15">
        <v>658000000</v>
      </c>
      <c r="D38" s="15">
        <v>658000000</v>
      </c>
      <c r="E38" s="15">
        <v>658000000</v>
      </c>
      <c r="G38" s="17"/>
    </row>
    <row r="39" spans="1:7" ht="15.75">
      <c r="A39" s="10" t="s">
        <v>95</v>
      </c>
      <c r="B39" s="9" t="s">
        <v>204</v>
      </c>
      <c r="C39" s="15">
        <f>1990000000+14200000</f>
        <v>2004200000</v>
      </c>
      <c r="D39" s="15">
        <f>'ƯỚC CHI SỐ 02'!F19-D40-D41</f>
        <v>2254200000</v>
      </c>
      <c r="E39" s="15">
        <f>'[3]BIỂU THUYẾT MINH 2021 H+X'!$C$87-E40-E41</f>
        <v>1899000000</v>
      </c>
      <c r="G39" s="17">
        <f>C39+C40+C41-'ƯỚC CHI SỐ 02'!C19</f>
        <v>0</v>
      </c>
    </row>
    <row r="40" spans="1:7" ht="15.75">
      <c r="A40" s="10" t="s">
        <v>97</v>
      </c>
      <c r="B40" s="9" t="s">
        <v>205</v>
      </c>
      <c r="C40" s="15">
        <v>1833000000</v>
      </c>
      <c r="D40" s="15">
        <f>C40</f>
        <v>1833000000</v>
      </c>
      <c r="E40" s="15">
        <f>1930000000</f>
        <v>1930000000</v>
      </c>
      <c r="G40" s="17"/>
    </row>
    <row r="41" spans="1:7" ht="15.75">
      <c r="A41" s="10" t="s">
        <v>99</v>
      </c>
      <c r="B41" s="9" t="s">
        <v>206</v>
      </c>
      <c r="C41" s="15">
        <v>583000000</v>
      </c>
      <c r="D41" s="15">
        <f>C41</f>
        <v>583000000</v>
      </c>
      <c r="E41" s="15">
        <f>C41+125000000</f>
        <v>708000000</v>
      </c>
      <c r="G41" s="17"/>
    </row>
    <row r="42" spans="1:7" ht="15.75">
      <c r="A42" s="10" t="s">
        <v>101</v>
      </c>
      <c r="B42" s="9" t="s">
        <v>207</v>
      </c>
      <c r="C42" s="15">
        <v>2000000000</v>
      </c>
      <c r="D42" s="15">
        <f>'ƯỚC CHI SỐ 02'!F20</f>
        <v>2000000000</v>
      </c>
      <c r="E42" s="15">
        <f>'[3]BIỂU THUYẾT MINH 2021 H+X'!$C$96</f>
        <v>2000000000</v>
      </c>
      <c r="G42" s="17"/>
    </row>
    <row r="43" spans="1:7" ht="15.75">
      <c r="A43" s="10" t="s">
        <v>103</v>
      </c>
      <c r="B43" s="9" t="s">
        <v>104</v>
      </c>
      <c r="C43" s="15">
        <f>'ƯỚC CHI SỐ 02'!C21</f>
        <v>48745340000</v>
      </c>
      <c r="D43" s="15">
        <f>'ƯỚC CHI SỐ 02'!F21</f>
        <v>49161195764</v>
      </c>
      <c r="E43" s="15">
        <f>'[3]BIỂU THUYẾT MINH 2021 H+X'!$C$13</f>
        <v>19330800000</v>
      </c>
      <c r="G43" s="17"/>
    </row>
    <row r="44" spans="1:7" ht="15.75">
      <c r="A44" s="10" t="s">
        <v>105</v>
      </c>
      <c r="B44" s="9" t="s">
        <v>106</v>
      </c>
      <c r="C44" s="15">
        <f>'ƯỚC CHI SỐ 02'!C22</f>
        <v>94847760000</v>
      </c>
      <c r="D44" s="15">
        <f>'ƯỚC CHI SỐ 02'!F22</f>
        <v>97247116789</v>
      </c>
      <c r="E44" s="15">
        <f>'[3]BIỂU THUYẾT MINH 2021 H+X'!$C$105+'[3]BIỂU THUYẾT MINH 2021 H+X'!$C$277+'[3]BIỂU THUYẾT MINH 2021 H+X'!$C$253+'[3]BIỂU THUYẾT MINH 2021 H+X'!$C$279+'[3]BIỂU THUYẾT MINH 2021 H+X'!$C$282-548000000</f>
        <v>111073100000</v>
      </c>
      <c r="G44" s="17"/>
    </row>
    <row r="45" spans="1:7" ht="15.75">
      <c r="A45" s="10" t="s">
        <v>107</v>
      </c>
      <c r="B45" s="9" t="s">
        <v>229</v>
      </c>
      <c r="C45" s="15">
        <f>'ƯỚC CHI SỐ 02'!C23-C38</f>
        <v>11010800000</v>
      </c>
      <c r="D45" s="15">
        <f>'ƯỚC CHI SỐ 02'!F23-D38</f>
        <v>38893545483</v>
      </c>
      <c r="E45" s="15">
        <f>'[3]BIỂU THUYẾT MINH 2021 H+X'!$C$101+'[3]BIỂU THUYẾT MINH 2021 H+X'!$C$97</f>
        <v>10263400000</v>
      </c>
      <c r="G45" s="17"/>
    </row>
    <row r="46" spans="1:7" ht="15.75">
      <c r="A46" s="10" t="s">
        <v>201</v>
      </c>
      <c r="B46" s="9" t="s">
        <v>202</v>
      </c>
      <c r="C46" s="15">
        <v>800000000</v>
      </c>
      <c r="D46" s="15">
        <f>'ƯỚC CHI SỐ 02'!F24</f>
        <v>800000000</v>
      </c>
      <c r="E46" s="15"/>
      <c r="G46" s="17"/>
    </row>
    <row r="47" spans="1:7" ht="15.75">
      <c r="A47" s="4">
        <v>3</v>
      </c>
      <c r="B47" s="6" t="s">
        <v>208</v>
      </c>
      <c r="C47" s="20"/>
      <c r="D47" s="20"/>
      <c r="E47" s="20"/>
    </row>
    <row r="48" spans="1:7" ht="15.75">
      <c r="A48" s="4">
        <v>4</v>
      </c>
      <c r="B48" s="6" t="s">
        <v>65</v>
      </c>
      <c r="C48" s="20"/>
      <c r="D48" s="20"/>
      <c r="E48" s="20"/>
    </row>
    <row r="49" spans="1:5" ht="15.75">
      <c r="A49" s="4">
        <v>5</v>
      </c>
      <c r="B49" s="6" t="s">
        <v>66</v>
      </c>
      <c r="C49" s="20">
        <f>'ƯỚC CHI SỐ 02'!C26</f>
        <v>7361000000</v>
      </c>
      <c r="D49" s="20"/>
      <c r="E49" s="20">
        <f>'[3]BIỂU THUYẾT MINH 2021 H+X'!$C$281</f>
        <v>7488000000</v>
      </c>
    </row>
    <row r="50" spans="1:5" ht="15.75">
      <c r="A50" s="4">
        <v>6</v>
      </c>
      <c r="B50" s="6" t="s">
        <v>209</v>
      </c>
      <c r="C50" s="20">
        <f>'ƯỚC CHI SỐ 02'!C25</f>
        <v>750000000</v>
      </c>
      <c r="D50" s="20"/>
      <c r="E50" s="20">
        <f>'[3]BIỂU THUYẾT MINH 2021 H+X'!$D$283</f>
        <v>600000000</v>
      </c>
    </row>
    <row r="51" spans="1:5" ht="15.75">
      <c r="A51" s="4" t="s">
        <v>223</v>
      </c>
      <c r="B51" s="6" t="s">
        <v>73</v>
      </c>
      <c r="C51" s="20">
        <f>SUM(C52:C54)</f>
        <v>126549000000</v>
      </c>
      <c r="D51" s="20">
        <f>SUM(D52:D53)</f>
        <v>181772959602</v>
      </c>
      <c r="E51" s="20">
        <f>SUM(E52:E53)</f>
        <v>19000000</v>
      </c>
    </row>
    <row r="52" spans="1:5" s="101" customFormat="1" ht="15.75">
      <c r="A52" s="95">
        <v>1</v>
      </c>
      <c r="B52" s="99" t="s">
        <v>70</v>
      </c>
      <c r="C52" s="100">
        <f>'ƯỚC CHI SỐ 02'!C28</f>
        <v>118496000000</v>
      </c>
      <c r="D52" s="100">
        <f>'29.2'!E32</f>
        <v>178056185602</v>
      </c>
      <c r="E52" s="11">
        <f>'29.2'!F32</f>
        <v>0</v>
      </c>
    </row>
    <row r="53" spans="1:5" s="101" customFormat="1" ht="15.75">
      <c r="A53" s="95">
        <v>2</v>
      </c>
      <c r="B53" s="99" t="s">
        <v>210</v>
      </c>
      <c r="C53" s="100">
        <f>'ƯỚC CHI SỐ 02'!C51</f>
        <v>8053000000</v>
      </c>
      <c r="D53" s="100">
        <f>'29.2'!E33</f>
        <v>3716774000</v>
      </c>
      <c r="E53" s="15">
        <f>'29.2'!F33</f>
        <v>19000000</v>
      </c>
    </row>
    <row r="54" spans="1:5" s="23" customFormat="1" ht="15.75">
      <c r="A54" s="4" t="s">
        <v>226</v>
      </c>
      <c r="B54" s="6" t="s">
        <v>595</v>
      </c>
      <c r="C54" s="20"/>
      <c r="D54" s="152">
        <f>'29.2'!E35</f>
        <v>132674699506</v>
      </c>
      <c r="E54" s="152">
        <f>'29.2'!F35</f>
        <v>0</v>
      </c>
    </row>
    <row r="55" spans="1:5" s="23" customFormat="1" ht="15.75">
      <c r="A55" s="953" t="s">
        <v>227</v>
      </c>
      <c r="B55" s="6" t="s">
        <v>596</v>
      </c>
      <c r="C55" s="20"/>
      <c r="D55" s="152">
        <f>'ƯỚC CHI SỐ 02'!F76</f>
        <v>1860043153</v>
      </c>
      <c r="E55" s="152"/>
    </row>
    <row r="56" spans="1:5" ht="31.5">
      <c r="A56" s="4" t="s">
        <v>219</v>
      </c>
      <c r="B56" s="6" t="s">
        <v>211</v>
      </c>
      <c r="C56" s="15"/>
      <c r="D56" s="15"/>
      <c r="E56" s="15"/>
    </row>
    <row r="57" spans="1:5" ht="31.5">
      <c r="A57" s="4" t="s">
        <v>238</v>
      </c>
      <c r="B57" s="6" t="s">
        <v>212</v>
      </c>
      <c r="C57" s="15"/>
      <c r="D57" s="15"/>
      <c r="E57" s="15"/>
    </row>
  </sheetData>
  <mergeCells count="3">
    <mergeCell ref="A1:B1"/>
    <mergeCell ref="A2:E2"/>
    <mergeCell ref="A3:E3"/>
  </mergeCells>
  <phoneticPr fontId="13" type="noConversion"/>
  <pageMargins left="0.82677165354330717" right="0.64" top="0.74803149606299213" bottom="0.28999999999999998"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view="pageBreakPreview" topLeftCell="A2" zoomScaleNormal="100" workbookViewId="0">
      <selection activeCell="B16" sqref="B16"/>
    </sheetView>
  </sheetViews>
  <sheetFormatPr defaultRowHeight="15.75"/>
  <cols>
    <col min="1" max="1" width="4.140625" style="92" customWidth="1"/>
    <col min="2" max="2" width="52.7109375" style="12" customWidth="1"/>
    <col min="3" max="3" width="22.28515625" style="12" customWidth="1"/>
    <col min="4" max="4" width="22.140625" style="12" customWidth="1"/>
    <col min="5" max="5" width="22" style="93" customWidth="1"/>
    <col min="6" max="6" width="22.7109375" style="93" hidden="1" customWidth="1"/>
    <col min="7" max="7" width="8.7109375" style="93" customWidth="1"/>
    <col min="8" max="8" width="8" style="93" customWidth="1"/>
    <col min="9" max="9" width="8.5703125" style="13" customWidth="1"/>
    <col min="10" max="10" width="10" style="13" hidden="1" customWidth="1"/>
    <col min="11" max="11" width="22.140625" style="231" hidden="1" customWidth="1"/>
    <col min="12" max="25" width="0" style="13" hidden="1" customWidth="1"/>
    <col min="26" max="16384" width="9.140625" style="13"/>
  </cols>
  <sheetData>
    <row r="1" spans="1:11" ht="18.75" hidden="1">
      <c r="A1" s="1141" t="s">
        <v>356</v>
      </c>
      <c r="B1" s="1141"/>
      <c r="C1" s="1141"/>
      <c r="D1" s="1141"/>
      <c r="E1" s="1141"/>
      <c r="F1" s="1141"/>
      <c r="G1" s="164"/>
      <c r="H1" s="164"/>
    </row>
    <row r="2" spans="1:11" ht="44.25" customHeight="1">
      <c r="A2" s="1142" t="s">
        <v>588</v>
      </c>
      <c r="B2" s="1142"/>
      <c r="C2" s="1142"/>
      <c r="D2" s="1142"/>
      <c r="E2" s="1142"/>
      <c r="F2" s="1142"/>
      <c r="G2" s="1142"/>
      <c r="H2" s="1142"/>
      <c r="I2" s="1142"/>
      <c r="J2" s="1142"/>
    </row>
    <row r="3" spans="1:11" ht="29.25" customHeight="1">
      <c r="A3" s="1143" t="s">
        <v>589</v>
      </c>
      <c r="B3" s="1143"/>
      <c r="C3" s="1143"/>
      <c r="D3" s="1143"/>
      <c r="E3" s="1143"/>
      <c r="F3" s="1143"/>
      <c r="G3" s="1143"/>
      <c r="H3" s="1143"/>
      <c r="I3" s="1143"/>
      <c r="J3" s="1143"/>
    </row>
    <row r="4" spans="1:11" ht="29.25" customHeight="1">
      <c r="A4" s="1145" t="s">
        <v>797</v>
      </c>
      <c r="B4" s="1145"/>
      <c r="C4" s="1145"/>
      <c r="D4" s="1145"/>
      <c r="E4" s="1145"/>
      <c r="F4" s="1145"/>
      <c r="G4" s="1145"/>
      <c r="H4" s="1145"/>
      <c r="I4" s="1145"/>
      <c r="J4" s="1145"/>
    </row>
    <row r="5" spans="1:11" s="69" customFormat="1" ht="147" customHeight="1">
      <c r="A5" s="66" t="s">
        <v>246</v>
      </c>
      <c r="B5" s="67" t="s">
        <v>357</v>
      </c>
      <c r="C5" s="68" t="s">
        <v>590</v>
      </c>
      <c r="D5" s="68" t="s">
        <v>591</v>
      </c>
      <c r="E5" s="68" t="s">
        <v>592</v>
      </c>
      <c r="F5" s="68" t="s">
        <v>47</v>
      </c>
      <c r="G5" s="68" t="s">
        <v>483</v>
      </c>
      <c r="H5" s="68" t="s">
        <v>420</v>
      </c>
      <c r="I5" s="160" t="s">
        <v>593</v>
      </c>
      <c r="J5" s="160" t="s">
        <v>415</v>
      </c>
      <c r="K5" s="232"/>
    </row>
    <row r="6" spans="1:11" s="69" customFormat="1" ht="32.25" customHeight="1">
      <c r="A6" s="165"/>
      <c r="B6" s="194" t="s">
        <v>358</v>
      </c>
      <c r="C6" s="75">
        <f>C7+C12+C13</f>
        <v>458803000000</v>
      </c>
      <c r="D6" s="75">
        <f>D7+D12+D13</f>
        <v>237192761454</v>
      </c>
      <c r="E6" s="75">
        <f>E7+E12+E13</f>
        <v>532068072539</v>
      </c>
      <c r="F6" s="75">
        <f>F7+F12+F13</f>
        <v>615943700000</v>
      </c>
      <c r="G6" s="241">
        <f>D6/C6</f>
        <v>0.51698171427388229</v>
      </c>
      <c r="H6" s="241">
        <f>D6/K6</f>
        <v>1.0851294207794366</v>
      </c>
      <c r="I6" s="241">
        <f t="shared" ref="I6:I27" si="0">E6/C6</f>
        <v>1.1596874312918617</v>
      </c>
      <c r="J6" s="161">
        <f>F6/E6</f>
        <v>1.1576407828057602</v>
      </c>
      <c r="K6" s="232">
        <v>218584766860</v>
      </c>
    </row>
    <row r="7" spans="1:11" s="74" customFormat="1" ht="35.1" customHeight="1">
      <c r="A7" s="72"/>
      <c r="B7" s="236" t="s">
        <v>464</v>
      </c>
      <c r="C7" s="72">
        <f>C9+C43</f>
        <v>458153000000</v>
      </c>
      <c r="D7" s="72">
        <f>D9+D43</f>
        <v>236552891437</v>
      </c>
      <c r="E7" s="72">
        <f>+E9+E43+E49+E52</f>
        <v>531248072539</v>
      </c>
      <c r="F7" s="72">
        <f>+F9+F43+F49+F52</f>
        <v>615293700000</v>
      </c>
      <c r="G7" s="241">
        <f t="shared" ref="G7:G48" si="1">D7/C7</f>
        <v>0.51631854737827754</v>
      </c>
      <c r="H7" s="241">
        <f t="shared" ref="H7:H48" si="2">D7/K7</f>
        <v>1.0870088853120878</v>
      </c>
      <c r="I7" s="241">
        <f t="shared" si="0"/>
        <v>1.1595429311583685</v>
      </c>
      <c r="J7" s="161">
        <f t="shared" ref="J7:J48" si="3">F7/E7</f>
        <v>1.1582041080343497</v>
      </c>
      <c r="K7" s="233">
        <v>217618176478</v>
      </c>
    </row>
    <row r="8" spans="1:11" s="27" customFormat="1" ht="35.1" customHeight="1">
      <c r="A8" s="75" t="s">
        <v>218</v>
      </c>
      <c r="B8" s="236" t="s">
        <v>359</v>
      </c>
      <c r="C8" s="75">
        <f>C9+C12+C13</f>
        <v>14140000000</v>
      </c>
      <c r="D8" s="75">
        <f>D9+D12+D13</f>
        <v>7224761454</v>
      </c>
      <c r="E8" s="75">
        <f>E10+E11+E12+E13</f>
        <v>15150000000</v>
      </c>
      <c r="F8" s="75">
        <f>F10+F11+F12+F13</f>
        <v>15500000000</v>
      </c>
      <c r="G8" s="241">
        <f t="shared" si="1"/>
        <v>0.51094494016973124</v>
      </c>
      <c r="H8" s="241">
        <f t="shared" si="2"/>
        <v>1.0123429242623021</v>
      </c>
      <c r="I8" s="241">
        <f t="shared" si="0"/>
        <v>1.0714285714285714</v>
      </c>
      <c r="J8" s="161">
        <f t="shared" si="3"/>
        <v>1.023102310231023</v>
      </c>
      <c r="K8" s="62">
        <v>7136674027</v>
      </c>
    </row>
    <row r="9" spans="1:11" s="117" customFormat="1" ht="35.1" customHeight="1">
      <c r="A9" s="118"/>
      <c r="B9" s="237" t="s">
        <v>360</v>
      </c>
      <c r="C9" s="114">
        <f>C10+C11</f>
        <v>13490000000</v>
      </c>
      <c r="D9" s="114">
        <f>D10+D11</f>
        <v>6584891437</v>
      </c>
      <c r="E9" s="114">
        <f>E10+E11</f>
        <v>14330000000</v>
      </c>
      <c r="F9" s="114">
        <f>F10+F11</f>
        <v>14850000000</v>
      </c>
      <c r="G9" s="241">
        <f t="shared" si="1"/>
        <v>0.48813131482579691</v>
      </c>
      <c r="H9" s="241">
        <f t="shared" si="2"/>
        <v>1.0672288766030174</v>
      </c>
      <c r="I9" s="241">
        <f t="shared" si="0"/>
        <v>1.0622683469236471</v>
      </c>
      <c r="J9" s="161">
        <f t="shared" si="3"/>
        <v>1.0362875087229588</v>
      </c>
      <c r="K9" s="234">
        <v>6170083645</v>
      </c>
    </row>
    <row r="10" spans="1:11" s="27" customFormat="1" ht="35.1" customHeight="1">
      <c r="A10" s="78"/>
      <c r="B10" s="195" t="s">
        <v>361</v>
      </c>
      <c r="C10" s="80">
        <f>C14+C19+C22+C27+C30+C33+C37+C41</f>
        <v>12740000000</v>
      </c>
      <c r="D10" s="80">
        <f>D14+D19+D22+D27+D30+D33+D37+D41</f>
        <v>6245488690</v>
      </c>
      <c r="E10" s="80">
        <f>E14+E19+E22+E27+E30+E33+E37+E41</f>
        <v>13360000000</v>
      </c>
      <c r="F10" s="80">
        <f>F14+F19+F22+F27+F30+F33+F37+F41</f>
        <v>13960000000</v>
      </c>
      <c r="G10" s="242">
        <f t="shared" si="1"/>
        <v>0.49022674175824177</v>
      </c>
      <c r="H10" s="241">
        <f t="shared" si="2"/>
        <v>1.0669919622595661</v>
      </c>
      <c r="I10" s="242">
        <f t="shared" si="0"/>
        <v>1.0486656200941915</v>
      </c>
      <c r="J10" s="162">
        <f t="shared" si="3"/>
        <v>1.0449101796407185</v>
      </c>
      <c r="K10" s="62">
        <v>5853360579</v>
      </c>
    </row>
    <row r="11" spans="1:11" s="27" customFormat="1" ht="35.1" customHeight="1">
      <c r="A11" s="78"/>
      <c r="B11" s="195" t="s">
        <v>362</v>
      </c>
      <c r="C11" s="80">
        <f>C20+C23+C31+C28+C38+C42</f>
        <v>750000000</v>
      </c>
      <c r="D11" s="80">
        <f>D20+D23+D31+D28+D38+D42</f>
        <v>339402747</v>
      </c>
      <c r="E11" s="80">
        <f>E20+E23+E31+E28+E38+E42</f>
        <v>970000000</v>
      </c>
      <c r="F11" s="80">
        <f>F20+F23+F31+F28+F38+F42</f>
        <v>890000000</v>
      </c>
      <c r="G11" s="242">
        <f t="shared" si="1"/>
        <v>0.45253699600000002</v>
      </c>
      <c r="H11" s="241">
        <f t="shared" si="2"/>
        <v>1.0716072917783639</v>
      </c>
      <c r="I11" s="242">
        <f t="shared" si="0"/>
        <v>1.2933333333333332</v>
      </c>
      <c r="J11" s="162">
        <f t="shared" si="3"/>
        <v>0.91752577319587625</v>
      </c>
      <c r="K11" s="62">
        <v>316723066</v>
      </c>
    </row>
    <row r="12" spans="1:11" s="117" customFormat="1" ht="35.1" customHeight="1">
      <c r="A12" s="114"/>
      <c r="B12" s="238" t="s">
        <v>363</v>
      </c>
      <c r="C12" s="114">
        <f>C26+C36</f>
        <v>500000000</v>
      </c>
      <c r="D12" s="114">
        <f>D26+D36</f>
        <v>497969603</v>
      </c>
      <c r="E12" s="114">
        <f>E26+E36</f>
        <v>650000000</v>
      </c>
      <c r="F12" s="114">
        <f>F26+F36</f>
        <v>500000000</v>
      </c>
      <c r="G12" s="241">
        <f t="shared" si="1"/>
        <v>0.99593920599999997</v>
      </c>
      <c r="H12" s="241">
        <f t="shared" si="2"/>
        <v>0.59600283058782277</v>
      </c>
      <c r="I12" s="241">
        <f t="shared" si="0"/>
        <v>1.3</v>
      </c>
      <c r="J12" s="161">
        <f t="shared" si="3"/>
        <v>0.76923076923076927</v>
      </c>
      <c r="K12" s="234">
        <v>835515500</v>
      </c>
    </row>
    <row r="13" spans="1:11" s="117" customFormat="1" ht="35.1" customHeight="1">
      <c r="A13" s="114"/>
      <c r="B13" s="238" t="s">
        <v>364</v>
      </c>
      <c r="C13" s="114">
        <f>C32+C35+C40</f>
        <v>150000000</v>
      </c>
      <c r="D13" s="114">
        <f>D32+D35+D40</f>
        <v>141900414</v>
      </c>
      <c r="E13" s="114">
        <f>E32+E35+E40</f>
        <v>170000000</v>
      </c>
      <c r="F13" s="114">
        <f>F32+F35+F40</f>
        <v>150000000</v>
      </c>
      <c r="G13" s="241">
        <f t="shared" si="1"/>
        <v>0.94600276000000005</v>
      </c>
      <c r="H13" s="241">
        <f t="shared" si="2"/>
        <v>1.0825904386471239</v>
      </c>
      <c r="I13" s="241">
        <f t="shared" si="0"/>
        <v>1.1333333333333333</v>
      </c>
      <c r="J13" s="161">
        <f t="shared" si="3"/>
        <v>0.88235294117647056</v>
      </c>
      <c r="K13" s="234">
        <v>131074882</v>
      </c>
    </row>
    <row r="14" spans="1:11" s="27" customFormat="1" ht="35.1" customHeight="1">
      <c r="A14" s="72">
        <v>1</v>
      </c>
      <c r="B14" s="191" t="s">
        <v>365</v>
      </c>
      <c r="C14" s="72">
        <f>C15+C16+C17</f>
        <v>9650000000</v>
      </c>
      <c r="D14" s="72">
        <f>D15+D16+D17</f>
        <v>4113552765</v>
      </c>
      <c r="E14" s="72">
        <f>E15+E16+E17</f>
        <v>9650000000</v>
      </c>
      <c r="F14" s="72">
        <f>F15+F16+F17</f>
        <v>10700000000</v>
      </c>
      <c r="G14" s="241">
        <f t="shared" si="1"/>
        <v>0.42627489792746115</v>
      </c>
      <c r="H14" s="241">
        <f t="shared" si="2"/>
        <v>0.94142254012106141</v>
      </c>
      <c r="I14" s="241">
        <f t="shared" si="0"/>
        <v>1</v>
      </c>
      <c r="J14" s="161">
        <f t="shared" si="3"/>
        <v>1.1088082901554404</v>
      </c>
      <c r="K14" s="62">
        <v>4369507410</v>
      </c>
    </row>
    <row r="15" spans="1:11" s="27" customFormat="1" ht="35.1" customHeight="1">
      <c r="A15" s="80"/>
      <c r="B15" s="195" t="s">
        <v>366</v>
      </c>
      <c r="C15" s="80">
        <v>6500000000</v>
      </c>
      <c r="D15" s="80">
        <v>3161338116</v>
      </c>
      <c r="E15" s="80">
        <v>6500000000</v>
      </c>
      <c r="F15" s="80">
        <v>7300000000</v>
      </c>
      <c r="G15" s="242">
        <f t="shared" si="1"/>
        <v>0.48635971015384616</v>
      </c>
      <c r="H15" s="242">
        <f t="shared" si="2"/>
        <v>0.90856983612523223</v>
      </c>
      <c r="I15" s="242">
        <f t="shared" si="0"/>
        <v>1</v>
      </c>
      <c r="J15" s="162">
        <f t="shared" si="3"/>
        <v>1.1230769230769231</v>
      </c>
      <c r="K15" s="62">
        <v>3479466289</v>
      </c>
    </row>
    <row r="16" spans="1:11" s="27" customFormat="1" ht="35.1" customHeight="1">
      <c r="A16" s="80"/>
      <c r="B16" s="195" t="s">
        <v>367</v>
      </c>
      <c r="C16" s="80">
        <v>310000000</v>
      </c>
      <c r="D16" s="80">
        <v>197267574</v>
      </c>
      <c r="E16" s="80">
        <v>310000000</v>
      </c>
      <c r="F16" s="80">
        <v>400000000</v>
      </c>
      <c r="G16" s="242">
        <f t="shared" si="1"/>
        <v>0.63634701290322582</v>
      </c>
      <c r="H16" s="242">
        <f t="shared" si="2"/>
        <v>0.88835483267482118</v>
      </c>
      <c r="I16" s="242">
        <f t="shared" si="0"/>
        <v>1</v>
      </c>
      <c r="J16" s="162">
        <f t="shared" si="3"/>
        <v>1.2903225806451613</v>
      </c>
      <c r="K16" s="62">
        <v>222059437</v>
      </c>
    </row>
    <row r="17" spans="1:11" s="27" customFormat="1" ht="35.1" customHeight="1">
      <c r="A17" s="80"/>
      <c r="B17" s="195" t="s">
        <v>368</v>
      </c>
      <c r="C17" s="80">
        <v>2840000000</v>
      </c>
      <c r="D17" s="80">
        <v>754947075</v>
      </c>
      <c r="E17" s="80">
        <v>2840000000</v>
      </c>
      <c r="F17" s="80">
        <v>3000000000</v>
      </c>
      <c r="G17" s="242">
        <f t="shared" si="1"/>
        <v>0.26582643485915491</v>
      </c>
      <c r="H17" s="242">
        <f t="shared" si="2"/>
        <v>1.1708187539120107</v>
      </c>
      <c r="I17" s="242">
        <f t="shared" si="0"/>
        <v>1</v>
      </c>
      <c r="J17" s="162">
        <f t="shared" si="3"/>
        <v>1.056338028169014</v>
      </c>
      <c r="K17" s="62">
        <v>644802684</v>
      </c>
    </row>
    <row r="18" spans="1:11" s="27" customFormat="1" ht="35.1" customHeight="1">
      <c r="A18" s="72">
        <v>2</v>
      </c>
      <c r="B18" s="191" t="s">
        <v>369</v>
      </c>
      <c r="C18" s="72">
        <f>C19+C20</f>
        <v>1590000000</v>
      </c>
      <c r="D18" s="72">
        <f>D19+D20</f>
        <v>1077972040</v>
      </c>
      <c r="E18" s="72">
        <f>SUM(E19:E20)</f>
        <v>1590000000</v>
      </c>
      <c r="F18" s="72">
        <f>SUM(F19:F20)</f>
        <v>1600000000</v>
      </c>
      <c r="G18" s="241">
        <f t="shared" si="1"/>
        <v>0.67796983647798748</v>
      </c>
      <c r="H18" s="241">
        <f t="shared" si="2"/>
        <v>1.8346795771549578</v>
      </c>
      <c r="I18" s="241">
        <f t="shared" si="0"/>
        <v>1</v>
      </c>
      <c r="J18" s="161">
        <f t="shared" si="3"/>
        <v>1.0062893081761006</v>
      </c>
      <c r="K18" s="62">
        <v>587553300</v>
      </c>
    </row>
    <row r="19" spans="1:11" s="27" customFormat="1" ht="35.1" customHeight="1">
      <c r="A19" s="80"/>
      <c r="B19" s="195" t="s">
        <v>370</v>
      </c>
      <c r="C19" s="80">
        <v>1290000000</v>
      </c>
      <c r="D19" s="80">
        <v>1040613325</v>
      </c>
      <c r="E19" s="80">
        <v>1290000000</v>
      </c>
      <c r="F19" s="80">
        <v>1300000000</v>
      </c>
      <c r="G19" s="242">
        <f t="shared" si="1"/>
        <v>0.80667699612403099</v>
      </c>
      <c r="H19" s="242">
        <f t="shared" si="2"/>
        <v>1.8656416794719473</v>
      </c>
      <c r="I19" s="242">
        <f t="shared" si="0"/>
        <v>1</v>
      </c>
      <c r="J19" s="162">
        <f t="shared" si="3"/>
        <v>1.0077519379844961</v>
      </c>
      <c r="K19" s="62">
        <v>557777700</v>
      </c>
    </row>
    <row r="20" spans="1:11" s="27" customFormat="1" ht="35.1" customHeight="1">
      <c r="A20" s="80"/>
      <c r="B20" s="195" t="s">
        <v>371</v>
      </c>
      <c r="C20" s="80">
        <v>300000000</v>
      </c>
      <c r="D20" s="80">
        <v>37358715</v>
      </c>
      <c r="E20" s="80">
        <v>300000000</v>
      </c>
      <c r="F20" s="80">
        <v>300000000</v>
      </c>
      <c r="G20" s="242">
        <f t="shared" si="1"/>
        <v>0.12452905</v>
      </c>
      <c r="H20" s="242">
        <f t="shared" si="2"/>
        <v>1.2546754725345586</v>
      </c>
      <c r="I20" s="242">
        <f t="shared" si="0"/>
        <v>1</v>
      </c>
      <c r="J20" s="162">
        <f t="shared" si="3"/>
        <v>1</v>
      </c>
      <c r="K20" s="62">
        <v>29775600</v>
      </c>
    </row>
    <row r="21" spans="1:11" s="27" customFormat="1" ht="35.1" customHeight="1">
      <c r="A21" s="72">
        <v>3</v>
      </c>
      <c r="B21" s="191" t="s">
        <v>372</v>
      </c>
      <c r="C21" s="72">
        <f>C22+C23</f>
        <v>1000000000</v>
      </c>
      <c r="D21" s="72">
        <f>D22+D23</f>
        <v>367595700</v>
      </c>
      <c r="E21" s="72">
        <f>SUM(E22:E24)</f>
        <v>1000000000</v>
      </c>
      <c r="F21" s="72">
        <f>SUM(F22:F24)</f>
        <v>1300000000</v>
      </c>
      <c r="G21" s="241">
        <f t="shared" si="1"/>
        <v>0.36759570000000003</v>
      </c>
      <c r="H21" s="241">
        <f t="shared" si="2"/>
        <v>0.86449104102003649</v>
      </c>
      <c r="I21" s="241">
        <f t="shared" si="0"/>
        <v>1</v>
      </c>
      <c r="J21" s="161">
        <f t="shared" si="3"/>
        <v>1.3</v>
      </c>
      <c r="K21" s="62">
        <v>425216321</v>
      </c>
    </row>
    <row r="22" spans="1:11" s="27" customFormat="1" ht="35.1" customHeight="1">
      <c r="A22" s="80"/>
      <c r="B22" s="195" t="s">
        <v>373</v>
      </c>
      <c r="C22" s="80">
        <v>850000000</v>
      </c>
      <c r="D22" s="80">
        <v>367595700</v>
      </c>
      <c r="E22" s="80">
        <v>850000000</v>
      </c>
      <c r="F22" s="80">
        <v>1040000000</v>
      </c>
      <c r="G22" s="242">
        <f t="shared" si="1"/>
        <v>0.43246552941176469</v>
      </c>
      <c r="H22" s="242">
        <f t="shared" si="2"/>
        <v>0.86449104102003649</v>
      </c>
      <c r="I22" s="242">
        <f t="shared" si="0"/>
        <v>1</v>
      </c>
      <c r="J22" s="162">
        <f t="shared" si="3"/>
        <v>1.223529411764706</v>
      </c>
      <c r="K22" s="62">
        <v>425216321</v>
      </c>
    </row>
    <row r="23" spans="1:11" s="27" customFormat="1" ht="35.1" customHeight="1">
      <c r="A23" s="80"/>
      <c r="B23" s="195" t="s">
        <v>374</v>
      </c>
      <c r="C23" s="80">
        <v>150000000</v>
      </c>
      <c r="D23" s="80"/>
      <c r="E23" s="80">
        <v>150000000</v>
      </c>
      <c r="F23" s="80">
        <v>260000000</v>
      </c>
      <c r="G23" s="242">
        <f t="shared" si="1"/>
        <v>0</v>
      </c>
      <c r="H23" s="241"/>
      <c r="I23" s="242">
        <f t="shared" si="0"/>
        <v>1</v>
      </c>
      <c r="J23" s="162">
        <f t="shared" si="3"/>
        <v>1.7333333333333334</v>
      </c>
      <c r="K23" s="62"/>
    </row>
    <row r="24" spans="1:11" s="27" customFormat="1" ht="35.1" hidden="1" customHeight="1">
      <c r="A24" s="80"/>
      <c r="B24" s="195" t="s">
        <v>363</v>
      </c>
      <c r="C24" s="80"/>
      <c r="D24" s="80"/>
      <c r="E24" s="80"/>
      <c r="F24" s="80"/>
      <c r="G24" s="241" t="e">
        <f t="shared" si="1"/>
        <v>#DIV/0!</v>
      </c>
      <c r="H24" s="241" t="e">
        <f t="shared" si="2"/>
        <v>#DIV/0!</v>
      </c>
      <c r="I24" s="241" t="e">
        <f t="shared" si="0"/>
        <v>#DIV/0!</v>
      </c>
      <c r="J24" s="161" t="e">
        <f t="shared" si="3"/>
        <v>#DIV/0!</v>
      </c>
      <c r="K24" s="62"/>
    </row>
    <row r="25" spans="1:11" s="84" customFormat="1" ht="35.1" customHeight="1">
      <c r="A25" s="72">
        <v>4</v>
      </c>
      <c r="B25" s="191" t="s">
        <v>375</v>
      </c>
      <c r="C25" s="72">
        <f>C26+C27+C28</f>
        <v>1000000000</v>
      </c>
      <c r="D25" s="72">
        <f>D26+D27+D28</f>
        <v>388485135</v>
      </c>
      <c r="E25" s="72">
        <f>E26+E27+E28</f>
        <v>1035000000</v>
      </c>
      <c r="F25" s="72">
        <f>F26+F27+F28</f>
        <v>1000000000</v>
      </c>
      <c r="G25" s="241">
        <f t="shared" si="1"/>
        <v>0.38848513499999998</v>
      </c>
      <c r="H25" s="241">
        <f t="shared" si="2"/>
        <v>0.52313572582388101</v>
      </c>
      <c r="I25" s="241">
        <f t="shared" si="0"/>
        <v>1.0349999999999999</v>
      </c>
      <c r="J25" s="161">
        <f t="shared" si="3"/>
        <v>0.96618357487922701</v>
      </c>
      <c r="K25" s="235">
        <v>742608688</v>
      </c>
    </row>
    <row r="26" spans="1:11" s="27" customFormat="1" ht="35.1" customHeight="1">
      <c r="A26" s="80"/>
      <c r="B26" s="195" t="s">
        <v>44</v>
      </c>
      <c r="C26" s="80">
        <v>500000000</v>
      </c>
      <c r="D26" s="80">
        <v>357294603</v>
      </c>
      <c r="E26" s="80">
        <v>500000000</v>
      </c>
      <c r="F26" s="80">
        <v>500000000</v>
      </c>
      <c r="G26" s="242">
        <f t="shared" si="1"/>
        <v>0.71458920599999998</v>
      </c>
      <c r="H26" s="242">
        <f t="shared" si="2"/>
        <v>0.48513460618029819</v>
      </c>
      <c r="I26" s="242">
        <f t="shared" si="0"/>
        <v>1</v>
      </c>
      <c r="J26" s="162">
        <f t="shared" si="3"/>
        <v>1</v>
      </c>
      <c r="K26" s="62">
        <v>736485500</v>
      </c>
    </row>
    <row r="27" spans="1:11" s="27" customFormat="1" ht="35.1" customHeight="1">
      <c r="A27" s="80"/>
      <c r="B27" s="195" t="s">
        <v>45</v>
      </c>
      <c r="C27" s="80">
        <v>500000000</v>
      </c>
      <c r="D27" s="80"/>
      <c r="E27" s="80">
        <v>500000000</v>
      </c>
      <c r="F27" s="80">
        <v>500000000</v>
      </c>
      <c r="G27" s="242">
        <f t="shared" si="1"/>
        <v>0</v>
      </c>
      <c r="H27" s="242"/>
      <c r="I27" s="242">
        <f t="shared" si="0"/>
        <v>1</v>
      </c>
      <c r="J27" s="162">
        <f t="shared" si="3"/>
        <v>1</v>
      </c>
      <c r="K27" s="62"/>
    </row>
    <row r="28" spans="1:11" s="27" customFormat="1" ht="35.1" customHeight="1">
      <c r="A28" s="80"/>
      <c r="B28" s="195" t="s">
        <v>394</v>
      </c>
      <c r="C28" s="80"/>
      <c r="D28" s="80">
        <v>31190532</v>
      </c>
      <c r="E28" s="80">
        <v>35000000</v>
      </c>
      <c r="F28" s="80"/>
      <c r="G28" s="242"/>
      <c r="H28" s="242">
        <f t="shared" si="2"/>
        <v>5.0938386997100205</v>
      </c>
      <c r="I28" s="241"/>
      <c r="J28" s="161"/>
      <c r="K28" s="62">
        <v>6123188</v>
      </c>
    </row>
    <row r="29" spans="1:11" s="84" customFormat="1" ht="35.1" customHeight="1">
      <c r="A29" s="72">
        <v>5</v>
      </c>
      <c r="B29" s="191" t="s">
        <v>376</v>
      </c>
      <c r="C29" s="72">
        <f>C30+C31+C32</f>
        <v>420000000</v>
      </c>
      <c r="D29" s="72">
        <f>D30+D31+D32</f>
        <v>370153173</v>
      </c>
      <c r="E29" s="72">
        <f>E30+E31+E32</f>
        <v>570000000</v>
      </c>
      <c r="F29" s="72">
        <f>F30+F31+F32</f>
        <v>450000000</v>
      </c>
      <c r="G29" s="283">
        <f t="shared" si="1"/>
        <v>0.8813170785714286</v>
      </c>
      <c r="H29" s="283">
        <f t="shared" si="2"/>
        <v>1.2582086080228621</v>
      </c>
      <c r="I29" s="283">
        <f>E29/C29</f>
        <v>1.3571428571428572</v>
      </c>
      <c r="J29" s="161">
        <f t="shared" si="3"/>
        <v>0.78947368421052633</v>
      </c>
      <c r="K29" s="235">
        <v>294190622</v>
      </c>
    </row>
    <row r="30" spans="1:11" s="27" customFormat="1" ht="35.1" customHeight="1">
      <c r="A30" s="80"/>
      <c r="B30" s="195" t="s">
        <v>382</v>
      </c>
      <c r="C30" s="80">
        <v>120000000</v>
      </c>
      <c r="D30" s="80">
        <v>180293673</v>
      </c>
      <c r="E30" s="80">
        <v>250000000</v>
      </c>
      <c r="F30" s="80">
        <v>120000000</v>
      </c>
      <c r="G30" s="242">
        <f t="shared" si="1"/>
        <v>1.502447275</v>
      </c>
      <c r="H30" s="242">
        <f t="shared" si="2"/>
        <v>1.4797406546543292</v>
      </c>
      <c r="I30" s="242">
        <f>E30/C30</f>
        <v>2.0833333333333335</v>
      </c>
      <c r="J30" s="162">
        <f t="shared" si="3"/>
        <v>0.48</v>
      </c>
      <c r="K30" s="62">
        <v>121841400</v>
      </c>
    </row>
    <row r="31" spans="1:11" s="27" customFormat="1" ht="35.1" customHeight="1">
      <c r="A31" s="80"/>
      <c r="B31" s="195" t="s">
        <v>374</v>
      </c>
      <c r="C31" s="80">
        <v>300000000</v>
      </c>
      <c r="D31" s="80">
        <v>178834500</v>
      </c>
      <c r="E31" s="80">
        <v>300000000</v>
      </c>
      <c r="F31" s="80">
        <v>330000000</v>
      </c>
      <c r="G31" s="242">
        <f t="shared" si="1"/>
        <v>0.59611499999999995</v>
      </c>
      <c r="H31" s="242">
        <f t="shared" si="2"/>
        <v>1.0463909985606124</v>
      </c>
      <c r="I31" s="242">
        <f>E31/C31</f>
        <v>1</v>
      </c>
      <c r="J31" s="162">
        <f t="shared" si="3"/>
        <v>1.1000000000000001</v>
      </c>
      <c r="K31" s="62">
        <v>170906000</v>
      </c>
    </row>
    <row r="32" spans="1:11" s="27" customFormat="1" ht="35.1" customHeight="1">
      <c r="A32" s="80"/>
      <c r="B32" s="195" t="s">
        <v>377</v>
      </c>
      <c r="C32" s="78"/>
      <c r="D32" s="78">
        <v>11025000</v>
      </c>
      <c r="E32" s="80">
        <v>20000000</v>
      </c>
      <c r="F32" s="80"/>
      <c r="G32" s="241"/>
      <c r="H32" s="242">
        <f t="shared" si="2"/>
        <v>7.6391573853502788</v>
      </c>
      <c r="I32" s="241"/>
      <c r="J32" s="161"/>
      <c r="K32" s="62">
        <v>1443222</v>
      </c>
    </row>
    <row r="33" spans="1:11" s="84" customFormat="1" ht="35.1" customHeight="1">
      <c r="A33" s="72">
        <v>6</v>
      </c>
      <c r="B33" s="191" t="s">
        <v>378</v>
      </c>
      <c r="C33" s="72">
        <v>30000000</v>
      </c>
      <c r="D33" s="72">
        <v>52733000</v>
      </c>
      <c r="E33" s="72">
        <v>70000000</v>
      </c>
      <c r="F33" s="72">
        <v>100000000</v>
      </c>
      <c r="G33" s="241">
        <f t="shared" si="1"/>
        <v>1.7577666666666667</v>
      </c>
      <c r="H33" s="241"/>
      <c r="I33" s="241">
        <f>E33/C33</f>
        <v>2.3333333333333335</v>
      </c>
      <c r="J33" s="161">
        <f t="shared" si="3"/>
        <v>1.4285714285714286</v>
      </c>
      <c r="K33" s="235">
        <v>0</v>
      </c>
    </row>
    <row r="34" spans="1:11" s="27" customFormat="1" ht="35.1" customHeight="1">
      <c r="A34" s="72">
        <v>7</v>
      </c>
      <c r="B34" s="191" t="s">
        <v>379</v>
      </c>
      <c r="C34" s="72">
        <f>C35+C36+C37+C38</f>
        <v>450000000</v>
      </c>
      <c r="D34" s="72">
        <f>D35+D36+D37+D38</f>
        <v>782560641</v>
      </c>
      <c r="E34" s="72">
        <f>SUM(E35,E36,E37,E38)</f>
        <v>1035000000</v>
      </c>
      <c r="F34" s="72">
        <f>SUM(F35,F36,F37,F38)</f>
        <v>350000000</v>
      </c>
      <c r="G34" s="241">
        <f t="shared" si="1"/>
        <v>1.7390236466666666</v>
      </c>
      <c r="H34" s="241">
        <f t="shared" si="2"/>
        <v>1.5908614197719095</v>
      </c>
      <c r="I34" s="241">
        <f>E34/C34</f>
        <v>2.2999999999999998</v>
      </c>
      <c r="J34" s="161">
        <f t="shared" si="3"/>
        <v>0.33816425120772947</v>
      </c>
      <c r="K34" s="62">
        <v>491910000</v>
      </c>
    </row>
    <row r="35" spans="1:11" s="27" customFormat="1" ht="35.1" customHeight="1">
      <c r="A35" s="80"/>
      <c r="B35" s="195" t="s">
        <v>380</v>
      </c>
      <c r="C35" s="80">
        <v>150000000</v>
      </c>
      <c r="D35" s="80">
        <v>130875414</v>
      </c>
      <c r="E35" s="80">
        <v>150000000</v>
      </c>
      <c r="F35" s="80">
        <v>150000000</v>
      </c>
      <c r="G35" s="242">
        <f t="shared" si="1"/>
        <v>0.87250276000000004</v>
      </c>
      <c r="H35" s="242">
        <f t="shared" si="2"/>
        <v>1.3213732545812509</v>
      </c>
      <c r="I35" s="242">
        <f>E35/C35</f>
        <v>1</v>
      </c>
      <c r="J35" s="161">
        <f t="shared" si="3"/>
        <v>1</v>
      </c>
      <c r="K35" s="62">
        <v>99045000</v>
      </c>
    </row>
    <row r="36" spans="1:11" s="27" customFormat="1" ht="35.1" customHeight="1">
      <c r="A36" s="80"/>
      <c r="B36" s="195" t="s">
        <v>381</v>
      </c>
      <c r="C36" s="80"/>
      <c r="D36" s="80">
        <v>140675000</v>
      </c>
      <c r="E36" s="80">
        <v>150000000</v>
      </c>
      <c r="F36" s="80"/>
      <c r="G36" s="242"/>
      <c r="H36" s="242">
        <f t="shared" si="2"/>
        <v>1.4205291325860849</v>
      </c>
      <c r="I36" s="242"/>
      <c r="J36" s="161"/>
      <c r="K36" s="62">
        <v>99030000</v>
      </c>
    </row>
    <row r="37" spans="1:11" s="27" customFormat="1" ht="35.1" customHeight="1">
      <c r="A37" s="80"/>
      <c r="B37" s="195" t="s">
        <v>382</v>
      </c>
      <c r="C37" s="80">
        <v>300000000</v>
      </c>
      <c r="D37" s="80">
        <v>490700227</v>
      </c>
      <c r="E37" s="80">
        <v>700000000</v>
      </c>
      <c r="F37" s="80">
        <v>200000000</v>
      </c>
      <c r="G37" s="242">
        <f t="shared" si="1"/>
        <v>1.6356674233333333</v>
      </c>
      <c r="H37" s="242">
        <f t="shared" si="2"/>
        <v>1.7629842707528698</v>
      </c>
      <c r="I37" s="242">
        <f>E37/C37</f>
        <v>2.3333333333333335</v>
      </c>
      <c r="J37" s="161">
        <f t="shared" si="3"/>
        <v>0.2857142857142857</v>
      </c>
      <c r="K37" s="62">
        <v>278335000</v>
      </c>
    </row>
    <row r="38" spans="1:11" s="27" customFormat="1" ht="35.1" customHeight="1">
      <c r="A38" s="80"/>
      <c r="B38" s="195" t="s">
        <v>374</v>
      </c>
      <c r="C38" s="80"/>
      <c r="D38" s="80">
        <f>90310000-70000000</f>
        <v>20310000</v>
      </c>
      <c r="E38" s="80">
        <v>35000000</v>
      </c>
      <c r="F38" s="80"/>
      <c r="G38" s="242"/>
      <c r="H38" s="242">
        <f t="shared" si="2"/>
        <v>1.3540000000000001</v>
      </c>
      <c r="I38" s="242"/>
      <c r="J38" s="161"/>
      <c r="K38" s="62">
        <v>15000000</v>
      </c>
    </row>
    <row r="39" spans="1:11" s="84" customFormat="1" ht="35.1" customHeight="1">
      <c r="A39" s="72">
        <v>8</v>
      </c>
      <c r="B39" s="191" t="s">
        <v>383</v>
      </c>
      <c r="C39" s="72"/>
      <c r="D39" s="72">
        <f>D41+D42</f>
        <v>71709000</v>
      </c>
      <c r="E39" s="72">
        <f>SUM(E40:E42)</f>
        <v>200000000</v>
      </c>
      <c r="F39" s="72"/>
      <c r="G39" s="242"/>
      <c r="H39" s="242">
        <f t="shared" si="2"/>
        <v>0.31773554539435528</v>
      </c>
      <c r="I39" s="242"/>
      <c r="J39" s="161"/>
      <c r="K39" s="235">
        <v>225687686</v>
      </c>
    </row>
    <row r="40" spans="1:11" s="27" customFormat="1" ht="35.1" hidden="1" customHeight="1">
      <c r="A40" s="80"/>
      <c r="B40" s="195" t="s">
        <v>384</v>
      </c>
      <c r="C40" s="80"/>
      <c r="D40" s="80"/>
      <c r="E40" s="80"/>
      <c r="F40" s="80"/>
      <c r="G40" s="242"/>
      <c r="H40" s="242" t="e">
        <f t="shared" si="2"/>
        <v>#DIV/0!</v>
      </c>
      <c r="I40" s="242"/>
      <c r="J40" s="161"/>
      <c r="K40" s="62"/>
    </row>
    <row r="41" spans="1:11" s="27" customFormat="1" ht="35.1" customHeight="1">
      <c r="A41" s="80"/>
      <c r="B41" s="195" t="s">
        <v>385</v>
      </c>
      <c r="C41" s="80"/>
      <c r="D41" s="80"/>
      <c r="E41" s="80">
        <v>50000000</v>
      </c>
      <c r="F41" s="80"/>
      <c r="G41" s="242"/>
      <c r="H41" s="242">
        <f t="shared" si="2"/>
        <v>0</v>
      </c>
      <c r="I41" s="242"/>
      <c r="J41" s="161"/>
      <c r="K41" s="62">
        <v>100682748</v>
      </c>
    </row>
    <row r="42" spans="1:11" s="27" customFormat="1" ht="35.1" customHeight="1">
      <c r="A42" s="80"/>
      <c r="B42" s="195" t="s">
        <v>374</v>
      </c>
      <c r="C42" s="80"/>
      <c r="D42" s="80">
        <f>1709000+70000000</f>
        <v>71709000</v>
      </c>
      <c r="E42" s="80">
        <v>150000000</v>
      </c>
      <c r="F42" s="80"/>
      <c r="G42" s="242"/>
      <c r="H42" s="242">
        <f t="shared" si="2"/>
        <v>0.75947840358993113</v>
      </c>
      <c r="I42" s="242"/>
      <c r="J42" s="161"/>
      <c r="K42" s="62">
        <v>94418748</v>
      </c>
    </row>
    <row r="43" spans="1:11" s="27" customFormat="1" ht="35.1" customHeight="1">
      <c r="A43" s="72" t="s">
        <v>219</v>
      </c>
      <c r="B43" s="191" t="s">
        <v>386</v>
      </c>
      <c r="C43" s="72">
        <f>SUM(C44:C48)</f>
        <v>444663000000</v>
      </c>
      <c r="D43" s="72">
        <f>SUM(D44:D48)</f>
        <v>229968000000</v>
      </c>
      <c r="E43" s="72">
        <f>SUM(E44:E48)</f>
        <v>494428572868</v>
      </c>
      <c r="F43" s="72">
        <f>SUM(F44:F48)</f>
        <v>600443700000</v>
      </c>
      <c r="G43" s="241">
        <f t="shared" si="1"/>
        <v>0.51717367984293727</v>
      </c>
      <c r="H43" s="241">
        <f t="shared" si="2"/>
        <v>1.1755436858876607</v>
      </c>
      <c r="I43" s="241">
        <f t="shared" ref="I43:I48" si="4">E43/C43</f>
        <v>1.1119175035206437</v>
      </c>
      <c r="J43" s="161">
        <f t="shared" si="3"/>
        <v>1.2144194994982691</v>
      </c>
      <c r="K43" s="62">
        <v>195626928000</v>
      </c>
    </row>
    <row r="44" spans="1:11" s="27" customFormat="1" ht="35.1" customHeight="1">
      <c r="A44" s="80"/>
      <c r="B44" s="53" t="s">
        <v>387</v>
      </c>
      <c r="C44" s="80">
        <f>351322000000+8059000000</f>
        <v>359381000000</v>
      </c>
      <c r="D44" s="80">
        <v>165000000000</v>
      </c>
      <c r="E44" s="80">
        <v>359381000000</v>
      </c>
      <c r="F44" s="80">
        <f>359381000000+48247000000+1711700000</f>
        <v>409339700000</v>
      </c>
      <c r="G44" s="242">
        <f t="shared" si="1"/>
        <v>0.45912276942854519</v>
      </c>
      <c r="H44" s="242">
        <f t="shared" si="2"/>
        <v>0.99397590361445787</v>
      </c>
      <c r="I44" s="242">
        <f t="shared" si="4"/>
        <v>1</v>
      </c>
      <c r="J44" s="162">
        <f t="shared" si="3"/>
        <v>1.139013192127575</v>
      </c>
      <c r="K44" s="62">
        <v>166000000000</v>
      </c>
    </row>
    <row r="45" spans="1:11" s="27" customFormat="1" ht="35.1" hidden="1" customHeight="1">
      <c r="A45" s="80"/>
      <c r="B45" s="53"/>
      <c r="C45" s="80"/>
      <c r="D45" s="80"/>
      <c r="E45" s="80"/>
      <c r="F45" s="80"/>
      <c r="G45" s="242" t="e">
        <f t="shared" si="1"/>
        <v>#DIV/0!</v>
      </c>
      <c r="H45" s="242" t="e">
        <f t="shared" si="2"/>
        <v>#DIV/0!</v>
      </c>
      <c r="I45" s="242" t="e">
        <f t="shared" si="4"/>
        <v>#DIV/0!</v>
      </c>
      <c r="J45" s="162" t="e">
        <f t="shared" si="3"/>
        <v>#DIV/0!</v>
      </c>
      <c r="K45" s="62"/>
    </row>
    <row r="46" spans="1:11" s="27" customFormat="1" ht="42.75" hidden="1" customHeight="1">
      <c r="A46" s="80"/>
      <c r="B46" s="53"/>
      <c r="C46" s="80"/>
      <c r="D46" s="80"/>
      <c r="E46" s="80"/>
      <c r="F46" s="80"/>
      <c r="G46" s="242" t="e">
        <f t="shared" si="1"/>
        <v>#DIV/0!</v>
      </c>
      <c r="H46" s="242" t="e">
        <f t="shared" si="2"/>
        <v>#DIV/0!</v>
      </c>
      <c r="I46" s="242" t="e">
        <f t="shared" si="4"/>
        <v>#DIV/0!</v>
      </c>
      <c r="J46" s="162" t="e">
        <f t="shared" si="3"/>
        <v>#DIV/0!</v>
      </c>
      <c r="K46" s="62"/>
    </row>
    <row r="47" spans="1:11" s="27" customFormat="1" ht="44.25" customHeight="1">
      <c r="A47" s="80"/>
      <c r="B47" s="49" t="s">
        <v>388</v>
      </c>
      <c r="C47" s="80">
        <v>69198000000</v>
      </c>
      <c r="D47" s="80">
        <v>55000000000</v>
      </c>
      <c r="E47" s="80">
        <f>76432000000+44000000</f>
        <v>76476000000</v>
      </c>
      <c r="F47" s="80">
        <f>95454000000+650000000</f>
        <v>96104000000</v>
      </c>
      <c r="G47" s="242">
        <f t="shared" si="1"/>
        <v>0.79482065955663461</v>
      </c>
      <c r="H47" s="242">
        <f t="shared" si="2"/>
        <v>1.9295754769059812</v>
      </c>
      <c r="I47" s="242">
        <f t="shared" si="4"/>
        <v>1.1051764501864216</v>
      </c>
      <c r="J47" s="162">
        <f t="shared" si="3"/>
        <v>1.2566556828285997</v>
      </c>
      <c r="K47" s="62">
        <f>4882179000+23621500000</f>
        <v>28503679000</v>
      </c>
    </row>
    <row r="48" spans="1:11" s="27" customFormat="1" ht="50.25" customHeight="1">
      <c r="A48" s="80"/>
      <c r="B48" s="239" t="s">
        <v>421</v>
      </c>
      <c r="C48" s="80">
        <v>16084000000</v>
      </c>
      <c r="D48" s="80">
        <v>9968000000</v>
      </c>
      <c r="E48" s="80">
        <f>41000000000+534469700-113302945-290000000+17440406113</f>
        <v>58571572868</v>
      </c>
      <c r="F48" s="80">
        <v>95000000000</v>
      </c>
      <c r="G48" s="284">
        <f t="shared" si="1"/>
        <v>0.6197463317582691</v>
      </c>
      <c r="H48" s="242">
        <f t="shared" si="2"/>
        <v>8.8742567320335919</v>
      </c>
      <c r="I48" s="242">
        <f t="shared" si="4"/>
        <v>3.6416048786371551</v>
      </c>
      <c r="J48" s="162">
        <f t="shared" si="3"/>
        <v>1.6219472236830148</v>
      </c>
      <c r="K48" s="62">
        <v>1123249000</v>
      </c>
    </row>
    <row r="49" spans="1:11" s="84" customFormat="1" ht="35.1" customHeight="1">
      <c r="A49" s="88" t="s">
        <v>238</v>
      </c>
      <c r="B49" s="56" t="s">
        <v>390</v>
      </c>
      <c r="C49" s="285"/>
      <c r="D49" s="286">
        <f>SUM(D50:D51)</f>
        <v>20622778746</v>
      </c>
      <c r="E49" s="286">
        <f>SUM(E50:E51)</f>
        <v>20622778746</v>
      </c>
      <c r="F49" s="286"/>
      <c r="G49" s="241"/>
      <c r="H49" s="241"/>
      <c r="I49" s="241"/>
      <c r="J49" s="161"/>
      <c r="K49" s="235"/>
    </row>
    <row r="50" spans="1:11" s="84" customFormat="1" ht="35.1" customHeight="1">
      <c r="A50" s="88"/>
      <c r="B50" s="240" t="s">
        <v>391</v>
      </c>
      <c r="C50" s="285"/>
      <c r="D50" s="287">
        <v>20514279892</v>
      </c>
      <c r="E50" s="287">
        <v>20514279892</v>
      </c>
      <c r="F50" s="287"/>
      <c r="G50" s="241"/>
      <c r="H50" s="241"/>
      <c r="I50" s="241"/>
      <c r="J50" s="161"/>
      <c r="K50" s="235"/>
    </row>
    <row r="51" spans="1:11" s="84" customFormat="1" ht="35.1" customHeight="1">
      <c r="A51" s="88"/>
      <c r="B51" s="240" t="s">
        <v>392</v>
      </c>
      <c r="C51" s="285"/>
      <c r="D51" s="287">
        <v>108498854</v>
      </c>
      <c r="E51" s="287">
        <v>108498854</v>
      </c>
      <c r="F51" s="287"/>
      <c r="G51" s="241"/>
      <c r="H51" s="241"/>
      <c r="I51" s="241"/>
      <c r="J51" s="161"/>
      <c r="K51" s="235"/>
    </row>
    <row r="52" spans="1:11" s="84" customFormat="1" ht="35.1" customHeight="1">
      <c r="A52" s="88" t="s">
        <v>74</v>
      </c>
      <c r="B52" s="54" t="s">
        <v>393</v>
      </c>
      <c r="C52" s="288"/>
      <c r="D52" s="288"/>
      <c r="E52" s="72">
        <f>SUM(E53:E54)</f>
        <v>1866720925</v>
      </c>
      <c r="F52" s="72"/>
      <c r="G52" s="241"/>
      <c r="H52" s="241"/>
      <c r="I52" s="241"/>
      <c r="J52" s="161"/>
      <c r="K52" s="235"/>
    </row>
    <row r="53" spans="1:11" s="27" customFormat="1" ht="35.1" customHeight="1">
      <c r="A53" s="91"/>
      <c r="B53" s="240" t="s">
        <v>391</v>
      </c>
      <c r="C53" s="289"/>
      <c r="D53" s="289"/>
      <c r="E53" s="80">
        <v>1422457956</v>
      </c>
      <c r="F53" s="80"/>
      <c r="G53" s="241"/>
      <c r="H53" s="241"/>
      <c r="I53" s="241"/>
      <c r="J53" s="161"/>
      <c r="K53" s="62"/>
    </row>
    <row r="54" spans="1:11" s="27" customFormat="1" ht="35.1" customHeight="1">
      <c r="A54" s="91"/>
      <c r="B54" s="240" t="s">
        <v>392</v>
      </c>
      <c r="C54" s="290"/>
      <c r="D54" s="290"/>
      <c r="E54" s="287">
        <v>444262969</v>
      </c>
      <c r="F54" s="287"/>
      <c r="G54" s="241"/>
      <c r="H54" s="241"/>
      <c r="I54" s="241"/>
      <c r="J54" s="161"/>
      <c r="K54" s="62"/>
    </row>
    <row r="158" hidden="1"/>
  </sheetData>
  <mergeCells count="4">
    <mergeCell ref="A1:F1"/>
    <mergeCell ref="A2:J2"/>
    <mergeCell ref="A3:J3"/>
    <mergeCell ref="A4:J4"/>
  </mergeCells>
  <phoneticPr fontId="13" type="noConversion"/>
  <pageMargins left="0.84" right="0.52" top="1" bottom="1" header="0.5" footer="0.5"/>
  <pageSetup paperSize="9" scale="6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4"/>
  <sheetViews>
    <sheetView view="pageBreakPreview" topLeftCell="A67" zoomScale="85" zoomScaleNormal="100" zoomScaleSheetLayoutView="85" workbookViewId="0">
      <selection activeCell="H20" sqref="H20"/>
    </sheetView>
  </sheetViews>
  <sheetFormatPr defaultColWidth="10.28515625" defaultRowHeight="15.75"/>
  <cols>
    <col min="1" max="1" width="7" style="354" customWidth="1"/>
    <col min="2" max="2" width="47.7109375" style="1035" customWidth="1"/>
    <col min="3" max="4" width="19.5703125" style="354" customWidth="1"/>
    <col min="5" max="5" width="19.5703125" style="12" customWidth="1"/>
    <col min="6" max="6" width="20.140625" style="1036" customWidth="1"/>
    <col min="7" max="7" width="11.85546875" style="1037" customWidth="1"/>
    <col min="8" max="8" width="23.7109375" style="354" customWidth="1"/>
    <col min="9" max="9" width="13" style="354" bestFit="1" customWidth="1"/>
    <col min="10" max="10" width="10.5703125" style="354" bestFit="1" customWidth="1"/>
    <col min="11" max="256" width="10.28515625" style="354"/>
    <col min="257" max="257" width="7" style="354" customWidth="1"/>
    <col min="258" max="258" width="41.42578125" style="354" customWidth="1"/>
    <col min="259" max="261" width="19.5703125" style="354" customWidth="1"/>
    <col min="262" max="262" width="10.85546875" style="354" customWidth="1"/>
    <col min="263" max="263" width="9.140625" style="354" customWidth="1"/>
    <col min="264" max="264" width="10.28515625" style="354" customWidth="1"/>
    <col min="265" max="265" width="13" style="354" bestFit="1" customWidth="1"/>
    <col min="266" max="266" width="10.5703125" style="354" bestFit="1" customWidth="1"/>
    <col min="267" max="512" width="10.28515625" style="354"/>
    <col min="513" max="513" width="7" style="354" customWidth="1"/>
    <col min="514" max="514" width="41.42578125" style="354" customWidth="1"/>
    <col min="515" max="517" width="19.5703125" style="354" customWidth="1"/>
    <col min="518" max="518" width="10.85546875" style="354" customWidth="1"/>
    <col min="519" max="519" width="9.140625" style="354" customWidth="1"/>
    <col min="520" max="520" width="10.28515625" style="354" customWidth="1"/>
    <col min="521" max="521" width="13" style="354" bestFit="1" customWidth="1"/>
    <col min="522" max="522" width="10.5703125" style="354" bestFit="1" customWidth="1"/>
    <col min="523" max="768" width="10.28515625" style="354"/>
    <col min="769" max="769" width="7" style="354" customWidth="1"/>
    <col min="770" max="770" width="41.42578125" style="354" customWidth="1"/>
    <col min="771" max="773" width="19.5703125" style="354" customWidth="1"/>
    <col min="774" max="774" width="10.85546875" style="354" customWidth="1"/>
    <col min="775" max="775" width="9.140625" style="354" customWidth="1"/>
    <col min="776" max="776" width="10.28515625" style="354" customWidth="1"/>
    <col min="777" max="777" width="13" style="354" bestFit="1" customWidth="1"/>
    <col min="778" max="778" width="10.5703125" style="354" bestFit="1" customWidth="1"/>
    <col min="779" max="1024" width="10.28515625" style="354"/>
    <col min="1025" max="1025" width="7" style="354" customWidth="1"/>
    <col min="1026" max="1026" width="41.42578125" style="354" customWidth="1"/>
    <col min="1027" max="1029" width="19.5703125" style="354" customWidth="1"/>
    <col min="1030" max="1030" width="10.85546875" style="354" customWidth="1"/>
    <col min="1031" max="1031" width="9.140625" style="354" customWidth="1"/>
    <col min="1032" max="1032" width="10.28515625" style="354" customWidth="1"/>
    <col min="1033" max="1033" width="13" style="354" bestFit="1" customWidth="1"/>
    <col min="1034" max="1034" width="10.5703125" style="354" bestFit="1" customWidth="1"/>
    <col min="1035" max="1280" width="10.28515625" style="354"/>
    <col min="1281" max="1281" width="7" style="354" customWidth="1"/>
    <col min="1282" max="1282" width="41.42578125" style="354" customWidth="1"/>
    <col min="1283" max="1285" width="19.5703125" style="354" customWidth="1"/>
    <col min="1286" max="1286" width="10.85546875" style="354" customWidth="1"/>
    <col min="1287" max="1287" width="9.140625" style="354" customWidth="1"/>
    <col min="1288" max="1288" width="10.28515625" style="354" customWidth="1"/>
    <col min="1289" max="1289" width="13" style="354" bestFit="1" customWidth="1"/>
    <col min="1290" max="1290" width="10.5703125" style="354" bestFit="1" customWidth="1"/>
    <col min="1291" max="1536" width="10.28515625" style="354"/>
    <col min="1537" max="1537" width="7" style="354" customWidth="1"/>
    <col min="1538" max="1538" width="41.42578125" style="354" customWidth="1"/>
    <col min="1539" max="1541" width="19.5703125" style="354" customWidth="1"/>
    <col min="1542" max="1542" width="10.85546875" style="354" customWidth="1"/>
    <col min="1543" max="1543" width="9.140625" style="354" customWidth="1"/>
    <col min="1544" max="1544" width="10.28515625" style="354" customWidth="1"/>
    <col min="1545" max="1545" width="13" style="354" bestFit="1" customWidth="1"/>
    <col min="1546" max="1546" width="10.5703125" style="354" bestFit="1" customWidth="1"/>
    <col min="1547" max="1792" width="10.28515625" style="354"/>
    <col min="1793" max="1793" width="7" style="354" customWidth="1"/>
    <col min="1794" max="1794" width="41.42578125" style="354" customWidth="1"/>
    <col min="1795" max="1797" width="19.5703125" style="354" customWidth="1"/>
    <col min="1798" max="1798" width="10.85546875" style="354" customWidth="1"/>
    <col min="1799" max="1799" width="9.140625" style="354" customWidth="1"/>
    <col min="1800" max="1800" width="10.28515625" style="354" customWidth="1"/>
    <col min="1801" max="1801" width="13" style="354" bestFit="1" customWidth="1"/>
    <col min="1802" max="1802" width="10.5703125" style="354" bestFit="1" customWidth="1"/>
    <col min="1803" max="2048" width="10.28515625" style="354"/>
    <col min="2049" max="2049" width="7" style="354" customWidth="1"/>
    <col min="2050" max="2050" width="41.42578125" style="354" customWidth="1"/>
    <col min="2051" max="2053" width="19.5703125" style="354" customWidth="1"/>
    <col min="2054" max="2054" width="10.85546875" style="354" customWidth="1"/>
    <col min="2055" max="2055" width="9.140625" style="354" customWidth="1"/>
    <col min="2056" max="2056" width="10.28515625" style="354" customWidth="1"/>
    <col min="2057" max="2057" width="13" style="354" bestFit="1" customWidth="1"/>
    <col min="2058" max="2058" width="10.5703125" style="354" bestFit="1" customWidth="1"/>
    <col min="2059" max="2304" width="10.28515625" style="354"/>
    <col min="2305" max="2305" width="7" style="354" customWidth="1"/>
    <col min="2306" max="2306" width="41.42578125" style="354" customWidth="1"/>
    <col min="2307" max="2309" width="19.5703125" style="354" customWidth="1"/>
    <col min="2310" max="2310" width="10.85546875" style="354" customWidth="1"/>
    <col min="2311" max="2311" width="9.140625" style="354" customWidth="1"/>
    <col min="2312" max="2312" width="10.28515625" style="354" customWidth="1"/>
    <col min="2313" max="2313" width="13" style="354" bestFit="1" customWidth="1"/>
    <col min="2314" max="2314" width="10.5703125" style="354" bestFit="1" customWidth="1"/>
    <col min="2315" max="2560" width="10.28515625" style="354"/>
    <col min="2561" max="2561" width="7" style="354" customWidth="1"/>
    <col min="2562" max="2562" width="41.42578125" style="354" customWidth="1"/>
    <col min="2563" max="2565" width="19.5703125" style="354" customWidth="1"/>
    <col min="2566" max="2566" width="10.85546875" style="354" customWidth="1"/>
    <col min="2567" max="2567" width="9.140625" style="354" customWidth="1"/>
    <col min="2568" max="2568" width="10.28515625" style="354" customWidth="1"/>
    <col min="2569" max="2569" width="13" style="354" bestFit="1" customWidth="1"/>
    <col min="2570" max="2570" width="10.5703125" style="354" bestFit="1" customWidth="1"/>
    <col min="2571" max="2816" width="10.28515625" style="354"/>
    <col min="2817" max="2817" width="7" style="354" customWidth="1"/>
    <col min="2818" max="2818" width="41.42578125" style="354" customWidth="1"/>
    <col min="2819" max="2821" width="19.5703125" style="354" customWidth="1"/>
    <col min="2822" max="2822" width="10.85546875" style="354" customWidth="1"/>
    <col min="2823" max="2823" width="9.140625" style="354" customWidth="1"/>
    <col min="2824" max="2824" width="10.28515625" style="354" customWidth="1"/>
    <col min="2825" max="2825" width="13" style="354" bestFit="1" customWidth="1"/>
    <col min="2826" max="2826" width="10.5703125" style="354" bestFit="1" customWidth="1"/>
    <col min="2827" max="3072" width="10.28515625" style="354"/>
    <col min="3073" max="3073" width="7" style="354" customWidth="1"/>
    <col min="3074" max="3074" width="41.42578125" style="354" customWidth="1"/>
    <col min="3075" max="3077" width="19.5703125" style="354" customWidth="1"/>
    <col min="3078" max="3078" width="10.85546875" style="354" customWidth="1"/>
    <col min="3079" max="3079" width="9.140625" style="354" customWidth="1"/>
    <col min="3080" max="3080" width="10.28515625" style="354" customWidth="1"/>
    <col min="3081" max="3081" width="13" style="354" bestFit="1" customWidth="1"/>
    <col min="3082" max="3082" width="10.5703125" style="354" bestFit="1" customWidth="1"/>
    <col min="3083" max="3328" width="10.28515625" style="354"/>
    <col min="3329" max="3329" width="7" style="354" customWidth="1"/>
    <col min="3330" max="3330" width="41.42578125" style="354" customWidth="1"/>
    <col min="3331" max="3333" width="19.5703125" style="354" customWidth="1"/>
    <col min="3334" max="3334" width="10.85546875" style="354" customWidth="1"/>
    <col min="3335" max="3335" width="9.140625" style="354" customWidth="1"/>
    <col min="3336" max="3336" width="10.28515625" style="354" customWidth="1"/>
    <col min="3337" max="3337" width="13" style="354" bestFit="1" customWidth="1"/>
    <col min="3338" max="3338" width="10.5703125" style="354" bestFit="1" customWidth="1"/>
    <col min="3339" max="3584" width="10.28515625" style="354"/>
    <col min="3585" max="3585" width="7" style="354" customWidth="1"/>
    <col min="3586" max="3586" width="41.42578125" style="354" customWidth="1"/>
    <col min="3587" max="3589" width="19.5703125" style="354" customWidth="1"/>
    <col min="3590" max="3590" width="10.85546875" style="354" customWidth="1"/>
    <col min="3591" max="3591" width="9.140625" style="354" customWidth="1"/>
    <col min="3592" max="3592" width="10.28515625" style="354" customWidth="1"/>
    <col min="3593" max="3593" width="13" style="354" bestFit="1" customWidth="1"/>
    <col min="3594" max="3594" width="10.5703125" style="354" bestFit="1" customWidth="1"/>
    <col min="3595" max="3840" width="10.28515625" style="354"/>
    <col min="3841" max="3841" width="7" style="354" customWidth="1"/>
    <col min="3842" max="3842" width="41.42578125" style="354" customWidth="1"/>
    <col min="3843" max="3845" width="19.5703125" style="354" customWidth="1"/>
    <col min="3846" max="3846" width="10.85546875" style="354" customWidth="1"/>
    <col min="3847" max="3847" width="9.140625" style="354" customWidth="1"/>
    <col min="3848" max="3848" width="10.28515625" style="354" customWidth="1"/>
    <col min="3849" max="3849" width="13" style="354" bestFit="1" customWidth="1"/>
    <col min="3850" max="3850" width="10.5703125" style="354" bestFit="1" customWidth="1"/>
    <col min="3851" max="4096" width="10.28515625" style="354"/>
    <col min="4097" max="4097" width="7" style="354" customWidth="1"/>
    <col min="4098" max="4098" width="41.42578125" style="354" customWidth="1"/>
    <col min="4099" max="4101" width="19.5703125" style="354" customWidth="1"/>
    <col min="4102" max="4102" width="10.85546875" style="354" customWidth="1"/>
    <col min="4103" max="4103" width="9.140625" style="354" customWidth="1"/>
    <col min="4104" max="4104" width="10.28515625" style="354" customWidth="1"/>
    <col min="4105" max="4105" width="13" style="354" bestFit="1" customWidth="1"/>
    <col min="4106" max="4106" width="10.5703125" style="354" bestFit="1" customWidth="1"/>
    <col min="4107" max="4352" width="10.28515625" style="354"/>
    <col min="4353" max="4353" width="7" style="354" customWidth="1"/>
    <col min="4354" max="4354" width="41.42578125" style="354" customWidth="1"/>
    <col min="4355" max="4357" width="19.5703125" style="354" customWidth="1"/>
    <col min="4358" max="4358" width="10.85546875" style="354" customWidth="1"/>
    <col min="4359" max="4359" width="9.140625" style="354" customWidth="1"/>
    <col min="4360" max="4360" width="10.28515625" style="354" customWidth="1"/>
    <col min="4361" max="4361" width="13" style="354" bestFit="1" customWidth="1"/>
    <col min="4362" max="4362" width="10.5703125" style="354" bestFit="1" customWidth="1"/>
    <col min="4363" max="4608" width="10.28515625" style="354"/>
    <col min="4609" max="4609" width="7" style="354" customWidth="1"/>
    <col min="4610" max="4610" width="41.42578125" style="354" customWidth="1"/>
    <col min="4611" max="4613" width="19.5703125" style="354" customWidth="1"/>
    <col min="4614" max="4614" width="10.85546875" style="354" customWidth="1"/>
    <col min="4615" max="4615" width="9.140625" style="354" customWidth="1"/>
    <col min="4616" max="4616" width="10.28515625" style="354" customWidth="1"/>
    <col min="4617" max="4617" width="13" style="354" bestFit="1" customWidth="1"/>
    <col min="4618" max="4618" width="10.5703125" style="354" bestFit="1" customWidth="1"/>
    <col min="4619" max="4864" width="10.28515625" style="354"/>
    <col min="4865" max="4865" width="7" style="354" customWidth="1"/>
    <col min="4866" max="4866" width="41.42578125" style="354" customWidth="1"/>
    <col min="4867" max="4869" width="19.5703125" style="354" customWidth="1"/>
    <col min="4870" max="4870" width="10.85546875" style="354" customWidth="1"/>
    <col min="4871" max="4871" width="9.140625" style="354" customWidth="1"/>
    <col min="4872" max="4872" width="10.28515625" style="354" customWidth="1"/>
    <col min="4873" max="4873" width="13" style="354" bestFit="1" customWidth="1"/>
    <col min="4874" max="4874" width="10.5703125" style="354" bestFit="1" customWidth="1"/>
    <col min="4875" max="5120" width="10.28515625" style="354"/>
    <col min="5121" max="5121" width="7" style="354" customWidth="1"/>
    <col min="5122" max="5122" width="41.42578125" style="354" customWidth="1"/>
    <col min="5123" max="5125" width="19.5703125" style="354" customWidth="1"/>
    <col min="5126" max="5126" width="10.85546875" style="354" customWidth="1"/>
    <col min="5127" max="5127" width="9.140625" style="354" customWidth="1"/>
    <col min="5128" max="5128" width="10.28515625" style="354" customWidth="1"/>
    <col min="5129" max="5129" width="13" style="354" bestFit="1" customWidth="1"/>
    <col min="5130" max="5130" width="10.5703125" style="354" bestFit="1" customWidth="1"/>
    <col min="5131" max="5376" width="10.28515625" style="354"/>
    <col min="5377" max="5377" width="7" style="354" customWidth="1"/>
    <col min="5378" max="5378" width="41.42578125" style="354" customWidth="1"/>
    <col min="5379" max="5381" width="19.5703125" style="354" customWidth="1"/>
    <col min="5382" max="5382" width="10.85546875" style="354" customWidth="1"/>
    <col min="5383" max="5383" width="9.140625" style="354" customWidth="1"/>
    <col min="5384" max="5384" width="10.28515625" style="354" customWidth="1"/>
    <col min="5385" max="5385" width="13" style="354" bestFit="1" customWidth="1"/>
    <col min="5386" max="5386" width="10.5703125" style="354" bestFit="1" customWidth="1"/>
    <col min="5387" max="5632" width="10.28515625" style="354"/>
    <col min="5633" max="5633" width="7" style="354" customWidth="1"/>
    <col min="5634" max="5634" width="41.42578125" style="354" customWidth="1"/>
    <col min="5635" max="5637" width="19.5703125" style="354" customWidth="1"/>
    <col min="5638" max="5638" width="10.85546875" style="354" customWidth="1"/>
    <col min="5639" max="5639" width="9.140625" style="354" customWidth="1"/>
    <col min="5640" max="5640" width="10.28515625" style="354" customWidth="1"/>
    <col min="5641" max="5641" width="13" style="354" bestFit="1" customWidth="1"/>
    <col min="5642" max="5642" width="10.5703125" style="354" bestFit="1" customWidth="1"/>
    <col min="5643" max="5888" width="10.28515625" style="354"/>
    <col min="5889" max="5889" width="7" style="354" customWidth="1"/>
    <col min="5890" max="5890" width="41.42578125" style="354" customWidth="1"/>
    <col min="5891" max="5893" width="19.5703125" style="354" customWidth="1"/>
    <col min="5894" max="5894" width="10.85546875" style="354" customWidth="1"/>
    <col min="5895" max="5895" width="9.140625" style="354" customWidth="1"/>
    <col min="5896" max="5896" width="10.28515625" style="354" customWidth="1"/>
    <col min="5897" max="5897" width="13" style="354" bestFit="1" customWidth="1"/>
    <col min="5898" max="5898" width="10.5703125" style="354" bestFit="1" customWidth="1"/>
    <col min="5899" max="6144" width="10.28515625" style="354"/>
    <col min="6145" max="6145" width="7" style="354" customWidth="1"/>
    <col min="6146" max="6146" width="41.42578125" style="354" customWidth="1"/>
    <col min="6147" max="6149" width="19.5703125" style="354" customWidth="1"/>
    <col min="6150" max="6150" width="10.85546875" style="354" customWidth="1"/>
    <col min="6151" max="6151" width="9.140625" style="354" customWidth="1"/>
    <col min="6152" max="6152" width="10.28515625" style="354" customWidth="1"/>
    <col min="6153" max="6153" width="13" style="354" bestFit="1" customWidth="1"/>
    <col min="6154" max="6154" width="10.5703125" style="354" bestFit="1" customWidth="1"/>
    <col min="6155" max="6400" width="10.28515625" style="354"/>
    <col min="6401" max="6401" width="7" style="354" customWidth="1"/>
    <col min="6402" max="6402" width="41.42578125" style="354" customWidth="1"/>
    <col min="6403" max="6405" width="19.5703125" style="354" customWidth="1"/>
    <col min="6406" max="6406" width="10.85546875" style="354" customWidth="1"/>
    <col min="6407" max="6407" width="9.140625" style="354" customWidth="1"/>
    <col min="6408" max="6408" width="10.28515625" style="354" customWidth="1"/>
    <col min="6409" max="6409" width="13" style="354" bestFit="1" customWidth="1"/>
    <col min="6410" max="6410" width="10.5703125" style="354" bestFit="1" customWidth="1"/>
    <col min="6411" max="6656" width="10.28515625" style="354"/>
    <col min="6657" max="6657" width="7" style="354" customWidth="1"/>
    <col min="6658" max="6658" width="41.42578125" style="354" customWidth="1"/>
    <col min="6659" max="6661" width="19.5703125" style="354" customWidth="1"/>
    <col min="6662" max="6662" width="10.85546875" style="354" customWidth="1"/>
    <col min="6663" max="6663" width="9.140625" style="354" customWidth="1"/>
    <col min="6664" max="6664" width="10.28515625" style="354" customWidth="1"/>
    <col min="6665" max="6665" width="13" style="354" bestFit="1" customWidth="1"/>
    <col min="6666" max="6666" width="10.5703125" style="354" bestFit="1" customWidth="1"/>
    <col min="6667" max="6912" width="10.28515625" style="354"/>
    <col min="6913" max="6913" width="7" style="354" customWidth="1"/>
    <col min="6914" max="6914" width="41.42578125" style="354" customWidth="1"/>
    <col min="6915" max="6917" width="19.5703125" style="354" customWidth="1"/>
    <col min="6918" max="6918" width="10.85546875" style="354" customWidth="1"/>
    <col min="6919" max="6919" width="9.140625" style="354" customWidth="1"/>
    <col min="6920" max="6920" width="10.28515625" style="354" customWidth="1"/>
    <col min="6921" max="6921" width="13" style="354" bestFit="1" customWidth="1"/>
    <col min="6922" max="6922" width="10.5703125" style="354" bestFit="1" customWidth="1"/>
    <col min="6923" max="7168" width="10.28515625" style="354"/>
    <col min="7169" max="7169" width="7" style="354" customWidth="1"/>
    <col min="7170" max="7170" width="41.42578125" style="354" customWidth="1"/>
    <col min="7171" max="7173" width="19.5703125" style="354" customWidth="1"/>
    <col min="7174" max="7174" width="10.85546875" style="354" customWidth="1"/>
    <col min="7175" max="7175" width="9.140625" style="354" customWidth="1"/>
    <col min="7176" max="7176" width="10.28515625" style="354" customWidth="1"/>
    <col min="7177" max="7177" width="13" style="354" bestFit="1" customWidth="1"/>
    <col min="7178" max="7178" width="10.5703125" style="354" bestFit="1" customWidth="1"/>
    <col min="7179" max="7424" width="10.28515625" style="354"/>
    <col min="7425" max="7425" width="7" style="354" customWidth="1"/>
    <col min="7426" max="7426" width="41.42578125" style="354" customWidth="1"/>
    <col min="7427" max="7429" width="19.5703125" style="354" customWidth="1"/>
    <col min="7430" max="7430" width="10.85546875" style="354" customWidth="1"/>
    <col min="7431" max="7431" width="9.140625" style="354" customWidth="1"/>
    <col min="7432" max="7432" width="10.28515625" style="354" customWidth="1"/>
    <col min="7433" max="7433" width="13" style="354" bestFit="1" customWidth="1"/>
    <col min="7434" max="7434" width="10.5703125" style="354" bestFit="1" customWidth="1"/>
    <col min="7435" max="7680" width="10.28515625" style="354"/>
    <col min="7681" max="7681" width="7" style="354" customWidth="1"/>
    <col min="7682" max="7682" width="41.42578125" style="354" customWidth="1"/>
    <col min="7683" max="7685" width="19.5703125" style="354" customWidth="1"/>
    <col min="7686" max="7686" width="10.85546875" style="354" customWidth="1"/>
    <col min="7687" max="7687" width="9.140625" style="354" customWidth="1"/>
    <col min="7688" max="7688" width="10.28515625" style="354" customWidth="1"/>
    <col min="7689" max="7689" width="13" style="354" bestFit="1" customWidth="1"/>
    <col min="7690" max="7690" width="10.5703125" style="354" bestFit="1" customWidth="1"/>
    <col min="7691" max="7936" width="10.28515625" style="354"/>
    <col min="7937" max="7937" width="7" style="354" customWidth="1"/>
    <col min="7938" max="7938" width="41.42578125" style="354" customWidth="1"/>
    <col min="7939" max="7941" width="19.5703125" style="354" customWidth="1"/>
    <col min="7942" max="7942" width="10.85546875" style="354" customWidth="1"/>
    <col min="7943" max="7943" width="9.140625" style="354" customWidth="1"/>
    <col min="7944" max="7944" width="10.28515625" style="354" customWidth="1"/>
    <col min="7945" max="7945" width="13" style="354" bestFit="1" customWidth="1"/>
    <col min="7946" max="7946" width="10.5703125" style="354" bestFit="1" customWidth="1"/>
    <col min="7947" max="8192" width="10.28515625" style="354"/>
    <col min="8193" max="8193" width="7" style="354" customWidth="1"/>
    <col min="8194" max="8194" width="41.42578125" style="354" customWidth="1"/>
    <col min="8195" max="8197" width="19.5703125" style="354" customWidth="1"/>
    <col min="8198" max="8198" width="10.85546875" style="354" customWidth="1"/>
    <col min="8199" max="8199" width="9.140625" style="354" customWidth="1"/>
    <col min="8200" max="8200" width="10.28515625" style="354" customWidth="1"/>
    <col min="8201" max="8201" width="13" style="354" bestFit="1" customWidth="1"/>
    <col min="8202" max="8202" width="10.5703125" style="354" bestFit="1" customWidth="1"/>
    <col min="8203" max="8448" width="10.28515625" style="354"/>
    <col min="8449" max="8449" width="7" style="354" customWidth="1"/>
    <col min="8450" max="8450" width="41.42578125" style="354" customWidth="1"/>
    <col min="8451" max="8453" width="19.5703125" style="354" customWidth="1"/>
    <col min="8454" max="8454" width="10.85546875" style="354" customWidth="1"/>
    <col min="8455" max="8455" width="9.140625" style="354" customWidth="1"/>
    <col min="8456" max="8456" width="10.28515625" style="354" customWidth="1"/>
    <col min="8457" max="8457" width="13" style="354" bestFit="1" customWidth="1"/>
    <col min="8458" max="8458" width="10.5703125" style="354" bestFit="1" customWidth="1"/>
    <col min="8459" max="8704" width="10.28515625" style="354"/>
    <col min="8705" max="8705" width="7" style="354" customWidth="1"/>
    <col min="8706" max="8706" width="41.42578125" style="354" customWidth="1"/>
    <col min="8707" max="8709" width="19.5703125" style="354" customWidth="1"/>
    <col min="8710" max="8710" width="10.85546875" style="354" customWidth="1"/>
    <col min="8711" max="8711" width="9.140625" style="354" customWidth="1"/>
    <col min="8712" max="8712" width="10.28515625" style="354" customWidth="1"/>
    <col min="8713" max="8713" width="13" style="354" bestFit="1" customWidth="1"/>
    <col min="8714" max="8714" width="10.5703125" style="354" bestFit="1" customWidth="1"/>
    <col min="8715" max="8960" width="10.28515625" style="354"/>
    <col min="8961" max="8961" width="7" style="354" customWidth="1"/>
    <col min="8962" max="8962" width="41.42578125" style="354" customWidth="1"/>
    <col min="8963" max="8965" width="19.5703125" style="354" customWidth="1"/>
    <col min="8966" max="8966" width="10.85546875" style="354" customWidth="1"/>
    <col min="8967" max="8967" width="9.140625" style="354" customWidth="1"/>
    <col min="8968" max="8968" width="10.28515625" style="354" customWidth="1"/>
    <col min="8969" max="8969" width="13" style="354" bestFit="1" customWidth="1"/>
    <col min="8970" max="8970" width="10.5703125" style="354" bestFit="1" customWidth="1"/>
    <col min="8971" max="9216" width="10.28515625" style="354"/>
    <col min="9217" max="9217" width="7" style="354" customWidth="1"/>
    <col min="9218" max="9218" width="41.42578125" style="354" customWidth="1"/>
    <col min="9219" max="9221" width="19.5703125" style="354" customWidth="1"/>
    <col min="9222" max="9222" width="10.85546875" style="354" customWidth="1"/>
    <col min="9223" max="9223" width="9.140625" style="354" customWidth="1"/>
    <col min="9224" max="9224" width="10.28515625" style="354" customWidth="1"/>
    <col min="9225" max="9225" width="13" style="354" bestFit="1" customWidth="1"/>
    <col min="9226" max="9226" width="10.5703125" style="354" bestFit="1" customWidth="1"/>
    <col min="9227" max="9472" width="10.28515625" style="354"/>
    <col min="9473" max="9473" width="7" style="354" customWidth="1"/>
    <col min="9474" max="9474" width="41.42578125" style="354" customWidth="1"/>
    <col min="9475" max="9477" width="19.5703125" style="354" customWidth="1"/>
    <col min="9478" max="9478" width="10.85546875" style="354" customWidth="1"/>
    <col min="9479" max="9479" width="9.140625" style="354" customWidth="1"/>
    <col min="9480" max="9480" width="10.28515625" style="354" customWidth="1"/>
    <col min="9481" max="9481" width="13" style="354" bestFit="1" customWidth="1"/>
    <col min="9482" max="9482" width="10.5703125" style="354" bestFit="1" customWidth="1"/>
    <col min="9483" max="9728" width="10.28515625" style="354"/>
    <col min="9729" max="9729" width="7" style="354" customWidth="1"/>
    <col min="9730" max="9730" width="41.42578125" style="354" customWidth="1"/>
    <col min="9731" max="9733" width="19.5703125" style="354" customWidth="1"/>
    <col min="9734" max="9734" width="10.85546875" style="354" customWidth="1"/>
    <col min="9735" max="9735" width="9.140625" style="354" customWidth="1"/>
    <col min="9736" max="9736" width="10.28515625" style="354" customWidth="1"/>
    <col min="9737" max="9737" width="13" style="354" bestFit="1" customWidth="1"/>
    <col min="9738" max="9738" width="10.5703125" style="354" bestFit="1" customWidth="1"/>
    <col min="9739" max="9984" width="10.28515625" style="354"/>
    <col min="9985" max="9985" width="7" style="354" customWidth="1"/>
    <col min="9986" max="9986" width="41.42578125" style="354" customWidth="1"/>
    <col min="9987" max="9989" width="19.5703125" style="354" customWidth="1"/>
    <col min="9990" max="9990" width="10.85546875" style="354" customWidth="1"/>
    <col min="9991" max="9991" width="9.140625" style="354" customWidth="1"/>
    <col min="9992" max="9992" width="10.28515625" style="354" customWidth="1"/>
    <col min="9993" max="9993" width="13" style="354" bestFit="1" customWidth="1"/>
    <col min="9994" max="9994" width="10.5703125" style="354" bestFit="1" customWidth="1"/>
    <col min="9995" max="10240" width="10.28515625" style="354"/>
    <col min="10241" max="10241" width="7" style="354" customWidth="1"/>
    <col min="10242" max="10242" width="41.42578125" style="354" customWidth="1"/>
    <col min="10243" max="10245" width="19.5703125" style="354" customWidth="1"/>
    <col min="10246" max="10246" width="10.85546875" style="354" customWidth="1"/>
    <col min="10247" max="10247" width="9.140625" style="354" customWidth="1"/>
    <col min="10248" max="10248" width="10.28515625" style="354" customWidth="1"/>
    <col min="10249" max="10249" width="13" style="354" bestFit="1" customWidth="1"/>
    <col min="10250" max="10250" width="10.5703125" style="354" bestFit="1" customWidth="1"/>
    <col min="10251" max="10496" width="10.28515625" style="354"/>
    <col min="10497" max="10497" width="7" style="354" customWidth="1"/>
    <col min="10498" max="10498" width="41.42578125" style="354" customWidth="1"/>
    <col min="10499" max="10501" width="19.5703125" style="354" customWidth="1"/>
    <col min="10502" max="10502" width="10.85546875" style="354" customWidth="1"/>
    <col min="10503" max="10503" width="9.140625" style="354" customWidth="1"/>
    <col min="10504" max="10504" width="10.28515625" style="354" customWidth="1"/>
    <col min="10505" max="10505" width="13" style="354" bestFit="1" customWidth="1"/>
    <col min="10506" max="10506" width="10.5703125" style="354" bestFit="1" customWidth="1"/>
    <col min="10507" max="10752" width="10.28515625" style="354"/>
    <col min="10753" max="10753" width="7" style="354" customWidth="1"/>
    <col min="10754" max="10754" width="41.42578125" style="354" customWidth="1"/>
    <col min="10755" max="10757" width="19.5703125" style="354" customWidth="1"/>
    <col min="10758" max="10758" width="10.85546875" style="354" customWidth="1"/>
    <col min="10759" max="10759" width="9.140625" style="354" customWidth="1"/>
    <col min="10760" max="10760" width="10.28515625" style="354" customWidth="1"/>
    <col min="10761" max="10761" width="13" style="354" bestFit="1" customWidth="1"/>
    <col min="10762" max="10762" width="10.5703125" style="354" bestFit="1" customWidth="1"/>
    <col min="10763" max="11008" width="10.28515625" style="354"/>
    <col min="11009" max="11009" width="7" style="354" customWidth="1"/>
    <col min="11010" max="11010" width="41.42578125" style="354" customWidth="1"/>
    <col min="11011" max="11013" width="19.5703125" style="354" customWidth="1"/>
    <col min="11014" max="11014" width="10.85546875" style="354" customWidth="1"/>
    <col min="11015" max="11015" width="9.140625" style="354" customWidth="1"/>
    <col min="11016" max="11016" width="10.28515625" style="354" customWidth="1"/>
    <col min="11017" max="11017" width="13" style="354" bestFit="1" customWidth="1"/>
    <col min="11018" max="11018" width="10.5703125" style="354" bestFit="1" customWidth="1"/>
    <col min="11019" max="11264" width="10.28515625" style="354"/>
    <col min="11265" max="11265" width="7" style="354" customWidth="1"/>
    <col min="11266" max="11266" width="41.42578125" style="354" customWidth="1"/>
    <col min="11267" max="11269" width="19.5703125" style="354" customWidth="1"/>
    <col min="11270" max="11270" width="10.85546875" style="354" customWidth="1"/>
    <col min="11271" max="11271" width="9.140625" style="354" customWidth="1"/>
    <col min="11272" max="11272" width="10.28515625" style="354" customWidth="1"/>
    <col min="11273" max="11273" width="13" style="354" bestFit="1" customWidth="1"/>
    <col min="11274" max="11274" width="10.5703125" style="354" bestFit="1" customWidth="1"/>
    <col min="11275" max="11520" width="10.28515625" style="354"/>
    <col min="11521" max="11521" width="7" style="354" customWidth="1"/>
    <col min="11522" max="11522" width="41.42578125" style="354" customWidth="1"/>
    <col min="11523" max="11525" width="19.5703125" style="354" customWidth="1"/>
    <col min="11526" max="11526" width="10.85546875" style="354" customWidth="1"/>
    <col min="11527" max="11527" width="9.140625" style="354" customWidth="1"/>
    <col min="11528" max="11528" width="10.28515625" style="354" customWidth="1"/>
    <col min="11529" max="11529" width="13" style="354" bestFit="1" customWidth="1"/>
    <col min="11530" max="11530" width="10.5703125" style="354" bestFit="1" customWidth="1"/>
    <col min="11531" max="11776" width="10.28515625" style="354"/>
    <col min="11777" max="11777" width="7" style="354" customWidth="1"/>
    <col min="11778" max="11778" width="41.42578125" style="354" customWidth="1"/>
    <col min="11779" max="11781" width="19.5703125" style="354" customWidth="1"/>
    <col min="11782" max="11782" width="10.85546875" style="354" customWidth="1"/>
    <col min="11783" max="11783" width="9.140625" style="354" customWidth="1"/>
    <col min="11784" max="11784" width="10.28515625" style="354" customWidth="1"/>
    <col min="11785" max="11785" width="13" style="354" bestFit="1" customWidth="1"/>
    <col min="11786" max="11786" width="10.5703125" style="354" bestFit="1" customWidth="1"/>
    <col min="11787" max="12032" width="10.28515625" style="354"/>
    <col min="12033" max="12033" width="7" style="354" customWidth="1"/>
    <col min="12034" max="12034" width="41.42578125" style="354" customWidth="1"/>
    <col min="12035" max="12037" width="19.5703125" style="354" customWidth="1"/>
    <col min="12038" max="12038" width="10.85546875" style="354" customWidth="1"/>
    <col min="12039" max="12039" width="9.140625" style="354" customWidth="1"/>
    <col min="12040" max="12040" width="10.28515625" style="354" customWidth="1"/>
    <col min="12041" max="12041" width="13" style="354" bestFit="1" customWidth="1"/>
    <col min="12042" max="12042" width="10.5703125" style="354" bestFit="1" customWidth="1"/>
    <col min="12043" max="12288" width="10.28515625" style="354"/>
    <col min="12289" max="12289" width="7" style="354" customWidth="1"/>
    <col min="12290" max="12290" width="41.42578125" style="354" customWidth="1"/>
    <col min="12291" max="12293" width="19.5703125" style="354" customWidth="1"/>
    <col min="12294" max="12294" width="10.85546875" style="354" customWidth="1"/>
    <col min="12295" max="12295" width="9.140625" style="354" customWidth="1"/>
    <col min="12296" max="12296" width="10.28515625" style="354" customWidth="1"/>
    <col min="12297" max="12297" width="13" style="354" bestFit="1" customWidth="1"/>
    <col min="12298" max="12298" width="10.5703125" style="354" bestFit="1" customWidth="1"/>
    <col min="12299" max="12544" width="10.28515625" style="354"/>
    <col min="12545" max="12545" width="7" style="354" customWidth="1"/>
    <col min="12546" max="12546" width="41.42578125" style="354" customWidth="1"/>
    <col min="12547" max="12549" width="19.5703125" style="354" customWidth="1"/>
    <col min="12550" max="12550" width="10.85546875" style="354" customWidth="1"/>
    <col min="12551" max="12551" width="9.140625" style="354" customWidth="1"/>
    <col min="12552" max="12552" width="10.28515625" style="354" customWidth="1"/>
    <col min="12553" max="12553" width="13" style="354" bestFit="1" customWidth="1"/>
    <col min="12554" max="12554" width="10.5703125" style="354" bestFit="1" customWidth="1"/>
    <col min="12555" max="12800" width="10.28515625" style="354"/>
    <col min="12801" max="12801" width="7" style="354" customWidth="1"/>
    <col min="12802" max="12802" width="41.42578125" style="354" customWidth="1"/>
    <col min="12803" max="12805" width="19.5703125" style="354" customWidth="1"/>
    <col min="12806" max="12806" width="10.85546875" style="354" customWidth="1"/>
    <col min="12807" max="12807" width="9.140625" style="354" customWidth="1"/>
    <col min="12808" max="12808" width="10.28515625" style="354" customWidth="1"/>
    <col min="12809" max="12809" width="13" style="354" bestFit="1" customWidth="1"/>
    <col min="12810" max="12810" width="10.5703125" style="354" bestFit="1" customWidth="1"/>
    <col min="12811" max="13056" width="10.28515625" style="354"/>
    <col min="13057" max="13057" width="7" style="354" customWidth="1"/>
    <col min="13058" max="13058" width="41.42578125" style="354" customWidth="1"/>
    <col min="13059" max="13061" width="19.5703125" style="354" customWidth="1"/>
    <col min="13062" max="13062" width="10.85546875" style="354" customWidth="1"/>
    <col min="13063" max="13063" width="9.140625" style="354" customWidth="1"/>
    <col min="13064" max="13064" width="10.28515625" style="354" customWidth="1"/>
    <col min="13065" max="13065" width="13" style="354" bestFit="1" customWidth="1"/>
    <col min="13066" max="13066" width="10.5703125" style="354" bestFit="1" customWidth="1"/>
    <col min="13067" max="13312" width="10.28515625" style="354"/>
    <col min="13313" max="13313" width="7" style="354" customWidth="1"/>
    <col min="13314" max="13314" width="41.42578125" style="354" customWidth="1"/>
    <col min="13315" max="13317" width="19.5703125" style="354" customWidth="1"/>
    <col min="13318" max="13318" width="10.85546875" style="354" customWidth="1"/>
    <col min="13319" max="13319" width="9.140625" style="354" customWidth="1"/>
    <col min="13320" max="13320" width="10.28515625" style="354" customWidth="1"/>
    <col min="13321" max="13321" width="13" style="354" bestFit="1" customWidth="1"/>
    <col min="13322" max="13322" width="10.5703125" style="354" bestFit="1" customWidth="1"/>
    <col min="13323" max="13568" width="10.28515625" style="354"/>
    <col min="13569" max="13569" width="7" style="354" customWidth="1"/>
    <col min="13570" max="13570" width="41.42578125" style="354" customWidth="1"/>
    <col min="13571" max="13573" width="19.5703125" style="354" customWidth="1"/>
    <col min="13574" max="13574" width="10.85546875" style="354" customWidth="1"/>
    <col min="13575" max="13575" width="9.140625" style="354" customWidth="1"/>
    <col min="13576" max="13576" width="10.28515625" style="354" customWidth="1"/>
    <col min="13577" max="13577" width="13" style="354" bestFit="1" customWidth="1"/>
    <col min="13578" max="13578" width="10.5703125" style="354" bestFit="1" customWidth="1"/>
    <col min="13579" max="13824" width="10.28515625" style="354"/>
    <col min="13825" max="13825" width="7" style="354" customWidth="1"/>
    <col min="13826" max="13826" width="41.42578125" style="354" customWidth="1"/>
    <col min="13827" max="13829" width="19.5703125" style="354" customWidth="1"/>
    <col min="13830" max="13830" width="10.85546875" style="354" customWidth="1"/>
    <col min="13831" max="13831" width="9.140625" style="354" customWidth="1"/>
    <col min="13832" max="13832" width="10.28515625" style="354" customWidth="1"/>
    <col min="13833" max="13833" width="13" style="354" bestFit="1" customWidth="1"/>
    <col min="13834" max="13834" width="10.5703125" style="354" bestFit="1" customWidth="1"/>
    <col min="13835" max="14080" width="10.28515625" style="354"/>
    <col min="14081" max="14081" width="7" style="354" customWidth="1"/>
    <col min="14082" max="14082" width="41.42578125" style="354" customWidth="1"/>
    <col min="14083" max="14085" width="19.5703125" style="354" customWidth="1"/>
    <col min="14086" max="14086" width="10.85546875" style="354" customWidth="1"/>
    <col min="14087" max="14087" width="9.140625" style="354" customWidth="1"/>
    <col min="14088" max="14088" width="10.28515625" style="354" customWidth="1"/>
    <col min="14089" max="14089" width="13" style="354" bestFit="1" customWidth="1"/>
    <col min="14090" max="14090" width="10.5703125" style="354" bestFit="1" customWidth="1"/>
    <col min="14091" max="14336" width="10.28515625" style="354"/>
    <col min="14337" max="14337" width="7" style="354" customWidth="1"/>
    <col min="14338" max="14338" width="41.42578125" style="354" customWidth="1"/>
    <col min="14339" max="14341" width="19.5703125" style="354" customWidth="1"/>
    <col min="14342" max="14342" width="10.85546875" style="354" customWidth="1"/>
    <col min="14343" max="14343" width="9.140625" style="354" customWidth="1"/>
    <col min="14344" max="14344" width="10.28515625" style="354" customWidth="1"/>
    <col min="14345" max="14345" width="13" style="354" bestFit="1" customWidth="1"/>
    <col min="14346" max="14346" width="10.5703125" style="354" bestFit="1" customWidth="1"/>
    <col min="14347" max="14592" width="10.28515625" style="354"/>
    <col min="14593" max="14593" width="7" style="354" customWidth="1"/>
    <col min="14594" max="14594" width="41.42578125" style="354" customWidth="1"/>
    <col min="14595" max="14597" width="19.5703125" style="354" customWidth="1"/>
    <col min="14598" max="14598" width="10.85546875" style="354" customWidth="1"/>
    <col min="14599" max="14599" width="9.140625" style="354" customWidth="1"/>
    <col min="14600" max="14600" width="10.28515625" style="354" customWidth="1"/>
    <col min="14601" max="14601" width="13" style="354" bestFit="1" customWidth="1"/>
    <col min="14602" max="14602" width="10.5703125" style="354" bestFit="1" customWidth="1"/>
    <col min="14603" max="14848" width="10.28515625" style="354"/>
    <col min="14849" max="14849" width="7" style="354" customWidth="1"/>
    <col min="14850" max="14850" width="41.42578125" style="354" customWidth="1"/>
    <col min="14851" max="14853" width="19.5703125" style="354" customWidth="1"/>
    <col min="14854" max="14854" width="10.85546875" style="354" customWidth="1"/>
    <col min="14855" max="14855" width="9.140625" style="354" customWidth="1"/>
    <col min="14856" max="14856" width="10.28515625" style="354" customWidth="1"/>
    <col min="14857" max="14857" width="13" style="354" bestFit="1" customWidth="1"/>
    <col min="14858" max="14858" width="10.5703125" style="354" bestFit="1" customWidth="1"/>
    <col min="14859" max="15104" width="10.28515625" style="354"/>
    <col min="15105" max="15105" width="7" style="354" customWidth="1"/>
    <col min="15106" max="15106" width="41.42578125" style="354" customWidth="1"/>
    <col min="15107" max="15109" width="19.5703125" style="354" customWidth="1"/>
    <col min="15110" max="15110" width="10.85546875" style="354" customWidth="1"/>
    <col min="15111" max="15111" width="9.140625" style="354" customWidth="1"/>
    <col min="15112" max="15112" width="10.28515625" style="354" customWidth="1"/>
    <col min="15113" max="15113" width="13" style="354" bestFit="1" customWidth="1"/>
    <col min="15114" max="15114" width="10.5703125" style="354" bestFit="1" customWidth="1"/>
    <col min="15115" max="15360" width="10.28515625" style="354"/>
    <col min="15361" max="15361" width="7" style="354" customWidth="1"/>
    <col min="15362" max="15362" width="41.42578125" style="354" customWidth="1"/>
    <col min="15363" max="15365" width="19.5703125" style="354" customWidth="1"/>
    <col min="15366" max="15366" width="10.85546875" style="354" customWidth="1"/>
    <col min="15367" max="15367" width="9.140625" style="354" customWidth="1"/>
    <col min="15368" max="15368" width="10.28515625" style="354" customWidth="1"/>
    <col min="15369" max="15369" width="13" style="354" bestFit="1" customWidth="1"/>
    <col min="15370" max="15370" width="10.5703125" style="354" bestFit="1" customWidth="1"/>
    <col min="15371" max="15616" width="10.28515625" style="354"/>
    <col min="15617" max="15617" width="7" style="354" customWidth="1"/>
    <col min="15618" max="15618" width="41.42578125" style="354" customWidth="1"/>
    <col min="15619" max="15621" width="19.5703125" style="354" customWidth="1"/>
    <col min="15622" max="15622" width="10.85546875" style="354" customWidth="1"/>
    <col min="15623" max="15623" width="9.140625" style="354" customWidth="1"/>
    <col min="15624" max="15624" width="10.28515625" style="354" customWidth="1"/>
    <col min="15625" max="15625" width="13" style="354" bestFit="1" customWidth="1"/>
    <col min="15626" max="15626" width="10.5703125" style="354" bestFit="1" customWidth="1"/>
    <col min="15627" max="15872" width="10.28515625" style="354"/>
    <col min="15873" max="15873" width="7" style="354" customWidth="1"/>
    <col min="15874" max="15874" width="41.42578125" style="354" customWidth="1"/>
    <col min="15875" max="15877" width="19.5703125" style="354" customWidth="1"/>
    <col min="15878" max="15878" width="10.85546875" style="354" customWidth="1"/>
    <col min="15879" max="15879" width="9.140625" style="354" customWidth="1"/>
    <col min="15880" max="15880" width="10.28515625" style="354" customWidth="1"/>
    <col min="15881" max="15881" width="13" style="354" bestFit="1" customWidth="1"/>
    <col min="15882" max="15882" width="10.5703125" style="354" bestFit="1" customWidth="1"/>
    <col min="15883" max="16128" width="10.28515625" style="354"/>
    <col min="16129" max="16129" width="7" style="354" customWidth="1"/>
    <col min="16130" max="16130" width="41.42578125" style="354" customWidth="1"/>
    <col min="16131" max="16133" width="19.5703125" style="354" customWidth="1"/>
    <col min="16134" max="16134" width="10.85546875" style="354" customWidth="1"/>
    <col min="16135" max="16135" width="9.140625" style="354" customWidth="1"/>
    <col min="16136" max="16136" width="10.28515625" style="354" customWidth="1"/>
    <col min="16137" max="16137" width="13" style="354" bestFit="1" customWidth="1"/>
    <col min="16138" max="16138" width="10.5703125" style="354" bestFit="1" customWidth="1"/>
    <col min="16139" max="16384" width="10.28515625" style="354"/>
  </cols>
  <sheetData>
    <row r="1" spans="1:12" s="1001" customFormat="1" ht="21.2" customHeight="1">
      <c r="A1" s="1289" t="s">
        <v>1400</v>
      </c>
      <c r="B1" s="1289"/>
      <c r="C1" s="1289"/>
      <c r="D1" s="1289"/>
      <c r="E1" s="1289"/>
      <c r="F1" s="1289"/>
      <c r="G1" s="1289"/>
    </row>
    <row r="2" spans="1:12" s="1001" customFormat="1" ht="23.25" customHeight="1">
      <c r="A2" s="1165" t="s">
        <v>1401</v>
      </c>
      <c r="B2" s="1165"/>
      <c r="C2" s="1165"/>
      <c r="D2" s="1165"/>
      <c r="E2" s="1165"/>
      <c r="F2" s="1165"/>
      <c r="G2" s="1165"/>
    </row>
    <row r="3" spans="1:12" s="1001" customFormat="1" ht="22.5" customHeight="1">
      <c r="A3" s="1290" t="s">
        <v>1452</v>
      </c>
      <c r="B3" s="1290"/>
      <c r="C3" s="1290"/>
      <c r="D3" s="1290"/>
      <c r="E3" s="1290"/>
      <c r="F3" s="1290"/>
      <c r="G3" s="1290"/>
    </row>
    <row r="4" spans="1:12" s="1001" customFormat="1" ht="30" customHeight="1">
      <c r="A4" s="1291" t="s">
        <v>797</v>
      </c>
      <c r="B4" s="1291"/>
      <c r="C4" s="1291"/>
      <c r="D4" s="1291"/>
      <c r="E4" s="1291"/>
      <c r="F4" s="1291"/>
      <c r="G4" s="1291"/>
    </row>
    <row r="5" spans="1:12" s="352" customFormat="1" ht="27.95" customHeight="1">
      <c r="A5" s="1292" t="s">
        <v>246</v>
      </c>
      <c r="B5" s="1292" t="s">
        <v>215</v>
      </c>
      <c r="C5" s="1292" t="s">
        <v>594</v>
      </c>
      <c r="D5" s="1292" t="s">
        <v>1080</v>
      </c>
      <c r="E5" s="1152" t="s">
        <v>1084</v>
      </c>
      <c r="F5" s="1292" t="s">
        <v>1402</v>
      </c>
      <c r="G5" s="1292"/>
    </row>
    <row r="6" spans="1:12" s="352" customFormat="1" ht="27.95" customHeight="1">
      <c r="A6" s="1292"/>
      <c r="B6" s="1292"/>
      <c r="C6" s="1292"/>
      <c r="D6" s="1292"/>
      <c r="E6" s="1152"/>
      <c r="F6" s="1287" t="s">
        <v>1403</v>
      </c>
      <c r="G6" s="1288" t="s">
        <v>1404</v>
      </c>
    </row>
    <row r="7" spans="1:12" s="352" customFormat="1" ht="57" customHeight="1">
      <c r="A7" s="1292"/>
      <c r="B7" s="1292"/>
      <c r="C7" s="1292"/>
      <c r="D7" s="1292"/>
      <c r="E7" s="1152"/>
      <c r="F7" s="1287"/>
      <c r="G7" s="1288"/>
      <c r="H7" s="985"/>
    </row>
    <row r="8" spans="1:12" s="991" customFormat="1" ht="17.25" customHeight="1">
      <c r="A8" s="986" t="s">
        <v>218</v>
      </c>
      <c r="B8" s="986" t="s">
        <v>219</v>
      </c>
      <c r="C8" s="986">
        <v>1</v>
      </c>
      <c r="D8" s="986">
        <f>C8+1</f>
        <v>2</v>
      </c>
      <c r="E8" s="987">
        <f>D8+1</f>
        <v>3</v>
      </c>
      <c r="F8" s="988" t="s">
        <v>1405</v>
      </c>
      <c r="G8" s="989" t="s">
        <v>664</v>
      </c>
      <c r="H8" s="990"/>
    </row>
    <row r="9" spans="1:12" s="997" customFormat="1" ht="35.1" customHeight="1">
      <c r="A9" s="981" t="s">
        <v>218</v>
      </c>
      <c r="B9" s="992" t="s">
        <v>1406</v>
      </c>
      <c r="C9" s="993">
        <f>+C10+C12+C15</f>
        <v>559355000000</v>
      </c>
      <c r="D9" s="993">
        <f>+D10+D12+D15+D16+D17</f>
        <v>780562024566</v>
      </c>
      <c r="E9" s="993">
        <f>+E10+E12+E15</f>
        <v>429280000000</v>
      </c>
      <c r="F9" s="993">
        <f t="shared" ref="F9:F14" si="0">E9-D9</f>
        <v>-351282024566</v>
      </c>
      <c r="G9" s="994">
        <f>E9/D9</f>
        <v>0.54996270186047524</v>
      </c>
      <c r="H9" s="995"/>
      <c r="I9" s="995"/>
      <c r="J9" s="995"/>
      <c r="K9" s="995"/>
      <c r="L9" s="996"/>
    </row>
    <row r="10" spans="1:12" s="1001" customFormat="1" ht="35.1" customHeight="1">
      <c r="A10" s="981" t="s">
        <v>220</v>
      </c>
      <c r="B10" s="998" t="s">
        <v>1407</v>
      </c>
      <c r="C10" s="993">
        <f>C11</f>
        <v>15500000000</v>
      </c>
      <c r="D10" s="993">
        <f>D11</f>
        <v>15076482000</v>
      </c>
      <c r="E10" s="993">
        <f>E11</f>
        <v>12600000000</v>
      </c>
      <c r="F10" s="993">
        <f t="shared" si="0"/>
        <v>-2476482000</v>
      </c>
      <c r="G10" s="994">
        <f t="shared" ref="G10:G65" si="1">E10/D10</f>
        <v>0.83573873533626741</v>
      </c>
      <c r="H10" s="999"/>
      <c r="I10" s="999"/>
      <c r="J10" s="999"/>
      <c r="K10" s="999"/>
      <c r="L10" s="1000"/>
    </row>
    <row r="11" spans="1:12" s="1001" customFormat="1" ht="35.1" customHeight="1">
      <c r="A11" s="1002"/>
      <c r="B11" s="1003" t="s">
        <v>1408</v>
      </c>
      <c r="C11" s="1004">
        <f>'29.2'!D15</f>
        <v>15500000000</v>
      </c>
      <c r="D11" s="1004">
        <f>'29.2'!E15</f>
        <v>15076482000</v>
      </c>
      <c r="E11" s="1004">
        <f>'29.2'!F15</f>
        <v>12600000000</v>
      </c>
      <c r="F11" s="1005">
        <f t="shared" si="0"/>
        <v>-2476482000</v>
      </c>
      <c r="G11" s="1006">
        <f t="shared" si="1"/>
        <v>0.83573873533626741</v>
      </c>
      <c r="I11" s="999"/>
    </row>
    <row r="12" spans="1:12" s="997" customFormat="1" ht="35.1" customHeight="1">
      <c r="A12" s="981" t="s">
        <v>223</v>
      </c>
      <c r="B12" s="998" t="s">
        <v>57</v>
      </c>
      <c r="C12" s="1007">
        <f>C13+C14</f>
        <v>543855000000</v>
      </c>
      <c r="D12" s="1007">
        <f>D13+D14</f>
        <v>693604854921</v>
      </c>
      <c r="E12" s="1007">
        <f>E13+E14</f>
        <v>416680000000</v>
      </c>
      <c r="F12" s="993">
        <f t="shared" si="0"/>
        <v>-276924854921</v>
      </c>
      <c r="G12" s="994">
        <f t="shared" si="1"/>
        <v>0.60074550667246829</v>
      </c>
    </row>
    <row r="13" spans="1:12" s="1001" customFormat="1" ht="35.1" customHeight="1">
      <c r="A13" s="1008">
        <v>1</v>
      </c>
      <c r="B13" s="1003" t="s">
        <v>58</v>
      </c>
      <c r="C13" s="1004">
        <f>'29.2'!D19</f>
        <v>417306000000</v>
      </c>
      <c r="D13" s="1005">
        <f>'29.2'!E19</f>
        <v>462883569000</v>
      </c>
      <c r="E13" s="1004">
        <f>'29.2'!F19</f>
        <v>416661000000</v>
      </c>
      <c r="F13" s="1005">
        <f t="shared" si="0"/>
        <v>-46222569000</v>
      </c>
      <c r="G13" s="1006">
        <f t="shared" si="1"/>
        <v>0.90014212623736489</v>
      </c>
      <c r="H13" s="999"/>
    </row>
    <row r="14" spans="1:12" s="1001" customFormat="1" ht="35.1" customHeight="1">
      <c r="A14" s="1008">
        <f>A13+1</f>
        <v>2</v>
      </c>
      <c r="B14" s="1003" t="s">
        <v>59</v>
      </c>
      <c r="C14" s="1004">
        <f>'29.2'!D20</f>
        <v>126549000000</v>
      </c>
      <c r="D14" s="1004">
        <f>'29.2'!E20</f>
        <v>230721285921</v>
      </c>
      <c r="E14" s="1004">
        <f>'29.2'!F20</f>
        <v>19000000</v>
      </c>
      <c r="F14" s="1005">
        <f t="shared" si="0"/>
        <v>-230702285921</v>
      </c>
      <c r="G14" s="1006">
        <f t="shared" si="1"/>
        <v>8.2350442544367941E-5</v>
      </c>
    </row>
    <row r="15" spans="1:12" s="997" customFormat="1" ht="35.1" customHeight="1">
      <c r="A15" s="981" t="s">
        <v>226</v>
      </c>
      <c r="B15" s="998" t="s">
        <v>61</v>
      </c>
      <c r="C15" s="993"/>
      <c r="D15" s="1007">
        <f>'29.2'!E23</f>
        <v>69623914840</v>
      </c>
      <c r="E15" s="1007"/>
      <c r="F15" s="993"/>
      <c r="G15" s="994">
        <f t="shared" si="1"/>
        <v>0</v>
      </c>
    </row>
    <row r="16" spans="1:12" s="997" customFormat="1" ht="35.1" customHeight="1">
      <c r="A16" s="981" t="s">
        <v>227</v>
      </c>
      <c r="B16" s="998" t="s">
        <v>393</v>
      </c>
      <c r="C16" s="993"/>
      <c r="D16" s="1007">
        <f>'29.2'!E22</f>
        <v>1025606536</v>
      </c>
      <c r="E16" s="1007"/>
      <c r="F16" s="993"/>
      <c r="G16" s="994"/>
    </row>
    <row r="17" spans="1:10" s="997" customFormat="1" ht="35.1" customHeight="1">
      <c r="A17" s="981" t="s">
        <v>228</v>
      </c>
      <c r="B17" s="998" t="s">
        <v>463</v>
      </c>
      <c r="C17" s="993"/>
      <c r="D17" s="1007">
        <f>'29.2'!E21</f>
        <v>1231166269</v>
      </c>
      <c r="E17" s="1007"/>
      <c r="F17" s="993"/>
      <c r="G17" s="994"/>
    </row>
    <row r="18" spans="1:10" s="997" customFormat="1" ht="35.1" customHeight="1">
      <c r="A18" s="981" t="s">
        <v>219</v>
      </c>
      <c r="B18" s="998" t="s">
        <v>1409</v>
      </c>
      <c r="C18" s="1007">
        <f>+C19+C24</f>
        <v>559355000000</v>
      </c>
      <c r="D18" s="1007">
        <f>+D19+D24+D71+D72</f>
        <v>780562024566</v>
      </c>
      <c r="E18" s="1007">
        <f>+E19+E24</f>
        <v>429280000000</v>
      </c>
      <c r="F18" s="993">
        <f>E18-C18</f>
        <v>-130075000000</v>
      </c>
      <c r="G18" s="994">
        <f t="shared" si="1"/>
        <v>0.54996270186047524</v>
      </c>
      <c r="H18" s="1009"/>
      <c r="I18" s="995"/>
      <c r="J18" s="995"/>
    </row>
    <row r="19" spans="1:10" s="997" customFormat="1" ht="35.1" customHeight="1">
      <c r="A19" s="981" t="s">
        <v>220</v>
      </c>
      <c r="B19" s="998" t="s">
        <v>1410</v>
      </c>
      <c r="C19" s="1007">
        <f>+C20+C21+C22</f>
        <v>432806000000</v>
      </c>
      <c r="D19" s="1007">
        <f>+D20+D21+D23</f>
        <v>464254322305</v>
      </c>
      <c r="E19" s="1007">
        <f>+E20+E21+E22</f>
        <v>429261000000</v>
      </c>
      <c r="F19" s="993">
        <f>E19-C19</f>
        <v>-3545000000</v>
      </c>
      <c r="G19" s="994">
        <f t="shared" si="1"/>
        <v>0.92462467095349832</v>
      </c>
      <c r="H19" s="1010"/>
    </row>
    <row r="20" spans="1:10" s="1001" customFormat="1" ht="35.1" customHeight="1">
      <c r="A20" s="1008">
        <v>1</v>
      </c>
      <c r="B20" s="1003" t="s">
        <v>407</v>
      </c>
      <c r="C20" s="1004">
        <f>'29.2'!D26</f>
        <v>1800000000</v>
      </c>
      <c r="D20" s="1005">
        <f>'ƯỚC CHI SỐ 02'!F10</f>
        <v>1671000000</v>
      </c>
      <c r="E20" s="1004">
        <f>'29.2'!F26</f>
        <v>16698000000</v>
      </c>
      <c r="F20" s="1005">
        <f>E20-C20</f>
        <v>14898000000</v>
      </c>
      <c r="G20" s="1006">
        <f t="shared" si="1"/>
        <v>9.9928186714542182</v>
      </c>
    </row>
    <row r="21" spans="1:10" s="1001" customFormat="1" ht="35.1" customHeight="1">
      <c r="A21" s="1008">
        <f>A20+1</f>
        <v>2</v>
      </c>
      <c r="B21" s="1003" t="s">
        <v>231</v>
      </c>
      <c r="C21" s="1004">
        <f>'29.2'!D27+'29.2'!D29+'29.2'!D30</f>
        <v>431006000000</v>
      </c>
      <c r="D21" s="1005">
        <f>'ƯỚC CHI SỐ 02'!F14</f>
        <v>462583322305</v>
      </c>
      <c r="E21" s="1004">
        <f>'29.2'!F27+'29.2'!F29</f>
        <v>412563000000</v>
      </c>
      <c r="F21" s="1005">
        <f>E21-C21</f>
        <v>-18443000000</v>
      </c>
      <c r="G21" s="1006">
        <f t="shared" si="1"/>
        <v>0.89186743254003531</v>
      </c>
    </row>
    <row r="22" spans="1:10" s="1001" customFormat="1" ht="35.1" hidden="1" customHeight="1">
      <c r="A22" s="1008"/>
      <c r="B22" s="1003"/>
      <c r="C22" s="1004"/>
      <c r="D22" s="1005"/>
      <c r="E22" s="1004"/>
      <c r="F22" s="1005"/>
      <c r="G22" s="1006"/>
    </row>
    <row r="23" spans="1:10" s="1001" customFormat="1" ht="35.1" customHeight="1">
      <c r="A23" s="1008">
        <v>3</v>
      </c>
      <c r="B23" s="1003" t="s">
        <v>720</v>
      </c>
      <c r="C23" s="1004"/>
      <c r="D23" s="1005"/>
      <c r="E23" s="1004"/>
      <c r="F23" s="1005"/>
      <c r="G23" s="1006"/>
    </row>
    <row r="24" spans="1:10" s="997" customFormat="1" ht="35.1" customHeight="1">
      <c r="A24" s="981" t="s">
        <v>223</v>
      </c>
      <c r="B24" s="998" t="s">
        <v>1411</v>
      </c>
      <c r="C24" s="1007">
        <f>C25+C52</f>
        <v>126549000000</v>
      </c>
      <c r="D24" s="1007">
        <f>D25+D52</f>
        <v>181772959602</v>
      </c>
      <c r="E24" s="1007">
        <f>E25+E52</f>
        <v>19000000</v>
      </c>
      <c r="F24" s="1007">
        <f>F25+F52</f>
        <v>0</v>
      </c>
      <c r="G24" s="994">
        <f t="shared" si="1"/>
        <v>1.0452599793501381E-4</v>
      </c>
      <c r="I24" s="995"/>
    </row>
    <row r="25" spans="1:10" s="1001" customFormat="1" ht="39.75" customHeight="1">
      <c r="A25" s="981">
        <v>1</v>
      </c>
      <c r="B25" s="998" t="s">
        <v>1412</v>
      </c>
      <c r="C25" s="993">
        <f>C26+C43</f>
        <v>118496000000</v>
      </c>
      <c r="D25" s="993">
        <f>D26+D43+D51</f>
        <v>178056185602</v>
      </c>
      <c r="E25" s="993">
        <f>E26+E43</f>
        <v>0</v>
      </c>
      <c r="F25" s="993">
        <f>F26+F43</f>
        <v>0</v>
      </c>
      <c r="G25" s="994">
        <f t="shared" si="1"/>
        <v>0</v>
      </c>
      <c r="I25" s="1011"/>
    </row>
    <row r="26" spans="1:10" s="997" customFormat="1" ht="31.5" customHeight="1">
      <c r="A26" s="981" t="s">
        <v>222</v>
      </c>
      <c r="B26" s="998" t="s">
        <v>2</v>
      </c>
      <c r="C26" s="993">
        <f>C27+C33</f>
        <v>72271000000</v>
      </c>
      <c r="D26" s="993">
        <f>D27+D33</f>
        <v>131242460431</v>
      </c>
      <c r="E26" s="993">
        <f>E27+E33</f>
        <v>0</v>
      </c>
      <c r="F26" s="993">
        <f>F27+F33</f>
        <v>0</v>
      </c>
      <c r="G26" s="994">
        <f t="shared" si="1"/>
        <v>0</v>
      </c>
      <c r="I26" s="1012"/>
    </row>
    <row r="27" spans="1:10" s="997" customFormat="1" ht="30.75" customHeight="1">
      <c r="A27" s="981" t="s">
        <v>528</v>
      </c>
      <c r="B27" s="998" t="s">
        <v>616</v>
      </c>
      <c r="C27" s="993">
        <f>C28+C31</f>
        <v>56663000000</v>
      </c>
      <c r="D27" s="993">
        <f>D28+D31</f>
        <v>116341773526</v>
      </c>
      <c r="E27" s="993">
        <f>E28+E31</f>
        <v>0</v>
      </c>
      <c r="F27" s="993"/>
      <c r="G27" s="994">
        <f t="shared" si="1"/>
        <v>0</v>
      </c>
    </row>
    <row r="28" spans="1:10" s="997" customFormat="1" ht="35.1" customHeight="1">
      <c r="A28" s="981" t="s">
        <v>233</v>
      </c>
      <c r="B28" s="998" t="s">
        <v>402</v>
      </c>
      <c r="C28" s="993">
        <f>C29+C30</f>
        <v>44505000000</v>
      </c>
      <c r="D28" s="993">
        <f>D29+D30</f>
        <v>104119551098</v>
      </c>
      <c r="E28" s="993">
        <f>E29+E30</f>
        <v>0</v>
      </c>
      <c r="F28" s="993"/>
      <c r="G28" s="994">
        <f t="shared" si="1"/>
        <v>0</v>
      </c>
    </row>
    <row r="29" spans="1:10" s="1001" customFormat="1" ht="35.1" customHeight="1">
      <c r="A29" s="1008" t="s">
        <v>414</v>
      </c>
      <c r="B29" s="1003" t="s">
        <v>707</v>
      </c>
      <c r="C29" s="1004">
        <f>'ƯỚC CHI SỐ 02'!C32</f>
        <v>44505000000</v>
      </c>
      <c r="D29" s="1005">
        <f>'ƯỚC CHI SỐ 02'!F32</f>
        <v>104119551098</v>
      </c>
      <c r="E29" s="1004"/>
      <c r="F29" s="1005"/>
      <c r="G29" s="1006">
        <f t="shared" si="1"/>
        <v>0</v>
      </c>
    </row>
    <row r="30" spans="1:10" s="1001" customFormat="1" ht="35.1" hidden="1" customHeight="1">
      <c r="A30" s="1008"/>
      <c r="B30" s="1003" t="s">
        <v>1413</v>
      </c>
      <c r="C30" s="1004"/>
      <c r="D30" s="1005"/>
      <c r="E30" s="1004"/>
      <c r="F30" s="1005"/>
      <c r="G30" s="1006"/>
    </row>
    <row r="31" spans="1:10" s="997" customFormat="1" ht="35.1" customHeight="1">
      <c r="A31" s="981" t="s">
        <v>234</v>
      </c>
      <c r="B31" s="998" t="s">
        <v>8</v>
      </c>
      <c r="C31" s="993">
        <f>C32</f>
        <v>12158000000</v>
      </c>
      <c r="D31" s="993">
        <f>D32</f>
        <v>12222222428</v>
      </c>
      <c r="E31" s="993">
        <f>E32</f>
        <v>0</v>
      </c>
      <c r="F31" s="993"/>
      <c r="G31" s="994">
        <f t="shared" si="1"/>
        <v>0</v>
      </c>
    </row>
    <row r="32" spans="1:10" s="1001" customFormat="1" ht="35.1" customHeight="1">
      <c r="A32" s="1008"/>
      <c r="B32" s="1003" t="s">
        <v>1414</v>
      </c>
      <c r="C32" s="1004">
        <f>'ƯỚC CHI SỐ 02'!C34</f>
        <v>12158000000</v>
      </c>
      <c r="D32" s="1005">
        <f>'ƯỚC CHI SỐ 02'!F34</f>
        <v>12222222428</v>
      </c>
      <c r="E32" s="1004"/>
      <c r="F32" s="1005"/>
      <c r="G32" s="1006">
        <f t="shared" si="1"/>
        <v>0</v>
      </c>
    </row>
    <row r="33" spans="1:7" s="997" customFormat="1" ht="26.25" customHeight="1">
      <c r="A33" s="981" t="s">
        <v>531</v>
      </c>
      <c r="B33" s="998" t="s">
        <v>617</v>
      </c>
      <c r="C33" s="993">
        <f>C34+C38+C41+C42</f>
        <v>15608000000</v>
      </c>
      <c r="D33" s="993">
        <f>D34+D38+D41+D42</f>
        <v>14900686905</v>
      </c>
      <c r="E33" s="993">
        <f>E34+E38+E41+E42</f>
        <v>0</v>
      </c>
      <c r="F33" s="993"/>
      <c r="G33" s="994">
        <f t="shared" si="1"/>
        <v>0</v>
      </c>
    </row>
    <row r="34" spans="1:7" s="997" customFormat="1" ht="36" customHeight="1">
      <c r="A34" s="981" t="s">
        <v>233</v>
      </c>
      <c r="B34" s="998" t="s">
        <v>533</v>
      </c>
      <c r="C34" s="993">
        <f>C35+C36+C37</f>
        <v>11023000000</v>
      </c>
      <c r="D34" s="993">
        <f>D35+D36+D37</f>
        <v>10364017402</v>
      </c>
      <c r="E34" s="993">
        <f>E35+E36+E37</f>
        <v>0</v>
      </c>
      <c r="F34" s="993"/>
      <c r="G34" s="994">
        <f t="shared" si="1"/>
        <v>0</v>
      </c>
    </row>
    <row r="35" spans="1:7" s="1001" customFormat="1" ht="54.75" customHeight="1">
      <c r="A35" s="1008" t="s">
        <v>414</v>
      </c>
      <c r="B35" s="1003" t="s">
        <v>709</v>
      </c>
      <c r="C35" s="1004">
        <f>'ƯỚC CHI SỐ 02'!C37</f>
        <v>2224000000</v>
      </c>
      <c r="D35" s="1005">
        <f>'ƯỚC CHI SỐ 02'!F37</f>
        <v>2224000000</v>
      </c>
      <c r="E35" s="1004"/>
      <c r="F35" s="1005"/>
      <c r="G35" s="1006">
        <f t="shared" si="1"/>
        <v>0</v>
      </c>
    </row>
    <row r="36" spans="1:7" s="1001" customFormat="1" ht="54.75" customHeight="1">
      <c r="A36" s="1008" t="s">
        <v>414</v>
      </c>
      <c r="B36" s="1003" t="s">
        <v>710</v>
      </c>
      <c r="C36" s="1004">
        <f>'ƯỚC CHI SỐ 02'!C38</f>
        <v>8229000000</v>
      </c>
      <c r="D36" s="1005">
        <f>'ƯỚC CHI SỐ 02'!F38</f>
        <v>8140017402</v>
      </c>
      <c r="E36" s="1004"/>
      <c r="F36" s="1005"/>
      <c r="G36" s="1006">
        <f t="shared" si="1"/>
        <v>0</v>
      </c>
    </row>
    <row r="37" spans="1:7" s="1001" customFormat="1" ht="54.75" customHeight="1">
      <c r="A37" s="1008" t="s">
        <v>414</v>
      </c>
      <c r="B37" s="1003" t="s">
        <v>711</v>
      </c>
      <c r="C37" s="1004">
        <f>'ƯỚC CHI SỐ 02'!C39</f>
        <v>570000000</v>
      </c>
      <c r="D37" s="1005">
        <f>'ƯỚC CHI SỐ 02'!F39</f>
        <v>0</v>
      </c>
      <c r="E37" s="1004"/>
      <c r="F37" s="1005"/>
      <c r="G37" s="1006"/>
    </row>
    <row r="38" spans="1:7" s="997" customFormat="1" ht="35.1" customHeight="1">
      <c r="A38" s="981" t="s">
        <v>234</v>
      </c>
      <c r="B38" s="219" t="s">
        <v>607</v>
      </c>
      <c r="C38" s="993">
        <f>C39+C40</f>
        <v>4357000000</v>
      </c>
      <c r="D38" s="993">
        <f>D39+D40</f>
        <v>4308669503</v>
      </c>
      <c r="E38" s="993">
        <f>E39+E40</f>
        <v>0</v>
      </c>
      <c r="F38" s="993"/>
      <c r="G38" s="994">
        <f t="shared" si="1"/>
        <v>0</v>
      </c>
    </row>
    <row r="39" spans="1:7" s="1001" customFormat="1" ht="60.75" customHeight="1">
      <c r="A39" s="1008" t="s">
        <v>414</v>
      </c>
      <c r="B39" s="1013" t="s">
        <v>1415</v>
      </c>
      <c r="C39" s="1004">
        <f>'ƯỚC CHI SỐ 02'!C41</f>
        <v>881000000</v>
      </c>
      <c r="D39" s="1005">
        <f>'ƯỚC CHI SỐ 02'!F41</f>
        <v>877786103</v>
      </c>
      <c r="E39" s="1004"/>
      <c r="F39" s="1005"/>
      <c r="G39" s="1006">
        <f t="shared" si="1"/>
        <v>0</v>
      </c>
    </row>
    <row r="40" spans="1:7" s="1001" customFormat="1" ht="82.5" customHeight="1">
      <c r="A40" s="1008" t="s">
        <v>414</v>
      </c>
      <c r="B40" s="1013" t="s">
        <v>713</v>
      </c>
      <c r="C40" s="1004">
        <f>'ƯỚC CHI SỐ 02'!C42</f>
        <v>3476000000</v>
      </c>
      <c r="D40" s="1005">
        <f>'ƯỚC CHI SỐ 02'!F42</f>
        <v>3430883400</v>
      </c>
      <c r="E40" s="1004"/>
      <c r="F40" s="1005"/>
      <c r="G40" s="1006">
        <f t="shared" si="1"/>
        <v>0</v>
      </c>
    </row>
    <row r="41" spans="1:7" s="1001" customFormat="1" ht="35.1" customHeight="1">
      <c r="A41" s="981" t="s">
        <v>235</v>
      </c>
      <c r="B41" s="219" t="s">
        <v>611</v>
      </c>
      <c r="C41" s="1007">
        <f>'ƯỚC CHI SỐ 02'!C43</f>
        <v>132000000</v>
      </c>
      <c r="D41" s="993">
        <f>'ƯỚC CHI SỐ 02'!F43</f>
        <v>132000000</v>
      </c>
      <c r="E41" s="1007"/>
      <c r="F41" s="993"/>
      <c r="G41" s="994">
        <f t="shared" si="1"/>
        <v>0</v>
      </c>
    </row>
    <row r="42" spans="1:7" s="1001" customFormat="1" ht="35.1" customHeight="1">
      <c r="A42" s="981" t="s">
        <v>239</v>
      </c>
      <c r="B42" s="219" t="s">
        <v>613</v>
      </c>
      <c r="C42" s="1007">
        <f>'ƯỚC CHI SỐ 02'!C44</f>
        <v>96000000</v>
      </c>
      <c r="D42" s="993">
        <f>'ƯỚC CHI SỐ 02'!F44</f>
        <v>96000000</v>
      </c>
      <c r="E42" s="1007"/>
      <c r="F42" s="993"/>
      <c r="G42" s="994">
        <f t="shared" si="1"/>
        <v>0</v>
      </c>
    </row>
    <row r="43" spans="1:7" s="997" customFormat="1" ht="35.1" customHeight="1">
      <c r="A43" s="981" t="s">
        <v>237</v>
      </c>
      <c r="B43" s="219" t="s">
        <v>1416</v>
      </c>
      <c r="C43" s="993">
        <f>C44+C46</f>
        <v>46225000000</v>
      </c>
      <c r="D43" s="993">
        <f>D44+D46</f>
        <v>46813725171</v>
      </c>
      <c r="E43" s="993">
        <f>E44+E46</f>
        <v>0</v>
      </c>
      <c r="F43" s="993"/>
      <c r="G43" s="994">
        <f t="shared" si="1"/>
        <v>0</v>
      </c>
    </row>
    <row r="44" spans="1:7" s="997" customFormat="1" ht="27.75" customHeight="1">
      <c r="A44" s="981" t="s">
        <v>233</v>
      </c>
      <c r="B44" s="219" t="s">
        <v>616</v>
      </c>
      <c r="C44" s="993">
        <f>C45</f>
        <v>40011000000</v>
      </c>
      <c r="D44" s="993">
        <f>D45</f>
        <v>40642768479</v>
      </c>
      <c r="E44" s="993">
        <f>E45</f>
        <v>0</v>
      </c>
      <c r="F44" s="993"/>
      <c r="G44" s="994">
        <f t="shared" si="1"/>
        <v>0</v>
      </c>
    </row>
    <row r="45" spans="1:7" s="1001" customFormat="1" ht="27.75" customHeight="1">
      <c r="A45" s="1008"/>
      <c r="B45" s="1013" t="s">
        <v>707</v>
      </c>
      <c r="C45" s="1004">
        <f>'ƯỚC CHI SỐ 02'!C47</f>
        <v>40011000000</v>
      </c>
      <c r="D45" s="1005">
        <f>'ƯỚC CHI SỐ 02'!F47</f>
        <v>40642768479</v>
      </c>
      <c r="E45" s="1004"/>
      <c r="F45" s="1005"/>
      <c r="G45" s="1006">
        <f t="shared" si="1"/>
        <v>0</v>
      </c>
    </row>
    <row r="46" spans="1:7" s="997" customFormat="1" ht="27.75" customHeight="1">
      <c r="A46" s="981" t="s">
        <v>234</v>
      </c>
      <c r="B46" s="219" t="s">
        <v>617</v>
      </c>
      <c r="C46" s="993">
        <f>SUM(C47:C50)</f>
        <v>6214000000</v>
      </c>
      <c r="D46" s="993">
        <f>SUM(D47:D50)</f>
        <v>6170956692</v>
      </c>
      <c r="E46" s="993">
        <f>SUM(E47:E50)</f>
        <v>0</v>
      </c>
      <c r="F46" s="993"/>
      <c r="G46" s="994">
        <f t="shared" si="1"/>
        <v>0</v>
      </c>
    </row>
    <row r="47" spans="1:7" s="997" customFormat="1" ht="135" customHeight="1">
      <c r="A47" s="981" t="s">
        <v>414</v>
      </c>
      <c r="B47" s="437" t="s">
        <v>1417</v>
      </c>
      <c r="C47" s="1004">
        <f>'ƯỚC CHI SỐ 02'!C49</f>
        <v>5863000000</v>
      </c>
      <c r="D47" s="1005">
        <f>'ƯỚC CHI SỐ 02'!F49</f>
        <v>5829854013</v>
      </c>
      <c r="E47" s="1004"/>
      <c r="F47" s="993"/>
      <c r="G47" s="1006">
        <f t="shared" si="1"/>
        <v>0</v>
      </c>
    </row>
    <row r="48" spans="1:7" s="1001" customFormat="1" ht="27" customHeight="1">
      <c r="A48" s="981" t="s">
        <v>414</v>
      </c>
      <c r="B48" s="45" t="s">
        <v>716</v>
      </c>
      <c r="C48" s="1004">
        <f>'ƯỚC CHI SỐ 02'!C50</f>
        <v>351000000</v>
      </c>
      <c r="D48" s="1005">
        <f>'ƯỚC CHI SỐ 02'!F50</f>
        <v>341102679</v>
      </c>
      <c r="E48" s="1004"/>
      <c r="F48" s="1005"/>
      <c r="G48" s="1006">
        <f t="shared" si="1"/>
        <v>0</v>
      </c>
    </row>
    <row r="49" spans="1:9" s="1001" customFormat="1" ht="26.25" hidden="1" customHeight="1">
      <c r="A49" s="981" t="s">
        <v>414</v>
      </c>
      <c r="B49" s="45" t="s">
        <v>1418</v>
      </c>
      <c r="C49" s="1004"/>
      <c r="D49" s="1005"/>
      <c r="E49" s="1004"/>
      <c r="F49" s="1005"/>
      <c r="G49" s="1006" t="e">
        <f t="shared" si="1"/>
        <v>#DIV/0!</v>
      </c>
    </row>
    <row r="50" spans="1:9" s="1001" customFormat="1" ht="35.1" hidden="1" customHeight="1">
      <c r="A50" s="981"/>
      <c r="B50" s="51"/>
      <c r="C50" s="1004"/>
      <c r="D50" s="1005"/>
      <c r="E50" s="1004"/>
      <c r="F50" s="1005"/>
      <c r="G50" s="1006"/>
    </row>
    <row r="51" spans="1:9" s="1001" customFormat="1" ht="59.25" hidden="1" customHeight="1">
      <c r="A51" s="981"/>
      <c r="B51" s="1014"/>
      <c r="C51" s="1007"/>
      <c r="D51" s="993"/>
      <c r="E51" s="1007"/>
      <c r="F51" s="993"/>
      <c r="G51" s="994"/>
      <c r="H51" s="999"/>
    </row>
    <row r="52" spans="1:9" s="1001" customFormat="1" ht="35.1" customHeight="1">
      <c r="A52" s="981">
        <v>2</v>
      </c>
      <c r="B52" s="998" t="s">
        <v>1411</v>
      </c>
      <c r="C52" s="1015">
        <f>C53+C56+C57+C58+C59+C62+C64+C65+C66+C67</f>
        <v>8053000000</v>
      </c>
      <c r="D52" s="1016">
        <f>D53+D56+D57+D58+D59+D62+D64+D65+D66+D67+D68+D69+D70</f>
        <v>3716774000</v>
      </c>
      <c r="E52" s="1016">
        <f>E53+E56+E57+E58+E59+E62+E64+E65+E66+E67</f>
        <v>19000000</v>
      </c>
      <c r="F52" s="1016">
        <f>F53+F56+F57+F58+F59+F62+F64+F65</f>
        <v>0</v>
      </c>
      <c r="G52" s="1017">
        <f t="shared" si="1"/>
        <v>5.1119599954153787E-3</v>
      </c>
      <c r="H52" s="999"/>
      <c r="I52" s="999"/>
    </row>
    <row r="53" spans="1:9" s="997" customFormat="1" ht="54.75" customHeight="1">
      <c r="A53" s="981" t="s">
        <v>688</v>
      </c>
      <c r="B53" s="1018" t="s">
        <v>470</v>
      </c>
      <c r="C53" s="1015">
        <f>C54+C55</f>
        <v>113000000</v>
      </c>
      <c r="D53" s="1016">
        <f>D54+D55</f>
        <v>113000000</v>
      </c>
      <c r="E53" s="1015">
        <f>E54+E55</f>
        <v>0</v>
      </c>
      <c r="F53" s="993"/>
      <c r="G53" s="1017">
        <f t="shared" si="1"/>
        <v>0</v>
      </c>
      <c r="I53" s="1019"/>
    </row>
    <row r="54" spans="1:9" s="1001" customFormat="1" ht="26.25" customHeight="1">
      <c r="A54" s="1008" t="s">
        <v>414</v>
      </c>
      <c r="B54" s="1020" t="s">
        <v>1419</v>
      </c>
      <c r="C54" s="1038">
        <f>'ƯỚC CHI SỐ 02'!C60</f>
        <v>93000000</v>
      </c>
      <c r="D54" s="1005">
        <f>'ƯỚC CHI SỐ 02'!F60</f>
        <v>93000000</v>
      </c>
      <c r="E54" s="1021"/>
      <c r="F54" s="1005"/>
      <c r="G54" s="1006">
        <f t="shared" si="1"/>
        <v>0</v>
      </c>
      <c r="I54" s="999"/>
    </row>
    <row r="55" spans="1:9" s="1001" customFormat="1" ht="26.25" customHeight="1">
      <c r="A55" s="1008" t="s">
        <v>414</v>
      </c>
      <c r="B55" s="1022" t="s">
        <v>1420</v>
      </c>
      <c r="C55" s="1038">
        <f>'ƯỚC CHI SỐ 02'!C61</f>
        <v>20000000</v>
      </c>
      <c r="D55" s="1005">
        <f>'ƯỚC CHI SỐ 02'!F61</f>
        <v>20000000</v>
      </c>
      <c r="E55" s="1021"/>
      <c r="F55" s="1005"/>
      <c r="G55" s="1006">
        <f t="shared" si="1"/>
        <v>0</v>
      </c>
    </row>
    <row r="56" spans="1:9" s="997" customFormat="1" ht="35.1" customHeight="1">
      <c r="A56" s="981" t="s">
        <v>689</v>
      </c>
      <c r="B56" s="1023" t="s">
        <v>1421</v>
      </c>
      <c r="C56" s="1015">
        <f>'ƯỚC CHI SỐ 02'!C62</f>
        <v>18000000</v>
      </c>
      <c r="D56" s="1016">
        <f>'ƯỚC CHI SỐ 02'!F62</f>
        <v>18000000</v>
      </c>
      <c r="E56" s="1015">
        <v>19000000</v>
      </c>
      <c r="F56" s="993"/>
      <c r="G56" s="1017">
        <f>E56/D56</f>
        <v>1.0555555555555556</v>
      </c>
    </row>
    <row r="57" spans="1:9" s="997" customFormat="1" ht="35.1" hidden="1" customHeight="1">
      <c r="A57" s="981" t="s">
        <v>690</v>
      </c>
      <c r="B57" s="1023" t="s">
        <v>311</v>
      </c>
      <c r="C57" s="1015"/>
      <c r="D57" s="1016"/>
      <c r="E57" s="1015"/>
      <c r="F57" s="993"/>
      <c r="G57" s="1017"/>
    </row>
    <row r="58" spans="1:9" s="997" customFormat="1" ht="72" customHeight="1">
      <c r="A58" s="981" t="s">
        <v>690</v>
      </c>
      <c r="B58" s="1023" t="s">
        <v>1422</v>
      </c>
      <c r="C58" s="1015"/>
      <c r="D58" s="1016">
        <f>'ƯỚC CHI SỐ 02'!F53</f>
        <v>2097554000</v>
      </c>
      <c r="E58" s="1015"/>
      <c r="F58" s="993"/>
      <c r="G58" s="1017">
        <f t="shared" si="1"/>
        <v>0</v>
      </c>
    </row>
    <row r="59" spans="1:9" s="997" customFormat="1" ht="41.25" customHeight="1">
      <c r="A59" s="981" t="s">
        <v>692</v>
      </c>
      <c r="B59" s="1023" t="s">
        <v>1326</v>
      </c>
      <c r="C59" s="993">
        <f>C60+C61</f>
        <v>86000000</v>
      </c>
      <c r="D59" s="993">
        <f>D60+D61</f>
        <v>86000000</v>
      </c>
      <c r="E59" s="993">
        <f>E60+E61</f>
        <v>0</v>
      </c>
      <c r="F59" s="993"/>
      <c r="G59" s="994">
        <f t="shared" si="1"/>
        <v>0</v>
      </c>
    </row>
    <row r="60" spans="1:9" s="1001" customFormat="1" ht="35.1" customHeight="1">
      <c r="A60" s="1008" t="s">
        <v>414</v>
      </c>
      <c r="B60" s="1024" t="s">
        <v>1423</v>
      </c>
      <c r="C60" s="1038">
        <f>'ƯỚC CHI SỐ 02'!C67</f>
        <v>61000000</v>
      </c>
      <c r="D60" s="1005">
        <f>'ƯỚC CHI SỐ 02'!F67</f>
        <v>61000000</v>
      </c>
      <c r="E60" s="1021"/>
      <c r="F60" s="1005"/>
      <c r="G60" s="1006">
        <f t="shared" si="1"/>
        <v>0</v>
      </c>
    </row>
    <row r="61" spans="1:9" s="1001" customFormat="1" ht="35.1" customHeight="1">
      <c r="A61" s="1008" t="s">
        <v>414</v>
      </c>
      <c r="B61" s="1024" t="s">
        <v>1424</v>
      </c>
      <c r="C61" s="1038">
        <f>'ƯỚC CHI SỐ 02'!C68</f>
        <v>25000000</v>
      </c>
      <c r="D61" s="1005">
        <f>'ƯỚC CHI SỐ 02'!F68</f>
        <v>25000000</v>
      </c>
      <c r="E61" s="1021"/>
      <c r="F61" s="1005"/>
      <c r="G61" s="1006"/>
    </row>
    <row r="62" spans="1:9" s="997" customFormat="1" ht="48" customHeight="1">
      <c r="A62" s="981" t="s">
        <v>694</v>
      </c>
      <c r="B62" s="1023" t="s">
        <v>478</v>
      </c>
      <c r="C62" s="993">
        <f>C63</f>
        <v>25000000</v>
      </c>
      <c r="D62" s="993">
        <f>D63</f>
        <v>25000000</v>
      </c>
      <c r="E62" s="993">
        <f>E63</f>
        <v>0</v>
      </c>
      <c r="F62" s="993"/>
      <c r="G62" s="994">
        <f t="shared" si="1"/>
        <v>0</v>
      </c>
    </row>
    <row r="63" spans="1:9" s="1001" customFormat="1" ht="35.1" customHeight="1">
      <c r="A63" s="1008"/>
      <c r="B63" s="1024" t="s">
        <v>1425</v>
      </c>
      <c r="C63" s="1038">
        <f>'ƯỚC CHI SỐ 02'!C69</f>
        <v>25000000</v>
      </c>
      <c r="D63" s="1040">
        <f>'ƯỚC CHI SỐ 02'!F69</f>
        <v>25000000</v>
      </c>
      <c r="E63" s="1021"/>
      <c r="F63" s="1005"/>
      <c r="G63" s="1006">
        <f t="shared" si="1"/>
        <v>0</v>
      </c>
    </row>
    <row r="64" spans="1:9" s="997" customFormat="1" ht="30" customHeight="1">
      <c r="A64" s="981" t="s">
        <v>695</v>
      </c>
      <c r="B64" s="1023" t="s">
        <v>1426</v>
      </c>
      <c r="C64" s="1025">
        <f>'ƯỚC CHI SỐ 02'!C64</f>
        <v>7211000000</v>
      </c>
      <c r="D64" s="993"/>
      <c r="E64" s="1025"/>
      <c r="F64" s="993"/>
      <c r="G64" s="994"/>
    </row>
    <row r="65" spans="1:8" s="1030" customFormat="1" ht="24" hidden="1" customHeight="1">
      <c r="A65" s="1026" t="s">
        <v>696</v>
      </c>
      <c r="B65" s="998" t="s">
        <v>1427</v>
      </c>
      <c r="C65" s="1027"/>
      <c r="D65" s="1028"/>
      <c r="E65" s="1027"/>
      <c r="F65" s="1029"/>
      <c r="G65" s="994" t="e">
        <f t="shared" si="1"/>
        <v>#DIV/0!</v>
      </c>
    </row>
    <row r="66" spans="1:8" ht="47.25">
      <c r="A66" s="1026" t="s">
        <v>696</v>
      </c>
      <c r="B66" s="998" t="s">
        <v>1428</v>
      </c>
      <c r="C66" s="1039">
        <f>'ƯỚC CHI SỐ 02'!C63</f>
        <v>100000000</v>
      </c>
      <c r="D66" s="1029">
        <f>'ƯỚC CHI SỐ 02'!F63</f>
        <v>460000000</v>
      </c>
      <c r="E66" s="1027"/>
      <c r="F66" s="1029"/>
      <c r="G66" s="994"/>
    </row>
    <row r="67" spans="1:8" ht="16.5">
      <c r="A67" s="1026" t="s">
        <v>697</v>
      </c>
      <c r="B67" s="998" t="s">
        <v>1331</v>
      </c>
      <c r="C67" s="1039">
        <f>'ƯỚC CHI SỐ 02'!C70</f>
        <v>500000000</v>
      </c>
      <c r="D67" s="1029">
        <f>'ƯỚC CHI SỐ 02'!F70</f>
        <v>490050000</v>
      </c>
      <c r="E67" s="1027"/>
      <c r="F67" s="1029"/>
      <c r="G67" s="994"/>
    </row>
    <row r="68" spans="1:8" s="1030" customFormat="1" ht="31.5">
      <c r="A68" s="1026" t="s">
        <v>698</v>
      </c>
      <c r="B68" s="59" t="s">
        <v>311</v>
      </c>
      <c r="C68" s="1027"/>
      <c r="D68" s="1029">
        <f>'ƯỚC CHI SỐ 02'!F71</f>
        <v>427170000</v>
      </c>
      <c r="E68" s="1027"/>
      <c r="F68" s="1029"/>
      <c r="G68" s="994"/>
    </row>
    <row r="69" spans="1:8" s="1030" customFormat="1" ht="16.5" hidden="1">
      <c r="A69" s="1026" t="s">
        <v>700</v>
      </c>
      <c r="B69" s="59" t="s">
        <v>1430</v>
      </c>
      <c r="C69" s="1027"/>
      <c r="D69" s="1029"/>
      <c r="E69" s="1027"/>
      <c r="F69" s="1029"/>
      <c r="G69" s="994"/>
    </row>
    <row r="70" spans="1:8" s="1001" customFormat="1" ht="59.25" hidden="1" customHeight="1">
      <c r="A70" s="981" t="s">
        <v>1431</v>
      </c>
      <c r="B70" s="1014" t="s">
        <v>621</v>
      </c>
      <c r="C70" s="1007"/>
      <c r="D70" s="993"/>
      <c r="E70" s="1007"/>
      <c r="F70" s="993"/>
      <c r="G70" s="994" t="e">
        <f>E70/D70</f>
        <v>#DIV/0!</v>
      </c>
      <c r="H70" s="999"/>
    </row>
    <row r="71" spans="1:8">
      <c r="A71" s="1026" t="s">
        <v>226</v>
      </c>
      <c r="B71" s="998" t="s">
        <v>596</v>
      </c>
      <c r="C71" s="1020"/>
      <c r="D71" s="1031">
        <f>'ƯỚC CHI SỐ 02'!F76</f>
        <v>1860043153</v>
      </c>
      <c r="E71" s="973"/>
      <c r="F71" s="1031"/>
      <c r="G71" s="1032"/>
    </row>
    <row r="72" spans="1:8">
      <c r="A72" s="1026" t="s">
        <v>227</v>
      </c>
      <c r="B72" s="998" t="s">
        <v>595</v>
      </c>
      <c r="C72" s="1020"/>
      <c r="D72" s="1031">
        <f>'ƯỚC CHI SỐ 02'!F73</f>
        <v>132674699506</v>
      </c>
      <c r="E72" s="973"/>
      <c r="F72" s="1031"/>
      <c r="G72" s="1032"/>
    </row>
    <row r="73" spans="1:8" ht="18.75">
      <c r="A73" s="1001"/>
      <c r="B73" s="1033"/>
      <c r="C73" s="1001"/>
      <c r="D73" s="1001"/>
      <c r="E73" s="27"/>
      <c r="F73" s="999"/>
      <c r="G73" s="1034"/>
    </row>
    <row r="74" spans="1:8" ht="18.75">
      <c r="A74" s="1001"/>
      <c r="B74" s="1033"/>
      <c r="C74" s="1001"/>
      <c r="D74" s="1001"/>
      <c r="E74" s="27"/>
      <c r="F74" s="999"/>
      <c r="G74" s="1034"/>
    </row>
  </sheetData>
  <mergeCells count="12">
    <mergeCell ref="F6:F7"/>
    <mergeCell ref="G6:G7"/>
    <mergeCell ref="A1:G1"/>
    <mergeCell ref="A2:G2"/>
    <mergeCell ref="A3:G3"/>
    <mergeCell ref="A4:G4"/>
    <mergeCell ref="A5:A7"/>
    <mergeCell ref="B5:B7"/>
    <mergeCell ref="C5:C7"/>
    <mergeCell ref="D5:D7"/>
    <mergeCell ref="E5:E7"/>
    <mergeCell ref="F5:G5"/>
  </mergeCells>
  <pageMargins left="0.86614173228346458" right="0.70866141732283472" top="0.37" bottom="0.35" header="0.31496062992125984" footer="0.31496062992125984"/>
  <pageSetup paperSize="9" scale="90"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38"/>
  <sheetViews>
    <sheetView view="pageBreakPreview" topLeftCell="A16" zoomScale="85" zoomScaleNormal="100" zoomScaleSheetLayoutView="85" workbookViewId="0">
      <selection activeCell="A4" sqref="A4:H4"/>
    </sheetView>
  </sheetViews>
  <sheetFormatPr defaultColWidth="10.28515625" defaultRowHeight="15.75"/>
  <cols>
    <col min="1" max="1" width="4.5703125" style="980" bestFit="1" customWidth="1"/>
    <col min="2" max="2" width="55.140625" style="354" customWidth="1"/>
    <col min="3" max="5" width="19.28515625" style="354" customWidth="1"/>
    <col min="6" max="6" width="19.28515625" style="12" customWidth="1"/>
    <col min="7" max="8" width="10.5703125" style="354" customWidth="1"/>
    <col min="9" max="9" width="13" style="354" hidden="1" customWidth="1"/>
    <col min="10" max="22" width="0" style="354" hidden="1" customWidth="1"/>
    <col min="23" max="23" width="19.42578125" style="354" bestFit="1" customWidth="1"/>
    <col min="24" max="25" width="10.28515625" style="354"/>
    <col min="26" max="26" width="14.85546875" style="354" bestFit="1" customWidth="1"/>
    <col min="27" max="256" width="10.28515625" style="354"/>
    <col min="257" max="257" width="4.5703125" style="354" bestFit="1" customWidth="1"/>
    <col min="258" max="258" width="55.140625" style="354" customWidth="1"/>
    <col min="259" max="259" width="10.5703125" style="354" customWidth="1"/>
    <col min="260" max="260" width="12" style="354" customWidth="1"/>
    <col min="261" max="261" width="9.85546875" style="354" customWidth="1"/>
    <col min="262" max="262" width="9.140625" style="354" customWidth="1"/>
    <col min="263" max="264" width="10.5703125" style="354" customWidth="1"/>
    <col min="265" max="278" width="0" style="354" hidden="1" customWidth="1"/>
    <col min="279" max="281" width="10.28515625" style="354"/>
    <col min="282" max="282" width="14.85546875" style="354" bestFit="1" customWidth="1"/>
    <col min="283" max="512" width="10.28515625" style="354"/>
    <col min="513" max="513" width="4.5703125" style="354" bestFit="1" customWidth="1"/>
    <col min="514" max="514" width="55.140625" style="354" customWidth="1"/>
    <col min="515" max="515" width="10.5703125" style="354" customWidth="1"/>
    <col min="516" max="516" width="12" style="354" customWidth="1"/>
    <col min="517" max="517" width="9.85546875" style="354" customWidth="1"/>
    <col min="518" max="518" width="9.140625" style="354" customWidth="1"/>
    <col min="519" max="520" width="10.5703125" style="354" customWidth="1"/>
    <col min="521" max="534" width="0" style="354" hidden="1" customWidth="1"/>
    <col min="535" max="537" width="10.28515625" style="354"/>
    <col min="538" max="538" width="14.85546875" style="354" bestFit="1" customWidth="1"/>
    <col min="539" max="768" width="10.28515625" style="354"/>
    <col min="769" max="769" width="4.5703125" style="354" bestFit="1" customWidth="1"/>
    <col min="770" max="770" width="55.140625" style="354" customWidth="1"/>
    <col min="771" max="771" width="10.5703125" style="354" customWidth="1"/>
    <col min="772" max="772" width="12" style="354" customWidth="1"/>
    <col min="773" max="773" width="9.85546875" style="354" customWidth="1"/>
    <col min="774" max="774" width="9.140625" style="354" customWidth="1"/>
    <col min="775" max="776" width="10.5703125" style="354" customWidth="1"/>
    <col min="777" max="790" width="0" style="354" hidden="1" customWidth="1"/>
    <col min="791" max="793" width="10.28515625" style="354"/>
    <col min="794" max="794" width="14.85546875" style="354" bestFit="1" customWidth="1"/>
    <col min="795" max="1024" width="10.28515625" style="354"/>
    <col min="1025" max="1025" width="4.5703125" style="354" bestFit="1" customWidth="1"/>
    <col min="1026" max="1026" width="55.140625" style="354" customWidth="1"/>
    <col min="1027" max="1027" width="10.5703125" style="354" customWidth="1"/>
    <col min="1028" max="1028" width="12" style="354" customWidth="1"/>
    <col min="1029" max="1029" width="9.85546875" style="354" customWidth="1"/>
    <col min="1030" max="1030" width="9.140625" style="354" customWidth="1"/>
    <col min="1031" max="1032" width="10.5703125" style="354" customWidth="1"/>
    <col min="1033" max="1046" width="0" style="354" hidden="1" customWidth="1"/>
    <col min="1047" max="1049" width="10.28515625" style="354"/>
    <col min="1050" max="1050" width="14.85546875" style="354" bestFit="1" customWidth="1"/>
    <col min="1051" max="1280" width="10.28515625" style="354"/>
    <col min="1281" max="1281" width="4.5703125" style="354" bestFit="1" customWidth="1"/>
    <col min="1282" max="1282" width="55.140625" style="354" customWidth="1"/>
    <col min="1283" max="1283" width="10.5703125" style="354" customWidth="1"/>
    <col min="1284" max="1284" width="12" style="354" customWidth="1"/>
    <col min="1285" max="1285" width="9.85546875" style="354" customWidth="1"/>
    <col min="1286" max="1286" width="9.140625" style="354" customWidth="1"/>
    <col min="1287" max="1288" width="10.5703125" style="354" customWidth="1"/>
    <col min="1289" max="1302" width="0" style="354" hidden="1" customWidth="1"/>
    <col min="1303" max="1305" width="10.28515625" style="354"/>
    <col min="1306" max="1306" width="14.85546875" style="354" bestFit="1" customWidth="1"/>
    <col min="1307" max="1536" width="10.28515625" style="354"/>
    <col min="1537" max="1537" width="4.5703125" style="354" bestFit="1" customWidth="1"/>
    <col min="1538" max="1538" width="55.140625" style="354" customWidth="1"/>
    <col min="1539" max="1539" width="10.5703125" style="354" customWidth="1"/>
    <col min="1540" max="1540" width="12" style="354" customWidth="1"/>
    <col min="1541" max="1541" width="9.85546875" style="354" customWidth="1"/>
    <col min="1542" max="1542" width="9.140625" style="354" customWidth="1"/>
    <col min="1543" max="1544" width="10.5703125" style="354" customWidth="1"/>
    <col min="1545" max="1558" width="0" style="354" hidden="1" customWidth="1"/>
    <col min="1559" max="1561" width="10.28515625" style="354"/>
    <col min="1562" max="1562" width="14.85546875" style="354" bestFit="1" customWidth="1"/>
    <col min="1563" max="1792" width="10.28515625" style="354"/>
    <col min="1793" max="1793" width="4.5703125" style="354" bestFit="1" customWidth="1"/>
    <col min="1794" max="1794" width="55.140625" style="354" customWidth="1"/>
    <col min="1795" max="1795" width="10.5703125" style="354" customWidth="1"/>
    <col min="1796" max="1796" width="12" style="354" customWidth="1"/>
    <col min="1797" max="1797" width="9.85546875" style="354" customWidth="1"/>
    <col min="1798" max="1798" width="9.140625" style="354" customWidth="1"/>
    <col min="1799" max="1800" width="10.5703125" style="354" customWidth="1"/>
    <col min="1801" max="1814" width="0" style="354" hidden="1" customWidth="1"/>
    <col min="1815" max="1817" width="10.28515625" style="354"/>
    <col min="1818" max="1818" width="14.85546875" style="354" bestFit="1" customWidth="1"/>
    <col min="1819" max="2048" width="10.28515625" style="354"/>
    <col min="2049" max="2049" width="4.5703125" style="354" bestFit="1" customWidth="1"/>
    <col min="2050" max="2050" width="55.140625" style="354" customWidth="1"/>
    <col min="2051" max="2051" width="10.5703125" style="354" customWidth="1"/>
    <col min="2052" max="2052" width="12" style="354" customWidth="1"/>
    <col min="2053" max="2053" width="9.85546875" style="354" customWidth="1"/>
    <col min="2054" max="2054" width="9.140625" style="354" customWidth="1"/>
    <col min="2055" max="2056" width="10.5703125" style="354" customWidth="1"/>
    <col min="2057" max="2070" width="0" style="354" hidden="1" customWidth="1"/>
    <col min="2071" max="2073" width="10.28515625" style="354"/>
    <col min="2074" max="2074" width="14.85546875" style="354" bestFit="1" customWidth="1"/>
    <col min="2075" max="2304" width="10.28515625" style="354"/>
    <col min="2305" max="2305" width="4.5703125" style="354" bestFit="1" customWidth="1"/>
    <col min="2306" max="2306" width="55.140625" style="354" customWidth="1"/>
    <col min="2307" max="2307" width="10.5703125" style="354" customWidth="1"/>
    <col min="2308" max="2308" width="12" style="354" customWidth="1"/>
    <col min="2309" max="2309" width="9.85546875" style="354" customWidth="1"/>
    <col min="2310" max="2310" width="9.140625" style="354" customWidth="1"/>
    <col min="2311" max="2312" width="10.5703125" style="354" customWidth="1"/>
    <col min="2313" max="2326" width="0" style="354" hidden="1" customWidth="1"/>
    <col min="2327" max="2329" width="10.28515625" style="354"/>
    <col min="2330" max="2330" width="14.85546875" style="354" bestFit="1" customWidth="1"/>
    <col min="2331" max="2560" width="10.28515625" style="354"/>
    <col min="2561" max="2561" width="4.5703125" style="354" bestFit="1" customWidth="1"/>
    <col min="2562" max="2562" width="55.140625" style="354" customWidth="1"/>
    <col min="2563" max="2563" width="10.5703125" style="354" customWidth="1"/>
    <col min="2564" max="2564" width="12" style="354" customWidth="1"/>
    <col min="2565" max="2565" width="9.85546875" style="354" customWidth="1"/>
    <col min="2566" max="2566" width="9.140625" style="354" customWidth="1"/>
    <col min="2567" max="2568" width="10.5703125" style="354" customWidth="1"/>
    <col min="2569" max="2582" width="0" style="354" hidden="1" customWidth="1"/>
    <col min="2583" max="2585" width="10.28515625" style="354"/>
    <col min="2586" max="2586" width="14.85546875" style="354" bestFit="1" customWidth="1"/>
    <col min="2587" max="2816" width="10.28515625" style="354"/>
    <col min="2817" max="2817" width="4.5703125" style="354" bestFit="1" customWidth="1"/>
    <col min="2818" max="2818" width="55.140625" style="354" customWidth="1"/>
    <col min="2819" max="2819" width="10.5703125" style="354" customWidth="1"/>
    <col min="2820" max="2820" width="12" style="354" customWidth="1"/>
    <col min="2821" max="2821" width="9.85546875" style="354" customWidth="1"/>
    <col min="2822" max="2822" width="9.140625" style="354" customWidth="1"/>
    <col min="2823" max="2824" width="10.5703125" style="354" customWidth="1"/>
    <col min="2825" max="2838" width="0" style="354" hidden="1" customWidth="1"/>
    <col min="2839" max="2841" width="10.28515625" style="354"/>
    <col min="2842" max="2842" width="14.85546875" style="354" bestFit="1" customWidth="1"/>
    <col min="2843" max="3072" width="10.28515625" style="354"/>
    <col min="3073" max="3073" width="4.5703125" style="354" bestFit="1" customWidth="1"/>
    <col min="3074" max="3074" width="55.140625" style="354" customWidth="1"/>
    <col min="3075" max="3075" width="10.5703125" style="354" customWidth="1"/>
    <col min="3076" max="3076" width="12" style="354" customWidth="1"/>
    <col min="3077" max="3077" width="9.85546875" style="354" customWidth="1"/>
    <col min="3078" max="3078" width="9.140625" style="354" customWidth="1"/>
    <col min="3079" max="3080" width="10.5703125" style="354" customWidth="1"/>
    <col min="3081" max="3094" width="0" style="354" hidden="1" customWidth="1"/>
    <col min="3095" max="3097" width="10.28515625" style="354"/>
    <col min="3098" max="3098" width="14.85546875" style="354" bestFit="1" customWidth="1"/>
    <col min="3099" max="3328" width="10.28515625" style="354"/>
    <col min="3329" max="3329" width="4.5703125" style="354" bestFit="1" customWidth="1"/>
    <col min="3330" max="3330" width="55.140625" style="354" customWidth="1"/>
    <col min="3331" max="3331" width="10.5703125" style="354" customWidth="1"/>
    <col min="3332" max="3332" width="12" style="354" customWidth="1"/>
    <col min="3333" max="3333" width="9.85546875" style="354" customWidth="1"/>
    <col min="3334" max="3334" width="9.140625" style="354" customWidth="1"/>
    <col min="3335" max="3336" width="10.5703125" style="354" customWidth="1"/>
    <col min="3337" max="3350" width="0" style="354" hidden="1" customWidth="1"/>
    <col min="3351" max="3353" width="10.28515625" style="354"/>
    <col min="3354" max="3354" width="14.85546875" style="354" bestFit="1" customWidth="1"/>
    <col min="3355" max="3584" width="10.28515625" style="354"/>
    <col min="3585" max="3585" width="4.5703125" style="354" bestFit="1" customWidth="1"/>
    <col min="3586" max="3586" width="55.140625" style="354" customWidth="1"/>
    <col min="3587" max="3587" width="10.5703125" style="354" customWidth="1"/>
    <col min="3588" max="3588" width="12" style="354" customWidth="1"/>
    <col min="3589" max="3589" width="9.85546875" style="354" customWidth="1"/>
    <col min="3590" max="3590" width="9.140625" style="354" customWidth="1"/>
    <col min="3591" max="3592" width="10.5703125" style="354" customWidth="1"/>
    <col min="3593" max="3606" width="0" style="354" hidden="1" customWidth="1"/>
    <col min="3607" max="3609" width="10.28515625" style="354"/>
    <col min="3610" max="3610" width="14.85546875" style="354" bestFit="1" customWidth="1"/>
    <col min="3611" max="3840" width="10.28515625" style="354"/>
    <col min="3841" max="3841" width="4.5703125" style="354" bestFit="1" customWidth="1"/>
    <col min="3842" max="3842" width="55.140625" style="354" customWidth="1"/>
    <col min="3843" max="3843" width="10.5703125" style="354" customWidth="1"/>
    <col min="3844" max="3844" width="12" style="354" customWidth="1"/>
    <col min="3845" max="3845" width="9.85546875" style="354" customWidth="1"/>
    <col min="3846" max="3846" width="9.140625" style="354" customWidth="1"/>
    <col min="3847" max="3848" width="10.5703125" style="354" customWidth="1"/>
    <col min="3849" max="3862" width="0" style="354" hidden="1" customWidth="1"/>
    <col min="3863" max="3865" width="10.28515625" style="354"/>
    <col min="3866" max="3866" width="14.85546875" style="354" bestFit="1" customWidth="1"/>
    <col min="3867" max="4096" width="10.28515625" style="354"/>
    <col min="4097" max="4097" width="4.5703125" style="354" bestFit="1" customWidth="1"/>
    <col min="4098" max="4098" width="55.140625" style="354" customWidth="1"/>
    <col min="4099" max="4099" width="10.5703125" style="354" customWidth="1"/>
    <col min="4100" max="4100" width="12" style="354" customWidth="1"/>
    <col min="4101" max="4101" width="9.85546875" style="354" customWidth="1"/>
    <col min="4102" max="4102" width="9.140625" style="354" customWidth="1"/>
    <col min="4103" max="4104" width="10.5703125" style="354" customWidth="1"/>
    <col min="4105" max="4118" width="0" style="354" hidden="1" customWidth="1"/>
    <col min="4119" max="4121" width="10.28515625" style="354"/>
    <col min="4122" max="4122" width="14.85546875" style="354" bestFit="1" customWidth="1"/>
    <col min="4123" max="4352" width="10.28515625" style="354"/>
    <col min="4353" max="4353" width="4.5703125" style="354" bestFit="1" customWidth="1"/>
    <col min="4354" max="4354" width="55.140625" style="354" customWidth="1"/>
    <col min="4355" max="4355" width="10.5703125" style="354" customWidth="1"/>
    <col min="4356" max="4356" width="12" style="354" customWidth="1"/>
    <col min="4357" max="4357" width="9.85546875" style="354" customWidth="1"/>
    <col min="4358" max="4358" width="9.140625" style="354" customWidth="1"/>
    <col min="4359" max="4360" width="10.5703125" style="354" customWidth="1"/>
    <col min="4361" max="4374" width="0" style="354" hidden="1" customWidth="1"/>
    <col min="4375" max="4377" width="10.28515625" style="354"/>
    <col min="4378" max="4378" width="14.85546875" style="354" bestFit="1" customWidth="1"/>
    <col min="4379" max="4608" width="10.28515625" style="354"/>
    <col min="4609" max="4609" width="4.5703125" style="354" bestFit="1" customWidth="1"/>
    <col min="4610" max="4610" width="55.140625" style="354" customWidth="1"/>
    <col min="4611" max="4611" width="10.5703125" style="354" customWidth="1"/>
    <col min="4612" max="4612" width="12" style="354" customWidth="1"/>
    <col min="4613" max="4613" width="9.85546875" style="354" customWidth="1"/>
    <col min="4614" max="4614" width="9.140625" style="354" customWidth="1"/>
    <col min="4615" max="4616" width="10.5703125" style="354" customWidth="1"/>
    <col min="4617" max="4630" width="0" style="354" hidden="1" customWidth="1"/>
    <col min="4631" max="4633" width="10.28515625" style="354"/>
    <col min="4634" max="4634" width="14.85546875" style="354" bestFit="1" customWidth="1"/>
    <col min="4635" max="4864" width="10.28515625" style="354"/>
    <col min="4865" max="4865" width="4.5703125" style="354" bestFit="1" customWidth="1"/>
    <col min="4866" max="4866" width="55.140625" style="354" customWidth="1"/>
    <col min="4867" max="4867" width="10.5703125" style="354" customWidth="1"/>
    <col min="4868" max="4868" width="12" style="354" customWidth="1"/>
    <col min="4869" max="4869" width="9.85546875" style="354" customWidth="1"/>
    <col min="4870" max="4870" width="9.140625" style="354" customWidth="1"/>
    <col min="4871" max="4872" width="10.5703125" style="354" customWidth="1"/>
    <col min="4873" max="4886" width="0" style="354" hidden="1" customWidth="1"/>
    <col min="4887" max="4889" width="10.28515625" style="354"/>
    <col min="4890" max="4890" width="14.85546875" style="354" bestFit="1" customWidth="1"/>
    <col min="4891" max="5120" width="10.28515625" style="354"/>
    <col min="5121" max="5121" width="4.5703125" style="354" bestFit="1" customWidth="1"/>
    <col min="5122" max="5122" width="55.140625" style="354" customWidth="1"/>
    <col min="5123" max="5123" width="10.5703125" style="354" customWidth="1"/>
    <col min="5124" max="5124" width="12" style="354" customWidth="1"/>
    <col min="5125" max="5125" width="9.85546875" style="354" customWidth="1"/>
    <col min="5126" max="5126" width="9.140625" style="354" customWidth="1"/>
    <col min="5127" max="5128" width="10.5703125" style="354" customWidth="1"/>
    <col min="5129" max="5142" width="0" style="354" hidden="1" customWidth="1"/>
    <col min="5143" max="5145" width="10.28515625" style="354"/>
    <col min="5146" max="5146" width="14.85546875" style="354" bestFit="1" customWidth="1"/>
    <col min="5147" max="5376" width="10.28515625" style="354"/>
    <col min="5377" max="5377" width="4.5703125" style="354" bestFit="1" customWidth="1"/>
    <col min="5378" max="5378" width="55.140625" style="354" customWidth="1"/>
    <col min="5379" max="5379" width="10.5703125" style="354" customWidth="1"/>
    <col min="5380" max="5380" width="12" style="354" customWidth="1"/>
    <col min="5381" max="5381" width="9.85546875" style="354" customWidth="1"/>
    <col min="5382" max="5382" width="9.140625" style="354" customWidth="1"/>
    <col min="5383" max="5384" width="10.5703125" style="354" customWidth="1"/>
    <col min="5385" max="5398" width="0" style="354" hidden="1" customWidth="1"/>
    <col min="5399" max="5401" width="10.28515625" style="354"/>
    <col min="5402" max="5402" width="14.85546875" style="354" bestFit="1" customWidth="1"/>
    <col min="5403" max="5632" width="10.28515625" style="354"/>
    <col min="5633" max="5633" width="4.5703125" style="354" bestFit="1" customWidth="1"/>
    <col min="5634" max="5634" width="55.140625" style="354" customWidth="1"/>
    <col min="5635" max="5635" width="10.5703125" style="354" customWidth="1"/>
    <col min="5636" max="5636" width="12" style="354" customWidth="1"/>
    <col min="5637" max="5637" width="9.85546875" style="354" customWidth="1"/>
    <col min="5638" max="5638" width="9.140625" style="354" customWidth="1"/>
    <col min="5639" max="5640" width="10.5703125" style="354" customWidth="1"/>
    <col min="5641" max="5654" width="0" style="354" hidden="1" customWidth="1"/>
    <col min="5655" max="5657" width="10.28515625" style="354"/>
    <col min="5658" max="5658" width="14.85546875" style="354" bestFit="1" customWidth="1"/>
    <col min="5659" max="5888" width="10.28515625" style="354"/>
    <col min="5889" max="5889" width="4.5703125" style="354" bestFit="1" customWidth="1"/>
    <col min="5890" max="5890" width="55.140625" style="354" customWidth="1"/>
    <col min="5891" max="5891" width="10.5703125" style="354" customWidth="1"/>
    <col min="5892" max="5892" width="12" style="354" customWidth="1"/>
    <col min="5893" max="5893" width="9.85546875" style="354" customWidth="1"/>
    <col min="5894" max="5894" width="9.140625" style="354" customWidth="1"/>
    <col min="5895" max="5896" width="10.5703125" style="354" customWidth="1"/>
    <col min="5897" max="5910" width="0" style="354" hidden="1" customWidth="1"/>
    <col min="5911" max="5913" width="10.28515625" style="354"/>
    <col min="5914" max="5914" width="14.85546875" style="354" bestFit="1" customWidth="1"/>
    <col min="5915" max="6144" width="10.28515625" style="354"/>
    <col min="6145" max="6145" width="4.5703125" style="354" bestFit="1" customWidth="1"/>
    <col min="6146" max="6146" width="55.140625" style="354" customWidth="1"/>
    <col min="6147" max="6147" width="10.5703125" style="354" customWidth="1"/>
    <col min="6148" max="6148" width="12" style="354" customWidth="1"/>
    <col min="6149" max="6149" width="9.85546875" style="354" customWidth="1"/>
    <col min="6150" max="6150" width="9.140625" style="354" customWidth="1"/>
    <col min="6151" max="6152" width="10.5703125" style="354" customWidth="1"/>
    <col min="6153" max="6166" width="0" style="354" hidden="1" customWidth="1"/>
    <col min="6167" max="6169" width="10.28515625" style="354"/>
    <col min="6170" max="6170" width="14.85546875" style="354" bestFit="1" customWidth="1"/>
    <col min="6171" max="6400" width="10.28515625" style="354"/>
    <col min="6401" max="6401" width="4.5703125" style="354" bestFit="1" customWidth="1"/>
    <col min="6402" max="6402" width="55.140625" style="354" customWidth="1"/>
    <col min="6403" max="6403" width="10.5703125" style="354" customWidth="1"/>
    <col min="6404" max="6404" width="12" style="354" customWidth="1"/>
    <col min="6405" max="6405" width="9.85546875" style="354" customWidth="1"/>
    <col min="6406" max="6406" width="9.140625" style="354" customWidth="1"/>
    <col min="6407" max="6408" width="10.5703125" style="354" customWidth="1"/>
    <col min="6409" max="6422" width="0" style="354" hidden="1" customWidth="1"/>
    <col min="6423" max="6425" width="10.28515625" style="354"/>
    <col min="6426" max="6426" width="14.85546875" style="354" bestFit="1" customWidth="1"/>
    <col min="6427" max="6656" width="10.28515625" style="354"/>
    <col min="6657" max="6657" width="4.5703125" style="354" bestFit="1" customWidth="1"/>
    <col min="6658" max="6658" width="55.140625" style="354" customWidth="1"/>
    <col min="6659" max="6659" width="10.5703125" style="354" customWidth="1"/>
    <col min="6660" max="6660" width="12" style="354" customWidth="1"/>
    <col min="6661" max="6661" width="9.85546875" style="354" customWidth="1"/>
    <col min="6662" max="6662" width="9.140625" style="354" customWidth="1"/>
    <col min="6663" max="6664" width="10.5703125" style="354" customWidth="1"/>
    <col min="6665" max="6678" width="0" style="354" hidden="1" customWidth="1"/>
    <col min="6679" max="6681" width="10.28515625" style="354"/>
    <col min="6682" max="6682" width="14.85546875" style="354" bestFit="1" customWidth="1"/>
    <col min="6683" max="6912" width="10.28515625" style="354"/>
    <col min="6913" max="6913" width="4.5703125" style="354" bestFit="1" customWidth="1"/>
    <col min="6914" max="6914" width="55.140625" style="354" customWidth="1"/>
    <col min="6915" max="6915" width="10.5703125" style="354" customWidth="1"/>
    <col min="6916" max="6916" width="12" style="354" customWidth="1"/>
    <col min="6917" max="6917" width="9.85546875" style="354" customWidth="1"/>
    <col min="6918" max="6918" width="9.140625" style="354" customWidth="1"/>
    <col min="6919" max="6920" width="10.5703125" style="354" customWidth="1"/>
    <col min="6921" max="6934" width="0" style="354" hidden="1" customWidth="1"/>
    <col min="6935" max="6937" width="10.28515625" style="354"/>
    <col min="6938" max="6938" width="14.85546875" style="354" bestFit="1" customWidth="1"/>
    <col min="6939" max="7168" width="10.28515625" style="354"/>
    <col min="7169" max="7169" width="4.5703125" style="354" bestFit="1" customWidth="1"/>
    <col min="7170" max="7170" width="55.140625" style="354" customWidth="1"/>
    <col min="7171" max="7171" width="10.5703125" style="354" customWidth="1"/>
    <col min="7172" max="7172" width="12" style="354" customWidth="1"/>
    <col min="7173" max="7173" width="9.85546875" style="354" customWidth="1"/>
    <col min="7174" max="7174" width="9.140625" style="354" customWidth="1"/>
    <col min="7175" max="7176" width="10.5703125" style="354" customWidth="1"/>
    <col min="7177" max="7190" width="0" style="354" hidden="1" customWidth="1"/>
    <col min="7191" max="7193" width="10.28515625" style="354"/>
    <col min="7194" max="7194" width="14.85546875" style="354" bestFit="1" customWidth="1"/>
    <col min="7195" max="7424" width="10.28515625" style="354"/>
    <col min="7425" max="7425" width="4.5703125" style="354" bestFit="1" customWidth="1"/>
    <col min="7426" max="7426" width="55.140625" style="354" customWidth="1"/>
    <col min="7427" max="7427" width="10.5703125" style="354" customWidth="1"/>
    <col min="7428" max="7428" width="12" style="354" customWidth="1"/>
    <col min="7429" max="7429" width="9.85546875" style="354" customWidth="1"/>
    <col min="7430" max="7430" width="9.140625" style="354" customWidth="1"/>
    <col min="7431" max="7432" width="10.5703125" style="354" customWidth="1"/>
    <col min="7433" max="7446" width="0" style="354" hidden="1" customWidth="1"/>
    <col min="7447" max="7449" width="10.28515625" style="354"/>
    <col min="7450" max="7450" width="14.85546875" style="354" bestFit="1" customWidth="1"/>
    <col min="7451" max="7680" width="10.28515625" style="354"/>
    <col min="7681" max="7681" width="4.5703125" style="354" bestFit="1" customWidth="1"/>
    <col min="7682" max="7682" width="55.140625" style="354" customWidth="1"/>
    <col min="7683" max="7683" width="10.5703125" style="354" customWidth="1"/>
    <col min="7684" max="7684" width="12" style="354" customWidth="1"/>
    <col min="7685" max="7685" width="9.85546875" style="354" customWidth="1"/>
    <col min="7686" max="7686" width="9.140625" style="354" customWidth="1"/>
    <col min="7687" max="7688" width="10.5703125" style="354" customWidth="1"/>
    <col min="7689" max="7702" width="0" style="354" hidden="1" customWidth="1"/>
    <col min="7703" max="7705" width="10.28515625" style="354"/>
    <col min="7706" max="7706" width="14.85546875" style="354" bestFit="1" customWidth="1"/>
    <col min="7707" max="7936" width="10.28515625" style="354"/>
    <col min="7937" max="7937" width="4.5703125" style="354" bestFit="1" customWidth="1"/>
    <col min="7938" max="7938" width="55.140625" style="354" customWidth="1"/>
    <col min="7939" max="7939" width="10.5703125" style="354" customWidth="1"/>
    <col min="7940" max="7940" width="12" style="354" customWidth="1"/>
    <col min="7941" max="7941" width="9.85546875" style="354" customWidth="1"/>
    <col min="7942" max="7942" width="9.140625" style="354" customWidth="1"/>
    <col min="7943" max="7944" width="10.5703125" style="354" customWidth="1"/>
    <col min="7945" max="7958" width="0" style="354" hidden="1" customWidth="1"/>
    <col min="7959" max="7961" width="10.28515625" style="354"/>
    <col min="7962" max="7962" width="14.85546875" style="354" bestFit="1" customWidth="1"/>
    <col min="7963" max="8192" width="10.28515625" style="354"/>
    <col min="8193" max="8193" width="4.5703125" style="354" bestFit="1" customWidth="1"/>
    <col min="8194" max="8194" width="55.140625" style="354" customWidth="1"/>
    <col min="8195" max="8195" width="10.5703125" style="354" customWidth="1"/>
    <col min="8196" max="8196" width="12" style="354" customWidth="1"/>
    <col min="8197" max="8197" width="9.85546875" style="354" customWidth="1"/>
    <col min="8198" max="8198" width="9.140625" style="354" customWidth="1"/>
    <col min="8199" max="8200" width="10.5703125" style="354" customWidth="1"/>
    <col min="8201" max="8214" width="0" style="354" hidden="1" customWidth="1"/>
    <col min="8215" max="8217" width="10.28515625" style="354"/>
    <col min="8218" max="8218" width="14.85546875" style="354" bestFit="1" customWidth="1"/>
    <col min="8219" max="8448" width="10.28515625" style="354"/>
    <col min="8449" max="8449" width="4.5703125" style="354" bestFit="1" customWidth="1"/>
    <col min="8450" max="8450" width="55.140625" style="354" customWidth="1"/>
    <col min="8451" max="8451" width="10.5703125" style="354" customWidth="1"/>
    <col min="8452" max="8452" width="12" style="354" customWidth="1"/>
    <col min="8453" max="8453" width="9.85546875" style="354" customWidth="1"/>
    <col min="8454" max="8454" width="9.140625" style="354" customWidth="1"/>
    <col min="8455" max="8456" width="10.5703125" style="354" customWidth="1"/>
    <col min="8457" max="8470" width="0" style="354" hidden="1" customWidth="1"/>
    <col min="8471" max="8473" width="10.28515625" style="354"/>
    <col min="8474" max="8474" width="14.85546875" style="354" bestFit="1" customWidth="1"/>
    <col min="8475" max="8704" width="10.28515625" style="354"/>
    <col min="8705" max="8705" width="4.5703125" style="354" bestFit="1" customWidth="1"/>
    <col min="8706" max="8706" width="55.140625" style="354" customWidth="1"/>
    <col min="8707" max="8707" width="10.5703125" style="354" customWidth="1"/>
    <col min="8708" max="8708" width="12" style="354" customWidth="1"/>
    <col min="8709" max="8709" width="9.85546875" style="354" customWidth="1"/>
    <col min="8710" max="8710" width="9.140625" style="354" customWidth="1"/>
    <col min="8711" max="8712" width="10.5703125" style="354" customWidth="1"/>
    <col min="8713" max="8726" width="0" style="354" hidden="1" customWidth="1"/>
    <col min="8727" max="8729" width="10.28515625" style="354"/>
    <col min="8730" max="8730" width="14.85546875" style="354" bestFit="1" customWidth="1"/>
    <col min="8731" max="8960" width="10.28515625" style="354"/>
    <col min="8961" max="8961" width="4.5703125" style="354" bestFit="1" customWidth="1"/>
    <col min="8962" max="8962" width="55.140625" style="354" customWidth="1"/>
    <col min="8963" max="8963" width="10.5703125" style="354" customWidth="1"/>
    <col min="8964" max="8964" width="12" style="354" customWidth="1"/>
    <col min="8965" max="8965" width="9.85546875" style="354" customWidth="1"/>
    <col min="8966" max="8966" width="9.140625" style="354" customWidth="1"/>
    <col min="8967" max="8968" width="10.5703125" style="354" customWidth="1"/>
    <col min="8969" max="8982" width="0" style="354" hidden="1" customWidth="1"/>
    <col min="8983" max="8985" width="10.28515625" style="354"/>
    <col min="8986" max="8986" width="14.85546875" style="354" bestFit="1" customWidth="1"/>
    <col min="8987" max="9216" width="10.28515625" style="354"/>
    <col min="9217" max="9217" width="4.5703125" style="354" bestFit="1" customWidth="1"/>
    <col min="9218" max="9218" width="55.140625" style="354" customWidth="1"/>
    <col min="9219" max="9219" width="10.5703125" style="354" customWidth="1"/>
    <col min="9220" max="9220" width="12" style="354" customWidth="1"/>
    <col min="9221" max="9221" width="9.85546875" style="354" customWidth="1"/>
    <col min="9222" max="9222" width="9.140625" style="354" customWidth="1"/>
    <col min="9223" max="9224" width="10.5703125" style="354" customWidth="1"/>
    <col min="9225" max="9238" width="0" style="354" hidden="1" customWidth="1"/>
    <col min="9239" max="9241" width="10.28515625" style="354"/>
    <col min="9242" max="9242" width="14.85546875" style="354" bestFit="1" customWidth="1"/>
    <col min="9243" max="9472" width="10.28515625" style="354"/>
    <col min="9473" max="9473" width="4.5703125" style="354" bestFit="1" customWidth="1"/>
    <col min="9474" max="9474" width="55.140625" style="354" customWidth="1"/>
    <col min="9475" max="9475" width="10.5703125" style="354" customWidth="1"/>
    <col min="9476" max="9476" width="12" style="354" customWidth="1"/>
    <col min="9477" max="9477" width="9.85546875" style="354" customWidth="1"/>
    <col min="9478" max="9478" width="9.140625" style="354" customWidth="1"/>
    <col min="9479" max="9480" width="10.5703125" style="354" customWidth="1"/>
    <col min="9481" max="9494" width="0" style="354" hidden="1" customWidth="1"/>
    <col min="9495" max="9497" width="10.28515625" style="354"/>
    <col min="9498" max="9498" width="14.85546875" style="354" bestFit="1" customWidth="1"/>
    <col min="9499" max="9728" width="10.28515625" style="354"/>
    <col min="9729" max="9729" width="4.5703125" style="354" bestFit="1" customWidth="1"/>
    <col min="9730" max="9730" width="55.140625" style="354" customWidth="1"/>
    <col min="9731" max="9731" width="10.5703125" style="354" customWidth="1"/>
    <col min="9732" max="9732" width="12" style="354" customWidth="1"/>
    <col min="9733" max="9733" width="9.85546875" style="354" customWidth="1"/>
    <col min="9734" max="9734" width="9.140625" style="354" customWidth="1"/>
    <col min="9735" max="9736" width="10.5703125" style="354" customWidth="1"/>
    <col min="9737" max="9750" width="0" style="354" hidden="1" customWidth="1"/>
    <col min="9751" max="9753" width="10.28515625" style="354"/>
    <col min="9754" max="9754" width="14.85546875" style="354" bestFit="1" customWidth="1"/>
    <col min="9755" max="9984" width="10.28515625" style="354"/>
    <col min="9985" max="9985" width="4.5703125" style="354" bestFit="1" customWidth="1"/>
    <col min="9986" max="9986" width="55.140625" style="354" customWidth="1"/>
    <col min="9987" max="9987" width="10.5703125" style="354" customWidth="1"/>
    <col min="9988" max="9988" width="12" style="354" customWidth="1"/>
    <col min="9989" max="9989" width="9.85546875" style="354" customWidth="1"/>
    <col min="9990" max="9990" width="9.140625" style="354" customWidth="1"/>
    <col min="9991" max="9992" width="10.5703125" style="354" customWidth="1"/>
    <col min="9993" max="10006" width="0" style="354" hidden="1" customWidth="1"/>
    <col min="10007" max="10009" width="10.28515625" style="354"/>
    <col min="10010" max="10010" width="14.85546875" style="354" bestFit="1" customWidth="1"/>
    <col min="10011" max="10240" width="10.28515625" style="354"/>
    <col min="10241" max="10241" width="4.5703125" style="354" bestFit="1" customWidth="1"/>
    <col min="10242" max="10242" width="55.140625" style="354" customWidth="1"/>
    <col min="10243" max="10243" width="10.5703125" style="354" customWidth="1"/>
    <col min="10244" max="10244" width="12" style="354" customWidth="1"/>
    <col min="10245" max="10245" width="9.85546875" style="354" customWidth="1"/>
    <col min="10246" max="10246" width="9.140625" style="354" customWidth="1"/>
    <col min="10247" max="10248" width="10.5703125" style="354" customWidth="1"/>
    <col min="10249" max="10262" width="0" style="354" hidden="1" customWidth="1"/>
    <col min="10263" max="10265" width="10.28515625" style="354"/>
    <col min="10266" max="10266" width="14.85546875" style="354" bestFit="1" customWidth="1"/>
    <col min="10267" max="10496" width="10.28515625" style="354"/>
    <col min="10497" max="10497" width="4.5703125" style="354" bestFit="1" customWidth="1"/>
    <col min="10498" max="10498" width="55.140625" style="354" customWidth="1"/>
    <col min="10499" max="10499" width="10.5703125" style="354" customWidth="1"/>
    <col min="10500" max="10500" width="12" style="354" customWidth="1"/>
    <col min="10501" max="10501" width="9.85546875" style="354" customWidth="1"/>
    <col min="10502" max="10502" width="9.140625" style="354" customWidth="1"/>
    <col min="10503" max="10504" width="10.5703125" style="354" customWidth="1"/>
    <col min="10505" max="10518" width="0" style="354" hidden="1" customWidth="1"/>
    <col min="10519" max="10521" width="10.28515625" style="354"/>
    <col min="10522" max="10522" width="14.85546875" style="354" bestFit="1" customWidth="1"/>
    <col min="10523" max="10752" width="10.28515625" style="354"/>
    <col min="10753" max="10753" width="4.5703125" style="354" bestFit="1" customWidth="1"/>
    <col min="10754" max="10754" width="55.140625" style="354" customWidth="1"/>
    <col min="10755" max="10755" width="10.5703125" style="354" customWidth="1"/>
    <col min="10756" max="10756" width="12" style="354" customWidth="1"/>
    <col min="10757" max="10757" width="9.85546875" style="354" customWidth="1"/>
    <col min="10758" max="10758" width="9.140625" style="354" customWidth="1"/>
    <col min="10759" max="10760" width="10.5703125" style="354" customWidth="1"/>
    <col min="10761" max="10774" width="0" style="354" hidden="1" customWidth="1"/>
    <col min="10775" max="10777" width="10.28515625" style="354"/>
    <col min="10778" max="10778" width="14.85546875" style="354" bestFit="1" customWidth="1"/>
    <col min="10779" max="11008" width="10.28515625" style="354"/>
    <col min="11009" max="11009" width="4.5703125" style="354" bestFit="1" customWidth="1"/>
    <col min="11010" max="11010" width="55.140625" style="354" customWidth="1"/>
    <col min="11011" max="11011" width="10.5703125" style="354" customWidth="1"/>
    <col min="11012" max="11012" width="12" style="354" customWidth="1"/>
    <col min="11013" max="11013" width="9.85546875" style="354" customWidth="1"/>
    <col min="11014" max="11014" width="9.140625" style="354" customWidth="1"/>
    <col min="11015" max="11016" width="10.5703125" style="354" customWidth="1"/>
    <col min="11017" max="11030" width="0" style="354" hidden="1" customWidth="1"/>
    <col min="11031" max="11033" width="10.28515625" style="354"/>
    <col min="11034" max="11034" width="14.85546875" style="354" bestFit="1" customWidth="1"/>
    <col min="11035" max="11264" width="10.28515625" style="354"/>
    <col min="11265" max="11265" width="4.5703125" style="354" bestFit="1" customWidth="1"/>
    <col min="11266" max="11266" width="55.140625" style="354" customWidth="1"/>
    <col min="11267" max="11267" width="10.5703125" style="354" customWidth="1"/>
    <col min="11268" max="11268" width="12" style="354" customWidth="1"/>
    <col min="11269" max="11269" width="9.85546875" style="354" customWidth="1"/>
    <col min="11270" max="11270" width="9.140625" style="354" customWidth="1"/>
    <col min="11271" max="11272" width="10.5703125" style="354" customWidth="1"/>
    <col min="11273" max="11286" width="0" style="354" hidden="1" customWidth="1"/>
    <col min="11287" max="11289" width="10.28515625" style="354"/>
    <col min="11290" max="11290" width="14.85546875" style="354" bestFit="1" customWidth="1"/>
    <col min="11291" max="11520" width="10.28515625" style="354"/>
    <col min="11521" max="11521" width="4.5703125" style="354" bestFit="1" customWidth="1"/>
    <col min="11522" max="11522" width="55.140625" style="354" customWidth="1"/>
    <col min="11523" max="11523" width="10.5703125" style="354" customWidth="1"/>
    <col min="11524" max="11524" width="12" style="354" customWidth="1"/>
    <col min="11525" max="11525" width="9.85546875" style="354" customWidth="1"/>
    <col min="11526" max="11526" width="9.140625" style="354" customWidth="1"/>
    <col min="11527" max="11528" width="10.5703125" style="354" customWidth="1"/>
    <col min="11529" max="11542" width="0" style="354" hidden="1" customWidth="1"/>
    <col min="11543" max="11545" width="10.28515625" style="354"/>
    <col min="11546" max="11546" width="14.85546875" style="354" bestFit="1" customWidth="1"/>
    <col min="11547" max="11776" width="10.28515625" style="354"/>
    <col min="11777" max="11777" width="4.5703125" style="354" bestFit="1" customWidth="1"/>
    <col min="11778" max="11778" width="55.140625" style="354" customWidth="1"/>
    <col min="11779" max="11779" width="10.5703125" style="354" customWidth="1"/>
    <col min="11780" max="11780" width="12" style="354" customWidth="1"/>
    <col min="11781" max="11781" width="9.85546875" style="354" customWidth="1"/>
    <col min="11782" max="11782" width="9.140625" style="354" customWidth="1"/>
    <col min="11783" max="11784" width="10.5703125" style="354" customWidth="1"/>
    <col min="11785" max="11798" width="0" style="354" hidden="1" customWidth="1"/>
    <col min="11799" max="11801" width="10.28515625" style="354"/>
    <col min="11802" max="11802" width="14.85546875" style="354" bestFit="1" customWidth="1"/>
    <col min="11803" max="12032" width="10.28515625" style="354"/>
    <col min="12033" max="12033" width="4.5703125" style="354" bestFit="1" customWidth="1"/>
    <col min="12034" max="12034" width="55.140625" style="354" customWidth="1"/>
    <col min="12035" max="12035" width="10.5703125" style="354" customWidth="1"/>
    <col min="12036" max="12036" width="12" style="354" customWidth="1"/>
    <col min="12037" max="12037" width="9.85546875" style="354" customWidth="1"/>
    <col min="12038" max="12038" width="9.140625" style="354" customWidth="1"/>
    <col min="12039" max="12040" width="10.5703125" style="354" customWidth="1"/>
    <col min="12041" max="12054" width="0" style="354" hidden="1" customWidth="1"/>
    <col min="12055" max="12057" width="10.28515625" style="354"/>
    <col min="12058" max="12058" width="14.85546875" style="354" bestFit="1" customWidth="1"/>
    <col min="12059" max="12288" width="10.28515625" style="354"/>
    <col min="12289" max="12289" width="4.5703125" style="354" bestFit="1" customWidth="1"/>
    <col min="12290" max="12290" width="55.140625" style="354" customWidth="1"/>
    <col min="12291" max="12291" width="10.5703125" style="354" customWidth="1"/>
    <col min="12292" max="12292" width="12" style="354" customWidth="1"/>
    <col min="12293" max="12293" width="9.85546875" style="354" customWidth="1"/>
    <col min="12294" max="12294" width="9.140625" style="354" customWidth="1"/>
    <col min="12295" max="12296" width="10.5703125" style="354" customWidth="1"/>
    <col min="12297" max="12310" width="0" style="354" hidden="1" customWidth="1"/>
    <col min="12311" max="12313" width="10.28515625" style="354"/>
    <col min="12314" max="12314" width="14.85546875" style="354" bestFit="1" customWidth="1"/>
    <col min="12315" max="12544" width="10.28515625" style="354"/>
    <col min="12545" max="12545" width="4.5703125" style="354" bestFit="1" customWidth="1"/>
    <col min="12546" max="12546" width="55.140625" style="354" customWidth="1"/>
    <col min="12547" max="12547" width="10.5703125" style="354" customWidth="1"/>
    <col min="12548" max="12548" width="12" style="354" customWidth="1"/>
    <col min="12549" max="12549" width="9.85546875" style="354" customWidth="1"/>
    <col min="12550" max="12550" width="9.140625" style="354" customWidth="1"/>
    <col min="12551" max="12552" width="10.5703125" style="354" customWidth="1"/>
    <col min="12553" max="12566" width="0" style="354" hidden="1" customWidth="1"/>
    <col min="12567" max="12569" width="10.28515625" style="354"/>
    <col min="12570" max="12570" width="14.85546875" style="354" bestFit="1" customWidth="1"/>
    <col min="12571" max="12800" width="10.28515625" style="354"/>
    <col min="12801" max="12801" width="4.5703125" style="354" bestFit="1" customWidth="1"/>
    <col min="12802" max="12802" width="55.140625" style="354" customWidth="1"/>
    <col min="12803" max="12803" width="10.5703125" style="354" customWidth="1"/>
    <col min="12804" max="12804" width="12" style="354" customWidth="1"/>
    <col min="12805" max="12805" width="9.85546875" style="354" customWidth="1"/>
    <col min="12806" max="12806" width="9.140625" style="354" customWidth="1"/>
    <col min="12807" max="12808" width="10.5703125" style="354" customWidth="1"/>
    <col min="12809" max="12822" width="0" style="354" hidden="1" customWidth="1"/>
    <col min="12823" max="12825" width="10.28515625" style="354"/>
    <col min="12826" max="12826" width="14.85546875" style="354" bestFit="1" customWidth="1"/>
    <col min="12827" max="13056" width="10.28515625" style="354"/>
    <col min="13057" max="13057" width="4.5703125" style="354" bestFit="1" customWidth="1"/>
    <col min="13058" max="13058" width="55.140625" style="354" customWidth="1"/>
    <col min="13059" max="13059" width="10.5703125" style="354" customWidth="1"/>
    <col min="13060" max="13060" width="12" style="354" customWidth="1"/>
    <col min="13061" max="13061" width="9.85546875" style="354" customWidth="1"/>
    <col min="13062" max="13062" width="9.140625" style="354" customWidth="1"/>
    <col min="13063" max="13064" width="10.5703125" style="354" customWidth="1"/>
    <col min="13065" max="13078" width="0" style="354" hidden="1" customWidth="1"/>
    <col min="13079" max="13081" width="10.28515625" style="354"/>
    <col min="13082" max="13082" width="14.85546875" style="354" bestFit="1" customWidth="1"/>
    <col min="13083" max="13312" width="10.28515625" style="354"/>
    <col min="13313" max="13313" width="4.5703125" style="354" bestFit="1" customWidth="1"/>
    <col min="13314" max="13314" width="55.140625" style="354" customWidth="1"/>
    <col min="13315" max="13315" width="10.5703125" style="354" customWidth="1"/>
    <col min="13316" max="13316" width="12" style="354" customWidth="1"/>
    <col min="13317" max="13317" width="9.85546875" style="354" customWidth="1"/>
    <col min="13318" max="13318" width="9.140625" style="354" customWidth="1"/>
    <col min="13319" max="13320" width="10.5703125" style="354" customWidth="1"/>
    <col min="13321" max="13334" width="0" style="354" hidden="1" customWidth="1"/>
    <col min="13335" max="13337" width="10.28515625" style="354"/>
    <col min="13338" max="13338" width="14.85546875" style="354" bestFit="1" customWidth="1"/>
    <col min="13339" max="13568" width="10.28515625" style="354"/>
    <col min="13569" max="13569" width="4.5703125" style="354" bestFit="1" customWidth="1"/>
    <col min="13570" max="13570" width="55.140625" style="354" customWidth="1"/>
    <col min="13571" max="13571" width="10.5703125" style="354" customWidth="1"/>
    <col min="13572" max="13572" width="12" style="354" customWidth="1"/>
    <col min="13573" max="13573" width="9.85546875" style="354" customWidth="1"/>
    <col min="13574" max="13574" width="9.140625" style="354" customWidth="1"/>
    <col min="13575" max="13576" width="10.5703125" style="354" customWidth="1"/>
    <col min="13577" max="13590" width="0" style="354" hidden="1" customWidth="1"/>
    <col min="13591" max="13593" width="10.28515625" style="354"/>
    <col min="13594" max="13594" width="14.85546875" style="354" bestFit="1" customWidth="1"/>
    <col min="13595" max="13824" width="10.28515625" style="354"/>
    <col min="13825" max="13825" width="4.5703125" style="354" bestFit="1" customWidth="1"/>
    <col min="13826" max="13826" width="55.140625" style="354" customWidth="1"/>
    <col min="13827" max="13827" width="10.5703125" style="354" customWidth="1"/>
    <col min="13828" max="13828" width="12" style="354" customWidth="1"/>
    <col min="13829" max="13829" width="9.85546875" style="354" customWidth="1"/>
    <col min="13830" max="13830" width="9.140625" style="354" customWidth="1"/>
    <col min="13831" max="13832" width="10.5703125" style="354" customWidth="1"/>
    <col min="13833" max="13846" width="0" style="354" hidden="1" customWidth="1"/>
    <col min="13847" max="13849" width="10.28515625" style="354"/>
    <col min="13850" max="13850" width="14.85546875" style="354" bestFit="1" customWidth="1"/>
    <col min="13851" max="14080" width="10.28515625" style="354"/>
    <col min="14081" max="14081" width="4.5703125" style="354" bestFit="1" customWidth="1"/>
    <col min="14082" max="14082" width="55.140625" style="354" customWidth="1"/>
    <col min="14083" max="14083" width="10.5703125" style="354" customWidth="1"/>
    <col min="14084" max="14084" width="12" style="354" customWidth="1"/>
    <col min="14085" max="14085" width="9.85546875" style="354" customWidth="1"/>
    <col min="14086" max="14086" width="9.140625" style="354" customWidth="1"/>
    <col min="14087" max="14088" width="10.5703125" style="354" customWidth="1"/>
    <col min="14089" max="14102" width="0" style="354" hidden="1" customWidth="1"/>
    <col min="14103" max="14105" width="10.28515625" style="354"/>
    <col min="14106" max="14106" width="14.85546875" style="354" bestFit="1" customWidth="1"/>
    <col min="14107" max="14336" width="10.28515625" style="354"/>
    <col min="14337" max="14337" width="4.5703125" style="354" bestFit="1" customWidth="1"/>
    <col min="14338" max="14338" width="55.140625" style="354" customWidth="1"/>
    <col min="14339" max="14339" width="10.5703125" style="354" customWidth="1"/>
    <col min="14340" max="14340" width="12" style="354" customWidth="1"/>
    <col min="14341" max="14341" width="9.85546875" style="354" customWidth="1"/>
    <col min="14342" max="14342" width="9.140625" style="354" customWidth="1"/>
    <col min="14343" max="14344" width="10.5703125" style="354" customWidth="1"/>
    <col min="14345" max="14358" width="0" style="354" hidden="1" customWidth="1"/>
    <col min="14359" max="14361" width="10.28515625" style="354"/>
    <col min="14362" max="14362" width="14.85546875" style="354" bestFit="1" customWidth="1"/>
    <col min="14363" max="14592" width="10.28515625" style="354"/>
    <col min="14593" max="14593" width="4.5703125" style="354" bestFit="1" customWidth="1"/>
    <col min="14594" max="14594" width="55.140625" style="354" customWidth="1"/>
    <col min="14595" max="14595" width="10.5703125" style="354" customWidth="1"/>
    <col min="14596" max="14596" width="12" style="354" customWidth="1"/>
    <col min="14597" max="14597" width="9.85546875" style="354" customWidth="1"/>
    <col min="14598" max="14598" width="9.140625" style="354" customWidth="1"/>
    <col min="14599" max="14600" width="10.5703125" style="354" customWidth="1"/>
    <col min="14601" max="14614" width="0" style="354" hidden="1" customWidth="1"/>
    <col min="14615" max="14617" width="10.28515625" style="354"/>
    <col min="14618" max="14618" width="14.85546875" style="354" bestFit="1" customWidth="1"/>
    <col min="14619" max="14848" width="10.28515625" style="354"/>
    <col min="14849" max="14849" width="4.5703125" style="354" bestFit="1" customWidth="1"/>
    <col min="14850" max="14850" width="55.140625" style="354" customWidth="1"/>
    <col min="14851" max="14851" width="10.5703125" style="354" customWidth="1"/>
    <col min="14852" max="14852" width="12" style="354" customWidth="1"/>
    <col min="14853" max="14853" width="9.85546875" style="354" customWidth="1"/>
    <col min="14854" max="14854" width="9.140625" style="354" customWidth="1"/>
    <col min="14855" max="14856" width="10.5703125" style="354" customWidth="1"/>
    <col min="14857" max="14870" width="0" style="354" hidden="1" customWidth="1"/>
    <col min="14871" max="14873" width="10.28515625" style="354"/>
    <col min="14874" max="14874" width="14.85546875" style="354" bestFit="1" customWidth="1"/>
    <col min="14875" max="15104" width="10.28515625" style="354"/>
    <col min="15105" max="15105" width="4.5703125" style="354" bestFit="1" customWidth="1"/>
    <col min="15106" max="15106" width="55.140625" style="354" customWidth="1"/>
    <col min="15107" max="15107" width="10.5703125" style="354" customWidth="1"/>
    <col min="15108" max="15108" width="12" style="354" customWidth="1"/>
    <col min="15109" max="15109" width="9.85546875" style="354" customWidth="1"/>
    <col min="15110" max="15110" width="9.140625" style="354" customWidth="1"/>
    <col min="15111" max="15112" width="10.5703125" style="354" customWidth="1"/>
    <col min="15113" max="15126" width="0" style="354" hidden="1" customWidth="1"/>
    <col min="15127" max="15129" width="10.28515625" style="354"/>
    <col min="15130" max="15130" width="14.85546875" style="354" bestFit="1" customWidth="1"/>
    <col min="15131" max="15360" width="10.28515625" style="354"/>
    <col min="15361" max="15361" width="4.5703125" style="354" bestFit="1" customWidth="1"/>
    <col min="15362" max="15362" width="55.140625" style="354" customWidth="1"/>
    <col min="15363" max="15363" width="10.5703125" style="354" customWidth="1"/>
    <col min="15364" max="15364" width="12" style="354" customWidth="1"/>
    <col min="15365" max="15365" width="9.85546875" style="354" customWidth="1"/>
    <col min="15366" max="15366" width="9.140625" style="354" customWidth="1"/>
    <col min="15367" max="15368" width="10.5703125" style="354" customWidth="1"/>
    <col min="15369" max="15382" width="0" style="354" hidden="1" customWidth="1"/>
    <col min="15383" max="15385" width="10.28515625" style="354"/>
    <col min="15386" max="15386" width="14.85546875" style="354" bestFit="1" customWidth="1"/>
    <col min="15387" max="15616" width="10.28515625" style="354"/>
    <col min="15617" max="15617" width="4.5703125" style="354" bestFit="1" customWidth="1"/>
    <col min="15618" max="15618" width="55.140625" style="354" customWidth="1"/>
    <col min="15619" max="15619" width="10.5703125" style="354" customWidth="1"/>
    <col min="15620" max="15620" width="12" style="354" customWidth="1"/>
    <col min="15621" max="15621" width="9.85546875" style="354" customWidth="1"/>
    <col min="15622" max="15622" width="9.140625" style="354" customWidth="1"/>
    <col min="15623" max="15624" width="10.5703125" style="354" customWidth="1"/>
    <col min="15625" max="15638" width="0" style="354" hidden="1" customWidth="1"/>
    <col min="15639" max="15641" width="10.28515625" style="354"/>
    <col min="15642" max="15642" width="14.85546875" style="354" bestFit="1" customWidth="1"/>
    <col min="15643" max="15872" width="10.28515625" style="354"/>
    <col min="15873" max="15873" width="4.5703125" style="354" bestFit="1" customWidth="1"/>
    <col min="15874" max="15874" width="55.140625" style="354" customWidth="1"/>
    <col min="15875" max="15875" width="10.5703125" style="354" customWidth="1"/>
    <col min="15876" max="15876" width="12" style="354" customWidth="1"/>
    <col min="15877" max="15877" width="9.85546875" style="354" customWidth="1"/>
    <col min="15878" max="15878" width="9.140625" style="354" customWidth="1"/>
    <col min="15879" max="15880" width="10.5703125" style="354" customWidth="1"/>
    <col min="15881" max="15894" width="0" style="354" hidden="1" customWidth="1"/>
    <col min="15895" max="15897" width="10.28515625" style="354"/>
    <col min="15898" max="15898" width="14.85546875" style="354" bestFit="1" customWidth="1"/>
    <col min="15899" max="16128" width="10.28515625" style="354"/>
    <col min="16129" max="16129" width="4.5703125" style="354" bestFit="1" customWidth="1"/>
    <col min="16130" max="16130" width="55.140625" style="354" customWidth="1"/>
    <col min="16131" max="16131" width="10.5703125" style="354" customWidth="1"/>
    <col min="16132" max="16132" width="12" style="354" customWidth="1"/>
    <col min="16133" max="16133" width="9.85546875" style="354" customWidth="1"/>
    <col min="16134" max="16134" width="9.140625" style="354" customWidth="1"/>
    <col min="16135" max="16136" width="10.5703125" style="354" customWidth="1"/>
    <col min="16137" max="16150" width="0" style="354" hidden="1" customWidth="1"/>
    <col min="16151" max="16153" width="10.28515625" style="354"/>
    <col min="16154" max="16154" width="14.85546875" style="354" bestFit="1" customWidth="1"/>
    <col min="16155" max="16384" width="10.28515625" style="354"/>
  </cols>
  <sheetData>
    <row r="1" spans="1:23" ht="21.2" customHeight="1">
      <c r="A1" s="982"/>
      <c r="B1" s="1141" t="s">
        <v>1432</v>
      </c>
      <c r="C1" s="1141"/>
      <c r="D1" s="1141"/>
      <c r="E1" s="1141"/>
      <c r="F1" s="1141"/>
      <c r="G1" s="1141"/>
      <c r="H1" s="1141"/>
    </row>
    <row r="2" spans="1:23" ht="27" customHeight="1">
      <c r="A2" s="1142" t="s">
        <v>1451</v>
      </c>
      <c r="B2" s="1142"/>
      <c r="C2" s="1142"/>
      <c r="D2" s="1142"/>
      <c r="E2" s="1142"/>
      <c r="F2" s="1142"/>
      <c r="G2" s="1142"/>
      <c r="H2" s="1142"/>
    </row>
    <row r="3" spans="1:23" ht="24" customHeight="1">
      <c r="A3" s="1143" t="str">
        <f>'PL 15'!A3:G3</f>
        <v xml:space="preserve"> (kèm theo Báo cáo số:           /BC-UBND ngày        /11/2020 của UBND huyện Tủa Chùa) </v>
      </c>
      <c r="B3" s="1143"/>
      <c r="C3" s="1143"/>
      <c r="D3" s="1143"/>
      <c r="E3" s="1143"/>
      <c r="F3" s="1143"/>
      <c r="G3" s="1143"/>
      <c r="H3" s="1143"/>
    </row>
    <row r="4" spans="1:23" ht="39" customHeight="1" thickBot="1">
      <c r="A4" s="1291" t="s">
        <v>797</v>
      </c>
      <c r="B4" s="1291"/>
      <c r="C4" s="1291"/>
      <c r="D4" s="1291"/>
      <c r="E4" s="1291"/>
      <c r="F4" s="1291"/>
      <c r="G4" s="1291"/>
      <c r="H4" s="1291"/>
      <c r="I4" s="1001"/>
    </row>
    <row r="5" spans="1:23" s="352" customFormat="1" ht="49.5" customHeight="1">
      <c r="A5" s="1170" t="s">
        <v>246</v>
      </c>
      <c r="B5" s="1294" t="s">
        <v>215</v>
      </c>
      <c r="C5" s="1292" t="s">
        <v>1080</v>
      </c>
      <c r="D5" s="1292"/>
      <c r="E5" s="1292" t="s">
        <v>1084</v>
      </c>
      <c r="F5" s="1297"/>
      <c r="G5" s="1292" t="s">
        <v>1333</v>
      </c>
      <c r="H5" s="1292"/>
      <c r="I5" s="1298" t="s">
        <v>1433</v>
      </c>
      <c r="J5" s="1298"/>
    </row>
    <row r="6" spans="1:23" s="352" customFormat="1" ht="18.95" customHeight="1">
      <c r="A6" s="1293"/>
      <c r="B6" s="1295"/>
      <c r="C6" s="1294" t="s">
        <v>1434</v>
      </c>
      <c r="D6" s="1294" t="s">
        <v>1435</v>
      </c>
      <c r="E6" s="1294" t="s">
        <v>1434</v>
      </c>
      <c r="F6" s="1300" t="s">
        <v>1435</v>
      </c>
      <c r="G6" s="1294" t="s">
        <v>1434</v>
      </c>
      <c r="H6" s="1294" t="s">
        <v>1435</v>
      </c>
      <c r="I6" s="1299"/>
      <c r="J6" s="1299"/>
    </row>
    <row r="7" spans="1:23" s="352" customFormat="1" ht="50.25" customHeight="1">
      <c r="A7" s="1171"/>
      <c r="B7" s="1296"/>
      <c r="C7" s="1296"/>
      <c r="D7" s="1296"/>
      <c r="E7" s="1296"/>
      <c r="F7" s="1301"/>
      <c r="G7" s="1296"/>
      <c r="H7" s="1296"/>
      <c r="I7" s="1299"/>
      <c r="J7" s="1299"/>
    </row>
    <row r="8" spans="1:23" s="1044" customFormat="1" ht="21.75" customHeight="1">
      <c r="A8" s="1041" t="s">
        <v>218</v>
      </c>
      <c r="B8" s="1041" t="s">
        <v>219</v>
      </c>
      <c r="C8" s="1041">
        <v>1</v>
      </c>
      <c r="D8" s="1041">
        <f>C8+1</f>
        <v>2</v>
      </c>
      <c r="E8" s="1041">
        <f>D8+1</f>
        <v>3</v>
      </c>
      <c r="F8" s="1042">
        <f>E8+1</f>
        <v>4</v>
      </c>
      <c r="G8" s="1041" t="s">
        <v>1436</v>
      </c>
      <c r="H8" s="1041" t="s">
        <v>1437</v>
      </c>
      <c r="I8" s="1043"/>
      <c r="W8" s="1045"/>
    </row>
    <row r="9" spans="1:23" s="997" customFormat="1" ht="24.95" customHeight="1">
      <c r="A9" s="1046"/>
      <c r="B9" s="1047" t="s">
        <v>1438</v>
      </c>
      <c r="C9" s="1048">
        <f>C10+C34+C35</f>
        <v>16576482000</v>
      </c>
      <c r="D9" s="1048">
        <f>D10+D34+D35</f>
        <v>15076482000</v>
      </c>
      <c r="E9" s="1048">
        <f>E10+E34+E35</f>
        <v>13600000000</v>
      </c>
      <c r="F9" s="1048">
        <f>F10+F34+F35</f>
        <v>12600000000</v>
      </c>
      <c r="G9" s="1049">
        <f>E9/C9</f>
        <v>0.82043946357254816</v>
      </c>
      <c r="H9" s="1050">
        <f>F9/D9</f>
        <v>0.83573873533626741</v>
      </c>
      <c r="I9" s="1051" t="e">
        <f>C9/#REF!*100</f>
        <v>#REF!</v>
      </c>
      <c r="J9" s="995">
        <v>30346.037</v>
      </c>
      <c r="K9" s="995">
        <v>29049.037</v>
      </c>
      <c r="L9" s="995">
        <v>30441</v>
      </c>
      <c r="M9" s="995">
        <v>28291</v>
      </c>
      <c r="N9" s="1052">
        <v>100.31293377781093</v>
      </c>
      <c r="O9" s="1052">
        <v>97.390491808730189</v>
      </c>
      <c r="V9" s="995">
        <f>C9-'[4]UOC THU'!$G$47</f>
        <v>16576465880</v>
      </c>
      <c r="W9" s="995"/>
    </row>
    <row r="10" spans="1:23" s="997" customFormat="1" ht="24.95" customHeight="1">
      <c r="A10" s="1046" t="s">
        <v>220</v>
      </c>
      <c r="B10" s="1047" t="s">
        <v>221</v>
      </c>
      <c r="C10" s="1048">
        <f>C13+C17+C18+C19+C22+C28+C29+C30+C33</f>
        <v>16576482000</v>
      </c>
      <c r="D10" s="1048">
        <f>D13+D17+D18+D19+D22+D28+D29+D30+D33</f>
        <v>15076482000</v>
      </c>
      <c r="E10" s="1048">
        <f>E13+E17+E18+E19+E22+E28+E29+E30+E33</f>
        <v>13600000000</v>
      </c>
      <c r="F10" s="1048">
        <f>F13+F17+F18+F19+F22+F28+F29+F30+F33</f>
        <v>12600000000</v>
      </c>
      <c r="G10" s="1049">
        <f t="shared" ref="G10:H32" si="0">E10/C10</f>
        <v>0.82043946357254816</v>
      </c>
      <c r="H10" s="1050">
        <f t="shared" si="0"/>
        <v>0.83573873533626741</v>
      </c>
      <c r="I10" s="1051" t="e">
        <f>C10/#REF!*100</f>
        <v>#REF!</v>
      </c>
      <c r="V10" s="995">
        <f>D10-'[4]UOC THU'!$G$48</f>
        <v>15076467320</v>
      </c>
      <c r="W10" s="995"/>
    </row>
    <row r="11" spans="1:23" s="997" customFormat="1" ht="24.95" customHeight="1">
      <c r="A11" s="1046">
        <v>1</v>
      </c>
      <c r="B11" s="1047" t="s">
        <v>1439</v>
      </c>
      <c r="C11" s="1048">
        <f>C12</f>
        <v>0</v>
      </c>
      <c r="D11" s="1048">
        <f>D12</f>
        <v>0</v>
      </c>
      <c r="E11" s="1048">
        <f>E12</f>
        <v>0</v>
      </c>
      <c r="F11" s="1048">
        <v>0</v>
      </c>
      <c r="G11" s="1049"/>
      <c r="H11" s="1050"/>
      <c r="I11" s="1051" t="e">
        <f>C11/#REF!*100</f>
        <v>#REF!</v>
      </c>
      <c r="W11" s="995"/>
    </row>
    <row r="12" spans="1:23" s="1001" customFormat="1" ht="24.95" customHeight="1">
      <c r="A12" s="1053"/>
      <c r="B12" s="1054" t="s">
        <v>673</v>
      </c>
      <c r="C12" s="1055"/>
      <c r="D12" s="1055"/>
      <c r="E12" s="1056"/>
      <c r="F12" s="1055"/>
      <c r="G12" s="1049"/>
      <c r="H12" s="1050"/>
      <c r="I12" s="1051" t="e">
        <f>C12/#REF!*100</f>
        <v>#REF!</v>
      </c>
    </row>
    <row r="13" spans="1:23" s="997" customFormat="1" ht="24.95" customHeight="1">
      <c r="A13" s="1046">
        <v>2</v>
      </c>
      <c r="B13" s="1047" t="s">
        <v>640</v>
      </c>
      <c r="C13" s="1048">
        <f>+SUM(C14:C16)</f>
        <v>8375000000</v>
      </c>
      <c r="D13" s="1048">
        <f>+SUM(D14:D16)</f>
        <v>8375000000</v>
      </c>
      <c r="E13" s="1048">
        <f>+SUM(E14:E16)</f>
        <v>9130000000</v>
      </c>
      <c r="F13" s="1048">
        <f>+SUM(F14:F16)</f>
        <v>9130000000</v>
      </c>
      <c r="G13" s="1049">
        <f t="shared" si="0"/>
        <v>1.0901492537313433</v>
      </c>
      <c r="H13" s="1050">
        <f t="shared" si="0"/>
        <v>1.0901492537313433</v>
      </c>
      <c r="I13" s="1051" t="e">
        <f>C13/#REF!*100</f>
        <v>#REF!</v>
      </c>
    </row>
    <row r="14" spans="1:23" s="1001" customFormat="1" ht="24.95" customHeight="1">
      <c r="A14" s="1053"/>
      <c r="B14" s="1054" t="s">
        <v>671</v>
      </c>
      <c r="C14" s="1057">
        <f t="shared" ref="C14:C20" si="1">D14</f>
        <v>4905000000</v>
      </c>
      <c r="D14" s="1057">
        <f>'UOC THU SÔ 01'!G51</f>
        <v>4905000000</v>
      </c>
      <c r="E14" s="1057">
        <f t="shared" ref="E14:E19" si="2">F14</f>
        <v>6250000000</v>
      </c>
      <c r="F14" s="1057">
        <f>'[3]BIEU THU NS 2021'!$D$14</f>
        <v>6250000000</v>
      </c>
      <c r="G14" s="1058">
        <f t="shared" si="0"/>
        <v>1.2742099898063202</v>
      </c>
      <c r="H14" s="1059">
        <f t="shared" si="0"/>
        <v>1.2742099898063202</v>
      </c>
      <c r="I14" s="1051" t="e">
        <f>C14/#REF!*100</f>
        <v>#REF!</v>
      </c>
    </row>
    <row r="15" spans="1:23" s="1001" customFormat="1" ht="24.95" customHeight="1">
      <c r="A15" s="1053"/>
      <c r="B15" s="1054" t="s">
        <v>672</v>
      </c>
      <c r="C15" s="1057">
        <f t="shared" si="1"/>
        <v>170000000</v>
      </c>
      <c r="D15" s="1057">
        <f>'UOC THU SÔ 01'!G52</f>
        <v>170000000</v>
      </c>
      <c r="E15" s="1057">
        <f t="shared" si="2"/>
        <v>200000000</v>
      </c>
      <c r="F15" s="1057">
        <f>'[3]BIEU THU NS 2021'!$D$15</f>
        <v>200000000</v>
      </c>
      <c r="G15" s="1058">
        <f t="shared" si="0"/>
        <v>1.1764705882352942</v>
      </c>
      <c r="H15" s="1059">
        <f t="shared" si="0"/>
        <v>1.1764705882352942</v>
      </c>
      <c r="I15" s="1051" t="e">
        <f>C15/#REF!*100</f>
        <v>#REF!</v>
      </c>
    </row>
    <row r="16" spans="1:23" s="1001" customFormat="1" ht="24.95" customHeight="1">
      <c r="A16" s="1053"/>
      <c r="B16" s="1054" t="s">
        <v>673</v>
      </c>
      <c r="C16" s="1057">
        <f t="shared" si="1"/>
        <v>3300000000</v>
      </c>
      <c r="D16" s="1057">
        <f>'UOC THU SÔ 01'!G53</f>
        <v>3300000000</v>
      </c>
      <c r="E16" s="1057">
        <f t="shared" si="2"/>
        <v>2680000000</v>
      </c>
      <c r="F16" s="1057">
        <f>'[3]BIEU THU NS 2021'!$D$16</f>
        <v>2680000000</v>
      </c>
      <c r="G16" s="1058">
        <f t="shared" si="0"/>
        <v>0.81212121212121213</v>
      </c>
      <c r="H16" s="1059">
        <f t="shared" si="0"/>
        <v>0.81212121212121213</v>
      </c>
      <c r="I16" s="1051" t="e">
        <f>C16/#REF!*100</f>
        <v>#REF!</v>
      </c>
    </row>
    <row r="17" spans="1:26" s="997" customFormat="1" ht="24.95" customHeight="1">
      <c r="A17" s="1046">
        <f>A13+1</f>
        <v>3</v>
      </c>
      <c r="B17" s="1047" t="s">
        <v>641</v>
      </c>
      <c r="C17" s="1048">
        <f t="shared" si="1"/>
        <v>1500000000</v>
      </c>
      <c r="D17" s="1048">
        <f>'UOC THU SÔ 01'!G56</f>
        <v>1500000000</v>
      </c>
      <c r="E17" s="1048">
        <f t="shared" si="2"/>
        <v>1050000000</v>
      </c>
      <c r="F17" s="1048">
        <f>'[3]BIEU THU NS 2021'!$D$20</f>
        <v>1050000000</v>
      </c>
      <c r="G17" s="1049">
        <f t="shared" si="0"/>
        <v>0.7</v>
      </c>
      <c r="H17" s="1050">
        <f t="shared" si="0"/>
        <v>0.7</v>
      </c>
      <c r="I17" s="1051" t="e">
        <f>C17/#REF!*100</f>
        <v>#REF!</v>
      </c>
    </row>
    <row r="18" spans="1:26" s="997" customFormat="1" ht="24.95" customHeight="1">
      <c r="A18" s="1046">
        <v>4</v>
      </c>
      <c r="B18" s="1047" t="s">
        <v>643</v>
      </c>
      <c r="C18" s="1048">
        <f t="shared" si="1"/>
        <v>2200000000</v>
      </c>
      <c r="D18" s="1048">
        <f>'UOC THU SÔ 01'!G54</f>
        <v>2200000000</v>
      </c>
      <c r="E18" s="1060">
        <f t="shared" si="2"/>
        <v>1360000000</v>
      </c>
      <c r="F18" s="1048">
        <f>'[3]BIEU THU NS 2021'!$D$17</f>
        <v>1360000000</v>
      </c>
      <c r="G18" s="1049">
        <f t="shared" si="0"/>
        <v>0.61818181818181817</v>
      </c>
      <c r="H18" s="1050">
        <f t="shared" si="0"/>
        <v>0.61818181818181817</v>
      </c>
      <c r="I18" s="1051" t="e">
        <f>C18/#REF!*100</f>
        <v>#REF!</v>
      </c>
    </row>
    <row r="19" spans="1:26" s="997" customFormat="1" ht="24.95" customHeight="1">
      <c r="A19" s="1046">
        <f>A18+1</f>
        <v>5</v>
      </c>
      <c r="B19" s="1047" t="s">
        <v>1440</v>
      </c>
      <c r="C19" s="1060">
        <f>D19</f>
        <v>650000000</v>
      </c>
      <c r="D19" s="1060">
        <f>'UOC THU SÔ 01'!G58</f>
        <v>650000000</v>
      </c>
      <c r="E19" s="1060">
        <f t="shared" si="2"/>
        <v>700000000</v>
      </c>
      <c r="F19" s="1048">
        <f>'[3]BIEU THU NS 2021'!$D$26</f>
        <v>700000000</v>
      </c>
      <c r="G19" s="1049">
        <f t="shared" si="0"/>
        <v>1.0769230769230769</v>
      </c>
      <c r="H19" s="1050">
        <f t="shared" si="0"/>
        <v>1.0769230769230769</v>
      </c>
      <c r="I19" s="1051" t="e">
        <f>C19/#REF!*100</f>
        <v>#REF!</v>
      </c>
    </row>
    <row r="20" spans="1:26" s="1001" customFormat="1" ht="24.95" hidden="1" customHeight="1">
      <c r="A20" s="1053"/>
      <c r="B20" s="1054" t="s">
        <v>1441</v>
      </c>
      <c r="C20" s="1057">
        <f t="shared" si="1"/>
        <v>0</v>
      </c>
      <c r="D20" s="1057"/>
      <c r="E20" s="1057"/>
      <c r="F20" s="1057"/>
      <c r="G20" s="1058" t="e">
        <f t="shared" si="0"/>
        <v>#DIV/0!</v>
      </c>
      <c r="H20" s="1059" t="e">
        <f t="shared" si="0"/>
        <v>#DIV/0!</v>
      </c>
      <c r="I20" s="1051" t="e">
        <f>C20/#REF!*100</f>
        <v>#REF!</v>
      </c>
    </row>
    <row r="21" spans="1:26" s="1001" customFormat="1" ht="24.95" customHeight="1">
      <c r="A21" s="1053"/>
      <c r="B21" s="1054" t="s">
        <v>1442</v>
      </c>
      <c r="C21" s="1057"/>
      <c r="D21" s="1061"/>
      <c r="E21" s="1057">
        <f>F21</f>
        <v>0</v>
      </c>
      <c r="F21" s="1057"/>
      <c r="G21" s="1058"/>
      <c r="H21" s="1059"/>
      <c r="I21" s="1051" t="e">
        <f>C21/#REF!*100</f>
        <v>#REF!</v>
      </c>
    </row>
    <row r="22" spans="1:26" s="997" customFormat="1" ht="24.95" customHeight="1">
      <c r="A22" s="1046">
        <v>6</v>
      </c>
      <c r="B22" s="1047" t="s">
        <v>649</v>
      </c>
      <c r="C22" s="1048">
        <f>+C23+C26+C27</f>
        <v>2773000000</v>
      </c>
      <c r="D22" s="1048">
        <f>+D23+D26+D27</f>
        <v>1673000000</v>
      </c>
      <c r="E22" s="1048">
        <f>+E23+E26</f>
        <v>500000000</v>
      </c>
      <c r="F22" s="1048">
        <f>+F23+F26</f>
        <v>50000000</v>
      </c>
      <c r="G22" s="1058">
        <f t="shared" si="0"/>
        <v>0.18031013342949873</v>
      </c>
      <c r="H22" s="1059">
        <f t="shared" si="0"/>
        <v>2.9886431560071727E-2</v>
      </c>
      <c r="I22" s="1051" t="e">
        <f>C22/#REF!*100</f>
        <v>#REF!</v>
      </c>
    </row>
    <row r="23" spans="1:26" s="1001" customFormat="1" ht="24.95" customHeight="1">
      <c r="A23" s="1053"/>
      <c r="B23" s="1062" t="s">
        <v>1443</v>
      </c>
      <c r="C23" s="1057">
        <v>1100000000</v>
      </c>
      <c r="D23" s="1057"/>
      <c r="E23" s="1057">
        <f>'[3]BIEU THU NS 2021'!$D$23</f>
        <v>500000000</v>
      </c>
      <c r="F23" s="1057">
        <f>'[3]BIEU THU NS 2021'!$D$25</f>
        <v>50000000</v>
      </c>
      <c r="G23" s="1049">
        <f t="shared" si="0"/>
        <v>0.45454545454545453</v>
      </c>
      <c r="H23" s="1050"/>
      <c r="I23" s="1051" t="e">
        <f>C23/#REF!*100</f>
        <v>#REF!</v>
      </c>
    </row>
    <row r="24" spans="1:26" s="1001" customFormat="1" ht="24.95" customHeight="1">
      <c r="A24" s="1041"/>
      <c r="B24" s="1063" t="s">
        <v>1444</v>
      </c>
      <c r="C24" s="1064">
        <f t="shared" ref="C24:C29" si="3">D24</f>
        <v>0</v>
      </c>
      <c r="D24" s="1064"/>
      <c r="E24" s="1065">
        <f>'[3]BIEU THU NS 2021'!$D$24</f>
        <v>450000000</v>
      </c>
      <c r="F24" s="1065"/>
      <c r="G24" s="1049"/>
      <c r="H24" s="1050"/>
      <c r="I24" s="1051" t="e">
        <f>C24/#REF!*100</f>
        <v>#REF!</v>
      </c>
    </row>
    <row r="25" spans="1:26" s="1001" customFormat="1" ht="24.95" customHeight="1">
      <c r="A25" s="1041"/>
      <c r="B25" s="1066" t="s">
        <v>1445</v>
      </c>
      <c r="C25" s="1064">
        <f t="shared" si="3"/>
        <v>0</v>
      </c>
      <c r="D25" s="1064"/>
      <c r="E25" s="1065">
        <f>F25</f>
        <v>50000000</v>
      </c>
      <c r="F25" s="1065">
        <f>'[3]BIEU THU NS 2021'!$D$25</f>
        <v>50000000</v>
      </c>
      <c r="G25" s="1049"/>
      <c r="H25" s="1050"/>
      <c r="I25" s="1051" t="e">
        <f>C25/#REF!*100</f>
        <v>#REF!</v>
      </c>
    </row>
    <row r="26" spans="1:26" s="1001" customFormat="1" ht="24.95" customHeight="1">
      <c r="A26" s="1053"/>
      <c r="B26" s="1062" t="s">
        <v>1446</v>
      </c>
      <c r="C26" s="1057">
        <f t="shared" si="3"/>
        <v>1671000000</v>
      </c>
      <c r="D26" s="1057">
        <f>'UOC THU SÔ 01'!G62</f>
        <v>1671000000</v>
      </c>
      <c r="E26" s="1057">
        <f>F26</f>
        <v>0</v>
      </c>
      <c r="F26" s="1057"/>
      <c r="G26" s="1058">
        <f t="shared" si="0"/>
        <v>0</v>
      </c>
      <c r="H26" s="1059">
        <f t="shared" si="0"/>
        <v>0</v>
      </c>
      <c r="I26" s="1051" t="e">
        <f>C26/#REF!*100</f>
        <v>#REF!</v>
      </c>
      <c r="W26" s="999"/>
      <c r="Z26" s="1067"/>
    </row>
    <row r="27" spans="1:26" s="1001" customFormat="1" ht="24.95" customHeight="1">
      <c r="A27" s="1053"/>
      <c r="B27" s="1062" t="s">
        <v>394</v>
      </c>
      <c r="C27" s="1057">
        <f t="shared" si="3"/>
        <v>2000000</v>
      </c>
      <c r="D27" s="1057">
        <f>'UOC THU SÔ 01'!G55</f>
        <v>2000000</v>
      </c>
      <c r="E27" s="1057"/>
      <c r="F27" s="1057"/>
      <c r="G27" s="1049">
        <f t="shared" si="0"/>
        <v>0</v>
      </c>
      <c r="H27" s="1050">
        <f t="shared" si="0"/>
        <v>0</v>
      </c>
      <c r="I27" s="1051"/>
      <c r="Z27" s="999"/>
    </row>
    <row r="28" spans="1:26" s="997" customFormat="1" ht="39.75" customHeight="1">
      <c r="A28" s="1046">
        <v>7</v>
      </c>
      <c r="B28" s="1047" t="s">
        <v>651</v>
      </c>
      <c r="C28" s="1048">
        <f t="shared" si="3"/>
        <v>0</v>
      </c>
      <c r="D28" s="1048"/>
      <c r="E28" s="1060"/>
      <c r="F28" s="1048"/>
      <c r="G28" s="1049"/>
      <c r="H28" s="1050"/>
      <c r="I28" s="1051" t="e">
        <f>C28/#REF!*100</f>
        <v>#REF!</v>
      </c>
      <c r="Z28" s="1068"/>
    </row>
    <row r="29" spans="1:26" s="997" customFormat="1" ht="24.95" customHeight="1">
      <c r="A29" s="1046">
        <v>8</v>
      </c>
      <c r="B29" s="1047" t="s">
        <v>1447</v>
      </c>
      <c r="C29" s="1048">
        <f t="shared" si="3"/>
        <v>73482000</v>
      </c>
      <c r="D29" s="1048">
        <f>'UOC THU SÔ 01'!G57</f>
        <v>73482000</v>
      </c>
      <c r="E29" s="1060">
        <f>F29</f>
        <v>50000000</v>
      </c>
      <c r="F29" s="1048">
        <f>'[3]BIEU THU NS 2021'!$D$29</f>
        <v>50000000</v>
      </c>
      <c r="G29" s="1049">
        <f t="shared" si="0"/>
        <v>0.68043874690400374</v>
      </c>
      <c r="H29" s="1050">
        <f t="shared" si="0"/>
        <v>0.68043874690400374</v>
      </c>
      <c r="I29" s="1051" t="e">
        <f>C29/#REF!*100</f>
        <v>#REF!</v>
      </c>
    </row>
    <row r="30" spans="1:26" s="997" customFormat="1" ht="24.95" customHeight="1">
      <c r="A30" s="1046">
        <f>A29+1</f>
        <v>9</v>
      </c>
      <c r="B30" s="1047" t="s">
        <v>654</v>
      </c>
      <c r="C30" s="1060">
        <f>+C31+C32</f>
        <v>1005000000</v>
      </c>
      <c r="D30" s="1060">
        <f>+D31+D32</f>
        <v>605000000</v>
      </c>
      <c r="E30" s="1060">
        <f>+E31+E32</f>
        <v>810000000</v>
      </c>
      <c r="F30" s="1060">
        <f>+F31+F32</f>
        <v>260000000</v>
      </c>
      <c r="G30" s="1049">
        <f t="shared" si="0"/>
        <v>0.80597014925373134</v>
      </c>
      <c r="H30" s="1050">
        <f t="shared" si="0"/>
        <v>0.42975206611570249</v>
      </c>
      <c r="I30" s="1051" t="e">
        <f>C30/#REF!*100</f>
        <v>#REF!</v>
      </c>
    </row>
    <row r="31" spans="1:26" s="1001" customFormat="1" ht="24.95" customHeight="1">
      <c r="A31" s="1041"/>
      <c r="B31" s="1063" t="s">
        <v>1448</v>
      </c>
      <c r="C31" s="1065">
        <f>'UOC THU SÔ 01'!G65</f>
        <v>400000000</v>
      </c>
      <c r="D31" s="1065"/>
      <c r="E31" s="1061">
        <f>'[3]BIEU THU NS 2021'!$D$31</f>
        <v>550000000</v>
      </c>
      <c r="F31" s="1057"/>
      <c r="G31" s="1069">
        <f t="shared" si="0"/>
        <v>1.375</v>
      </c>
      <c r="H31" s="1050"/>
      <c r="I31" s="1051" t="e">
        <f>C31/#REF!*100</f>
        <v>#REF!</v>
      </c>
    </row>
    <row r="32" spans="1:26" s="1001" customFormat="1" ht="24.95" customHeight="1">
      <c r="A32" s="1041"/>
      <c r="B32" s="1066" t="s">
        <v>1449</v>
      </c>
      <c r="C32" s="1065">
        <f>D32</f>
        <v>605000000</v>
      </c>
      <c r="D32" s="1065">
        <f>'UOC THU SÔ 01'!G67+'UOC THU SÔ 01'!G68</f>
        <v>605000000</v>
      </c>
      <c r="E32" s="1061">
        <f>F32</f>
        <v>260000000</v>
      </c>
      <c r="F32" s="1057">
        <f>'[3]BIEU THU NS 2021'!$D$32</f>
        <v>260000000</v>
      </c>
      <c r="G32" s="1049">
        <f t="shared" si="0"/>
        <v>0.42975206611570249</v>
      </c>
      <c r="H32" s="1050">
        <f t="shared" si="0"/>
        <v>0.42975206611570249</v>
      </c>
      <c r="I32" s="1051" t="e">
        <f>C32/#REF!*100</f>
        <v>#REF!</v>
      </c>
    </row>
    <row r="33" spans="1:9" s="997" customFormat="1" ht="24.95" customHeight="1">
      <c r="A33" s="1046">
        <f>A30+1</f>
        <v>10</v>
      </c>
      <c r="B33" s="1070" t="s">
        <v>657</v>
      </c>
      <c r="C33" s="1048"/>
      <c r="D33" s="1048"/>
      <c r="E33" s="1060"/>
      <c r="F33" s="1048"/>
      <c r="G33" s="1071"/>
      <c r="H33" s="1072"/>
      <c r="I33" s="1051" t="e">
        <f>C33/#REF!*100</f>
        <v>#REF!</v>
      </c>
    </row>
    <row r="34" spans="1:9" s="1001" customFormat="1" ht="24.95" customHeight="1">
      <c r="A34" s="1046" t="s">
        <v>223</v>
      </c>
      <c r="B34" s="1047" t="s">
        <v>1450</v>
      </c>
      <c r="C34" s="1048"/>
      <c r="D34" s="1048"/>
      <c r="E34" s="1048"/>
      <c r="F34" s="1048"/>
      <c r="G34" s="1071"/>
      <c r="H34" s="1072"/>
      <c r="I34" s="1051" t="e">
        <f>C34/#REF!*100</f>
        <v>#REF!</v>
      </c>
    </row>
    <row r="35" spans="1:9" s="997" customFormat="1" ht="24.95" customHeight="1">
      <c r="A35" s="1046" t="s">
        <v>226</v>
      </c>
      <c r="B35" s="1047" t="s">
        <v>658</v>
      </c>
      <c r="C35" s="1060"/>
      <c r="D35" s="1060"/>
      <c r="E35" s="1048"/>
      <c r="F35" s="1048"/>
      <c r="G35" s="1071"/>
      <c r="H35" s="1072"/>
      <c r="I35" s="1051"/>
    </row>
    <row r="36" spans="1:9" ht="18.75">
      <c r="A36" s="1073"/>
      <c r="B36" s="1074"/>
      <c r="C36" s="1001"/>
      <c r="D36" s="1001"/>
      <c r="E36" s="1001"/>
      <c r="F36" s="27"/>
      <c r="G36" s="1001"/>
      <c r="H36" s="1001"/>
      <c r="I36" s="1001"/>
    </row>
    <row r="37" spans="1:9" ht="18.75">
      <c r="A37" s="1073"/>
      <c r="B37" s="1074"/>
      <c r="C37" s="1001"/>
      <c r="D37" s="1001"/>
      <c r="E37" s="1001"/>
      <c r="F37" s="27"/>
      <c r="G37" s="1001"/>
      <c r="H37" s="1001"/>
      <c r="I37" s="1001"/>
    </row>
    <row r="38" spans="1:9" ht="18.75">
      <c r="A38" s="1073"/>
      <c r="B38" s="1074"/>
      <c r="C38" s="1001"/>
      <c r="D38" s="1001"/>
      <c r="E38" s="1001"/>
      <c r="F38" s="27"/>
      <c r="G38" s="1001"/>
      <c r="H38" s="1001"/>
      <c r="I38" s="1001"/>
    </row>
  </sheetData>
  <mergeCells count="17">
    <mergeCell ref="I5:I7"/>
    <mergeCell ref="J5:J7"/>
    <mergeCell ref="C6:C7"/>
    <mergeCell ref="D6:D7"/>
    <mergeCell ref="E6:E7"/>
    <mergeCell ref="F6:F7"/>
    <mergeCell ref="G6:G7"/>
    <mergeCell ref="H6:H7"/>
    <mergeCell ref="B1:H1"/>
    <mergeCell ref="A2:H2"/>
    <mergeCell ref="A3:H3"/>
    <mergeCell ref="A4:H4"/>
    <mergeCell ref="A5:A7"/>
    <mergeCell ref="B5:B7"/>
    <mergeCell ref="C5:D5"/>
    <mergeCell ref="E5:F5"/>
    <mergeCell ref="G5:H5"/>
  </mergeCells>
  <pageMargins left="0.70866141732283472" right="0.53" top="0.35" bottom="0.35" header="0.31496062992125984" footer="0.31496062992125984"/>
  <pageSetup paperSize="9" scale="85"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74"/>
  <sheetViews>
    <sheetView tabSelected="1" view="pageBreakPreview" topLeftCell="A43" zoomScaleNormal="100" zoomScaleSheetLayoutView="100" workbookViewId="0">
      <selection activeCell="D9" sqref="D9"/>
    </sheetView>
  </sheetViews>
  <sheetFormatPr defaultColWidth="10.28515625" defaultRowHeight="12.75"/>
  <cols>
    <col min="1" max="1" width="6.85546875" style="1115" customWidth="1"/>
    <col min="2" max="2" width="69.85546875" style="1075" customWidth="1"/>
    <col min="3" max="3" width="17.42578125" style="1076" customWidth="1"/>
    <col min="4" max="4" width="17.5703125" style="1076" customWidth="1"/>
    <col min="5" max="5" width="17.7109375" style="1076" customWidth="1"/>
    <col min="6" max="6" width="17.28515625" style="1076" customWidth="1"/>
    <col min="7" max="7" width="8.7109375" style="1076" customWidth="1"/>
    <col min="8" max="43" width="0" style="1075" hidden="1" customWidth="1"/>
    <col min="44" max="44" width="13.5703125" style="1075" hidden="1" customWidth="1"/>
    <col min="45" max="45" width="10.28515625" style="1075"/>
    <col min="46" max="46" width="6.85546875" style="1075" customWidth="1"/>
    <col min="47" max="47" width="50.42578125" style="1075" customWidth="1"/>
    <col min="48" max="48" width="9.140625" style="1075" customWidth="1"/>
    <col min="49" max="49" width="10.85546875" style="1075" customWidth="1"/>
    <col min="50" max="50" width="10.28515625" style="1075" customWidth="1"/>
    <col min="51" max="51" width="9.5703125" style="1075" customWidth="1"/>
    <col min="52" max="52" width="8.7109375" style="1075" customWidth="1"/>
    <col min="53" max="57" width="0" style="1075" hidden="1" customWidth="1"/>
    <col min="58" max="301" width="10.28515625" style="1075"/>
    <col min="302" max="302" width="6.85546875" style="1075" customWidth="1"/>
    <col min="303" max="303" width="50.42578125" style="1075" customWidth="1"/>
    <col min="304" max="304" width="9.140625" style="1075" customWidth="1"/>
    <col min="305" max="305" width="10.85546875" style="1075" customWidth="1"/>
    <col min="306" max="306" width="10.28515625" style="1075" customWidth="1"/>
    <col min="307" max="307" width="9.5703125" style="1075" customWidth="1"/>
    <col min="308" max="308" width="8.7109375" style="1075" customWidth="1"/>
    <col min="309" max="313" width="0" style="1075" hidden="1" customWidth="1"/>
    <col min="314" max="557" width="10.28515625" style="1075"/>
    <col min="558" max="558" width="6.85546875" style="1075" customWidth="1"/>
    <col min="559" max="559" width="50.42578125" style="1075" customWidth="1"/>
    <col min="560" max="560" width="9.140625" style="1075" customWidth="1"/>
    <col min="561" max="561" width="10.85546875" style="1075" customWidth="1"/>
    <col min="562" max="562" width="10.28515625" style="1075" customWidth="1"/>
    <col min="563" max="563" width="9.5703125" style="1075" customWidth="1"/>
    <col min="564" max="564" width="8.7109375" style="1075" customWidth="1"/>
    <col min="565" max="569" width="0" style="1075" hidden="1" customWidth="1"/>
    <col min="570" max="813" width="10.28515625" style="1075"/>
    <col min="814" max="814" width="6.85546875" style="1075" customWidth="1"/>
    <col min="815" max="815" width="50.42578125" style="1075" customWidth="1"/>
    <col min="816" max="816" width="9.140625" style="1075" customWidth="1"/>
    <col min="817" max="817" width="10.85546875" style="1075" customWidth="1"/>
    <col min="818" max="818" width="10.28515625" style="1075" customWidth="1"/>
    <col min="819" max="819" width="9.5703125" style="1075" customWidth="1"/>
    <col min="820" max="820" width="8.7109375" style="1075" customWidth="1"/>
    <col min="821" max="825" width="0" style="1075" hidden="1" customWidth="1"/>
    <col min="826" max="1069" width="10.28515625" style="1075"/>
    <col min="1070" max="1070" width="6.85546875" style="1075" customWidth="1"/>
    <col min="1071" max="1071" width="50.42578125" style="1075" customWidth="1"/>
    <col min="1072" max="1072" width="9.140625" style="1075" customWidth="1"/>
    <col min="1073" max="1073" width="10.85546875" style="1075" customWidth="1"/>
    <col min="1074" max="1074" width="10.28515625" style="1075" customWidth="1"/>
    <col min="1075" max="1075" width="9.5703125" style="1075" customWidth="1"/>
    <col min="1076" max="1076" width="8.7109375" style="1075" customWidth="1"/>
    <col min="1077" max="1081" width="0" style="1075" hidden="1" customWidth="1"/>
    <col min="1082" max="1325" width="10.28515625" style="1075"/>
    <col min="1326" max="1326" width="6.85546875" style="1075" customWidth="1"/>
    <col min="1327" max="1327" width="50.42578125" style="1075" customWidth="1"/>
    <col min="1328" max="1328" width="9.140625" style="1075" customWidth="1"/>
    <col min="1329" max="1329" width="10.85546875" style="1075" customWidth="1"/>
    <col min="1330" max="1330" width="10.28515625" style="1075" customWidth="1"/>
    <col min="1331" max="1331" width="9.5703125" style="1075" customWidth="1"/>
    <col min="1332" max="1332" width="8.7109375" style="1075" customWidth="1"/>
    <col min="1333" max="1337" width="0" style="1075" hidden="1" customWidth="1"/>
    <col min="1338" max="1581" width="10.28515625" style="1075"/>
    <col min="1582" max="1582" width="6.85546875" style="1075" customWidth="1"/>
    <col min="1583" max="1583" width="50.42578125" style="1075" customWidth="1"/>
    <col min="1584" max="1584" width="9.140625" style="1075" customWidth="1"/>
    <col min="1585" max="1585" width="10.85546875" style="1075" customWidth="1"/>
    <col min="1586" max="1586" width="10.28515625" style="1075" customWidth="1"/>
    <col min="1587" max="1587" width="9.5703125" style="1075" customWidth="1"/>
    <col min="1588" max="1588" width="8.7109375" style="1075" customWidth="1"/>
    <col min="1589" max="1593" width="0" style="1075" hidden="1" customWidth="1"/>
    <col min="1594" max="1837" width="10.28515625" style="1075"/>
    <col min="1838" max="1838" width="6.85546875" style="1075" customWidth="1"/>
    <col min="1839" max="1839" width="50.42578125" style="1075" customWidth="1"/>
    <col min="1840" max="1840" width="9.140625" style="1075" customWidth="1"/>
    <col min="1841" max="1841" width="10.85546875" style="1075" customWidth="1"/>
    <col min="1842" max="1842" width="10.28515625" style="1075" customWidth="1"/>
    <col min="1843" max="1843" width="9.5703125" style="1075" customWidth="1"/>
    <col min="1844" max="1844" width="8.7109375" style="1075" customWidth="1"/>
    <col min="1845" max="1849" width="0" style="1075" hidden="1" customWidth="1"/>
    <col min="1850" max="2093" width="10.28515625" style="1075"/>
    <col min="2094" max="2094" width="6.85546875" style="1075" customWidth="1"/>
    <col min="2095" max="2095" width="50.42578125" style="1075" customWidth="1"/>
    <col min="2096" max="2096" width="9.140625" style="1075" customWidth="1"/>
    <col min="2097" max="2097" width="10.85546875" style="1075" customWidth="1"/>
    <col min="2098" max="2098" width="10.28515625" style="1075" customWidth="1"/>
    <col min="2099" max="2099" width="9.5703125" style="1075" customWidth="1"/>
    <col min="2100" max="2100" width="8.7109375" style="1075" customWidth="1"/>
    <col min="2101" max="2105" width="0" style="1075" hidden="1" customWidth="1"/>
    <col min="2106" max="2349" width="10.28515625" style="1075"/>
    <col min="2350" max="2350" width="6.85546875" style="1075" customWidth="1"/>
    <col min="2351" max="2351" width="50.42578125" style="1075" customWidth="1"/>
    <col min="2352" max="2352" width="9.140625" style="1075" customWidth="1"/>
    <col min="2353" max="2353" width="10.85546875" style="1075" customWidth="1"/>
    <col min="2354" max="2354" width="10.28515625" style="1075" customWidth="1"/>
    <col min="2355" max="2355" width="9.5703125" style="1075" customWidth="1"/>
    <col min="2356" max="2356" width="8.7109375" style="1075" customWidth="1"/>
    <col min="2357" max="2361" width="0" style="1075" hidden="1" customWidth="1"/>
    <col min="2362" max="2605" width="10.28515625" style="1075"/>
    <col min="2606" max="2606" width="6.85546875" style="1075" customWidth="1"/>
    <col min="2607" max="2607" width="50.42578125" style="1075" customWidth="1"/>
    <col min="2608" max="2608" width="9.140625" style="1075" customWidth="1"/>
    <col min="2609" max="2609" width="10.85546875" style="1075" customWidth="1"/>
    <col min="2610" max="2610" width="10.28515625" style="1075" customWidth="1"/>
    <col min="2611" max="2611" width="9.5703125" style="1075" customWidth="1"/>
    <col min="2612" max="2612" width="8.7109375" style="1075" customWidth="1"/>
    <col min="2613" max="2617" width="0" style="1075" hidden="1" customWidth="1"/>
    <col min="2618" max="2861" width="10.28515625" style="1075"/>
    <col min="2862" max="2862" width="6.85546875" style="1075" customWidth="1"/>
    <col min="2863" max="2863" width="50.42578125" style="1075" customWidth="1"/>
    <col min="2864" max="2864" width="9.140625" style="1075" customWidth="1"/>
    <col min="2865" max="2865" width="10.85546875" style="1075" customWidth="1"/>
    <col min="2866" max="2866" width="10.28515625" style="1075" customWidth="1"/>
    <col min="2867" max="2867" width="9.5703125" style="1075" customWidth="1"/>
    <col min="2868" max="2868" width="8.7109375" style="1075" customWidth="1"/>
    <col min="2869" max="2873" width="0" style="1075" hidden="1" customWidth="1"/>
    <col min="2874" max="3117" width="10.28515625" style="1075"/>
    <col min="3118" max="3118" width="6.85546875" style="1075" customWidth="1"/>
    <col min="3119" max="3119" width="50.42578125" style="1075" customWidth="1"/>
    <col min="3120" max="3120" width="9.140625" style="1075" customWidth="1"/>
    <col min="3121" max="3121" width="10.85546875" style="1075" customWidth="1"/>
    <col min="3122" max="3122" width="10.28515625" style="1075" customWidth="1"/>
    <col min="3123" max="3123" width="9.5703125" style="1075" customWidth="1"/>
    <col min="3124" max="3124" width="8.7109375" style="1075" customWidth="1"/>
    <col min="3125" max="3129" width="0" style="1075" hidden="1" customWidth="1"/>
    <col min="3130" max="3373" width="10.28515625" style="1075"/>
    <col min="3374" max="3374" width="6.85546875" style="1075" customWidth="1"/>
    <col min="3375" max="3375" width="50.42578125" style="1075" customWidth="1"/>
    <col min="3376" max="3376" width="9.140625" style="1075" customWidth="1"/>
    <col min="3377" max="3377" width="10.85546875" style="1075" customWidth="1"/>
    <col min="3378" max="3378" width="10.28515625" style="1075" customWidth="1"/>
    <col min="3379" max="3379" width="9.5703125" style="1075" customWidth="1"/>
    <col min="3380" max="3380" width="8.7109375" style="1075" customWidth="1"/>
    <col min="3381" max="3385" width="0" style="1075" hidden="1" customWidth="1"/>
    <col min="3386" max="3629" width="10.28515625" style="1075"/>
    <col min="3630" max="3630" width="6.85546875" style="1075" customWidth="1"/>
    <col min="3631" max="3631" width="50.42578125" style="1075" customWidth="1"/>
    <col min="3632" max="3632" width="9.140625" style="1075" customWidth="1"/>
    <col min="3633" max="3633" width="10.85546875" style="1075" customWidth="1"/>
    <col min="3634" max="3634" width="10.28515625" style="1075" customWidth="1"/>
    <col min="3635" max="3635" width="9.5703125" style="1075" customWidth="1"/>
    <col min="3636" max="3636" width="8.7109375" style="1075" customWidth="1"/>
    <col min="3637" max="3641" width="0" style="1075" hidden="1" customWidth="1"/>
    <col min="3642" max="3885" width="10.28515625" style="1075"/>
    <col min="3886" max="3886" width="6.85546875" style="1075" customWidth="1"/>
    <col min="3887" max="3887" width="50.42578125" style="1075" customWidth="1"/>
    <col min="3888" max="3888" width="9.140625" style="1075" customWidth="1"/>
    <col min="3889" max="3889" width="10.85546875" style="1075" customWidth="1"/>
    <col min="3890" max="3890" width="10.28515625" style="1075" customWidth="1"/>
    <col min="3891" max="3891" width="9.5703125" style="1075" customWidth="1"/>
    <col min="3892" max="3892" width="8.7109375" style="1075" customWidth="1"/>
    <col min="3893" max="3897" width="0" style="1075" hidden="1" customWidth="1"/>
    <col min="3898" max="4141" width="10.28515625" style="1075"/>
    <col min="4142" max="4142" width="6.85546875" style="1075" customWidth="1"/>
    <col min="4143" max="4143" width="50.42578125" style="1075" customWidth="1"/>
    <col min="4144" max="4144" width="9.140625" style="1075" customWidth="1"/>
    <col min="4145" max="4145" width="10.85546875" style="1075" customWidth="1"/>
    <col min="4146" max="4146" width="10.28515625" style="1075" customWidth="1"/>
    <col min="4147" max="4147" width="9.5703125" style="1075" customWidth="1"/>
    <col min="4148" max="4148" width="8.7109375" style="1075" customWidth="1"/>
    <col min="4149" max="4153" width="0" style="1075" hidden="1" customWidth="1"/>
    <col min="4154" max="4397" width="10.28515625" style="1075"/>
    <col min="4398" max="4398" width="6.85546875" style="1075" customWidth="1"/>
    <col min="4399" max="4399" width="50.42578125" style="1075" customWidth="1"/>
    <col min="4400" max="4400" width="9.140625" style="1075" customWidth="1"/>
    <col min="4401" max="4401" width="10.85546875" style="1075" customWidth="1"/>
    <col min="4402" max="4402" width="10.28515625" style="1075" customWidth="1"/>
    <col min="4403" max="4403" width="9.5703125" style="1075" customWidth="1"/>
    <col min="4404" max="4404" width="8.7109375" style="1075" customWidth="1"/>
    <col min="4405" max="4409" width="0" style="1075" hidden="1" customWidth="1"/>
    <col min="4410" max="4653" width="10.28515625" style="1075"/>
    <col min="4654" max="4654" width="6.85546875" style="1075" customWidth="1"/>
    <col min="4655" max="4655" width="50.42578125" style="1075" customWidth="1"/>
    <col min="4656" max="4656" width="9.140625" style="1075" customWidth="1"/>
    <col min="4657" max="4657" width="10.85546875" style="1075" customWidth="1"/>
    <col min="4658" max="4658" width="10.28515625" style="1075" customWidth="1"/>
    <col min="4659" max="4659" width="9.5703125" style="1075" customWidth="1"/>
    <col min="4660" max="4660" width="8.7109375" style="1075" customWidth="1"/>
    <col min="4661" max="4665" width="0" style="1075" hidden="1" customWidth="1"/>
    <col min="4666" max="4909" width="10.28515625" style="1075"/>
    <col min="4910" max="4910" width="6.85546875" style="1075" customWidth="1"/>
    <col min="4911" max="4911" width="50.42578125" style="1075" customWidth="1"/>
    <col min="4912" max="4912" width="9.140625" style="1075" customWidth="1"/>
    <col min="4913" max="4913" width="10.85546875" style="1075" customWidth="1"/>
    <col min="4914" max="4914" width="10.28515625" style="1075" customWidth="1"/>
    <col min="4915" max="4915" width="9.5703125" style="1075" customWidth="1"/>
    <col min="4916" max="4916" width="8.7109375" style="1075" customWidth="1"/>
    <col min="4917" max="4921" width="0" style="1075" hidden="1" customWidth="1"/>
    <col min="4922" max="5165" width="10.28515625" style="1075"/>
    <col min="5166" max="5166" width="6.85546875" style="1075" customWidth="1"/>
    <col min="5167" max="5167" width="50.42578125" style="1075" customWidth="1"/>
    <col min="5168" max="5168" width="9.140625" style="1075" customWidth="1"/>
    <col min="5169" max="5169" width="10.85546875" style="1075" customWidth="1"/>
    <col min="5170" max="5170" width="10.28515625" style="1075" customWidth="1"/>
    <col min="5171" max="5171" width="9.5703125" style="1075" customWidth="1"/>
    <col min="5172" max="5172" width="8.7109375" style="1075" customWidth="1"/>
    <col min="5173" max="5177" width="0" style="1075" hidden="1" customWidth="1"/>
    <col min="5178" max="5421" width="10.28515625" style="1075"/>
    <col min="5422" max="5422" width="6.85546875" style="1075" customWidth="1"/>
    <col min="5423" max="5423" width="50.42578125" style="1075" customWidth="1"/>
    <col min="5424" max="5424" width="9.140625" style="1075" customWidth="1"/>
    <col min="5425" max="5425" width="10.85546875" style="1075" customWidth="1"/>
    <col min="5426" max="5426" width="10.28515625" style="1075" customWidth="1"/>
    <col min="5427" max="5427" width="9.5703125" style="1075" customWidth="1"/>
    <col min="5428" max="5428" width="8.7109375" style="1075" customWidth="1"/>
    <col min="5429" max="5433" width="0" style="1075" hidden="1" customWidth="1"/>
    <col min="5434" max="5677" width="10.28515625" style="1075"/>
    <col min="5678" max="5678" width="6.85546875" style="1075" customWidth="1"/>
    <col min="5679" max="5679" width="50.42578125" style="1075" customWidth="1"/>
    <col min="5680" max="5680" width="9.140625" style="1075" customWidth="1"/>
    <col min="5681" max="5681" width="10.85546875" style="1075" customWidth="1"/>
    <col min="5682" max="5682" width="10.28515625" style="1075" customWidth="1"/>
    <col min="5683" max="5683" width="9.5703125" style="1075" customWidth="1"/>
    <col min="5684" max="5684" width="8.7109375" style="1075" customWidth="1"/>
    <col min="5685" max="5689" width="0" style="1075" hidden="1" customWidth="1"/>
    <col min="5690" max="5933" width="10.28515625" style="1075"/>
    <col min="5934" max="5934" width="6.85546875" style="1075" customWidth="1"/>
    <col min="5935" max="5935" width="50.42578125" style="1075" customWidth="1"/>
    <col min="5936" max="5936" width="9.140625" style="1075" customWidth="1"/>
    <col min="5937" max="5937" width="10.85546875" style="1075" customWidth="1"/>
    <col min="5938" max="5938" width="10.28515625" style="1075" customWidth="1"/>
    <col min="5939" max="5939" width="9.5703125" style="1075" customWidth="1"/>
    <col min="5940" max="5940" width="8.7109375" style="1075" customWidth="1"/>
    <col min="5941" max="5945" width="0" style="1075" hidden="1" customWidth="1"/>
    <col min="5946" max="6189" width="10.28515625" style="1075"/>
    <col min="6190" max="6190" width="6.85546875" style="1075" customWidth="1"/>
    <col min="6191" max="6191" width="50.42578125" style="1075" customWidth="1"/>
    <col min="6192" max="6192" width="9.140625" style="1075" customWidth="1"/>
    <col min="6193" max="6193" width="10.85546875" style="1075" customWidth="1"/>
    <col min="6194" max="6194" width="10.28515625" style="1075" customWidth="1"/>
    <col min="6195" max="6195" width="9.5703125" style="1075" customWidth="1"/>
    <col min="6196" max="6196" width="8.7109375" style="1075" customWidth="1"/>
    <col min="6197" max="6201" width="0" style="1075" hidden="1" customWidth="1"/>
    <col min="6202" max="6445" width="10.28515625" style="1075"/>
    <col min="6446" max="6446" width="6.85546875" style="1075" customWidth="1"/>
    <col min="6447" max="6447" width="50.42578125" style="1075" customWidth="1"/>
    <col min="6448" max="6448" width="9.140625" style="1075" customWidth="1"/>
    <col min="6449" max="6449" width="10.85546875" style="1075" customWidth="1"/>
    <col min="6450" max="6450" width="10.28515625" style="1075" customWidth="1"/>
    <col min="6451" max="6451" width="9.5703125" style="1075" customWidth="1"/>
    <col min="6452" max="6452" width="8.7109375" style="1075" customWidth="1"/>
    <col min="6453" max="6457" width="0" style="1075" hidden="1" customWidth="1"/>
    <col min="6458" max="6701" width="10.28515625" style="1075"/>
    <col min="6702" max="6702" width="6.85546875" style="1075" customWidth="1"/>
    <col min="6703" max="6703" width="50.42578125" style="1075" customWidth="1"/>
    <col min="6704" max="6704" width="9.140625" style="1075" customWidth="1"/>
    <col min="6705" max="6705" width="10.85546875" style="1075" customWidth="1"/>
    <col min="6706" max="6706" width="10.28515625" style="1075" customWidth="1"/>
    <col min="6707" max="6707" width="9.5703125" style="1075" customWidth="1"/>
    <col min="6708" max="6708" width="8.7109375" style="1075" customWidth="1"/>
    <col min="6709" max="6713" width="0" style="1075" hidden="1" customWidth="1"/>
    <col min="6714" max="6957" width="10.28515625" style="1075"/>
    <col min="6958" max="6958" width="6.85546875" style="1075" customWidth="1"/>
    <col min="6959" max="6959" width="50.42578125" style="1075" customWidth="1"/>
    <col min="6960" max="6960" width="9.140625" style="1075" customWidth="1"/>
    <col min="6961" max="6961" width="10.85546875" style="1075" customWidth="1"/>
    <col min="6962" max="6962" width="10.28515625" style="1075" customWidth="1"/>
    <col min="6963" max="6963" width="9.5703125" style="1075" customWidth="1"/>
    <col min="6964" max="6964" width="8.7109375" style="1075" customWidth="1"/>
    <col min="6965" max="6969" width="0" style="1075" hidden="1" customWidth="1"/>
    <col min="6970" max="7213" width="10.28515625" style="1075"/>
    <col min="7214" max="7214" width="6.85546875" style="1075" customWidth="1"/>
    <col min="7215" max="7215" width="50.42578125" style="1075" customWidth="1"/>
    <col min="7216" max="7216" width="9.140625" style="1075" customWidth="1"/>
    <col min="7217" max="7217" width="10.85546875" style="1075" customWidth="1"/>
    <col min="7218" max="7218" width="10.28515625" style="1075" customWidth="1"/>
    <col min="7219" max="7219" width="9.5703125" style="1075" customWidth="1"/>
    <col min="7220" max="7220" width="8.7109375" style="1075" customWidth="1"/>
    <col min="7221" max="7225" width="0" style="1075" hidden="1" customWidth="1"/>
    <col min="7226" max="7469" width="10.28515625" style="1075"/>
    <col min="7470" max="7470" width="6.85546875" style="1075" customWidth="1"/>
    <col min="7471" max="7471" width="50.42578125" style="1075" customWidth="1"/>
    <col min="7472" max="7472" width="9.140625" style="1075" customWidth="1"/>
    <col min="7473" max="7473" width="10.85546875" style="1075" customWidth="1"/>
    <col min="7474" max="7474" width="10.28515625" style="1075" customWidth="1"/>
    <col min="7475" max="7475" width="9.5703125" style="1075" customWidth="1"/>
    <col min="7476" max="7476" width="8.7109375" style="1075" customWidth="1"/>
    <col min="7477" max="7481" width="0" style="1075" hidden="1" customWidth="1"/>
    <col min="7482" max="7725" width="10.28515625" style="1075"/>
    <col min="7726" max="7726" width="6.85546875" style="1075" customWidth="1"/>
    <col min="7727" max="7727" width="50.42578125" style="1075" customWidth="1"/>
    <col min="7728" max="7728" width="9.140625" style="1075" customWidth="1"/>
    <col min="7729" max="7729" width="10.85546875" style="1075" customWidth="1"/>
    <col min="7730" max="7730" width="10.28515625" style="1075" customWidth="1"/>
    <col min="7731" max="7731" width="9.5703125" style="1075" customWidth="1"/>
    <col min="7732" max="7732" width="8.7109375" style="1075" customWidth="1"/>
    <col min="7733" max="7737" width="0" style="1075" hidden="1" customWidth="1"/>
    <col min="7738" max="7981" width="10.28515625" style="1075"/>
    <col min="7982" max="7982" width="6.85546875" style="1075" customWidth="1"/>
    <col min="7983" max="7983" width="50.42578125" style="1075" customWidth="1"/>
    <col min="7984" max="7984" width="9.140625" style="1075" customWidth="1"/>
    <col min="7985" max="7985" width="10.85546875" style="1075" customWidth="1"/>
    <col min="7986" max="7986" width="10.28515625" style="1075" customWidth="1"/>
    <col min="7987" max="7987" width="9.5703125" style="1075" customWidth="1"/>
    <col min="7988" max="7988" width="8.7109375" style="1075" customWidth="1"/>
    <col min="7989" max="7993" width="0" style="1075" hidden="1" customWidth="1"/>
    <col min="7994" max="8237" width="10.28515625" style="1075"/>
    <col min="8238" max="8238" width="6.85546875" style="1075" customWidth="1"/>
    <col min="8239" max="8239" width="50.42578125" style="1075" customWidth="1"/>
    <col min="8240" max="8240" width="9.140625" style="1075" customWidth="1"/>
    <col min="8241" max="8241" width="10.85546875" style="1075" customWidth="1"/>
    <col min="8242" max="8242" width="10.28515625" style="1075" customWidth="1"/>
    <col min="8243" max="8243" width="9.5703125" style="1075" customWidth="1"/>
    <col min="8244" max="8244" width="8.7109375" style="1075" customWidth="1"/>
    <col min="8245" max="8249" width="0" style="1075" hidden="1" customWidth="1"/>
    <col min="8250" max="8493" width="10.28515625" style="1075"/>
    <col min="8494" max="8494" width="6.85546875" style="1075" customWidth="1"/>
    <col min="8495" max="8495" width="50.42578125" style="1075" customWidth="1"/>
    <col min="8496" max="8496" width="9.140625" style="1075" customWidth="1"/>
    <col min="8497" max="8497" width="10.85546875" style="1075" customWidth="1"/>
    <col min="8498" max="8498" width="10.28515625" style="1075" customWidth="1"/>
    <col min="8499" max="8499" width="9.5703125" style="1075" customWidth="1"/>
    <col min="8500" max="8500" width="8.7109375" style="1075" customWidth="1"/>
    <col min="8501" max="8505" width="0" style="1075" hidden="1" customWidth="1"/>
    <col min="8506" max="8749" width="10.28515625" style="1075"/>
    <col min="8750" max="8750" width="6.85546875" style="1075" customWidth="1"/>
    <col min="8751" max="8751" width="50.42578125" style="1075" customWidth="1"/>
    <col min="8752" max="8752" width="9.140625" style="1075" customWidth="1"/>
    <col min="8753" max="8753" width="10.85546875" style="1075" customWidth="1"/>
    <col min="8754" max="8754" width="10.28515625" style="1075" customWidth="1"/>
    <col min="8755" max="8755" width="9.5703125" style="1075" customWidth="1"/>
    <col min="8756" max="8756" width="8.7109375" style="1075" customWidth="1"/>
    <col min="8757" max="8761" width="0" style="1075" hidden="1" customWidth="1"/>
    <col min="8762" max="9005" width="10.28515625" style="1075"/>
    <col min="9006" max="9006" width="6.85546875" style="1075" customWidth="1"/>
    <col min="9007" max="9007" width="50.42578125" style="1075" customWidth="1"/>
    <col min="9008" max="9008" width="9.140625" style="1075" customWidth="1"/>
    <col min="9009" max="9009" width="10.85546875" style="1075" customWidth="1"/>
    <col min="9010" max="9010" width="10.28515625" style="1075" customWidth="1"/>
    <col min="9011" max="9011" width="9.5703125" style="1075" customWidth="1"/>
    <col min="9012" max="9012" width="8.7109375" style="1075" customWidth="1"/>
    <col min="9013" max="9017" width="0" style="1075" hidden="1" customWidth="1"/>
    <col min="9018" max="9261" width="10.28515625" style="1075"/>
    <col min="9262" max="9262" width="6.85546875" style="1075" customWidth="1"/>
    <col min="9263" max="9263" width="50.42578125" style="1075" customWidth="1"/>
    <col min="9264" max="9264" width="9.140625" style="1075" customWidth="1"/>
    <col min="9265" max="9265" width="10.85546875" style="1075" customWidth="1"/>
    <col min="9266" max="9266" width="10.28515625" style="1075" customWidth="1"/>
    <col min="9267" max="9267" width="9.5703125" style="1075" customWidth="1"/>
    <col min="9268" max="9268" width="8.7109375" style="1075" customWidth="1"/>
    <col min="9269" max="9273" width="0" style="1075" hidden="1" customWidth="1"/>
    <col min="9274" max="9517" width="10.28515625" style="1075"/>
    <col min="9518" max="9518" width="6.85546875" style="1075" customWidth="1"/>
    <col min="9519" max="9519" width="50.42578125" style="1075" customWidth="1"/>
    <col min="9520" max="9520" width="9.140625" style="1075" customWidth="1"/>
    <col min="9521" max="9521" width="10.85546875" style="1075" customWidth="1"/>
    <col min="9522" max="9522" width="10.28515625" style="1075" customWidth="1"/>
    <col min="9523" max="9523" width="9.5703125" style="1075" customWidth="1"/>
    <col min="9524" max="9524" width="8.7109375" style="1075" customWidth="1"/>
    <col min="9525" max="9529" width="0" style="1075" hidden="1" customWidth="1"/>
    <col min="9530" max="9773" width="10.28515625" style="1075"/>
    <col min="9774" max="9774" width="6.85546875" style="1075" customWidth="1"/>
    <col min="9775" max="9775" width="50.42578125" style="1075" customWidth="1"/>
    <col min="9776" max="9776" width="9.140625" style="1075" customWidth="1"/>
    <col min="9777" max="9777" width="10.85546875" style="1075" customWidth="1"/>
    <col min="9778" max="9778" width="10.28515625" style="1075" customWidth="1"/>
    <col min="9779" max="9779" width="9.5703125" style="1075" customWidth="1"/>
    <col min="9780" max="9780" width="8.7109375" style="1075" customWidth="1"/>
    <col min="9781" max="9785" width="0" style="1075" hidden="1" customWidth="1"/>
    <col min="9786" max="10029" width="10.28515625" style="1075"/>
    <col min="10030" max="10030" width="6.85546875" style="1075" customWidth="1"/>
    <col min="10031" max="10031" width="50.42578125" style="1075" customWidth="1"/>
    <col min="10032" max="10032" width="9.140625" style="1075" customWidth="1"/>
    <col min="10033" max="10033" width="10.85546875" style="1075" customWidth="1"/>
    <col min="10034" max="10034" width="10.28515625" style="1075" customWidth="1"/>
    <col min="10035" max="10035" width="9.5703125" style="1075" customWidth="1"/>
    <col min="10036" max="10036" width="8.7109375" style="1075" customWidth="1"/>
    <col min="10037" max="10041" width="0" style="1075" hidden="1" customWidth="1"/>
    <col min="10042" max="10285" width="10.28515625" style="1075"/>
    <col min="10286" max="10286" width="6.85546875" style="1075" customWidth="1"/>
    <col min="10287" max="10287" width="50.42578125" style="1075" customWidth="1"/>
    <col min="10288" max="10288" width="9.140625" style="1075" customWidth="1"/>
    <col min="10289" max="10289" width="10.85546875" style="1075" customWidth="1"/>
    <col min="10290" max="10290" width="10.28515625" style="1075" customWidth="1"/>
    <col min="10291" max="10291" width="9.5703125" style="1075" customWidth="1"/>
    <col min="10292" max="10292" width="8.7109375" style="1075" customWidth="1"/>
    <col min="10293" max="10297" width="0" style="1075" hidden="1" customWidth="1"/>
    <col min="10298" max="10541" width="10.28515625" style="1075"/>
    <col min="10542" max="10542" width="6.85546875" style="1075" customWidth="1"/>
    <col min="10543" max="10543" width="50.42578125" style="1075" customWidth="1"/>
    <col min="10544" max="10544" width="9.140625" style="1075" customWidth="1"/>
    <col min="10545" max="10545" width="10.85546875" style="1075" customWidth="1"/>
    <col min="10546" max="10546" width="10.28515625" style="1075" customWidth="1"/>
    <col min="10547" max="10547" width="9.5703125" style="1075" customWidth="1"/>
    <col min="10548" max="10548" width="8.7109375" style="1075" customWidth="1"/>
    <col min="10549" max="10553" width="0" style="1075" hidden="1" customWidth="1"/>
    <col min="10554" max="10797" width="10.28515625" style="1075"/>
    <col min="10798" max="10798" width="6.85546875" style="1075" customWidth="1"/>
    <col min="10799" max="10799" width="50.42578125" style="1075" customWidth="1"/>
    <col min="10800" max="10800" width="9.140625" style="1075" customWidth="1"/>
    <col min="10801" max="10801" width="10.85546875" style="1075" customWidth="1"/>
    <col min="10802" max="10802" width="10.28515625" style="1075" customWidth="1"/>
    <col min="10803" max="10803" width="9.5703125" style="1075" customWidth="1"/>
    <col min="10804" max="10804" width="8.7109375" style="1075" customWidth="1"/>
    <col min="10805" max="10809" width="0" style="1075" hidden="1" customWidth="1"/>
    <col min="10810" max="11053" width="10.28515625" style="1075"/>
    <col min="11054" max="11054" width="6.85546875" style="1075" customWidth="1"/>
    <col min="11055" max="11055" width="50.42578125" style="1075" customWidth="1"/>
    <col min="11056" max="11056" width="9.140625" style="1075" customWidth="1"/>
    <col min="11057" max="11057" width="10.85546875" style="1075" customWidth="1"/>
    <col min="11058" max="11058" width="10.28515625" style="1075" customWidth="1"/>
    <col min="11059" max="11059" width="9.5703125" style="1075" customWidth="1"/>
    <col min="11060" max="11060" width="8.7109375" style="1075" customWidth="1"/>
    <col min="11061" max="11065" width="0" style="1075" hidden="1" customWidth="1"/>
    <col min="11066" max="11309" width="10.28515625" style="1075"/>
    <col min="11310" max="11310" width="6.85546875" style="1075" customWidth="1"/>
    <col min="11311" max="11311" width="50.42578125" style="1075" customWidth="1"/>
    <col min="11312" max="11312" width="9.140625" style="1075" customWidth="1"/>
    <col min="11313" max="11313" width="10.85546875" style="1075" customWidth="1"/>
    <col min="11314" max="11314" width="10.28515625" style="1075" customWidth="1"/>
    <col min="11315" max="11315" width="9.5703125" style="1075" customWidth="1"/>
    <col min="11316" max="11316" width="8.7109375" style="1075" customWidth="1"/>
    <col min="11317" max="11321" width="0" style="1075" hidden="1" customWidth="1"/>
    <col min="11322" max="11565" width="10.28515625" style="1075"/>
    <col min="11566" max="11566" width="6.85546875" style="1075" customWidth="1"/>
    <col min="11567" max="11567" width="50.42578125" style="1075" customWidth="1"/>
    <col min="11568" max="11568" width="9.140625" style="1075" customWidth="1"/>
    <col min="11569" max="11569" width="10.85546875" style="1075" customWidth="1"/>
    <col min="11570" max="11570" width="10.28515625" style="1075" customWidth="1"/>
    <col min="11571" max="11571" width="9.5703125" style="1075" customWidth="1"/>
    <col min="11572" max="11572" width="8.7109375" style="1075" customWidth="1"/>
    <col min="11573" max="11577" width="0" style="1075" hidden="1" customWidth="1"/>
    <col min="11578" max="11821" width="10.28515625" style="1075"/>
    <col min="11822" max="11822" width="6.85546875" style="1075" customWidth="1"/>
    <col min="11823" max="11823" width="50.42578125" style="1075" customWidth="1"/>
    <col min="11824" max="11824" width="9.140625" style="1075" customWidth="1"/>
    <col min="11825" max="11825" width="10.85546875" style="1075" customWidth="1"/>
    <col min="11826" max="11826" width="10.28515625" style="1075" customWidth="1"/>
    <col min="11827" max="11827" width="9.5703125" style="1075" customWidth="1"/>
    <col min="11828" max="11828" width="8.7109375" style="1075" customWidth="1"/>
    <col min="11829" max="11833" width="0" style="1075" hidden="1" customWidth="1"/>
    <col min="11834" max="12077" width="10.28515625" style="1075"/>
    <col min="12078" max="12078" width="6.85546875" style="1075" customWidth="1"/>
    <col min="12079" max="12079" width="50.42578125" style="1075" customWidth="1"/>
    <col min="12080" max="12080" width="9.140625" style="1075" customWidth="1"/>
    <col min="12081" max="12081" width="10.85546875" style="1075" customWidth="1"/>
    <col min="12082" max="12082" width="10.28515625" style="1075" customWidth="1"/>
    <col min="12083" max="12083" width="9.5703125" style="1075" customWidth="1"/>
    <col min="12084" max="12084" width="8.7109375" style="1075" customWidth="1"/>
    <col min="12085" max="12089" width="0" style="1075" hidden="1" customWidth="1"/>
    <col min="12090" max="12333" width="10.28515625" style="1075"/>
    <col min="12334" max="12334" width="6.85546875" style="1075" customWidth="1"/>
    <col min="12335" max="12335" width="50.42578125" style="1075" customWidth="1"/>
    <col min="12336" max="12336" width="9.140625" style="1075" customWidth="1"/>
    <col min="12337" max="12337" width="10.85546875" style="1075" customWidth="1"/>
    <col min="12338" max="12338" width="10.28515625" style="1075" customWidth="1"/>
    <col min="12339" max="12339" width="9.5703125" style="1075" customWidth="1"/>
    <col min="12340" max="12340" width="8.7109375" style="1075" customWidth="1"/>
    <col min="12341" max="12345" width="0" style="1075" hidden="1" customWidth="1"/>
    <col min="12346" max="12589" width="10.28515625" style="1075"/>
    <col min="12590" max="12590" width="6.85546875" style="1075" customWidth="1"/>
    <col min="12591" max="12591" width="50.42578125" style="1075" customWidth="1"/>
    <col min="12592" max="12592" width="9.140625" style="1075" customWidth="1"/>
    <col min="12593" max="12593" width="10.85546875" style="1075" customWidth="1"/>
    <col min="12594" max="12594" width="10.28515625" style="1075" customWidth="1"/>
    <col min="12595" max="12595" width="9.5703125" style="1075" customWidth="1"/>
    <col min="12596" max="12596" width="8.7109375" style="1075" customWidth="1"/>
    <col min="12597" max="12601" width="0" style="1075" hidden="1" customWidth="1"/>
    <col min="12602" max="12845" width="10.28515625" style="1075"/>
    <col min="12846" max="12846" width="6.85546875" style="1075" customWidth="1"/>
    <col min="12847" max="12847" width="50.42578125" style="1075" customWidth="1"/>
    <col min="12848" max="12848" width="9.140625" style="1075" customWidth="1"/>
    <col min="12849" max="12849" width="10.85546875" style="1075" customWidth="1"/>
    <col min="12850" max="12850" width="10.28515625" style="1075" customWidth="1"/>
    <col min="12851" max="12851" width="9.5703125" style="1075" customWidth="1"/>
    <col min="12852" max="12852" width="8.7109375" style="1075" customWidth="1"/>
    <col min="12853" max="12857" width="0" style="1075" hidden="1" customWidth="1"/>
    <col min="12858" max="13101" width="10.28515625" style="1075"/>
    <col min="13102" max="13102" width="6.85546875" style="1075" customWidth="1"/>
    <col min="13103" max="13103" width="50.42578125" style="1075" customWidth="1"/>
    <col min="13104" max="13104" width="9.140625" style="1075" customWidth="1"/>
    <col min="13105" max="13105" width="10.85546875" style="1075" customWidth="1"/>
    <col min="13106" max="13106" width="10.28515625" style="1075" customWidth="1"/>
    <col min="13107" max="13107" width="9.5703125" style="1075" customWidth="1"/>
    <col min="13108" max="13108" width="8.7109375" style="1075" customWidth="1"/>
    <col min="13109" max="13113" width="0" style="1075" hidden="1" customWidth="1"/>
    <col min="13114" max="13357" width="10.28515625" style="1075"/>
    <col min="13358" max="13358" width="6.85546875" style="1075" customWidth="1"/>
    <col min="13359" max="13359" width="50.42578125" style="1075" customWidth="1"/>
    <col min="13360" max="13360" width="9.140625" style="1075" customWidth="1"/>
    <col min="13361" max="13361" width="10.85546875" style="1075" customWidth="1"/>
    <col min="13362" max="13362" width="10.28515625" style="1075" customWidth="1"/>
    <col min="13363" max="13363" width="9.5703125" style="1075" customWidth="1"/>
    <col min="13364" max="13364" width="8.7109375" style="1075" customWidth="1"/>
    <col min="13365" max="13369" width="0" style="1075" hidden="1" customWidth="1"/>
    <col min="13370" max="13613" width="10.28515625" style="1075"/>
    <col min="13614" max="13614" width="6.85546875" style="1075" customWidth="1"/>
    <col min="13615" max="13615" width="50.42578125" style="1075" customWidth="1"/>
    <col min="13616" max="13616" width="9.140625" style="1075" customWidth="1"/>
    <col min="13617" max="13617" width="10.85546875" style="1075" customWidth="1"/>
    <col min="13618" max="13618" width="10.28515625" style="1075" customWidth="1"/>
    <col min="13619" max="13619" width="9.5703125" style="1075" customWidth="1"/>
    <col min="13620" max="13620" width="8.7109375" style="1075" customWidth="1"/>
    <col min="13621" max="13625" width="0" style="1075" hidden="1" customWidth="1"/>
    <col min="13626" max="13869" width="10.28515625" style="1075"/>
    <col min="13870" max="13870" width="6.85546875" style="1075" customWidth="1"/>
    <col min="13871" max="13871" width="50.42578125" style="1075" customWidth="1"/>
    <col min="13872" max="13872" width="9.140625" style="1075" customWidth="1"/>
    <col min="13873" max="13873" width="10.85546875" style="1075" customWidth="1"/>
    <col min="13874" max="13874" width="10.28515625" style="1075" customWidth="1"/>
    <col min="13875" max="13875" width="9.5703125" style="1075" customWidth="1"/>
    <col min="13876" max="13876" width="8.7109375" style="1075" customWidth="1"/>
    <col min="13877" max="13881" width="0" style="1075" hidden="1" customWidth="1"/>
    <col min="13882" max="14125" width="10.28515625" style="1075"/>
    <col min="14126" max="14126" width="6.85546875" style="1075" customWidth="1"/>
    <col min="14127" max="14127" width="50.42578125" style="1075" customWidth="1"/>
    <col min="14128" max="14128" width="9.140625" style="1075" customWidth="1"/>
    <col min="14129" max="14129" width="10.85546875" style="1075" customWidth="1"/>
    <col min="14130" max="14130" width="10.28515625" style="1075" customWidth="1"/>
    <col min="14131" max="14131" width="9.5703125" style="1075" customWidth="1"/>
    <col min="14132" max="14132" width="8.7109375" style="1075" customWidth="1"/>
    <col min="14133" max="14137" width="0" style="1075" hidden="1" customWidth="1"/>
    <col min="14138" max="14381" width="10.28515625" style="1075"/>
    <col min="14382" max="14382" width="6.85546875" style="1075" customWidth="1"/>
    <col min="14383" max="14383" width="50.42578125" style="1075" customWidth="1"/>
    <col min="14384" max="14384" width="9.140625" style="1075" customWidth="1"/>
    <col min="14385" max="14385" width="10.85546875" style="1075" customWidth="1"/>
    <col min="14386" max="14386" width="10.28515625" style="1075" customWidth="1"/>
    <col min="14387" max="14387" width="9.5703125" style="1075" customWidth="1"/>
    <col min="14388" max="14388" width="8.7109375" style="1075" customWidth="1"/>
    <col min="14389" max="14393" width="0" style="1075" hidden="1" customWidth="1"/>
    <col min="14394" max="16384" width="10.28515625" style="1075"/>
  </cols>
  <sheetData>
    <row r="1" spans="1:44" ht="18.75">
      <c r="A1" s="1304" t="s">
        <v>1453</v>
      </c>
      <c r="B1" s="1304"/>
      <c r="C1" s="1304"/>
      <c r="D1" s="1304"/>
      <c r="E1" s="1304"/>
      <c r="F1" s="1304"/>
      <c r="G1" s="1304"/>
    </row>
    <row r="2" spans="1:44">
      <c r="A2" s="1119"/>
      <c r="B2" s="1120"/>
      <c r="C2" s="1121"/>
      <c r="D2" s="1121"/>
      <c r="E2" s="1121"/>
      <c r="F2" s="1121"/>
      <c r="G2" s="1121"/>
    </row>
    <row r="3" spans="1:44" ht="18.75">
      <c r="A3" s="1305" t="s">
        <v>1467</v>
      </c>
      <c r="B3" s="1305"/>
      <c r="C3" s="1305"/>
      <c r="D3" s="1305"/>
      <c r="E3" s="1305"/>
      <c r="F3" s="1305"/>
      <c r="G3" s="1305"/>
    </row>
    <row r="4" spans="1:44" ht="18.75">
      <c r="A4" s="1306" t="str">
        <f>'[5]16'!A3:H3</f>
        <v xml:space="preserve"> (kèm theo Báo cáo số:           /BC-UBND ngày        /12/2020 của UBND huyện Tủa Chùa) </v>
      </c>
      <c r="B4" s="1306"/>
      <c r="C4" s="1306"/>
      <c r="D4" s="1306"/>
      <c r="E4" s="1306"/>
      <c r="F4" s="1306"/>
      <c r="G4" s="1306"/>
    </row>
    <row r="5" spans="1:44" ht="29.25" customHeight="1">
      <c r="A5" s="1303" t="s">
        <v>797</v>
      </c>
      <c r="B5" s="1303"/>
      <c r="C5" s="1303"/>
      <c r="D5" s="1303"/>
      <c r="E5" s="1303"/>
      <c r="F5" s="1303"/>
      <c r="G5" s="1303"/>
    </row>
    <row r="6" spans="1:44" ht="19.5" customHeight="1">
      <c r="A6" s="1307" t="s">
        <v>246</v>
      </c>
      <c r="B6" s="1307" t="s">
        <v>215</v>
      </c>
      <c r="C6" s="1302" t="s">
        <v>1469</v>
      </c>
      <c r="D6" s="1302" t="s">
        <v>1468</v>
      </c>
      <c r="E6" s="1302" t="s">
        <v>1470</v>
      </c>
      <c r="F6" s="1308" t="s">
        <v>1402</v>
      </c>
      <c r="G6" s="1308"/>
    </row>
    <row r="7" spans="1:44">
      <c r="A7" s="1307"/>
      <c r="B7" s="1307"/>
      <c r="C7" s="1302"/>
      <c r="D7" s="1302"/>
      <c r="E7" s="1302"/>
      <c r="F7" s="1302" t="s">
        <v>1403</v>
      </c>
      <c r="G7" s="1302" t="s">
        <v>1404</v>
      </c>
    </row>
    <row r="8" spans="1:44" ht="15" customHeight="1">
      <c r="A8" s="1307"/>
      <c r="B8" s="1307"/>
      <c r="C8" s="1302"/>
      <c r="D8" s="1302"/>
      <c r="E8" s="1302"/>
      <c r="F8" s="1302"/>
      <c r="G8" s="1302"/>
    </row>
    <row r="9" spans="1:44" s="1116" customFormat="1" ht="30" customHeight="1">
      <c r="A9" s="1077" t="s">
        <v>218</v>
      </c>
      <c r="B9" s="1077" t="s">
        <v>219</v>
      </c>
      <c r="C9" s="1078">
        <v>1</v>
      </c>
      <c r="D9" s="1078"/>
      <c r="E9" s="1078">
        <v>2</v>
      </c>
      <c r="F9" s="1079" t="s">
        <v>1454</v>
      </c>
      <c r="G9" s="1079" t="s">
        <v>635</v>
      </c>
    </row>
    <row r="10" spans="1:44" ht="30" customHeight="1">
      <c r="A10" s="1080"/>
      <c r="B10" s="1081" t="s">
        <v>62</v>
      </c>
      <c r="C10" s="973">
        <f>+C11+C23+C71+C72</f>
        <v>559355000000</v>
      </c>
      <c r="D10" s="973">
        <f>+D11+D23+D71+D72</f>
        <v>780562024566</v>
      </c>
      <c r="E10" s="973">
        <f>+E11+E23+E71</f>
        <v>429280000000</v>
      </c>
      <c r="F10" s="973">
        <f>E10-C10</f>
        <v>-130075000000</v>
      </c>
      <c r="G10" s="967">
        <f>E10/C10</f>
        <v>0.76745537270606323</v>
      </c>
      <c r="H10" s="1082">
        <f>D10-'[5]15'!D17</f>
        <v>780561359507.53894</v>
      </c>
      <c r="I10" s="1082">
        <f>'[5]15'!E17</f>
        <v>559355</v>
      </c>
      <c r="J10" s="1082">
        <f>D10-'[5]15'!D17</f>
        <v>780561359507.53894</v>
      </c>
      <c r="AR10" s="1082"/>
    </row>
    <row r="11" spans="1:44" ht="24.95" customHeight="1">
      <c r="A11" s="126" t="s">
        <v>218</v>
      </c>
      <c r="B11" s="56" t="s">
        <v>1455</v>
      </c>
      <c r="C11" s="973">
        <f>+C12+C17</f>
        <v>432806000000</v>
      </c>
      <c r="D11" s="973">
        <f>+D12+D17+D22</f>
        <v>464254322305</v>
      </c>
      <c r="E11" s="973">
        <f>+E12+E17</f>
        <v>429261000000</v>
      </c>
      <c r="F11" s="973">
        <f>E11-C11</f>
        <v>-3545000000</v>
      </c>
      <c r="G11" s="967">
        <f t="shared" ref="G11:G68" si="0">E11/C11</f>
        <v>0.99180926327269026</v>
      </c>
      <c r="I11" s="1082">
        <f>I10-E10</f>
        <v>-429279440645</v>
      </c>
      <c r="AR11" s="1082"/>
    </row>
    <row r="12" spans="1:44" s="1083" customFormat="1" ht="24.95" customHeight="1">
      <c r="A12" s="126" t="s">
        <v>220</v>
      </c>
      <c r="B12" s="56" t="s">
        <v>230</v>
      </c>
      <c r="C12" s="973">
        <f>+C13</f>
        <v>1800000000</v>
      </c>
      <c r="D12" s="973">
        <f>+D13</f>
        <v>1671000000</v>
      </c>
      <c r="E12" s="973">
        <f>+E13</f>
        <v>16698000000</v>
      </c>
      <c r="F12" s="973"/>
      <c r="G12" s="967">
        <f t="shared" si="0"/>
        <v>9.2766666666666673</v>
      </c>
      <c r="AR12" s="1118"/>
    </row>
    <row r="13" spans="1:44" s="1083" customFormat="1" ht="24.95" customHeight="1">
      <c r="A13" s="126">
        <v>1</v>
      </c>
      <c r="B13" s="56" t="s">
        <v>86</v>
      </c>
      <c r="C13" s="973">
        <f>+C14+C15</f>
        <v>1800000000</v>
      </c>
      <c r="D13" s="973">
        <f>+D14+D15</f>
        <v>1671000000</v>
      </c>
      <c r="E13" s="973">
        <f>+E14+E15+E16</f>
        <v>16698000000</v>
      </c>
      <c r="F13" s="973">
        <f>+F14+F15</f>
        <v>0</v>
      </c>
      <c r="G13" s="967">
        <f t="shared" si="0"/>
        <v>9.2766666666666673</v>
      </c>
    </row>
    <row r="14" spans="1:44" s="1083" customFormat="1" ht="24.95" customHeight="1">
      <c r="A14" s="1084" t="s">
        <v>414</v>
      </c>
      <c r="B14" s="1085" t="s">
        <v>1456</v>
      </c>
      <c r="C14" s="610"/>
      <c r="D14" s="610">
        <v>0</v>
      </c>
      <c r="E14" s="610">
        <f>'[3]BIỂU THUYẾT MINH 2021 H+X'!$D$11</f>
        <v>45000000</v>
      </c>
      <c r="F14" s="610"/>
      <c r="G14" s="970"/>
    </row>
    <row r="15" spans="1:44" s="1083" customFormat="1" ht="24.95" customHeight="1">
      <c r="A15" s="1084" t="s">
        <v>414</v>
      </c>
      <c r="B15" s="1085" t="s">
        <v>1457</v>
      </c>
      <c r="C15" s="610">
        <f>'ƯỚC CHI SỐ 02'!C12</f>
        <v>1800000000</v>
      </c>
      <c r="D15" s="610">
        <f>'ƯỚC CHI SỐ 02'!F12</f>
        <v>1671000000</v>
      </c>
      <c r="E15" s="610"/>
      <c r="F15" s="610"/>
      <c r="G15" s="970"/>
    </row>
    <row r="16" spans="1:44" s="1083" customFormat="1" ht="24.95" customHeight="1">
      <c r="A16" s="1084" t="s">
        <v>414</v>
      </c>
      <c r="B16" s="1085" t="s">
        <v>1471</v>
      </c>
      <c r="C16" s="610"/>
      <c r="D16" s="610"/>
      <c r="E16" s="610">
        <f>'[3]BIỂU THUYẾT MINH 2021 H+X'!$D$10</f>
        <v>16653000000</v>
      </c>
      <c r="F16" s="610"/>
      <c r="G16" s="970"/>
    </row>
    <row r="17" spans="1:43" s="1087" customFormat="1" ht="24.95" customHeight="1">
      <c r="A17" s="1080" t="s">
        <v>223</v>
      </c>
      <c r="B17" s="1086" t="s">
        <v>231</v>
      </c>
      <c r="C17" s="973">
        <f>'PL 15'!C21</f>
        <v>431006000000</v>
      </c>
      <c r="D17" s="973">
        <f>'ƯỚC CHI SỐ 02'!F14</f>
        <v>462583322305</v>
      </c>
      <c r="E17" s="973">
        <f>'[3]BIỂU THUYẾT MINH 2021 H+X'!$C$12</f>
        <v>412563000000</v>
      </c>
      <c r="F17" s="973">
        <f>E17-C17</f>
        <v>-18443000000</v>
      </c>
      <c r="G17" s="967">
        <f t="shared" si="0"/>
        <v>0.9572094123979713</v>
      </c>
      <c r="K17" s="1088"/>
    </row>
    <row r="18" spans="1:43" s="1089" customFormat="1" ht="24.95" customHeight="1">
      <c r="A18" s="1084"/>
      <c r="B18" s="1085" t="s">
        <v>244</v>
      </c>
      <c r="C18" s="966"/>
      <c r="D18" s="966"/>
      <c r="E18" s="966"/>
      <c r="F18" s="966"/>
      <c r="G18" s="969"/>
    </row>
    <row r="19" spans="1:43" ht="24.95" customHeight="1">
      <c r="A19" s="1090"/>
      <c r="B19" s="610" t="s">
        <v>1473</v>
      </c>
      <c r="C19" s="610">
        <f>'ƯỚC CHI SỐ 02'!C17</f>
        <v>253133800000</v>
      </c>
      <c r="D19" s="610">
        <f>'ƯỚC CHI SỐ 02'!F17</f>
        <v>261634478000</v>
      </c>
      <c r="E19" s="610">
        <f>'[3]BIỂU THUYẾT MINH 2021 H+X'!$D$49+'[3]BIỂU THUYẾT MINH 2021 H+X'!$D$70</f>
        <v>247836200000</v>
      </c>
      <c r="F19" s="610">
        <f>E19-C19</f>
        <v>-5297600000</v>
      </c>
      <c r="G19" s="970">
        <f t="shared" si="0"/>
        <v>0.9790719374496808</v>
      </c>
    </row>
    <row r="20" spans="1:43" ht="24.95" customHeight="1">
      <c r="A20" s="1090"/>
      <c r="B20" s="610" t="s">
        <v>1458</v>
      </c>
      <c r="C20" s="610">
        <f>'ƯỚC CHI SỐ 02'!C18</f>
        <v>250000000</v>
      </c>
      <c r="D20" s="610">
        <f>'ƯỚC CHI SỐ 02'!F18</f>
        <v>58620000</v>
      </c>
      <c r="E20" s="610">
        <f>'[3]BIỂU THUYẾT MINH 2021 H+X'!$D$160</f>
        <v>250000000</v>
      </c>
      <c r="F20" s="610">
        <f>E20-C20</f>
        <v>0</v>
      </c>
      <c r="G20" s="970">
        <f t="shared" si="0"/>
        <v>1</v>
      </c>
    </row>
    <row r="21" spans="1:43" s="1091" customFormat="1" ht="24.95" customHeight="1">
      <c r="A21" s="61"/>
      <c r="B21" s="45" t="s">
        <v>66</v>
      </c>
      <c r="C21" s="610">
        <f>'ƯỚC CHI SỐ 02'!C26</f>
        <v>7361000000</v>
      </c>
      <c r="D21" s="610">
        <f>C21</f>
        <v>7361000000</v>
      </c>
      <c r="E21" s="610">
        <f>'[3]BIỂU THUYẾT MINH 2021 H+X'!$C$281</f>
        <v>7488000000</v>
      </c>
      <c r="F21" s="610">
        <f t="shared" ref="F21:F70" si="1">E21-C21</f>
        <v>127000000</v>
      </c>
      <c r="G21" s="970">
        <f t="shared" si="0"/>
        <v>1.0172530906126884</v>
      </c>
    </row>
    <row r="22" spans="1:43" s="1092" customFormat="1" ht="30" hidden="1" customHeight="1">
      <c r="A22" s="126" t="s">
        <v>226</v>
      </c>
      <c r="B22" s="56" t="s">
        <v>720</v>
      </c>
      <c r="C22" s="973"/>
      <c r="D22" s="973"/>
      <c r="E22" s="973"/>
      <c r="F22" s="973"/>
      <c r="G22" s="967"/>
    </row>
    <row r="23" spans="1:43" s="1093" customFormat="1" ht="24.95" customHeight="1">
      <c r="A23" s="126" t="s">
        <v>219</v>
      </c>
      <c r="B23" s="56" t="s">
        <v>1459</v>
      </c>
      <c r="C23" s="973">
        <f>C24+C50</f>
        <v>126549000000</v>
      </c>
      <c r="D23" s="973">
        <f>D24+D50</f>
        <v>181772959602</v>
      </c>
      <c r="E23" s="973">
        <f>E24+E50</f>
        <v>19000000</v>
      </c>
      <c r="F23" s="973">
        <f t="shared" si="1"/>
        <v>-126530000000</v>
      </c>
      <c r="G23" s="970">
        <f t="shared" si="0"/>
        <v>1.5013947166710127E-4</v>
      </c>
      <c r="I23" s="1094">
        <f>D23-'[5]15'!D23</f>
        <v>181772838033.16138</v>
      </c>
    </row>
    <row r="24" spans="1:43" s="1091" customFormat="1" ht="24.95" customHeight="1">
      <c r="A24" s="126" t="s">
        <v>220</v>
      </c>
      <c r="B24" s="56" t="s">
        <v>1412</v>
      </c>
      <c r="C24" s="973">
        <f>C25+C41+C49</f>
        <v>118496000000</v>
      </c>
      <c r="D24" s="973">
        <f>D25+D41+D49</f>
        <v>178056185602</v>
      </c>
      <c r="E24" s="973">
        <f>E25+E41+E49</f>
        <v>0</v>
      </c>
      <c r="F24" s="973">
        <f t="shared" si="1"/>
        <v>-118496000000</v>
      </c>
      <c r="G24" s="970">
        <f t="shared" si="0"/>
        <v>0</v>
      </c>
      <c r="AQ24" s="1117">
        <f>C23-'PL 15'!C24</f>
        <v>0</v>
      </c>
    </row>
    <row r="25" spans="1:43" s="1092" customFormat="1" ht="24.95" customHeight="1">
      <c r="A25" s="126">
        <v>1</v>
      </c>
      <c r="B25" s="56" t="s">
        <v>1460</v>
      </c>
      <c r="C25" s="973">
        <f>C26+C31</f>
        <v>72271000000</v>
      </c>
      <c r="D25" s="973">
        <f>D26+D31</f>
        <v>131242460431</v>
      </c>
      <c r="E25" s="973">
        <f>E26+E31</f>
        <v>0</v>
      </c>
      <c r="F25" s="973">
        <f t="shared" si="1"/>
        <v>-72271000000</v>
      </c>
      <c r="G25" s="970">
        <f t="shared" si="0"/>
        <v>0</v>
      </c>
      <c r="I25" s="1095">
        <f>D25-'[5]15'!D25</f>
        <v>131242381562</v>
      </c>
    </row>
    <row r="26" spans="1:43" s="1092" customFormat="1" ht="24.95" customHeight="1">
      <c r="A26" s="126" t="s">
        <v>222</v>
      </c>
      <c r="B26" s="56" t="s">
        <v>616</v>
      </c>
      <c r="C26" s="973">
        <f>C27+C29</f>
        <v>56663000000</v>
      </c>
      <c r="D26" s="973">
        <f>D27+D29</f>
        <v>116341773526</v>
      </c>
      <c r="E26" s="973">
        <f>E27+E29</f>
        <v>0</v>
      </c>
      <c r="F26" s="973">
        <f t="shared" si="1"/>
        <v>-56663000000</v>
      </c>
      <c r="G26" s="970">
        <f t="shared" si="0"/>
        <v>0</v>
      </c>
    </row>
    <row r="27" spans="1:43" s="1092" customFormat="1" ht="24.95" customHeight="1">
      <c r="A27" s="126" t="s">
        <v>233</v>
      </c>
      <c r="B27" s="56" t="s">
        <v>402</v>
      </c>
      <c r="C27" s="973">
        <f>C28</f>
        <v>44505000000</v>
      </c>
      <c r="D27" s="973">
        <f>D28</f>
        <v>104119551098</v>
      </c>
      <c r="E27" s="973">
        <f>E28</f>
        <v>0</v>
      </c>
      <c r="F27" s="973">
        <f t="shared" si="1"/>
        <v>-44505000000</v>
      </c>
      <c r="G27" s="970">
        <f t="shared" si="0"/>
        <v>0</v>
      </c>
    </row>
    <row r="28" spans="1:43" s="1092" customFormat="1" ht="24.95" customHeight="1">
      <c r="A28" s="61"/>
      <c r="B28" s="45" t="s">
        <v>707</v>
      </c>
      <c r="C28" s="610">
        <f>'PL 15'!C29</f>
        <v>44505000000</v>
      </c>
      <c r="D28" s="610">
        <f>'PL 15'!D29</f>
        <v>104119551098</v>
      </c>
      <c r="E28" s="610"/>
      <c r="F28" s="610">
        <f t="shared" si="1"/>
        <v>-44505000000</v>
      </c>
      <c r="G28" s="970">
        <f t="shared" si="0"/>
        <v>0</v>
      </c>
    </row>
    <row r="29" spans="1:43" s="1092" customFormat="1" ht="24.95" customHeight="1">
      <c r="A29" s="126" t="s">
        <v>234</v>
      </c>
      <c r="B29" s="56" t="s">
        <v>8</v>
      </c>
      <c r="C29" s="973">
        <f>C30</f>
        <v>12158000000</v>
      </c>
      <c r="D29" s="973">
        <f>D30</f>
        <v>12222222428</v>
      </c>
      <c r="E29" s="973">
        <f>E30</f>
        <v>0</v>
      </c>
      <c r="F29" s="973">
        <f t="shared" si="1"/>
        <v>-12158000000</v>
      </c>
      <c r="G29" s="970">
        <f t="shared" si="0"/>
        <v>0</v>
      </c>
    </row>
    <row r="30" spans="1:43" s="1092" customFormat="1" ht="24.95" customHeight="1">
      <c r="A30" s="61"/>
      <c r="B30" s="45" t="s">
        <v>1414</v>
      </c>
      <c r="C30" s="610">
        <f>'PL 15'!C32</f>
        <v>12158000000</v>
      </c>
      <c r="D30" s="610">
        <f>'PL 15'!D32</f>
        <v>12222222428</v>
      </c>
      <c r="E30" s="610"/>
      <c r="F30" s="610">
        <f t="shared" si="1"/>
        <v>-12158000000</v>
      </c>
      <c r="G30" s="970">
        <f t="shared" si="0"/>
        <v>0</v>
      </c>
    </row>
    <row r="31" spans="1:43" s="1092" customFormat="1" ht="24.95" customHeight="1">
      <c r="A31" s="126" t="s">
        <v>237</v>
      </c>
      <c r="B31" s="56" t="s">
        <v>617</v>
      </c>
      <c r="C31" s="973">
        <f>C32+C36+C39+C40</f>
        <v>15608000000</v>
      </c>
      <c r="D31" s="973">
        <f>D32+D36+D39+D40</f>
        <v>14900686905</v>
      </c>
      <c r="E31" s="973">
        <f>E32+E36+E39+E40</f>
        <v>0</v>
      </c>
      <c r="F31" s="973">
        <f t="shared" si="1"/>
        <v>-15608000000</v>
      </c>
      <c r="G31" s="970">
        <f t="shared" si="0"/>
        <v>0</v>
      </c>
      <c r="H31" s="1095">
        <f>D31-'[5]15'!D32</f>
        <v>14900672253</v>
      </c>
    </row>
    <row r="32" spans="1:43" s="1092" customFormat="1" ht="24.95" customHeight="1">
      <c r="A32" s="126" t="s">
        <v>233</v>
      </c>
      <c r="B32" s="56" t="s">
        <v>533</v>
      </c>
      <c r="C32" s="973">
        <f>C33+C34+C35</f>
        <v>11023000000</v>
      </c>
      <c r="D32" s="973">
        <f>D33+D34+D35</f>
        <v>10364017402</v>
      </c>
      <c r="E32" s="973">
        <f>E33+E34+E35</f>
        <v>0</v>
      </c>
      <c r="F32" s="973">
        <f t="shared" si="1"/>
        <v>-11023000000</v>
      </c>
      <c r="G32" s="970">
        <f t="shared" si="0"/>
        <v>0</v>
      </c>
    </row>
    <row r="33" spans="1:9" s="1092" customFormat="1" ht="24.95" customHeight="1">
      <c r="A33" s="1008" t="s">
        <v>414</v>
      </c>
      <c r="B33" s="1003" t="s">
        <v>709</v>
      </c>
      <c r="C33" s="610">
        <f>'PL 15'!C35</f>
        <v>2224000000</v>
      </c>
      <c r="D33" s="610">
        <f>'PL 15'!D35</f>
        <v>2224000000</v>
      </c>
      <c r="E33" s="610"/>
      <c r="F33" s="610">
        <f t="shared" si="1"/>
        <v>-2224000000</v>
      </c>
      <c r="G33" s="970">
        <f t="shared" si="0"/>
        <v>0</v>
      </c>
    </row>
    <row r="34" spans="1:9" s="1092" customFormat="1" ht="40.5" customHeight="1">
      <c r="A34" s="1008" t="s">
        <v>414</v>
      </c>
      <c r="B34" s="1003" t="s">
        <v>710</v>
      </c>
      <c r="C34" s="610">
        <f>'PL 15'!C36</f>
        <v>8229000000</v>
      </c>
      <c r="D34" s="610">
        <f>'PL 15'!D36</f>
        <v>8140017402</v>
      </c>
      <c r="E34" s="610"/>
      <c r="F34" s="610">
        <f t="shared" si="1"/>
        <v>-8229000000</v>
      </c>
      <c r="G34" s="970">
        <f t="shared" si="0"/>
        <v>0</v>
      </c>
    </row>
    <row r="35" spans="1:9" s="1092" customFormat="1" ht="30" customHeight="1">
      <c r="A35" s="1008" t="s">
        <v>414</v>
      </c>
      <c r="B35" s="1003" t="s">
        <v>711</v>
      </c>
      <c r="C35" s="610">
        <f>'PL 15'!C37</f>
        <v>570000000</v>
      </c>
      <c r="D35" s="610">
        <f>'PL 15'!D37</f>
        <v>0</v>
      </c>
      <c r="E35" s="610"/>
      <c r="F35" s="610">
        <f t="shared" si="1"/>
        <v>-570000000</v>
      </c>
      <c r="G35" s="970">
        <f t="shared" si="0"/>
        <v>0</v>
      </c>
    </row>
    <row r="36" spans="1:9" s="1092" customFormat="1" ht="30" customHeight="1">
      <c r="A36" s="126" t="s">
        <v>234</v>
      </c>
      <c r="B36" s="56" t="s">
        <v>607</v>
      </c>
      <c r="C36" s="973">
        <f>C37+C38</f>
        <v>4357000000</v>
      </c>
      <c r="D36" s="973">
        <f>D37+D38</f>
        <v>4308669503</v>
      </c>
      <c r="E36" s="973">
        <f>E37+E38</f>
        <v>0</v>
      </c>
      <c r="F36" s="973">
        <f t="shared" si="1"/>
        <v>-4357000000</v>
      </c>
      <c r="G36" s="970">
        <f t="shared" si="0"/>
        <v>0</v>
      </c>
    </row>
    <row r="37" spans="1:9" s="1092" customFormat="1" ht="40.5" customHeight="1">
      <c r="A37" s="1008" t="s">
        <v>414</v>
      </c>
      <c r="B37" s="1013" t="s">
        <v>1415</v>
      </c>
      <c r="C37" s="610">
        <f>'PL 15'!C39</f>
        <v>881000000</v>
      </c>
      <c r="D37" s="610">
        <f>'PL 15'!D39</f>
        <v>877786103</v>
      </c>
      <c r="E37" s="610"/>
      <c r="F37" s="610">
        <f t="shared" si="1"/>
        <v>-881000000</v>
      </c>
      <c r="G37" s="970">
        <f t="shared" si="0"/>
        <v>0</v>
      </c>
    </row>
    <row r="38" spans="1:9" s="1096" customFormat="1" ht="39.75" customHeight="1">
      <c r="A38" s="1008" t="s">
        <v>414</v>
      </c>
      <c r="B38" s="1013" t="s">
        <v>713</v>
      </c>
      <c r="C38" s="610">
        <f>'PL 15'!C40</f>
        <v>3476000000</v>
      </c>
      <c r="D38" s="610">
        <f>'PL 15'!D40</f>
        <v>3430883400</v>
      </c>
      <c r="E38" s="610"/>
      <c r="F38" s="610">
        <f t="shared" si="1"/>
        <v>-3476000000</v>
      </c>
      <c r="G38" s="970">
        <f t="shared" si="0"/>
        <v>0</v>
      </c>
    </row>
    <row r="39" spans="1:9" s="1096" customFormat="1" ht="30" customHeight="1">
      <c r="A39" s="981" t="s">
        <v>235</v>
      </c>
      <c r="B39" s="219" t="s">
        <v>611</v>
      </c>
      <c r="C39" s="973">
        <f>'PL 15'!C41</f>
        <v>132000000</v>
      </c>
      <c r="D39" s="973">
        <f>'PL 15'!D41</f>
        <v>132000000</v>
      </c>
      <c r="E39" s="973"/>
      <c r="F39" s="973">
        <f t="shared" si="1"/>
        <v>-132000000</v>
      </c>
      <c r="G39" s="970">
        <f t="shared" si="0"/>
        <v>0</v>
      </c>
    </row>
    <row r="40" spans="1:9" s="1091" customFormat="1" ht="30" customHeight="1">
      <c r="A40" s="981" t="s">
        <v>239</v>
      </c>
      <c r="B40" s="219" t="s">
        <v>613</v>
      </c>
      <c r="C40" s="973">
        <f>'PL 15'!C42</f>
        <v>96000000</v>
      </c>
      <c r="D40" s="973">
        <f>'PL 15'!D42</f>
        <v>96000000</v>
      </c>
      <c r="E40" s="973"/>
      <c r="F40" s="973">
        <f t="shared" si="1"/>
        <v>-96000000</v>
      </c>
      <c r="G40" s="970">
        <f t="shared" si="0"/>
        <v>0</v>
      </c>
    </row>
    <row r="41" spans="1:9" s="1096" customFormat="1" ht="24.95" customHeight="1">
      <c r="A41" s="126">
        <v>2</v>
      </c>
      <c r="B41" s="56" t="s">
        <v>1416</v>
      </c>
      <c r="C41" s="973">
        <f>C42+C44</f>
        <v>46225000000</v>
      </c>
      <c r="D41" s="973">
        <f>D42+D44</f>
        <v>46813725171</v>
      </c>
      <c r="E41" s="973">
        <f>E42+E44</f>
        <v>0</v>
      </c>
      <c r="F41" s="973">
        <f>F42+F44</f>
        <v>-46225000000</v>
      </c>
      <c r="G41" s="967">
        <f t="shared" si="0"/>
        <v>0</v>
      </c>
      <c r="I41" s="1097">
        <f>D41-'[5]15'!D42</f>
        <v>46813700760</v>
      </c>
    </row>
    <row r="42" spans="1:9" s="1098" customFormat="1" ht="24.95" customHeight="1">
      <c r="A42" s="126" t="s">
        <v>233</v>
      </c>
      <c r="B42" s="56" t="s">
        <v>616</v>
      </c>
      <c r="C42" s="973">
        <f>C43</f>
        <v>40011000000</v>
      </c>
      <c r="D42" s="973">
        <f>D43</f>
        <v>40642768479</v>
      </c>
      <c r="E42" s="973">
        <f>E43</f>
        <v>0</v>
      </c>
      <c r="F42" s="973">
        <f t="shared" si="1"/>
        <v>-40011000000</v>
      </c>
      <c r="G42" s="967">
        <f t="shared" si="0"/>
        <v>0</v>
      </c>
    </row>
    <row r="43" spans="1:9" s="1099" customFormat="1" ht="24.95" customHeight="1">
      <c r="A43" s="1008"/>
      <c r="B43" s="45" t="s">
        <v>707</v>
      </c>
      <c r="C43" s="610">
        <f>'PL 15'!C45</f>
        <v>40011000000</v>
      </c>
      <c r="D43" s="610">
        <f>'PL 15'!D45</f>
        <v>40642768479</v>
      </c>
      <c r="E43" s="610"/>
      <c r="F43" s="610">
        <f t="shared" si="1"/>
        <v>-40011000000</v>
      </c>
      <c r="G43" s="970">
        <f t="shared" si="0"/>
        <v>0</v>
      </c>
    </row>
    <row r="44" spans="1:9" s="1099" customFormat="1" ht="24.95" customHeight="1">
      <c r="A44" s="126" t="s">
        <v>234</v>
      </c>
      <c r="B44" s="56" t="s">
        <v>617</v>
      </c>
      <c r="C44" s="973">
        <f>SUM(C45:C48)</f>
        <v>6214000000</v>
      </c>
      <c r="D44" s="973">
        <f>SUM(D45:D48)</f>
        <v>6170956692</v>
      </c>
      <c r="E44" s="973">
        <f>SUM(E45:E48)</f>
        <v>0</v>
      </c>
      <c r="F44" s="973">
        <f t="shared" si="1"/>
        <v>-6214000000</v>
      </c>
      <c r="G44" s="970">
        <f t="shared" si="0"/>
        <v>0</v>
      </c>
    </row>
    <row r="45" spans="1:9" s="1099" customFormat="1" ht="91.5" customHeight="1">
      <c r="A45" s="981" t="s">
        <v>414</v>
      </c>
      <c r="B45" s="437" t="s">
        <v>1461</v>
      </c>
      <c r="C45" s="610">
        <f>'PL 15'!C47</f>
        <v>5863000000</v>
      </c>
      <c r="D45" s="610">
        <f>'PL 15'!D47</f>
        <v>5829854013</v>
      </c>
      <c r="E45" s="610"/>
      <c r="F45" s="610">
        <f t="shared" si="1"/>
        <v>-5863000000</v>
      </c>
      <c r="G45" s="970">
        <f t="shared" si="0"/>
        <v>0</v>
      </c>
    </row>
    <row r="46" spans="1:9" s="1099" customFormat="1" ht="21.75" customHeight="1">
      <c r="A46" s="981" t="s">
        <v>414</v>
      </c>
      <c r="B46" s="45" t="s">
        <v>716</v>
      </c>
      <c r="C46" s="610">
        <f>'PL 15'!C48</f>
        <v>351000000</v>
      </c>
      <c r="D46" s="610">
        <f>'PL 15'!D48</f>
        <v>341102679</v>
      </c>
      <c r="E46" s="610"/>
      <c r="F46" s="610">
        <f t="shared" si="1"/>
        <v>-351000000</v>
      </c>
      <c r="G46" s="970">
        <f t="shared" si="0"/>
        <v>0</v>
      </c>
    </row>
    <row r="47" spans="1:9" s="1099" customFormat="1" ht="30" hidden="1" customHeight="1">
      <c r="A47" s="981" t="s">
        <v>414</v>
      </c>
      <c r="B47" s="45" t="s">
        <v>1418</v>
      </c>
      <c r="C47" s="610"/>
      <c r="D47" s="610">
        <f>C47</f>
        <v>0</v>
      </c>
      <c r="E47" s="610"/>
      <c r="F47" s="610">
        <f t="shared" si="1"/>
        <v>0</v>
      </c>
      <c r="G47" s="1100"/>
    </row>
    <row r="48" spans="1:9" s="1099" customFormat="1" ht="30" hidden="1" customHeight="1">
      <c r="A48" s="981"/>
      <c r="B48" s="45"/>
      <c r="C48" s="610"/>
      <c r="D48" s="610"/>
      <c r="E48" s="610"/>
      <c r="F48" s="973"/>
      <c r="G48" s="1100"/>
    </row>
    <row r="49" spans="1:9" s="1099" customFormat="1" ht="34.5" hidden="1" customHeight="1">
      <c r="A49" s="406">
        <v>3</v>
      </c>
      <c r="B49" s="64" t="s">
        <v>1462</v>
      </c>
      <c r="C49" s="973"/>
      <c r="D49" s="1101">
        <f>'[5]15'!D50</f>
        <v>0</v>
      </c>
      <c r="E49" s="973"/>
      <c r="F49" s="973">
        <f t="shared" si="1"/>
        <v>0</v>
      </c>
      <c r="G49" s="1100"/>
    </row>
    <row r="50" spans="1:9" s="1098" customFormat="1" ht="24.95" customHeight="1">
      <c r="A50" s="126" t="s">
        <v>223</v>
      </c>
      <c r="B50" s="56" t="s">
        <v>1411</v>
      </c>
      <c r="C50" s="973">
        <f>C51+C56</f>
        <v>8053000000</v>
      </c>
      <c r="D50" s="973">
        <f>D51+D56</f>
        <v>3716774000</v>
      </c>
      <c r="E50" s="973">
        <f>E51+E56</f>
        <v>19000000</v>
      </c>
      <c r="F50" s="973">
        <f t="shared" si="1"/>
        <v>-8034000000</v>
      </c>
      <c r="G50" s="967">
        <f t="shared" si="0"/>
        <v>2.3593691791878803E-3</v>
      </c>
      <c r="I50" s="1102">
        <f>D50-'[5]15'!D51</f>
        <v>3716755711.1613789</v>
      </c>
    </row>
    <row r="51" spans="1:9" s="1099" customFormat="1" ht="24.95" customHeight="1">
      <c r="A51" s="126">
        <v>1</v>
      </c>
      <c r="B51" s="56" t="s">
        <v>1463</v>
      </c>
      <c r="C51" s="973">
        <f>C52</f>
        <v>0</v>
      </c>
      <c r="D51" s="973">
        <f>SUM(D52:D55)</f>
        <v>2097554000</v>
      </c>
      <c r="E51" s="973">
        <f>E52</f>
        <v>0</v>
      </c>
      <c r="F51" s="973">
        <f>F52</f>
        <v>0</v>
      </c>
      <c r="G51" s="967"/>
    </row>
    <row r="52" spans="1:9" s="1099" customFormat="1" ht="42.75" customHeight="1">
      <c r="A52" s="1008" t="s">
        <v>414</v>
      </c>
      <c r="B52" s="1024" t="s">
        <v>1422</v>
      </c>
      <c r="C52" s="610"/>
      <c r="D52" s="610">
        <f>'ƯỚC CHI SỐ 02'!F53</f>
        <v>2097554000</v>
      </c>
      <c r="E52" s="610"/>
      <c r="F52" s="610">
        <f>E52-C52</f>
        <v>0</v>
      </c>
      <c r="G52" s="970"/>
    </row>
    <row r="53" spans="1:9" s="1099" customFormat="1" ht="24" hidden="1" customHeight="1">
      <c r="A53" s="1008" t="s">
        <v>414</v>
      </c>
      <c r="B53" s="60" t="s">
        <v>1429</v>
      </c>
      <c r="C53" s="610"/>
      <c r="D53" s="610"/>
      <c r="E53" s="610"/>
      <c r="F53" s="610"/>
      <c r="G53" s="970"/>
    </row>
    <row r="54" spans="1:9" s="1099" customFormat="1" ht="24" hidden="1" customHeight="1">
      <c r="A54" s="1008" t="s">
        <v>414</v>
      </c>
      <c r="B54" s="60" t="s">
        <v>1430</v>
      </c>
      <c r="C54" s="610"/>
      <c r="D54" s="610"/>
      <c r="E54" s="610"/>
      <c r="F54" s="610"/>
      <c r="G54" s="970"/>
    </row>
    <row r="55" spans="1:9" s="1099" customFormat="1" ht="34.5" hidden="1" customHeight="1">
      <c r="A55" s="1008" t="s">
        <v>414</v>
      </c>
      <c r="B55" s="51" t="s">
        <v>1462</v>
      </c>
      <c r="C55" s="610"/>
      <c r="D55" s="610"/>
      <c r="E55" s="610"/>
      <c r="F55" s="610">
        <f>E55-C55</f>
        <v>0</v>
      </c>
      <c r="G55" s="1103"/>
    </row>
    <row r="56" spans="1:9" s="1099" customFormat="1" ht="30" customHeight="1">
      <c r="A56" s="406">
        <v>2</v>
      </c>
      <c r="B56" s="64" t="s">
        <v>1464</v>
      </c>
      <c r="C56" s="973">
        <f>C57+C60+C61+C62+C63+C66+C68+C69+C70</f>
        <v>8053000000</v>
      </c>
      <c r="D56" s="973">
        <f>D57+D60+D62+D63+D66+D68+D69+D70</f>
        <v>1619220000</v>
      </c>
      <c r="E56" s="973">
        <f>E57+E60+E61+E62+E63+E66+E68+E69+E70</f>
        <v>19000000</v>
      </c>
      <c r="F56" s="973">
        <f>F57+F60+F61+F62+F63+F66+F68+F69</f>
        <v>-7534000000</v>
      </c>
      <c r="G56" s="967">
        <f t="shared" si="0"/>
        <v>2.3593691791878803E-3</v>
      </c>
    </row>
    <row r="57" spans="1:9" s="1098" customFormat="1" ht="33" customHeight="1">
      <c r="A57" s="126" t="s">
        <v>233</v>
      </c>
      <c r="B57" s="64" t="s">
        <v>470</v>
      </c>
      <c r="C57" s="973">
        <f>C58+C59</f>
        <v>113000000</v>
      </c>
      <c r="D57" s="973">
        <f>D58+D59</f>
        <v>113000000</v>
      </c>
      <c r="E57" s="973">
        <f>E58+E59</f>
        <v>0</v>
      </c>
      <c r="F57" s="973">
        <f t="shared" si="1"/>
        <v>-113000000</v>
      </c>
      <c r="G57" s="967">
        <f t="shared" si="0"/>
        <v>0</v>
      </c>
    </row>
    <row r="58" spans="1:9" s="1099" customFormat="1" ht="24.95" customHeight="1">
      <c r="A58" s="1008" t="s">
        <v>414</v>
      </c>
      <c r="B58" s="1020" t="s">
        <v>1419</v>
      </c>
      <c r="C58" s="610">
        <f>'PL 15'!C54</f>
        <v>93000000</v>
      </c>
      <c r="D58" s="610">
        <f>C58</f>
        <v>93000000</v>
      </c>
      <c r="E58" s="610"/>
      <c r="F58" s="610">
        <f t="shared" si="1"/>
        <v>-93000000</v>
      </c>
      <c r="G58" s="970">
        <f t="shared" si="0"/>
        <v>0</v>
      </c>
    </row>
    <row r="59" spans="1:9" s="1099" customFormat="1" ht="24.95" customHeight="1">
      <c r="A59" s="1008" t="s">
        <v>414</v>
      </c>
      <c r="B59" s="1022" t="s">
        <v>1420</v>
      </c>
      <c r="C59" s="610">
        <f>'PL 15'!C55</f>
        <v>20000000</v>
      </c>
      <c r="D59" s="610">
        <f>C59</f>
        <v>20000000</v>
      </c>
      <c r="E59" s="610"/>
      <c r="F59" s="610">
        <f t="shared" si="1"/>
        <v>-20000000</v>
      </c>
      <c r="G59" s="970">
        <f t="shared" si="0"/>
        <v>0</v>
      </c>
    </row>
    <row r="60" spans="1:9" s="1099" customFormat="1" ht="24.95" customHeight="1">
      <c r="A60" s="387" t="s">
        <v>234</v>
      </c>
      <c r="B60" s="1122" t="s">
        <v>1421</v>
      </c>
      <c r="C60" s="973">
        <f>'PL 15'!C56</f>
        <v>18000000</v>
      </c>
      <c r="D60" s="973">
        <f>'PL 15'!D56</f>
        <v>18000000</v>
      </c>
      <c r="E60" s="973">
        <f>'PL 15'!E56</f>
        <v>19000000</v>
      </c>
      <c r="F60" s="973">
        <f t="shared" si="1"/>
        <v>1000000</v>
      </c>
      <c r="G60" s="967">
        <f t="shared" si="0"/>
        <v>1.0555555555555556</v>
      </c>
    </row>
    <row r="61" spans="1:9" s="1104" customFormat="1" ht="38.25" hidden="1" customHeight="1">
      <c r="A61" s="387"/>
      <c r="B61" s="1122"/>
      <c r="C61" s="973"/>
      <c r="D61" s="973"/>
      <c r="E61" s="973"/>
      <c r="F61" s="973"/>
      <c r="G61" s="967"/>
    </row>
    <row r="62" spans="1:9" s="1105" customFormat="1" ht="39" customHeight="1">
      <c r="A62" s="387" t="s">
        <v>235</v>
      </c>
      <c r="B62" s="1122" t="s">
        <v>1465</v>
      </c>
      <c r="C62" s="973">
        <f>'PL 15'!C66</f>
        <v>100000000</v>
      </c>
      <c r="D62" s="973">
        <f>'PL 15'!D66</f>
        <v>460000000</v>
      </c>
      <c r="E62" s="973"/>
      <c r="F62" s="973">
        <f t="shared" si="1"/>
        <v>-100000000</v>
      </c>
      <c r="G62" s="1100"/>
    </row>
    <row r="63" spans="1:9" s="1104" customFormat="1" ht="32.25" customHeight="1">
      <c r="A63" s="387" t="s">
        <v>239</v>
      </c>
      <c r="B63" s="1122" t="s">
        <v>1326</v>
      </c>
      <c r="C63" s="973">
        <f>SUM(C64:C65)</f>
        <v>86000000</v>
      </c>
      <c r="D63" s="973">
        <f>D64+D65</f>
        <v>86000000</v>
      </c>
      <c r="E63" s="973">
        <f>SUM(E64:E65)</f>
        <v>0</v>
      </c>
      <c r="F63" s="973">
        <f t="shared" si="1"/>
        <v>-86000000</v>
      </c>
      <c r="G63" s="967">
        <f t="shared" si="0"/>
        <v>0</v>
      </c>
    </row>
    <row r="64" spans="1:9" s="1099" customFormat="1" ht="30" customHeight="1">
      <c r="A64" s="417" t="s">
        <v>414</v>
      </c>
      <c r="B64" s="1123" t="s">
        <v>1423</v>
      </c>
      <c r="C64" s="610">
        <f>'PL 15'!C60</f>
        <v>61000000</v>
      </c>
      <c r="D64" s="610">
        <f>'PL 15'!D60</f>
        <v>61000000</v>
      </c>
      <c r="E64" s="610"/>
      <c r="F64" s="610">
        <f t="shared" si="1"/>
        <v>-61000000</v>
      </c>
      <c r="G64" s="970">
        <f t="shared" si="0"/>
        <v>0</v>
      </c>
    </row>
    <row r="65" spans="1:7" s="1099" customFormat="1" ht="30" customHeight="1">
      <c r="A65" s="417" t="s">
        <v>414</v>
      </c>
      <c r="B65" s="1123" t="s">
        <v>1424</v>
      </c>
      <c r="C65" s="610">
        <f>'PL 15'!C61</f>
        <v>25000000</v>
      </c>
      <c r="D65" s="610">
        <f>'PL 15'!D61</f>
        <v>25000000</v>
      </c>
      <c r="E65" s="610"/>
      <c r="F65" s="610"/>
      <c r="G65" s="970"/>
    </row>
    <row r="66" spans="1:7" s="1099" customFormat="1" ht="30" customHeight="1">
      <c r="A66" s="387" t="s">
        <v>95</v>
      </c>
      <c r="B66" s="1023" t="s">
        <v>478</v>
      </c>
      <c r="C66" s="973">
        <f>C67</f>
        <v>25000000</v>
      </c>
      <c r="D66" s="973">
        <f>D67</f>
        <v>25000000</v>
      </c>
      <c r="E66" s="973">
        <f>E67</f>
        <v>0</v>
      </c>
      <c r="F66" s="610">
        <f t="shared" si="1"/>
        <v>-25000000</v>
      </c>
      <c r="G66" s="967">
        <f t="shared" si="0"/>
        <v>0</v>
      </c>
    </row>
    <row r="67" spans="1:7" s="1099" customFormat="1" ht="24.95" customHeight="1">
      <c r="A67" s="417"/>
      <c r="B67" s="1123" t="s">
        <v>1425</v>
      </c>
      <c r="C67" s="610">
        <f>'PL 15'!C63</f>
        <v>25000000</v>
      </c>
      <c r="D67" s="610">
        <f>'PL 15'!D63</f>
        <v>25000000</v>
      </c>
      <c r="E67" s="610"/>
      <c r="F67" s="610">
        <f t="shared" si="1"/>
        <v>-25000000</v>
      </c>
      <c r="G67" s="970">
        <f t="shared" si="0"/>
        <v>0</v>
      </c>
    </row>
    <row r="68" spans="1:7" s="1099" customFormat="1" ht="24.95" customHeight="1">
      <c r="A68" s="387" t="s">
        <v>153</v>
      </c>
      <c r="B68" s="1122" t="s">
        <v>1426</v>
      </c>
      <c r="C68" s="1106">
        <f>'PL 15'!C64</f>
        <v>7211000000</v>
      </c>
      <c r="D68" s="1106"/>
      <c r="E68" s="1106"/>
      <c r="F68" s="610">
        <f t="shared" si="1"/>
        <v>-7211000000</v>
      </c>
      <c r="G68" s="967">
        <f t="shared" si="0"/>
        <v>0</v>
      </c>
    </row>
    <row r="69" spans="1:7" s="1099" customFormat="1" ht="24.95" customHeight="1">
      <c r="A69" s="126" t="s">
        <v>99</v>
      </c>
      <c r="B69" s="56" t="s">
        <v>311</v>
      </c>
      <c r="C69" s="1107"/>
      <c r="D69" s="973">
        <f>'PL 15'!D68</f>
        <v>427170000</v>
      </c>
      <c r="E69" s="1107"/>
      <c r="F69" s="610">
        <f t="shared" si="1"/>
        <v>0</v>
      </c>
      <c r="G69" s="1100"/>
    </row>
    <row r="70" spans="1:7" s="1099" customFormat="1" ht="24.95" customHeight="1">
      <c r="A70" s="126" t="s">
        <v>97</v>
      </c>
      <c r="B70" s="56" t="s">
        <v>1466</v>
      </c>
      <c r="C70" s="1106">
        <f>'PL 15'!C67</f>
        <v>500000000</v>
      </c>
      <c r="D70" s="1106">
        <f>'PL 15'!D67</f>
        <v>490050000</v>
      </c>
      <c r="E70" s="56"/>
      <c r="F70" s="610">
        <f t="shared" si="1"/>
        <v>-500000000</v>
      </c>
      <c r="G70" s="1100"/>
    </row>
    <row r="71" spans="1:7" s="1092" customFormat="1" ht="24.95" customHeight="1">
      <c r="A71" s="126" t="s">
        <v>238</v>
      </c>
      <c r="B71" s="56" t="s">
        <v>596</v>
      </c>
      <c r="C71" s="1108"/>
      <c r="D71" s="1109">
        <f>'PL 15'!D71</f>
        <v>1860043153</v>
      </c>
      <c r="E71" s="1108"/>
      <c r="F71" s="1110"/>
      <c r="G71" s="1100"/>
    </row>
    <row r="72" spans="1:7" ht="24.95" customHeight="1">
      <c r="A72" s="1111" t="s">
        <v>74</v>
      </c>
      <c r="B72" s="1112" t="s">
        <v>595</v>
      </c>
      <c r="C72" s="1113"/>
      <c r="D72" s="1114">
        <f>'PL 15'!D72</f>
        <v>132674699506</v>
      </c>
      <c r="E72" s="1113"/>
      <c r="F72" s="1113"/>
      <c r="G72" s="1113"/>
    </row>
    <row r="73" spans="1:7" hidden="1"/>
    <row r="74" spans="1:7" hidden="1"/>
  </sheetData>
  <mergeCells count="12">
    <mergeCell ref="F7:F8"/>
    <mergeCell ref="G7:G8"/>
    <mergeCell ref="A5:G5"/>
    <mergeCell ref="A1:G1"/>
    <mergeCell ref="A3:G3"/>
    <mergeCell ref="A4:G4"/>
    <mergeCell ref="A6:A8"/>
    <mergeCell ref="B6:B8"/>
    <mergeCell ref="C6:C8"/>
    <mergeCell ref="D6:D8"/>
    <mergeCell ref="E6:E8"/>
    <mergeCell ref="F6:G6"/>
  </mergeCells>
  <pageMargins left="0.82677165354330717" right="0.70866141732283472" top="0.35433070866141736" bottom="0.31496062992125984" header="0.31496062992125984" footer="0.31496062992125984"/>
  <pageSetup paperSize="9" scale="85"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736"/>
  <sheetViews>
    <sheetView view="pageBreakPreview" topLeftCell="A145" zoomScaleNormal="85" workbookViewId="0">
      <selection activeCell="L6" sqref="L6:L8"/>
    </sheetView>
  </sheetViews>
  <sheetFormatPr defaultColWidth="5.85546875" defaultRowHeight="18.75"/>
  <cols>
    <col min="1" max="1" width="7.7109375" style="344" customWidth="1"/>
    <col min="2" max="2" width="40.42578125" style="345" customWidth="1"/>
    <col min="3" max="3" width="12.5703125" style="346" customWidth="1"/>
    <col min="4" max="4" width="12.42578125" style="346" customWidth="1"/>
    <col min="5" max="5" width="15" style="346" customWidth="1"/>
    <col min="6" max="6" width="10.42578125" style="347" customWidth="1"/>
    <col min="7" max="7" width="10" style="347" customWidth="1"/>
    <col min="8" max="8" width="12" style="347" customWidth="1"/>
    <col min="9" max="10" width="11" style="347" customWidth="1"/>
    <col min="11" max="11" width="9.5703125" style="347" customWidth="1"/>
    <col min="12" max="12" width="12.42578125" style="347" customWidth="1"/>
    <col min="13" max="13" width="12" style="347" customWidth="1"/>
    <col min="14" max="14" width="14" style="347" customWidth="1"/>
    <col min="15" max="17" width="14.5703125" style="347" customWidth="1"/>
    <col min="18" max="18" width="14" style="347" customWidth="1"/>
    <col min="19" max="19" width="14.140625" style="347" customWidth="1"/>
    <col min="20" max="20" width="14.5703125" style="347" customWidth="1"/>
    <col min="21" max="21" width="15.5703125" style="347" customWidth="1"/>
    <col min="22" max="22" width="9.28515625" style="347" customWidth="1"/>
    <col min="23" max="23" width="9.7109375" style="347" customWidth="1"/>
    <col min="24" max="25" width="10" style="347" customWidth="1"/>
    <col min="26" max="26" width="11.5703125" style="347" customWidth="1"/>
    <col min="27" max="27" width="9.140625" style="333" customWidth="1"/>
    <col min="28" max="31" width="9.140625" style="333" hidden="1" customWidth="1"/>
    <col min="32" max="255" width="9.140625" style="333" customWidth="1"/>
    <col min="256" max="16384" width="5.85546875" style="333"/>
  </cols>
  <sheetData>
    <row r="1" spans="1:31">
      <c r="A1" s="1330" t="s">
        <v>1077</v>
      </c>
      <c r="B1" s="1330"/>
      <c r="C1" s="1330"/>
      <c r="D1" s="1330"/>
      <c r="E1" s="1330"/>
      <c r="F1" s="1330"/>
      <c r="G1" s="1330"/>
      <c r="H1" s="1330"/>
      <c r="I1" s="1330"/>
      <c r="J1" s="1330"/>
      <c r="K1" s="1330"/>
      <c r="L1" s="1330"/>
      <c r="M1" s="1330"/>
      <c r="N1" s="1330"/>
      <c r="O1" s="1330"/>
      <c r="P1" s="1330"/>
      <c r="Q1" s="1330"/>
      <c r="R1" s="1330"/>
      <c r="S1" s="1330"/>
      <c r="T1" s="1330"/>
      <c r="U1" s="1330"/>
      <c r="V1" s="1330"/>
      <c r="W1" s="1330"/>
      <c r="X1" s="1330"/>
      <c r="Y1" s="1330"/>
      <c r="Z1" s="1330"/>
    </row>
    <row r="2" spans="1:31" ht="27" customHeight="1">
      <c r="A2" s="1331" t="s">
        <v>1088</v>
      </c>
      <c r="B2" s="1331"/>
      <c r="C2" s="1331"/>
      <c r="D2" s="1331"/>
      <c r="E2" s="1331"/>
      <c r="F2" s="1331"/>
      <c r="G2" s="1331"/>
      <c r="H2" s="1331"/>
      <c r="I2" s="1331"/>
      <c r="J2" s="1331"/>
      <c r="K2" s="1331"/>
      <c r="L2" s="1331"/>
      <c r="M2" s="1331"/>
      <c r="N2" s="1331"/>
      <c r="O2" s="1331"/>
      <c r="P2" s="1331"/>
      <c r="Q2" s="1331"/>
      <c r="R2" s="1331"/>
      <c r="S2" s="1331"/>
      <c r="T2" s="1331"/>
      <c r="U2" s="1331"/>
      <c r="V2" s="1331"/>
      <c r="W2" s="1331"/>
      <c r="X2" s="1331"/>
      <c r="Y2" s="1331"/>
      <c r="Z2" s="1331"/>
    </row>
    <row r="3" spans="1:31" ht="20.25" customHeight="1">
      <c r="A3" s="1332" t="s">
        <v>1089</v>
      </c>
      <c r="B3" s="1332"/>
      <c r="C3" s="1332"/>
      <c r="D3" s="1332"/>
      <c r="E3" s="1332"/>
      <c r="F3" s="1332"/>
      <c r="G3" s="1332"/>
      <c r="H3" s="1332"/>
      <c r="I3" s="1332"/>
      <c r="J3" s="1332"/>
      <c r="K3" s="1332"/>
      <c r="L3" s="1332"/>
      <c r="M3" s="1332"/>
      <c r="N3" s="1332"/>
      <c r="O3" s="1332"/>
      <c r="P3" s="1332"/>
      <c r="Q3" s="1332"/>
      <c r="R3" s="1332"/>
      <c r="S3" s="1332"/>
      <c r="T3" s="1332"/>
      <c r="U3" s="1332"/>
      <c r="V3" s="1332"/>
      <c r="W3" s="1332"/>
      <c r="X3" s="1332"/>
      <c r="Y3" s="1332"/>
      <c r="Z3" s="1332"/>
      <c r="AA3" s="334"/>
      <c r="AB3" s="334"/>
      <c r="AC3" s="334"/>
      <c r="AD3" s="334"/>
    </row>
    <row r="4" spans="1:31" s="335" customFormat="1" ht="23.25" customHeight="1">
      <c r="A4" s="1333" t="s">
        <v>213</v>
      </c>
      <c r="B4" s="1333"/>
      <c r="C4" s="1333"/>
      <c r="D4" s="1333"/>
      <c r="E4" s="1333"/>
      <c r="F4" s="1333"/>
      <c r="G4" s="1333"/>
      <c r="H4" s="1333"/>
      <c r="I4" s="1333"/>
      <c r="J4" s="1333"/>
      <c r="K4" s="1333"/>
      <c r="L4" s="1333"/>
      <c r="M4" s="1333"/>
      <c r="N4" s="1333"/>
      <c r="O4" s="1333"/>
      <c r="P4" s="1333"/>
      <c r="Q4" s="1333"/>
      <c r="R4" s="1333"/>
      <c r="S4" s="1333"/>
      <c r="T4" s="1333"/>
      <c r="U4" s="1333"/>
      <c r="V4" s="1333"/>
      <c r="W4" s="1333"/>
      <c r="X4" s="1333"/>
      <c r="Y4" s="1333"/>
      <c r="Z4" s="1333"/>
    </row>
    <row r="5" spans="1:31" s="731" customFormat="1" ht="89.45" customHeight="1">
      <c r="A5" s="1334" t="s">
        <v>246</v>
      </c>
      <c r="B5" s="1320" t="s">
        <v>750</v>
      </c>
      <c r="C5" s="1320" t="s">
        <v>751</v>
      </c>
      <c r="D5" s="1320" t="s">
        <v>752</v>
      </c>
      <c r="E5" s="1320" t="s">
        <v>113</v>
      </c>
      <c r="F5" s="1320"/>
      <c r="G5" s="1320"/>
      <c r="H5" s="1320" t="s">
        <v>114</v>
      </c>
      <c r="I5" s="1320"/>
      <c r="J5" s="1320"/>
      <c r="K5" s="1320"/>
      <c r="L5" s="1320" t="s">
        <v>1338</v>
      </c>
      <c r="M5" s="1320"/>
      <c r="N5" s="1327" t="s">
        <v>606</v>
      </c>
      <c r="O5" s="1328"/>
      <c r="P5" s="1328"/>
      <c r="Q5" s="1328"/>
      <c r="R5" s="1328"/>
      <c r="S5" s="1328"/>
      <c r="T5" s="1328"/>
      <c r="U5" s="1329"/>
      <c r="V5" s="1320" t="s">
        <v>1076</v>
      </c>
      <c r="W5" s="1320"/>
      <c r="X5" s="1320"/>
      <c r="Y5" s="1320"/>
      <c r="Z5" s="1320" t="s">
        <v>753</v>
      </c>
      <c r="AC5" s="1322"/>
      <c r="AD5" s="1322"/>
      <c r="AE5" s="1322"/>
    </row>
    <row r="6" spans="1:31" s="731" customFormat="1" ht="36.75" customHeight="1">
      <c r="A6" s="1334"/>
      <c r="B6" s="1320"/>
      <c r="C6" s="1320"/>
      <c r="D6" s="1320"/>
      <c r="E6" s="1320" t="s">
        <v>115</v>
      </c>
      <c r="F6" s="1320" t="s">
        <v>116</v>
      </c>
      <c r="G6" s="1320"/>
      <c r="H6" s="1320" t="s">
        <v>754</v>
      </c>
      <c r="I6" s="1320" t="s">
        <v>755</v>
      </c>
      <c r="J6" s="1320"/>
      <c r="K6" s="1320"/>
      <c r="L6" s="1320" t="s">
        <v>754</v>
      </c>
      <c r="M6" s="1335" t="s">
        <v>755</v>
      </c>
      <c r="N6" s="1314" t="s">
        <v>117</v>
      </c>
      <c r="O6" s="1315"/>
      <c r="P6" s="1314" t="s">
        <v>118</v>
      </c>
      <c r="Q6" s="1315"/>
      <c r="R6" s="1314" t="s">
        <v>1079</v>
      </c>
      <c r="S6" s="1315"/>
      <c r="T6" s="1314" t="s">
        <v>1080</v>
      </c>
      <c r="U6" s="1315"/>
      <c r="V6" s="1320" t="s">
        <v>754</v>
      </c>
      <c r="W6" s="1320" t="s">
        <v>755</v>
      </c>
      <c r="X6" s="1320"/>
      <c r="Y6" s="1320"/>
      <c r="Z6" s="1320"/>
      <c r="AC6" s="1322"/>
      <c r="AD6" s="1322"/>
      <c r="AE6" s="1322"/>
    </row>
    <row r="7" spans="1:31" s="731" customFormat="1" ht="35.25" customHeight="1">
      <c r="A7" s="1334"/>
      <c r="B7" s="1320"/>
      <c r="C7" s="1320"/>
      <c r="D7" s="1320"/>
      <c r="E7" s="1320"/>
      <c r="F7" s="1320" t="s">
        <v>754</v>
      </c>
      <c r="G7" s="1335" t="s">
        <v>755</v>
      </c>
      <c r="H7" s="1320"/>
      <c r="I7" s="1320" t="s">
        <v>225</v>
      </c>
      <c r="J7" s="1320" t="s">
        <v>240</v>
      </c>
      <c r="K7" s="1320"/>
      <c r="L7" s="1320"/>
      <c r="M7" s="1336"/>
      <c r="N7" s="1318"/>
      <c r="O7" s="1319"/>
      <c r="P7" s="1316"/>
      <c r="Q7" s="1317"/>
      <c r="R7" s="1316"/>
      <c r="S7" s="1317"/>
      <c r="T7" s="1318"/>
      <c r="U7" s="1319"/>
      <c r="V7" s="1320"/>
      <c r="W7" s="1320" t="s">
        <v>225</v>
      </c>
      <c r="X7" s="1321" t="s">
        <v>244</v>
      </c>
      <c r="Y7" s="1321"/>
      <c r="Z7" s="1320"/>
      <c r="AC7" s="1322"/>
      <c r="AD7" s="1326"/>
      <c r="AE7" s="1326"/>
    </row>
    <row r="8" spans="1:31" s="731" customFormat="1" ht="101.25" customHeight="1">
      <c r="A8" s="1334"/>
      <c r="B8" s="1320"/>
      <c r="C8" s="1320"/>
      <c r="D8" s="1320"/>
      <c r="E8" s="1320"/>
      <c r="F8" s="1338"/>
      <c r="G8" s="1337"/>
      <c r="H8" s="1320"/>
      <c r="I8" s="1320"/>
      <c r="J8" s="732" t="s">
        <v>119</v>
      </c>
      <c r="K8" s="732" t="s">
        <v>120</v>
      </c>
      <c r="L8" s="1320"/>
      <c r="M8" s="1337"/>
      <c r="N8" s="733" t="s">
        <v>754</v>
      </c>
      <c r="O8" s="733" t="s">
        <v>755</v>
      </c>
      <c r="P8" s="734" t="s">
        <v>754</v>
      </c>
      <c r="Q8" s="734" t="s">
        <v>755</v>
      </c>
      <c r="R8" s="734" t="s">
        <v>754</v>
      </c>
      <c r="S8" s="734" t="s">
        <v>755</v>
      </c>
      <c r="T8" s="733" t="s">
        <v>754</v>
      </c>
      <c r="U8" s="733" t="s">
        <v>755</v>
      </c>
      <c r="V8" s="1320"/>
      <c r="W8" s="1320"/>
      <c r="X8" s="732" t="s">
        <v>119</v>
      </c>
      <c r="Y8" s="732" t="s">
        <v>120</v>
      </c>
      <c r="Z8" s="1320"/>
      <c r="AC8" s="1322"/>
      <c r="AD8" s="735"/>
      <c r="AE8" s="735"/>
    </row>
    <row r="9" spans="1:31" s="604" customFormat="1" ht="36" customHeight="1">
      <c r="A9" s="598"/>
      <c r="B9" s="599" t="s">
        <v>232</v>
      </c>
      <c r="C9" s="600"/>
      <c r="D9" s="600"/>
      <c r="E9" s="599"/>
      <c r="F9" s="601">
        <f t="shared" ref="F9:Y9" si="0">+F10+F32+F54+F81+F128+F132+F137+F139+F141</f>
        <v>534311</v>
      </c>
      <c r="G9" s="601">
        <f t="shared" si="0"/>
        <v>397980</v>
      </c>
      <c r="H9" s="601">
        <f t="shared" si="0"/>
        <v>407571.46900000004</v>
      </c>
      <c r="I9" s="601">
        <f t="shared" si="0"/>
        <v>322010.46899999998</v>
      </c>
      <c r="J9" s="601">
        <f t="shared" si="0"/>
        <v>0</v>
      </c>
      <c r="K9" s="601">
        <f t="shared" si="0"/>
        <v>0</v>
      </c>
      <c r="L9" s="601">
        <f t="shared" si="0"/>
        <v>103553.700973</v>
      </c>
      <c r="M9" s="601">
        <f t="shared" si="0"/>
        <v>74066.047401999997</v>
      </c>
      <c r="N9" s="601">
        <f t="shared" si="0"/>
        <v>116897.985921</v>
      </c>
      <c r="O9" s="601">
        <f t="shared" si="0"/>
        <v>104133.985921</v>
      </c>
      <c r="P9" s="601">
        <f t="shared" si="0"/>
        <v>54887.238164000002</v>
      </c>
      <c r="Q9" s="601">
        <f t="shared" si="0"/>
        <v>51585.168164000002</v>
      </c>
      <c r="R9" s="601">
        <f t="shared" si="0"/>
        <v>94366.515345000007</v>
      </c>
      <c r="S9" s="601">
        <f t="shared" si="0"/>
        <v>88148.265875000012</v>
      </c>
      <c r="T9" s="601">
        <f t="shared" si="0"/>
        <v>165170.56892100003</v>
      </c>
      <c r="U9" s="601">
        <f t="shared" si="0"/>
        <v>150788.76992100003</v>
      </c>
      <c r="V9" s="601">
        <f t="shared" si="0"/>
        <v>5814</v>
      </c>
      <c r="W9" s="601">
        <f t="shared" si="0"/>
        <v>5814</v>
      </c>
      <c r="X9" s="601">
        <f t="shared" si="0"/>
        <v>0</v>
      </c>
      <c r="Y9" s="601">
        <f t="shared" si="0"/>
        <v>0</v>
      </c>
      <c r="Z9" s="602"/>
      <c r="AA9" s="603"/>
    </row>
    <row r="10" spans="1:31" s="604" customFormat="1" ht="39" customHeight="1">
      <c r="A10" s="552" t="s">
        <v>220</v>
      </c>
      <c r="B10" s="605" t="s">
        <v>1090</v>
      </c>
      <c r="C10" s="600"/>
      <c r="D10" s="606"/>
      <c r="E10" s="606"/>
      <c r="F10" s="607">
        <f>+F11+F19+F21+F24+F26</f>
        <v>95458</v>
      </c>
      <c r="G10" s="607">
        <f t="shared" ref="G10:Y10" si="1">+G11+G19+G21+G24+G26</f>
        <v>0</v>
      </c>
      <c r="H10" s="607">
        <f t="shared" si="1"/>
        <v>85561</v>
      </c>
      <c r="I10" s="607">
        <f t="shared" si="1"/>
        <v>0</v>
      </c>
      <c r="J10" s="607">
        <f t="shared" si="1"/>
        <v>0</v>
      </c>
      <c r="K10" s="607">
        <f t="shared" si="1"/>
        <v>0</v>
      </c>
      <c r="L10" s="607">
        <f t="shared" si="1"/>
        <v>25287.653570999999</v>
      </c>
      <c r="M10" s="607">
        <f t="shared" si="1"/>
        <v>0</v>
      </c>
      <c r="N10" s="607">
        <f t="shared" si="1"/>
        <v>10694</v>
      </c>
      <c r="O10" s="607">
        <f t="shared" si="1"/>
        <v>0</v>
      </c>
      <c r="P10" s="607">
        <f t="shared" si="1"/>
        <v>3302.0699999999997</v>
      </c>
      <c r="Q10" s="607">
        <f t="shared" si="1"/>
        <v>0</v>
      </c>
      <c r="R10" s="607">
        <f t="shared" si="1"/>
        <v>6218.2494699999997</v>
      </c>
      <c r="S10" s="607">
        <f t="shared" si="1"/>
        <v>0</v>
      </c>
      <c r="T10" s="607">
        <f t="shared" si="1"/>
        <v>12311.798999999999</v>
      </c>
      <c r="U10" s="607">
        <f t="shared" si="1"/>
        <v>0</v>
      </c>
      <c r="V10" s="607">
        <f t="shared" si="1"/>
        <v>0</v>
      </c>
      <c r="W10" s="607">
        <f t="shared" si="1"/>
        <v>0</v>
      </c>
      <c r="X10" s="607">
        <f t="shared" si="1"/>
        <v>0</v>
      </c>
      <c r="Y10" s="607">
        <f t="shared" si="1"/>
        <v>0</v>
      </c>
      <c r="Z10" s="602"/>
    </row>
    <row r="11" spans="1:31" s="612" customFormat="1" ht="43.5" customHeight="1">
      <c r="A11" s="552" t="s">
        <v>403</v>
      </c>
      <c r="B11" s="605" t="s">
        <v>1091</v>
      </c>
      <c r="C11" s="608"/>
      <c r="D11" s="609"/>
      <c r="E11" s="610"/>
      <c r="F11" s="607">
        <f>SUM(F12:F18)</f>
        <v>80408</v>
      </c>
      <c r="G11" s="607">
        <f t="shared" ref="G11:Y11" si="2">SUM(G12:G18)</f>
        <v>0</v>
      </c>
      <c r="H11" s="607">
        <f t="shared" si="2"/>
        <v>70353</v>
      </c>
      <c r="I11" s="607">
        <f t="shared" si="2"/>
        <v>0</v>
      </c>
      <c r="J11" s="607">
        <f t="shared" si="2"/>
        <v>0</v>
      </c>
      <c r="K11" s="607">
        <f t="shared" si="2"/>
        <v>0</v>
      </c>
      <c r="L11" s="607">
        <f t="shared" si="2"/>
        <v>20832.532999999999</v>
      </c>
      <c r="M11" s="607">
        <f t="shared" si="2"/>
        <v>0</v>
      </c>
      <c r="N11" s="607">
        <f t="shared" si="2"/>
        <v>1801</v>
      </c>
      <c r="O11" s="607">
        <f t="shared" si="2"/>
        <v>0</v>
      </c>
      <c r="P11" s="607">
        <f t="shared" si="2"/>
        <v>2302.0699999999997</v>
      </c>
      <c r="Q11" s="607">
        <f t="shared" si="2"/>
        <v>0</v>
      </c>
      <c r="R11" s="607">
        <f t="shared" si="2"/>
        <v>139.732</v>
      </c>
      <c r="S11" s="607">
        <f t="shared" si="2"/>
        <v>0</v>
      </c>
      <c r="T11" s="607">
        <f t="shared" si="2"/>
        <v>3495.799</v>
      </c>
      <c r="U11" s="607">
        <f t="shared" si="2"/>
        <v>0</v>
      </c>
      <c r="V11" s="607">
        <f t="shared" si="2"/>
        <v>0</v>
      </c>
      <c r="W11" s="607">
        <f t="shared" si="2"/>
        <v>0</v>
      </c>
      <c r="X11" s="607">
        <f t="shared" si="2"/>
        <v>0</v>
      </c>
      <c r="Y11" s="607">
        <f t="shared" si="2"/>
        <v>0</v>
      </c>
      <c r="Z11" s="611"/>
    </row>
    <row r="12" spans="1:31" s="612" customFormat="1" ht="33" customHeight="1">
      <c r="A12" s="544">
        <v>1</v>
      </c>
      <c r="B12" s="613" t="s">
        <v>1092</v>
      </c>
      <c r="C12" s="614" t="s">
        <v>460</v>
      </c>
      <c r="D12" s="615" t="s">
        <v>1093</v>
      </c>
      <c r="E12" s="615"/>
      <c r="F12" s="606">
        <v>11000</v>
      </c>
      <c r="G12" s="606"/>
      <c r="H12" s="616">
        <v>9000</v>
      </c>
      <c r="I12" s="616"/>
      <c r="J12" s="616"/>
      <c r="K12" s="616"/>
      <c r="L12" s="617"/>
      <c r="M12" s="616"/>
      <c r="N12" s="618">
        <v>1801</v>
      </c>
      <c r="O12" s="618"/>
      <c r="P12" s="607"/>
      <c r="Q12" s="607"/>
      <c r="R12" s="601"/>
      <c r="S12" s="601"/>
      <c r="T12" s="618">
        <v>1801</v>
      </c>
      <c r="U12" s="607"/>
      <c r="V12" s="619"/>
      <c r="W12" s="619"/>
      <c r="X12" s="619"/>
      <c r="Y12" s="619"/>
      <c r="Z12" s="620"/>
    </row>
    <row r="13" spans="1:31" s="612" customFormat="1" ht="35.25" customHeight="1">
      <c r="A13" s="621">
        <v>2</v>
      </c>
      <c r="B13" s="622" t="s">
        <v>1094</v>
      </c>
      <c r="C13" s="623"/>
      <c r="D13" s="544" t="s">
        <v>736</v>
      </c>
      <c r="E13" s="543" t="s">
        <v>1095</v>
      </c>
      <c r="F13" s="624">
        <v>7000</v>
      </c>
      <c r="G13" s="624"/>
      <c r="H13" s="616">
        <v>6630</v>
      </c>
      <c r="I13" s="616"/>
      <c r="J13" s="616"/>
      <c r="K13" s="616"/>
      <c r="L13" s="617">
        <v>1523.2809999999999</v>
      </c>
      <c r="M13" s="616"/>
      <c r="N13" s="624"/>
      <c r="O13" s="624"/>
      <c r="P13" s="625">
        <v>106.72</v>
      </c>
      <c r="Q13" s="625"/>
      <c r="R13" s="626">
        <v>33.993000000000002</v>
      </c>
      <c r="S13" s="626"/>
      <c r="T13" s="624">
        <v>52</v>
      </c>
      <c r="U13" s="624"/>
      <c r="V13" s="619"/>
      <c r="W13" s="619"/>
      <c r="X13" s="619"/>
      <c r="Y13" s="619"/>
      <c r="Z13" s="620"/>
    </row>
    <row r="14" spans="1:31" s="612" customFormat="1" ht="31.5">
      <c r="A14" s="544">
        <v>3</v>
      </c>
      <c r="B14" s="622" t="s">
        <v>1096</v>
      </c>
      <c r="C14" s="614"/>
      <c r="D14" s="544" t="s">
        <v>122</v>
      </c>
      <c r="E14" s="543" t="s">
        <v>462</v>
      </c>
      <c r="F14" s="624">
        <v>6350</v>
      </c>
      <c r="G14" s="624"/>
      <c r="H14" s="627">
        <v>6341</v>
      </c>
      <c r="I14" s="627"/>
      <c r="J14" s="627"/>
      <c r="K14" s="627"/>
      <c r="L14" s="628">
        <v>2716.241</v>
      </c>
      <c r="M14" s="620"/>
      <c r="N14" s="629"/>
      <c r="O14" s="629"/>
      <c r="P14" s="626">
        <v>152.72999999999999</v>
      </c>
      <c r="Q14" s="626"/>
      <c r="R14" s="626">
        <v>31.338999999999999</v>
      </c>
      <c r="S14" s="626"/>
      <c r="T14" s="624">
        <v>37</v>
      </c>
      <c r="U14" s="629"/>
      <c r="V14" s="620"/>
      <c r="W14" s="620"/>
      <c r="X14" s="620"/>
      <c r="Y14" s="620"/>
      <c r="Z14" s="620"/>
    </row>
    <row r="15" spans="1:31" s="612" customFormat="1" ht="31.5">
      <c r="A15" s="621">
        <v>4</v>
      </c>
      <c r="B15" s="622" t="s">
        <v>1097</v>
      </c>
      <c r="C15" s="614"/>
      <c r="D15" s="544" t="s">
        <v>122</v>
      </c>
      <c r="E15" s="543" t="s">
        <v>140</v>
      </c>
      <c r="F15" s="624">
        <v>7000</v>
      </c>
      <c r="G15" s="624"/>
      <c r="H15" s="627">
        <v>6768</v>
      </c>
      <c r="I15" s="627"/>
      <c r="J15" s="627"/>
      <c r="K15" s="627"/>
      <c r="L15" s="628">
        <v>3133.9769999999999</v>
      </c>
      <c r="M15" s="620"/>
      <c r="N15" s="629"/>
      <c r="O15" s="629"/>
      <c r="P15" s="626">
        <v>43.02</v>
      </c>
      <c r="Q15" s="626"/>
      <c r="R15" s="626">
        <v>3</v>
      </c>
      <c r="S15" s="626"/>
      <c r="T15" s="624">
        <v>12</v>
      </c>
      <c r="U15" s="629"/>
      <c r="V15" s="620"/>
      <c r="W15" s="620"/>
      <c r="X15" s="620"/>
      <c r="Y15" s="620"/>
      <c r="Z15" s="620"/>
    </row>
    <row r="16" spans="1:31" s="612" customFormat="1" ht="31.5">
      <c r="A16" s="544">
        <v>5</v>
      </c>
      <c r="B16" s="622" t="s">
        <v>1098</v>
      </c>
      <c r="C16" s="614"/>
      <c r="D16" s="544" t="s">
        <v>452</v>
      </c>
      <c r="E16" s="543" t="s">
        <v>139</v>
      </c>
      <c r="F16" s="624">
        <v>6728</v>
      </c>
      <c r="G16" s="624"/>
      <c r="H16" s="627">
        <v>5985</v>
      </c>
      <c r="I16" s="627"/>
      <c r="J16" s="627"/>
      <c r="K16" s="627"/>
      <c r="L16" s="628">
        <v>1916.8219999999999</v>
      </c>
      <c r="M16" s="620"/>
      <c r="N16" s="629"/>
      <c r="O16" s="629"/>
      <c r="P16" s="626">
        <v>64.180000000000007</v>
      </c>
      <c r="Q16" s="626"/>
      <c r="R16" s="626">
        <v>32.4</v>
      </c>
      <c r="S16" s="626"/>
      <c r="T16" s="624">
        <v>38</v>
      </c>
      <c r="U16" s="629"/>
      <c r="V16" s="620"/>
      <c r="W16" s="620"/>
      <c r="X16" s="620"/>
      <c r="Y16" s="620"/>
      <c r="Z16" s="620"/>
    </row>
    <row r="17" spans="1:26" s="612" customFormat="1" ht="60" customHeight="1">
      <c r="A17" s="621">
        <v>6</v>
      </c>
      <c r="B17" s="622" t="s">
        <v>1099</v>
      </c>
      <c r="C17" s="623"/>
      <c r="D17" s="544" t="s">
        <v>736</v>
      </c>
      <c r="E17" s="543" t="s">
        <v>1100</v>
      </c>
      <c r="F17" s="624">
        <v>32330</v>
      </c>
      <c r="G17" s="624"/>
      <c r="H17" s="611">
        <v>28864</v>
      </c>
      <c r="I17" s="611"/>
      <c r="J17" s="611"/>
      <c r="K17" s="611"/>
      <c r="L17" s="630">
        <v>10620.835999999999</v>
      </c>
      <c r="M17" s="611"/>
      <c r="N17" s="629"/>
      <c r="O17" s="629"/>
      <c r="P17" s="626">
        <v>1721.8</v>
      </c>
      <c r="Q17" s="626"/>
      <c r="R17" s="631"/>
      <c r="S17" s="631"/>
      <c r="T17" s="624">
        <v>1516.799</v>
      </c>
      <c r="U17" s="629"/>
      <c r="V17" s="602"/>
      <c r="W17" s="602"/>
      <c r="X17" s="602"/>
      <c r="Y17" s="602"/>
      <c r="Z17" s="620"/>
    </row>
    <row r="18" spans="1:26" s="634" customFormat="1" ht="63">
      <c r="A18" s="621">
        <v>7</v>
      </c>
      <c r="B18" s="632" t="s">
        <v>1101</v>
      </c>
      <c r="C18" s="614"/>
      <c r="D18" s="544" t="s">
        <v>736</v>
      </c>
      <c r="E18" s="436" t="s">
        <v>1102</v>
      </c>
      <c r="F18" s="624">
        <v>10000</v>
      </c>
      <c r="G18" s="624"/>
      <c r="H18" s="627">
        <v>6765</v>
      </c>
      <c r="I18" s="627"/>
      <c r="J18" s="616"/>
      <c r="K18" s="616"/>
      <c r="L18" s="628">
        <v>921.37599999999998</v>
      </c>
      <c r="M18" s="620"/>
      <c r="N18" s="624"/>
      <c r="O18" s="624"/>
      <c r="P18" s="626">
        <v>213.62</v>
      </c>
      <c r="Q18" s="626"/>
      <c r="R18" s="626">
        <v>39</v>
      </c>
      <c r="S18" s="626"/>
      <c r="T18" s="624">
        <v>39</v>
      </c>
      <c r="U18" s="624"/>
      <c r="V18" s="633"/>
      <c r="W18" s="633"/>
      <c r="X18" s="633"/>
      <c r="Y18" s="633"/>
      <c r="Z18" s="633"/>
    </row>
    <row r="19" spans="1:26" s="612" customFormat="1" ht="15.75">
      <c r="A19" s="433" t="s">
        <v>418</v>
      </c>
      <c r="B19" s="635" t="s">
        <v>1103</v>
      </c>
      <c r="C19" s="623"/>
      <c r="D19" s="552"/>
      <c r="E19" s="636"/>
      <c r="F19" s="637">
        <f t="shared" ref="F19:Y19" si="3">+F20</f>
        <v>10000</v>
      </c>
      <c r="G19" s="637">
        <f t="shared" si="3"/>
        <v>0</v>
      </c>
      <c r="H19" s="637">
        <f t="shared" si="3"/>
        <v>9958</v>
      </c>
      <c r="I19" s="637">
        <f t="shared" si="3"/>
        <v>0</v>
      </c>
      <c r="J19" s="637">
        <f t="shared" si="3"/>
        <v>0</v>
      </c>
      <c r="K19" s="637">
        <f t="shared" si="3"/>
        <v>0</v>
      </c>
      <c r="L19" s="637">
        <f t="shared" si="3"/>
        <v>3608</v>
      </c>
      <c r="M19" s="637">
        <f t="shared" si="3"/>
        <v>0</v>
      </c>
      <c r="N19" s="637">
        <f t="shared" si="3"/>
        <v>4200</v>
      </c>
      <c r="O19" s="637">
        <f t="shared" si="3"/>
        <v>0</v>
      </c>
      <c r="P19" s="637">
        <f t="shared" si="3"/>
        <v>0</v>
      </c>
      <c r="Q19" s="637">
        <f t="shared" si="3"/>
        <v>0</v>
      </c>
      <c r="R19" s="637">
        <f t="shared" si="3"/>
        <v>3463</v>
      </c>
      <c r="S19" s="637">
        <f t="shared" si="3"/>
        <v>0</v>
      </c>
      <c r="T19" s="637">
        <f t="shared" si="3"/>
        <v>4200</v>
      </c>
      <c r="U19" s="637">
        <f t="shared" si="3"/>
        <v>0</v>
      </c>
      <c r="V19" s="637">
        <f t="shared" si="3"/>
        <v>0</v>
      </c>
      <c r="W19" s="637">
        <f t="shared" si="3"/>
        <v>0</v>
      </c>
      <c r="X19" s="637">
        <f t="shared" si="3"/>
        <v>0</v>
      </c>
      <c r="Y19" s="637">
        <f t="shared" si="3"/>
        <v>0</v>
      </c>
      <c r="Z19" s="620"/>
    </row>
    <row r="20" spans="1:26" s="612" customFormat="1" ht="49.5" customHeight="1">
      <c r="A20" s="621">
        <v>1</v>
      </c>
      <c r="B20" s="632" t="s">
        <v>1104</v>
      </c>
      <c r="C20" s="614" t="s">
        <v>441</v>
      </c>
      <c r="D20" s="544" t="s">
        <v>736</v>
      </c>
      <c r="E20" s="436" t="s">
        <v>1105</v>
      </c>
      <c r="F20" s="624">
        <v>10000</v>
      </c>
      <c r="G20" s="624"/>
      <c r="H20" s="616">
        <v>9958</v>
      </c>
      <c r="I20" s="619"/>
      <c r="J20" s="619"/>
      <c r="K20" s="619"/>
      <c r="L20" s="616">
        <v>3608</v>
      </c>
      <c r="M20" s="619"/>
      <c r="N20" s="624">
        <v>4200</v>
      </c>
      <c r="O20" s="624"/>
      <c r="P20" s="624"/>
      <c r="Q20" s="624"/>
      <c r="R20" s="606">
        <v>3463</v>
      </c>
      <c r="S20" s="606"/>
      <c r="T20" s="624">
        <v>4200</v>
      </c>
      <c r="U20" s="624"/>
      <c r="V20" s="619"/>
      <c r="W20" s="619"/>
      <c r="X20" s="619"/>
      <c r="Y20" s="619"/>
      <c r="Z20" s="620"/>
    </row>
    <row r="21" spans="1:26" s="612" customFormat="1" ht="42.75" customHeight="1">
      <c r="A21" s="433" t="s">
        <v>1106</v>
      </c>
      <c r="B21" s="635" t="s">
        <v>559</v>
      </c>
      <c r="C21" s="614"/>
      <c r="D21" s="552"/>
      <c r="E21" s="636"/>
      <c r="F21" s="637">
        <f>+F22+F23</f>
        <v>5050</v>
      </c>
      <c r="G21" s="637">
        <f t="shared" ref="G21:Y21" si="4">+G22+G23</f>
        <v>0</v>
      </c>
      <c r="H21" s="637">
        <f t="shared" si="4"/>
        <v>5050</v>
      </c>
      <c r="I21" s="637">
        <f t="shared" si="4"/>
        <v>0</v>
      </c>
      <c r="J21" s="637">
        <f t="shared" si="4"/>
        <v>0</v>
      </c>
      <c r="K21" s="637">
        <f t="shared" si="4"/>
        <v>0</v>
      </c>
      <c r="L21" s="637">
        <f t="shared" si="4"/>
        <v>847.12057100000004</v>
      </c>
      <c r="M21" s="637">
        <f t="shared" si="4"/>
        <v>0</v>
      </c>
      <c r="N21" s="637">
        <f t="shared" si="4"/>
        <v>3077</v>
      </c>
      <c r="O21" s="637">
        <f t="shared" si="4"/>
        <v>0</v>
      </c>
      <c r="P21" s="637">
        <f t="shared" si="4"/>
        <v>0</v>
      </c>
      <c r="Q21" s="637">
        <f t="shared" si="4"/>
        <v>0</v>
      </c>
      <c r="R21" s="637">
        <f t="shared" si="4"/>
        <v>0</v>
      </c>
      <c r="S21" s="637">
        <f t="shared" si="4"/>
        <v>0</v>
      </c>
      <c r="T21" s="637">
        <f t="shared" si="4"/>
        <v>3000</v>
      </c>
      <c r="U21" s="637">
        <f t="shared" si="4"/>
        <v>0</v>
      </c>
      <c r="V21" s="637">
        <f t="shared" si="4"/>
        <v>0</v>
      </c>
      <c r="W21" s="637">
        <f t="shared" si="4"/>
        <v>0</v>
      </c>
      <c r="X21" s="637">
        <f t="shared" si="4"/>
        <v>0</v>
      </c>
      <c r="Y21" s="637">
        <f t="shared" si="4"/>
        <v>0</v>
      </c>
      <c r="Z21" s="620"/>
    </row>
    <row r="22" spans="1:26" s="634" customFormat="1" ht="42.75" customHeight="1">
      <c r="A22" s="621">
        <v>1</v>
      </c>
      <c r="B22" s="632" t="s">
        <v>1107</v>
      </c>
      <c r="C22" s="638" t="s">
        <v>441</v>
      </c>
      <c r="D22" s="639" t="s">
        <v>560</v>
      </c>
      <c r="E22" s="436" t="s">
        <v>1108</v>
      </c>
      <c r="F22" s="624">
        <v>5050</v>
      </c>
      <c r="G22" s="624"/>
      <c r="H22" s="627">
        <v>5050</v>
      </c>
      <c r="I22" s="627"/>
      <c r="J22" s="616"/>
      <c r="K22" s="616"/>
      <c r="L22" s="617">
        <v>847.12057100000004</v>
      </c>
      <c r="M22" s="633"/>
      <c r="N22" s="624">
        <v>3000</v>
      </c>
      <c r="O22" s="624"/>
      <c r="P22" s="624"/>
      <c r="Q22" s="624"/>
      <c r="R22" s="624"/>
      <c r="S22" s="624"/>
      <c r="T22" s="624">
        <v>3000</v>
      </c>
      <c r="U22" s="624"/>
      <c r="V22" s="633"/>
      <c r="W22" s="633"/>
      <c r="X22" s="633"/>
      <c r="Y22" s="633"/>
      <c r="Z22" s="633"/>
    </row>
    <row r="23" spans="1:26" s="634" customFormat="1" ht="46.5" customHeight="1">
      <c r="A23" s="621">
        <v>2</v>
      </c>
      <c r="B23" s="640" t="s">
        <v>1109</v>
      </c>
      <c r="C23" s="638" t="s">
        <v>461</v>
      </c>
      <c r="D23" s="639" t="s">
        <v>560</v>
      </c>
      <c r="E23" s="436" t="s">
        <v>1110</v>
      </c>
      <c r="F23" s="624"/>
      <c r="G23" s="624"/>
      <c r="H23" s="627"/>
      <c r="I23" s="627"/>
      <c r="J23" s="616"/>
      <c r="K23" s="616"/>
      <c r="L23" s="616"/>
      <c r="M23" s="633"/>
      <c r="N23" s="624">
        <v>77</v>
      </c>
      <c r="O23" s="624"/>
      <c r="P23" s="624"/>
      <c r="Q23" s="624"/>
      <c r="R23" s="624"/>
      <c r="S23" s="624"/>
      <c r="T23" s="624"/>
      <c r="U23" s="624"/>
      <c r="V23" s="633"/>
      <c r="W23" s="633"/>
      <c r="X23" s="633"/>
      <c r="Y23" s="633"/>
      <c r="Z23" s="633"/>
    </row>
    <row r="24" spans="1:26" s="634" customFormat="1" ht="47.25">
      <c r="A24" s="550" t="s">
        <v>1111</v>
      </c>
      <c r="B24" s="641" t="s">
        <v>1112</v>
      </c>
      <c r="C24" s="614"/>
      <c r="D24" s="552"/>
      <c r="E24" s="642"/>
      <c r="F24" s="643"/>
      <c r="G24" s="643"/>
      <c r="H24" s="627"/>
      <c r="I24" s="627"/>
      <c r="J24" s="616"/>
      <c r="K24" s="616"/>
      <c r="L24" s="616"/>
      <c r="M24" s="633"/>
      <c r="N24" s="643">
        <v>1616</v>
      </c>
      <c r="O24" s="643"/>
      <c r="P24" s="644">
        <v>1000</v>
      </c>
      <c r="Q24" s="644"/>
      <c r="R24" s="644">
        <f>1615.51747+1000</f>
        <v>2615.5174699999998</v>
      </c>
      <c r="S24" s="644"/>
      <c r="T24" s="643">
        <v>1616</v>
      </c>
      <c r="U24" s="643"/>
      <c r="V24" s="633"/>
      <c r="W24" s="633"/>
      <c r="X24" s="633"/>
      <c r="Y24" s="633"/>
      <c r="Z24" s="645"/>
    </row>
    <row r="25" spans="1:26" s="634" customFormat="1" ht="15.75">
      <c r="A25" s="433" t="s">
        <v>1113</v>
      </c>
      <c r="B25" s="635" t="s">
        <v>1114</v>
      </c>
      <c r="C25" s="614"/>
      <c r="D25" s="552"/>
      <c r="E25" s="636"/>
      <c r="F25" s="646">
        <f>SUM(F26:F31)</f>
        <v>0</v>
      </c>
      <c r="G25" s="646">
        <f t="shared" ref="G25:Y25" si="5">SUM(G26:G31)</f>
        <v>0</v>
      </c>
      <c r="H25" s="646">
        <f t="shared" si="5"/>
        <v>200</v>
      </c>
      <c r="I25" s="646">
        <f t="shared" si="5"/>
        <v>0</v>
      </c>
      <c r="J25" s="646">
        <f t="shared" si="5"/>
        <v>0</v>
      </c>
      <c r="K25" s="646">
        <f t="shared" si="5"/>
        <v>0</v>
      </c>
      <c r="L25" s="646">
        <f t="shared" si="5"/>
        <v>0</v>
      </c>
      <c r="M25" s="646">
        <f t="shared" si="5"/>
        <v>0</v>
      </c>
      <c r="N25" s="646">
        <f t="shared" si="5"/>
        <v>0</v>
      </c>
      <c r="O25" s="646">
        <f t="shared" si="5"/>
        <v>0</v>
      </c>
      <c r="P25" s="646">
        <f t="shared" si="5"/>
        <v>0</v>
      </c>
      <c r="Q25" s="646">
        <f t="shared" si="5"/>
        <v>0</v>
      </c>
      <c r="R25" s="646">
        <f t="shared" si="5"/>
        <v>0</v>
      </c>
      <c r="S25" s="646">
        <f t="shared" si="5"/>
        <v>0</v>
      </c>
      <c r="T25" s="646">
        <f t="shared" si="5"/>
        <v>0</v>
      </c>
      <c r="U25" s="646">
        <f t="shared" si="5"/>
        <v>0</v>
      </c>
      <c r="V25" s="646">
        <f t="shared" si="5"/>
        <v>0</v>
      </c>
      <c r="W25" s="646">
        <f t="shared" si="5"/>
        <v>0</v>
      </c>
      <c r="X25" s="646">
        <f t="shared" si="5"/>
        <v>0</v>
      </c>
      <c r="Y25" s="646">
        <f t="shared" si="5"/>
        <v>0</v>
      </c>
      <c r="Z25" s="645"/>
    </row>
    <row r="26" spans="1:26" s="634" customFormat="1" ht="31.5">
      <c r="A26" s="621">
        <v>1</v>
      </c>
      <c r="B26" s="632" t="s">
        <v>1115</v>
      </c>
      <c r="C26" s="614"/>
      <c r="D26" s="647" t="s">
        <v>1116</v>
      </c>
      <c r="E26" s="543"/>
      <c r="F26" s="545"/>
      <c r="G26" s="545"/>
      <c r="H26" s="627">
        <v>200</v>
      </c>
      <c r="I26" s="627"/>
      <c r="J26" s="616"/>
      <c r="K26" s="616"/>
      <c r="L26" s="616"/>
      <c r="M26" s="633"/>
      <c r="N26" s="624"/>
      <c r="O26" s="624"/>
      <c r="P26" s="624"/>
      <c r="Q26" s="624"/>
      <c r="R26" s="624"/>
      <c r="S26" s="624"/>
      <c r="T26" s="624"/>
      <c r="U26" s="624"/>
      <c r="V26" s="633"/>
      <c r="W26" s="633"/>
      <c r="X26" s="633"/>
      <c r="Y26" s="633"/>
      <c r="Z26" s="633"/>
    </row>
    <row r="27" spans="1:26" s="634" customFormat="1" ht="15.75">
      <c r="A27" s="621">
        <v>2</v>
      </c>
      <c r="B27" s="632" t="s">
        <v>1117</v>
      </c>
      <c r="C27" s="614"/>
      <c r="D27" s="647" t="s">
        <v>1116</v>
      </c>
      <c r="E27" s="543"/>
      <c r="F27" s="545"/>
      <c r="G27" s="624"/>
      <c r="H27" s="627"/>
      <c r="I27" s="627"/>
      <c r="J27" s="616"/>
      <c r="K27" s="616"/>
      <c r="L27" s="648"/>
      <c r="M27" s="633"/>
      <c r="N27" s="624"/>
      <c r="O27" s="624"/>
      <c r="P27" s="624"/>
      <c r="Q27" s="624"/>
      <c r="R27" s="624"/>
      <c r="S27" s="624"/>
      <c r="T27" s="624"/>
      <c r="U27" s="624"/>
      <c r="V27" s="633"/>
      <c r="W27" s="633"/>
      <c r="X27" s="633"/>
      <c r="Y27" s="633"/>
      <c r="Z27" s="645"/>
    </row>
    <row r="28" spans="1:26" s="634" customFormat="1" ht="51.75" customHeight="1">
      <c r="A28" s="621">
        <v>3</v>
      </c>
      <c r="B28" s="632" t="s">
        <v>1118</v>
      </c>
      <c r="C28" s="623"/>
      <c r="D28" s="647" t="s">
        <v>1116</v>
      </c>
      <c r="E28" s="543"/>
      <c r="F28" s="545"/>
      <c r="G28" s="624"/>
      <c r="H28" s="602"/>
      <c r="I28" s="602"/>
      <c r="J28" s="602"/>
      <c r="K28" s="602"/>
      <c r="L28" s="602"/>
      <c r="M28" s="602"/>
      <c r="N28" s="624"/>
      <c r="O28" s="624"/>
      <c r="P28" s="624"/>
      <c r="Q28" s="624"/>
      <c r="R28" s="624"/>
      <c r="S28" s="624"/>
      <c r="T28" s="624"/>
      <c r="U28" s="624"/>
      <c r="V28" s="602"/>
      <c r="W28" s="602"/>
      <c r="X28" s="602"/>
      <c r="Y28" s="602"/>
      <c r="Z28" s="633"/>
    </row>
    <row r="29" spans="1:26" s="651" customFormat="1" ht="31.5">
      <c r="A29" s="621">
        <v>4</v>
      </c>
      <c r="B29" s="632" t="s">
        <v>1119</v>
      </c>
      <c r="C29" s="649"/>
      <c r="D29" s="647" t="s">
        <v>1116</v>
      </c>
      <c r="E29" s="543"/>
      <c r="F29" s="545"/>
      <c r="G29" s="624"/>
      <c r="H29" s="627"/>
      <c r="I29" s="627"/>
      <c r="J29" s="616"/>
      <c r="K29" s="616"/>
      <c r="L29" s="620"/>
      <c r="M29" s="650"/>
      <c r="N29" s="624"/>
      <c r="O29" s="624"/>
      <c r="P29" s="624"/>
      <c r="Q29" s="624"/>
      <c r="R29" s="624"/>
      <c r="S29" s="624"/>
      <c r="T29" s="624"/>
      <c r="U29" s="624"/>
      <c r="V29" s="650"/>
      <c r="W29" s="650"/>
      <c r="X29" s="650"/>
      <c r="Y29" s="650"/>
      <c r="Z29" s="650"/>
    </row>
    <row r="30" spans="1:26" s="651" customFormat="1" ht="78.75">
      <c r="A30" s="621">
        <v>5</v>
      </c>
      <c r="B30" s="632" t="s">
        <v>1120</v>
      </c>
      <c r="C30" s="649"/>
      <c r="D30" s="647" t="s">
        <v>1116</v>
      </c>
      <c r="E30" s="543"/>
      <c r="F30" s="545"/>
      <c r="G30" s="624"/>
      <c r="H30" s="627"/>
      <c r="I30" s="627"/>
      <c r="J30" s="616"/>
      <c r="K30" s="616"/>
      <c r="L30" s="620"/>
      <c r="M30" s="650"/>
      <c r="N30" s="624"/>
      <c r="O30" s="624"/>
      <c r="P30" s="624"/>
      <c r="Q30" s="624"/>
      <c r="R30" s="624"/>
      <c r="S30" s="624"/>
      <c r="T30" s="624"/>
      <c r="U30" s="624"/>
      <c r="V30" s="650"/>
      <c r="W30" s="650"/>
      <c r="X30" s="650"/>
      <c r="Y30" s="650"/>
      <c r="Z30" s="650"/>
    </row>
    <row r="31" spans="1:26" s="651" customFormat="1" ht="63">
      <c r="A31" s="621">
        <v>6</v>
      </c>
      <c r="B31" s="632" t="s">
        <v>1121</v>
      </c>
      <c r="C31" s="649"/>
      <c r="D31" s="647" t="s">
        <v>1116</v>
      </c>
      <c r="E31" s="543"/>
      <c r="F31" s="545"/>
      <c r="G31" s="624"/>
      <c r="H31" s="627"/>
      <c r="I31" s="627"/>
      <c r="J31" s="616"/>
      <c r="K31" s="616"/>
      <c r="L31" s="620"/>
      <c r="M31" s="650"/>
      <c r="N31" s="624"/>
      <c r="O31" s="624"/>
      <c r="P31" s="624"/>
      <c r="Q31" s="624"/>
      <c r="R31" s="624"/>
      <c r="S31" s="624"/>
      <c r="T31" s="624"/>
      <c r="U31" s="624"/>
      <c r="V31" s="650"/>
      <c r="W31" s="650"/>
      <c r="X31" s="650"/>
      <c r="Y31" s="650"/>
      <c r="Z31" s="650"/>
    </row>
    <row r="32" spans="1:26" s="651" customFormat="1" ht="15.75">
      <c r="A32" s="552" t="s">
        <v>223</v>
      </c>
      <c r="B32" s="652" t="s">
        <v>1122</v>
      </c>
      <c r="C32" s="649"/>
      <c r="D32" s="642"/>
      <c r="E32" s="653"/>
      <c r="F32" s="601">
        <f t="shared" ref="F32:G32" si="6">F33+F34+F45</f>
        <v>182273</v>
      </c>
      <c r="G32" s="601">
        <f t="shared" si="6"/>
        <v>158922</v>
      </c>
      <c r="H32" s="601">
        <f>H33+H34+H45</f>
        <v>147352.69899999999</v>
      </c>
      <c r="I32" s="601">
        <f t="shared" ref="I32:Y32" si="7">I33+I34+I45</f>
        <v>147352.69899999999</v>
      </c>
      <c r="J32" s="601">
        <f t="shared" si="7"/>
        <v>0</v>
      </c>
      <c r="K32" s="601">
        <f t="shared" si="7"/>
        <v>0</v>
      </c>
      <c r="L32" s="601">
        <f t="shared" si="7"/>
        <v>23456.038308999996</v>
      </c>
      <c r="M32" s="601">
        <f t="shared" si="7"/>
        <v>23456.038308999996</v>
      </c>
      <c r="N32" s="601">
        <f t="shared" si="7"/>
        <v>44505</v>
      </c>
      <c r="O32" s="601">
        <f t="shared" si="7"/>
        <v>44505</v>
      </c>
      <c r="P32" s="601">
        <f t="shared" si="7"/>
        <v>48163.961691000004</v>
      </c>
      <c r="Q32" s="601">
        <f t="shared" si="7"/>
        <v>48163.961691000004</v>
      </c>
      <c r="R32" s="601">
        <f t="shared" si="7"/>
        <v>52126.247000000003</v>
      </c>
      <c r="S32" s="601">
        <f t="shared" si="7"/>
        <v>52126.247000000003</v>
      </c>
      <c r="T32" s="601">
        <f t="shared" si="7"/>
        <v>91023.896000000008</v>
      </c>
      <c r="U32" s="601">
        <f t="shared" si="7"/>
        <v>91023.896000000008</v>
      </c>
      <c r="V32" s="601">
        <f t="shared" si="7"/>
        <v>0</v>
      </c>
      <c r="W32" s="601">
        <f t="shared" si="7"/>
        <v>0</v>
      </c>
      <c r="X32" s="601">
        <f t="shared" si="7"/>
        <v>0</v>
      </c>
      <c r="Y32" s="601">
        <f t="shared" si="7"/>
        <v>0</v>
      </c>
      <c r="Z32" s="650"/>
    </row>
    <row r="33" spans="1:26" s="651" customFormat="1" ht="15.75">
      <c r="A33" s="552" t="s">
        <v>668</v>
      </c>
      <c r="B33" s="652" t="s">
        <v>1123</v>
      </c>
      <c r="C33" s="649"/>
      <c r="D33" s="642"/>
      <c r="E33" s="653"/>
      <c r="F33" s="601"/>
      <c r="G33" s="601"/>
      <c r="H33" s="654">
        <v>2300</v>
      </c>
      <c r="I33" s="654">
        <v>2300</v>
      </c>
      <c r="J33" s="616"/>
      <c r="K33" s="616"/>
      <c r="L33" s="620"/>
      <c r="M33" s="650"/>
      <c r="N33" s="601">
        <v>166</v>
      </c>
      <c r="O33" s="601">
        <v>166</v>
      </c>
      <c r="P33" s="601"/>
      <c r="Q33" s="601"/>
      <c r="R33" s="655"/>
      <c r="S33" s="655"/>
      <c r="T33" s="601">
        <v>166</v>
      </c>
      <c r="U33" s="601">
        <v>166</v>
      </c>
      <c r="V33" s="650"/>
      <c r="W33" s="650"/>
      <c r="X33" s="650"/>
      <c r="Y33" s="650"/>
      <c r="Z33" s="650"/>
    </row>
    <row r="34" spans="1:26" s="651" customFormat="1" ht="15.75">
      <c r="A34" s="552" t="s">
        <v>234</v>
      </c>
      <c r="B34" s="605" t="s">
        <v>1124</v>
      </c>
      <c r="C34" s="649"/>
      <c r="D34" s="656"/>
      <c r="E34" s="653"/>
      <c r="F34" s="601">
        <f>+SUM(F35:F44)</f>
        <v>48636</v>
      </c>
      <c r="G34" s="601">
        <f t="shared" ref="G34:Y34" si="8">+SUM(G35:G44)</f>
        <v>48422</v>
      </c>
      <c r="H34" s="601">
        <f t="shared" si="8"/>
        <v>45062.699000000001</v>
      </c>
      <c r="I34" s="601">
        <f t="shared" si="8"/>
        <v>45062.699000000001</v>
      </c>
      <c r="J34" s="601">
        <f t="shared" si="8"/>
        <v>0</v>
      </c>
      <c r="K34" s="601">
        <f t="shared" si="8"/>
        <v>0</v>
      </c>
      <c r="L34" s="601">
        <f t="shared" si="8"/>
        <v>15250.934308999998</v>
      </c>
      <c r="M34" s="601">
        <f t="shared" si="8"/>
        <v>15250.934308999998</v>
      </c>
      <c r="N34" s="601">
        <f t="shared" si="8"/>
        <v>0</v>
      </c>
      <c r="O34" s="601">
        <f t="shared" si="8"/>
        <v>0</v>
      </c>
      <c r="P34" s="601">
        <f t="shared" si="8"/>
        <v>918.06569100000002</v>
      </c>
      <c r="Q34" s="601">
        <f t="shared" si="8"/>
        <v>918.06569100000002</v>
      </c>
      <c r="R34" s="601">
        <f t="shared" si="8"/>
        <v>0</v>
      </c>
      <c r="S34" s="601">
        <f t="shared" si="8"/>
        <v>0</v>
      </c>
      <c r="T34" s="601">
        <f t="shared" si="8"/>
        <v>2</v>
      </c>
      <c r="U34" s="601">
        <f t="shared" si="8"/>
        <v>2</v>
      </c>
      <c r="V34" s="601">
        <f t="shared" si="8"/>
        <v>0</v>
      </c>
      <c r="W34" s="601">
        <f t="shared" si="8"/>
        <v>0</v>
      </c>
      <c r="X34" s="601">
        <f t="shared" si="8"/>
        <v>0</v>
      </c>
      <c r="Y34" s="601">
        <f t="shared" si="8"/>
        <v>0</v>
      </c>
      <c r="Z34" s="650"/>
    </row>
    <row r="35" spans="1:26" s="662" customFormat="1" ht="42.75" customHeight="1">
      <c r="A35" s="657">
        <v>1</v>
      </c>
      <c r="B35" s="658" t="s">
        <v>1125</v>
      </c>
      <c r="C35" s="659"/>
      <c r="D35" s="544" t="s">
        <v>122</v>
      </c>
      <c r="E35" s="436" t="s">
        <v>1126</v>
      </c>
      <c r="F35" s="624">
        <v>9800</v>
      </c>
      <c r="G35" s="624">
        <v>9800</v>
      </c>
      <c r="H35" s="611">
        <v>7864</v>
      </c>
      <c r="I35" s="611">
        <v>7864</v>
      </c>
      <c r="J35" s="611"/>
      <c r="K35" s="611"/>
      <c r="L35" s="660">
        <v>487.47833000000003</v>
      </c>
      <c r="M35" s="660">
        <v>487.47833000000003</v>
      </c>
      <c r="N35" s="624"/>
      <c r="O35" s="624"/>
      <c r="P35" s="624">
        <v>76.52167</v>
      </c>
      <c r="Q35" s="624">
        <v>76.52167</v>
      </c>
      <c r="R35" s="661"/>
      <c r="S35" s="661"/>
      <c r="T35" s="624"/>
      <c r="U35" s="624"/>
      <c r="V35" s="602"/>
      <c r="W35" s="602"/>
      <c r="X35" s="602"/>
      <c r="Y35" s="602"/>
      <c r="Z35" s="1261" t="s">
        <v>129</v>
      </c>
    </row>
    <row r="36" spans="1:26" s="651" customFormat="1" ht="42" customHeight="1">
      <c r="A36" s="657">
        <v>2</v>
      </c>
      <c r="B36" s="658" t="s">
        <v>423</v>
      </c>
      <c r="C36" s="649"/>
      <c r="D36" s="544" t="s">
        <v>122</v>
      </c>
      <c r="E36" s="436" t="s">
        <v>1127</v>
      </c>
      <c r="F36" s="624">
        <v>9700</v>
      </c>
      <c r="G36" s="624">
        <v>9700</v>
      </c>
      <c r="H36" s="660">
        <v>9050.6990000000005</v>
      </c>
      <c r="I36" s="660">
        <v>9050.6990000000005</v>
      </c>
      <c r="J36" s="663"/>
      <c r="K36" s="616"/>
      <c r="L36" s="660">
        <v>932.72616400000004</v>
      </c>
      <c r="M36" s="660">
        <v>932.72616400000004</v>
      </c>
      <c r="N36" s="624"/>
      <c r="O36" s="624"/>
      <c r="P36" s="624">
        <v>34.273836000000003</v>
      </c>
      <c r="Q36" s="624">
        <v>34.273836000000003</v>
      </c>
      <c r="R36" s="661"/>
      <c r="S36" s="661"/>
      <c r="T36" s="624"/>
      <c r="U36" s="624"/>
      <c r="V36" s="620"/>
      <c r="W36" s="620"/>
      <c r="X36" s="650"/>
      <c r="Y36" s="650"/>
      <c r="Z36" s="1262"/>
    </row>
    <row r="37" spans="1:26" s="651" customFormat="1" ht="31.5">
      <c r="A37" s="657">
        <v>3</v>
      </c>
      <c r="B37" s="658" t="s">
        <v>426</v>
      </c>
      <c r="C37" s="649"/>
      <c r="D37" s="544" t="s">
        <v>122</v>
      </c>
      <c r="E37" s="436" t="s">
        <v>1128</v>
      </c>
      <c r="F37" s="624">
        <v>8000</v>
      </c>
      <c r="G37" s="624">
        <v>8000</v>
      </c>
      <c r="H37" s="627">
        <v>7300</v>
      </c>
      <c r="I37" s="627">
        <v>7300</v>
      </c>
      <c r="J37" s="663"/>
      <c r="K37" s="616"/>
      <c r="L37" s="660">
        <v>1347.0461989999999</v>
      </c>
      <c r="M37" s="660">
        <v>1347.0461989999999</v>
      </c>
      <c r="N37" s="624"/>
      <c r="O37" s="624"/>
      <c r="P37" s="624">
        <v>12.953801</v>
      </c>
      <c r="Q37" s="624">
        <v>12.953801</v>
      </c>
      <c r="R37" s="661"/>
      <c r="S37" s="661"/>
      <c r="T37" s="624"/>
      <c r="U37" s="624"/>
      <c r="V37" s="620"/>
      <c r="W37" s="620"/>
      <c r="X37" s="650"/>
      <c r="Y37" s="650"/>
      <c r="Z37" s="1262"/>
    </row>
    <row r="38" spans="1:26" s="651" customFormat="1" ht="31.5">
      <c r="A38" s="657">
        <v>4</v>
      </c>
      <c r="B38" s="437" t="s">
        <v>427</v>
      </c>
      <c r="C38" s="649"/>
      <c r="D38" s="544" t="s">
        <v>736</v>
      </c>
      <c r="E38" s="664" t="s">
        <v>554</v>
      </c>
      <c r="F38" s="665">
        <v>4500</v>
      </c>
      <c r="G38" s="665">
        <v>4450</v>
      </c>
      <c r="H38" s="627">
        <v>4450</v>
      </c>
      <c r="I38" s="627">
        <v>4450</v>
      </c>
      <c r="J38" s="663"/>
      <c r="K38" s="616"/>
      <c r="L38" s="660">
        <v>2732.9630000000002</v>
      </c>
      <c r="M38" s="660">
        <v>2732.9630000000002</v>
      </c>
      <c r="N38" s="624"/>
      <c r="O38" s="624"/>
      <c r="P38" s="624">
        <v>367.03699999999998</v>
      </c>
      <c r="Q38" s="624">
        <v>367.03699999999998</v>
      </c>
      <c r="R38" s="606"/>
      <c r="S38" s="606"/>
      <c r="T38" s="624"/>
      <c r="U38" s="624"/>
      <c r="V38" s="620"/>
      <c r="W38" s="620"/>
      <c r="X38" s="650"/>
      <c r="Y38" s="650"/>
      <c r="Z38" s="1262"/>
    </row>
    <row r="39" spans="1:26" s="651" customFormat="1" ht="33.75" customHeight="1">
      <c r="A39" s="657">
        <v>5</v>
      </c>
      <c r="B39" s="437" t="s">
        <v>428</v>
      </c>
      <c r="C39" s="659"/>
      <c r="D39" s="544" t="s">
        <v>736</v>
      </c>
      <c r="E39" s="664" t="s">
        <v>555</v>
      </c>
      <c r="F39" s="665">
        <v>4500</v>
      </c>
      <c r="G39" s="665">
        <v>4455</v>
      </c>
      <c r="H39" s="666">
        <v>4450</v>
      </c>
      <c r="I39" s="666">
        <v>4450</v>
      </c>
      <c r="J39" s="666"/>
      <c r="K39" s="666"/>
      <c r="L39" s="660">
        <v>2977.140981</v>
      </c>
      <c r="M39" s="660">
        <v>2977.140981</v>
      </c>
      <c r="N39" s="624"/>
      <c r="O39" s="624"/>
      <c r="P39" s="624">
        <v>152.85901899999999</v>
      </c>
      <c r="Q39" s="624">
        <v>152.85901899999999</v>
      </c>
      <c r="R39" s="606"/>
      <c r="S39" s="606"/>
      <c r="T39" s="624"/>
      <c r="U39" s="624"/>
      <c r="V39" s="667"/>
      <c r="W39" s="667"/>
      <c r="X39" s="667"/>
      <c r="Y39" s="667"/>
      <c r="Z39" s="1262"/>
    </row>
    <row r="40" spans="1:26" s="651" customFormat="1" ht="39.75" customHeight="1">
      <c r="A40" s="657">
        <v>6</v>
      </c>
      <c r="B40" s="437" t="s">
        <v>430</v>
      </c>
      <c r="C40" s="649"/>
      <c r="D40" s="544" t="s">
        <v>736</v>
      </c>
      <c r="E40" s="664" t="s">
        <v>556</v>
      </c>
      <c r="F40" s="665">
        <v>2410</v>
      </c>
      <c r="G40" s="665">
        <v>2387</v>
      </c>
      <c r="H40" s="627">
        <v>2380</v>
      </c>
      <c r="I40" s="627">
        <v>2380</v>
      </c>
      <c r="J40" s="663"/>
      <c r="K40" s="616"/>
      <c r="L40" s="660">
        <v>1086.893466</v>
      </c>
      <c r="M40" s="660">
        <v>1086.893466</v>
      </c>
      <c r="N40" s="624"/>
      <c r="O40" s="624"/>
      <c r="P40" s="624">
        <v>93.106533999999996</v>
      </c>
      <c r="Q40" s="624">
        <v>93.106533999999996</v>
      </c>
      <c r="R40" s="606"/>
      <c r="S40" s="606"/>
      <c r="T40" s="624"/>
      <c r="U40" s="624"/>
      <c r="V40" s="620"/>
      <c r="W40" s="620"/>
      <c r="X40" s="650"/>
      <c r="Y40" s="650"/>
      <c r="Z40" s="1262"/>
    </row>
    <row r="41" spans="1:26" s="651" customFormat="1" ht="30" customHeight="1">
      <c r="A41" s="657">
        <v>7</v>
      </c>
      <c r="B41" s="437" t="s">
        <v>432</v>
      </c>
      <c r="C41" s="649"/>
      <c r="D41" s="544" t="s">
        <v>736</v>
      </c>
      <c r="E41" s="664" t="s">
        <v>557</v>
      </c>
      <c r="F41" s="665">
        <v>2442</v>
      </c>
      <c r="G41" s="665">
        <v>2418</v>
      </c>
      <c r="H41" s="627">
        <v>2400</v>
      </c>
      <c r="I41" s="627">
        <v>2400</v>
      </c>
      <c r="J41" s="663"/>
      <c r="K41" s="616"/>
      <c r="L41" s="660">
        <v>1128.434</v>
      </c>
      <c r="M41" s="660">
        <v>1128.434</v>
      </c>
      <c r="N41" s="624"/>
      <c r="O41" s="624"/>
      <c r="P41" s="624">
        <v>71.566000000000003</v>
      </c>
      <c r="Q41" s="624">
        <v>71.566000000000003</v>
      </c>
      <c r="R41" s="606"/>
      <c r="S41" s="606"/>
      <c r="T41" s="624"/>
      <c r="U41" s="624"/>
      <c r="V41" s="620"/>
      <c r="W41" s="620"/>
      <c r="X41" s="650"/>
      <c r="Y41" s="650"/>
      <c r="Z41" s="1262"/>
    </row>
    <row r="42" spans="1:26" s="651" customFormat="1" ht="30" customHeight="1">
      <c r="A42" s="657">
        <v>8</v>
      </c>
      <c r="B42" s="437" t="s">
        <v>434</v>
      </c>
      <c r="C42" s="649"/>
      <c r="D42" s="544" t="s">
        <v>736</v>
      </c>
      <c r="E42" s="664" t="s">
        <v>558</v>
      </c>
      <c r="F42" s="665">
        <v>2442</v>
      </c>
      <c r="G42" s="665">
        <v>2418</v>
      </c>
      <c r="H42" s="627">
        <v>2408</v>
      </c>
      <c r="I42" s="627">
        <v>2408</v>
      </c>
      <c r="J42" s="663"/>
      <c r="K42" s="616"/>
      <c r="L42" s="660">
        <v>1203.4380000000001</v>
      </c>
      <c r="M42" s="660">
        <v>1203.4380000000001</v>
      </c>
      <c r="N42" s="624"/>
      <c r="O42" s="624"/>
      <c r="P42" s="624">
        <v>4.5620000000000003</v>
      </c>
      <c r="Q42" s="624">
        <v>4.5620000000000003</v>
      </c>
      <c r="R42" s="606"/>
      <c r="S42" s="606"/>
      <c r="T42" s="624">
        <v>2</v>
      </c>
      <c r="U42" s="624">
        <v>2</v>
      </c>
      <c r="V42" s="620"/>
      <c r="W42" s="620"/>
      <c r="X42" s="650"/>
      <c r="Y42" s="650"/>
      <c r="Z42" s="1262"/>
    </row>
    <row r="43" spans="1:26" s="651" customFormat="1" ht="30" customHeight="1">
      <c r="A43" s="657">
        <v>9</v>
      </c>
      <c r="B43" s="437" t="s">
        <v>435</v>
      </c>
      <c r="C43" s="649"/>
      <c r="D43" s="544" t="s">
        <v>736</v>
      </c>
      <c r="E43" s="544" t="s">
        <v>1129</v>
      </c>
      <c r="F43" s="665">
        <v>2442</v>
      </c>
      <c r="G43" s="665">
        <v>2418</v>
      </c>
      <c r="H43" s="627">
        <v>2410</v>
      </c>
      <c r="I43" s="627">
        <v>2410</v>
      </c>
      <c r="J43" s="663"/>
      <c r="K43" s="616"/>
      <c r="L43" s="660">
        <v>1110.0001689999999</v>
      </c>
      <c r="M43" s="660">
        <v>1110.0001689999999</v>
      </c>
      <c r="N43" s="624"/>
      <c r="O43" s="624"/>
      <c r="P43" s="624">
        <v>49.999831</v>
      </c>
      <c r="Q43" s="624">
        <v>49.999831</v>
      </c>
      <c r="R43" s="606"/>
      <c r="S43" s="606"/>
      <c r="T43" s="624"/>
      <c r="U43" s="624"/>
      <c r="V43" s="620"/>
      <c r="W43" s="620"/>
      <c r="X43" s="650"/>
      <c r="Y43" s="650"/>
      <c r="Z43" s="1262"/>
    </row>
    <row r="44" spans="1:26" s="651" customFormat="1" ht="30" customHeight="1">
      <c r="A44" s="657">
        <v>10</v>
      </c>
      <c r="B44" s="437" t="s">
        <v>1130</v>
      </c>
      <c r="C44" s="649"/>
      <c r="D44" s="544"/>
      <c r="E44" s="665" t="s">
        <v>1131</v>
      </c>
      <c r="F44" s="665">
        <v>2400</v>
      </c>
      <c r="G44" s="665">
        <v>2376</v>
      </c>
      <c r="H44" s="616">
        <v>2350</v>
      </c>
      <c r="I44" s="616">
        <v>2350</v>
      </c>
      <c r="J44" s="616"/>
      <c r="K44" s="616"/>
      <c r="L44" s="660">
        <v>2244.8139999999999</v>
      </c>
      <c r="M44" s="660">
        <v>2244.8139999999999</v>
      </c>
      <c r="N44" s="624"/>
      <c r="O44" s="624"/>
      <c r="P44" s="624">
        <v>55.186</v>
      </c>
      <c r="Q44" s="624">
        <v>55.186</v>
      </c>
      <c r="R44" s="606"/>
      <c r="S44" s="606"/>
      <c r="T44" s="624"/>
      <c r="U44" s="624"/>
      <c r="V44" s="616"/>
      <c r="W44" s="616"/>
      <c r="X44" s="616"/>
      <c r="Y44" s="616"/>
      <c r="Z44" s="1263"/>
    </row>
    <row r="45" spans="1:26" s="651" customFormat="1" ht="42" customHeight="1">
      <c r="A45" s="551" t="s">
        <v>1132</v>
      </c>
      <c r="B45" s="605" t="s">
        <v>1133</v>
      </c>
      <c r="C45" s="649"/>
      <c r="D45" s="668"/>
      <c r="E45" s="642"/>
      <c r="F45" s="669">
        <f>F46+F47+F48+F49+F50+F51+F52+F53</f>
        <v>133637</v>
      </c>
      <c r="G45" s="669">
        <f t="shared" ref="G45:Y45" si="9">G46+G47+G48+G49+G50+G51+G52+G53</f>
        <v>110500</v>
      </c>
      <c r="H45" s="669">
        <f t="shared" si="9"/>
        <v>99990</v>
      </c>
      <c r="I45" s="669">
        <f t="shared" si="9"/>
        <v>99990</v>
      </c>
      <c r="J45" s="669">
        <f t="shared" si="9"/>
        <v>0</v>
      </c>
      <c r="K45" s="669">
        <f t="shared" si="9"/>
        <v>0</v>
      </c>
      <c r="L45" s="669">
        <f t="shared" si="9"/>
        <v>8205.1039999999994</v>
      </c>
      <c r="M45" s="669">
        <f t="shared" si="9"/>
        <v>8205.1039999999994</v>
      </c>
      <c r="N45" s="669">
        <f t="shared" si="9"/>
        <v>44339</v>
      </c>
      <c r="O45" s="669">
        <f t="shared" si="9"/>
        <v>44339</v>
      </c>
      <c r="P45" s="669">
        <f t="shared" si="9"/>
        <v>47245.896000000001</v>
      </c>
      <c r="Q45" s="669">
        <f t="shared" si="9"/>
        <v>47245.896000000001</v>
      </c>
      <c r="R45" s="669">
        <f t="shared" si="9"/>
        <v>52126.247000000003</v>
      </c>
      <c r="S45" s="669">
        <f t="shared" si="9"/>
        <v>52126.247000000003</v>
      </c>
      <c r="T45" s="669">
        <f t="shared" si="9"/>
        <v>90855.896000000008</v>
      </c>
      <c r="U45" s="669">
        <f t="shared" si="9"/>
        <v>90855.896000000008</v>
      </c>
      <c r="V45" s="669">
        <f t="shared" si="9"/>
        <v>0</v>
      </c>
      <c r="W45" s="669">
        <f t="shared" si="9"/>
        <v>0</v>
      </c>
      <c r="X45" s="669">
        <f t="shared" si="9"/>
        <v>0</v>
      </c>
      <c r="Y45" s="669">
        <f t="shared" si="9"/>
        <v>0</v>
      </c>
      <c r="Z45" s="650"/>
    </row>
    <row r="46" spans="1:26" s="651" customFormat="1" ht="52.5" customHeight="1">
      <c r="A46" s="657">
        <v>1</v>
      </c>
      <c r="B46" s="437" t="s">
        <v>1134</v>
      </c>
      <c r="C46" s="649"/>
      <c r="D46" s="544" t="s">
        <v>738</v>
      </c>
      <c r="E46" s="665" t="s">
        <v>1135</v>
      </c>
      <c r="F46" s="665">
        <v>9500</v>
      </c>
      <c r="G46" s="665">
        <v>9340</v>
      </c>
      <c r="H46" s="627">
        <v>9200</v>
      </c>
      <c r="I46" s="627">
        <v>9200</v>
      </c>
      <c r="J46" s="663"/>
      <c r="K46" s="616"/>
      <c r="L46" s="660">
        <v>3837.0819999999999</v>
      </c>
      <c r="M46" s="660">
        <v>3837.0819999999999</v>
      </c>
      <c r="N46" s="624"/>
      <c r="O46" s="624"/>
      <c r="P46" s="624">
        <v>5262.9179999999997</v>
      </c>
      <c r="Q46" s="624">
        <v>5262.9179999999997</v>
      </c>
      <c r="R46" s="606">
        <v>3636.6619999999998</v>
      </c>
      <c r="S46" s="606">
        <v>3636.6619999999998</v>
      </c>
      <c r="T46" s="606">
        <v>4612.9179999999997</v>
      </c>
      <c r="U46" s="606">
        <v>4612.9179999999997</v>
      </c>
      <c r="V46" s="620"/>
      <c r="W46" s="620"/>
      <c r="X46" s="650"/>
      <c r="Y46" s="650"/>
      <c r="Z46" s="1261" t="s">
        <v>129</v>
      </c>
    </row>
    <row r="47" spans="1:26" s="651" customFormat="1" ht="48.75" customHeight="1">
      <c r="A47" s="657">
        <v>2</v>
      </c>
      <c r="B47" s="437" t="s">
        <v>1136</v>
      </c>
      <c r="C47" s="649"/>
      <c r="D47" s="544" t="s">
        <v>738</v>
      </c>
      <c r="E47" s="665" t="s">
        <v>1137</v>
      </c>
      <c r="F47" s="665">
        <v>8000</v>
      </c>
      <c r="G47" s="665">
        <v>7940</v>
      </c>
      <c r="H47" s="627">
        <v>7700</v>
      </c>
      <c r="I47" s="627">
        <v>7700</v>
      </c>
      <c r="J47" s="663"/>
      <c r="K47" s="616"/>
      <c r="L47" s="660">
        <v>3253.7379999999998</v>
      </c>
      <c r="M47" s="660">
        <v>3253.7379999999998</v>
      </c>
      <c r="N47" s="624"/>
      <c r="O47" s="624"/>
      <c r="P47" s="624">
        <v>4346.2619999999997</v>
      </c>
      <c r="Q47" s="624">
        <v>4346.2619999999997</v>
      </c>
      <c r="R47" s="626">
        <v>1804.779</v>
      </c>
      <c r="S47" s="626">
        <v>1804.779</v>
      </c>
      <c r="T47" s="606">
        <v>4267.2619999999997</v>
      </c>
      <c r="U47" s="606">
        <v>4267.2619999999997</v>
      </c>
      <c r="V47" s="620"/>
      <c r="W47" s="620"/>
      <c r="X47" s="650"/>
      <c r="Y47" s="650"/>
      <c r="Z47" s="1263"/>
    </row>
    <row r="48" spans="1:26" s="651" customFormat="1" ht="45" customHeight="1">
      <c r="A48" s="657">
        <v>3</v>
      </c>
      <c r="B48" s="437" t="s">
        <v>1138</v>
      </c>
      <c r="C48" s="649"/>
      <c r="D48" s="544" t="s">
        <v>560</v>
      </c>
      <c r="E48" s="436" t="s">
        <v>1139</v>
      </c>
      <c r="F48" s="670">
        <v>8500</v>
      </c>
      <c r="G48" s="670">
        <v>8420</v>
      </c>
      <c r="H48" s="627">
        <v>8420</v>
      </c>
      <c r="I48" s="627">
        <v>8420</v>
      </c>
      <c r="J48" s="663"/>
      <c r="K48" s="616"/>
      <c r="L48" s="660">
        <v>429.82</v>
      </c>
      <c r="M48" s="660">
        <v>429.82</v>
      </c>
      <c r="N48" s="624">
        <v>7720</v>
      </c>
      <c r="O48" s="624">
        <v>7720</v>
      </c>
      <c r="P48" s="624">
        <v>270.18</v>
      </c>
      <c r="Q48" s="624">
        <v>270.18</v>
      </c>
      <c r="R48" s="624">
        <v>3600</v>
      </c>
      <c r="S48" s="624">
        <v>3600</v>
      </c>
      <c r="T48" s="624">
        <f>+U48</f>
        <v>7990.18</v>
      </c>
      <c r="U48" s="624">
        <f>+P48+N48</f>
        <v>7990.18</v>
      </c>
      <c r="V48" s="620"/>
      <c r="W48" s="620"/>
      <c r="X48" s="650"/>
      <c r="Y48" s="650"/>
      <c r="Z48" s="650"/>
    </row>
    <row r="49" spans="1:26" s="673" customFormat="1" ht="45" customHeight="1">
      <c r="A49" s="107">
        <v>4</v>
      </c>
      <c r="B49" s="437" t="s">
        <v>125</v>
      </c>
      <c r="C49" s="614"/>
      <c r="D49" s="544" t="s">
        <v>560</v>
      </c>
      <c r="E49" s="436" t="s">
        <v>1140</v>
      </c>
      <c r="F49" s="546">
        <v>4330</v>
      </c>
      <c r="G49" s="547">
        <v>4280</v>
      </c>
      <c r="H49" s="627">
        <v>4280</v>
      </c>
      <c r="I49" s="627">
        <v>4280</v>
      </c>
      <c r="J49" s="671"/>
      <c r="K49" s="611"/>
      <c r="L49" s="660">
        <v>261.09300000000002</v>
      </c>
      <c r="M49" s="660">
        <v>261.09300000000002</v>
      </c>
      <c r="N49" s="545">
        <v>3780</v>
      </c>
      <c r="O49" s="545">
        <v>3780</v>
      </c>
      <c r="P49" s="624">
        <v>238.90700000000001</v>
      </c>
      <c r="Q49" s="624">
        <v>238.90700000000001</v>
      </c>
      <c r="R49" s="545">
        <f>1800+2276.213-900</f>
        <v>3176.2130000000002</v>
      </c>
      <c r="S49" s="545">
        <f>1800+2276.213-900</f>
        <v>3176.2130000000002</v>
      </c>
      <c r="T49" s="545">
        <f>+U49</f>
        <v>4018.9070000000002</v>
      </c>
      <c r="U49" s="624">
        <f>+P49+N49</f>
        <v>4018.9070000000002</v>
      </c>
      <c r="V49" s="611"/>
      <c r="W49" s="671"/>
      <c r="X49" s="611"/>
      <c r="Y49" s="671"/>
      <c r="Z49" s="672"/>
    </row>
    <row r="50" spans="1:26" s="673" customFormat="1" ht="45" customHeight="1">
      <c r="A50" s="107">
        <v>5</v>
      </c>
      <c r="B50" s="437" t="s">
        <v>126</v>
      </c>
      <c r="C50" s="614"/>
      <c r="D50" s="544" t="s">
        <v>560</v>
      </c>
      <c r="E50" s="436" t="s">
        <v>1141</v>
      </c>
      <c r="F50" s="546">
        <v>5897</v>
      </c>
      <c r="G50" s="547">
        <v>5855</v>
      </c>
      <c r="H50" s="627">
        <v>5855</v>
      </c>
      <c r="I50" s="627">
        <v>5855</v>
      </c>
      <c r="J50" s="671"/>
      <c r="K50" s="611"/>
      <c r="L50" s="660">
        <v>344.52199999999999</v>
      </c>
      <c r="M50" s="660">
        <v>344.52199999999999</v>
      </c>
      <c r="N50" s="545">
        <v>5255</v>
      </c>
      <c r="O50" s="545">
        <v>5255</v>
      </c>
      <c r="P50" s="624">
        <v>255.47800000000001</v>
      </c>
      <c r="Q50" s="624">
        <v>255.47800000000001</v>
      </c>
      <c r="R50" s="545">
        <v>1000</v>
      </c>
      <c r="S50" s="545">
        <v>1000</v>
      </c>
      <c r="T50" s="545">
        <f>+U50</f>
        <v>5510.4780000000001</v>
      </c>
      <c r="U50" s="624">
        <f>+P50+N50</f>
        <v>5510.4780000000001</v>
      </c>
      <c r="V50" s="611"/>
      <c r="W50" s="671"/>
      <c r="X50" s="611"/>
      <c r="Y50" s="671"/>
      <c r="Z50" s="672"/>
    </row>
    <row r="51" spans="1:26" s="673" customFormat="1" ht="42" customHeight="1">
      <c r="A51" s="107">
        <v>6</v>
      </c>
      <c r="B51" s="437" t="s">
        <v>127</v>
      </c>
      <c r="C51" s="614"/>
      <c r="D51" s="544" t="s">
        <v>560</v>
      </c>
      <c r="E51" s="436" t="s">
        <v>1142</v>
      </c>
      <c r="F51" s="546">
        <v>2420</v>
      </c>
      <c r="G51" s="547">
        <v>2400</v>
      </c>
      <c r="H51" s="627">
        <v>2400</v>
      </c>
      <c r="I51" s="627">
        <v>2400</v>
      </c>
      <c r="J51" s="671"/>
      <c r="K51" s="611"/>
      <c r="L51" s="660">
        <v>78.849000000000004</v>
      </c>
      <c r="M51" s="660">
        <v>78.849000000000004</v>
      </c>
      <c r="N51" s="545">
        <v>2200</v>
      </c>
      <c r="O51" s="545">
        <v>2200</v>
      </c>
      <c r="P51" s="624">
        <v>121.151</v>
      </c>
      <c r="Q51" s="624">
        <v>121.151</v>
      </c>
      <c r="R51" s="545"/>
      <c r="S51" s="545"/>
      <c r="T51" s="545">
        <f>+U51</f>
        <v>2321.1509999999998</v>
      </c>
      <c r="U51" s="624">
        <f>+P51+N51</f>
        <v>2321.1509999999998</v>
      </c>
      <c r="V51" s="611"/>
      <c r="W51" s="671"/>
      <c r="X51" s="611"/>
      <c r="Y51" s="671"/>
      <c r="Z51" s="672"/>
    </row>
    <row r="52" spans="1:26" s="673" customFormat="1" ht="63.75" customHeight="1">
      <c r="A52" s="107">
        <v>7</v>
      </c>
      <c r="B52" s="437" t="s">
        <v>124</v>
      </c>
      <c r="C52" s="614"/>
      <c r="D52" s="544" t="s">
        <v>560</v>
      </c>
      <c r="E52" s="436" t="s">
        <v>1143</v>
      </c>
      <c r="F52" s="546">
        <v>14990</v>
      </c>
      <c r="G52" s="546">
        <v>14965</v>
      </c>
      <c r="H52" s="627">
        <v>14965</v>
      </c>
      <c r="I52" s="627">
        <v>14965</v>
      </c>
      <c r="J52" s="671"/>
      <c r="K52" s="611"/>
      <c r="L52" s="660"/>
      <c r="M52" s="660"/>
      <c r="N52" s="545">
        <v>14965</v>
      </c>
      <c r="O52" s="545">
        <v>14965</v>
      </c>
      <c r="P52" s="545"/>
      <c r="Q52" s="545"/>
      <c r="R52" s="545">
        <f>7041.982+2172.148</f>
        <v>9214.130000000001</v>
      </c>
      <c r="S52" s="545">
        <f>7041.982+2172.148</f>
        <v>9214.130000000001</v>
      </c>
      <c r="T52" s="545">
        <v>14965</v>
      </c>
      <c r="U52" s="545">
        <v>14965</v>
      </c>
      <c r="V52" s="611"/>
      <c r="W52" s="671"/>
      <c r="X52" s="611"/>
      <c r="Y52" s="671"/>
      <c r="Z52" s="672"/>
    </row>
    <row r="53" spans="1:26" s="673" customFormat="1" ht="51.75" customHeight="1">
      <c r="A53" s="107">
        <v>8</v>
      </c>
      <c r="B53" s="437" t="s">
        <v>1144</v>
      </c>
      <c r="C53" s="614"/>
      <c r="D53" s="544" t="s">
        <v>560</v>
      </c>
      <c r="E53" s="436" t="s">
        <v>1145</v>
      </c>
      <c r="F53" s="546">
        <v>80000</v>
      </c>
      <c r="G53" s="546">
        <v>57300</v>
      </c>
      <c r="H53" s="627">
        <v>47170</v>
      </c>
      <c r="I53" s="627">
        <v>47170</v>
      </c>
      <c r="J53" s="671"/>
      <c r="K53" s="611"/>
      <c r="L53" s="611"/>
      <c r="M53" s="611"/>
      <c r="N53" s="545">
        <v>10419</v>
      </c>
      <c r="O53" s="545">
        <v>10419</v>
      </c>
      <c r="P53" s="545">
        <v>36751</v>
      </c>
      <c r="Q53" s="545">
        <v>36751</v>
      </c>
      <c r="R53" s="545">
        <v>29694.463</v>
      </c>
      <c r="S53" s="545">
        <v>29694.463</v>
      </c>
      <c r="T53" s="624">
        <f>+U53</f>
        <v>47170</v>
      </c>
      <c r="U53" s="624">
        <f>+P53+N53</f>
        <v>47170</v>
      </c>
      <c r="V53" s="611"/>
      <c r="W53" s="671"/>
      <c r="X53" s="611"/>
      <c r="Y53" s="671"/>
      <c r="Z53" s="672"/>
    </row>
    <row r="54" spans="1:26" s="673" customFormat="1" ht="42" customHeight="1">
      <c r="A54" s="551" t="s">
        <v>226</v>
      </c>
      <c r="B54" s="641" t="s">
        <v>1146</v>
      </c>
      <c r="C54" s="614"/>
      <c r="D54" s="552"/>
      <c r="E54" s="674"/>
      <c r="F54" s="675">
        <f>+F55+F62+F76</f>
        <v>31502</v>
      </c>
      <c r="G54" s="675">
        <f>+G55+G62+G76</f>
        <v>30839</v>
      </c>
      <c r="H54" s="675">
        <f t="shared" ref="H54:U54" si="10">+H55+H62+H76</f>
        <v>30978</v>
      </c>
      <c r="I54" s="675">
        <f t="shared" si="10"/>
        <v>30978</v>
      </c>
      <c r="J54" s="675">
        <f t="shared" si="10"/>
        <v>0</v>
      </c>
      <c r="K54" s="675">
        <f t="shared" si="10"/>
        <v>0</v>
      </c>
      <c r="L54" s="601">
        <f t="shared" si="10"/>
        <v>11599.777571999999</v>
      </c>
      <c r="M54" s="601">
        <f t="shared" si="10"/>
        <v>11599.777571999999</v>
      </c>
      <c r="N54" s="675">
        <f t="shared" si="10"/>
        <v>12158</v>
      </c>
      <c r="O54" s="675">
        <f t="shared" si="10"/>
        <v>12158</v>
      </c>
      <c r="P54" s="676">
        <f t="shared" si="10"/>
        <v>64.222428000000008</v>
      </c>
      <c r="Q54" s="676">
        <f t="shared" si="10"/>
        <v>64.222428000000008</v>
      </c>
      <c r="R54" s="675">
        <f t="shared" si="10"/>
        <v>7423.3839999999991</v>
      </c>
      <c r="S54" s="675">
        <f t="shared" si="10"/>
        <v>7423.3839999999991</v>
      </c>
      <c r="T54" s="675">
        <f t="shared" si="10"/>
        <v>12158</v>
      </c>
      <c r="U54" s="675">
        <f t="shared" si="10"/>
        <v>12158</v>
      </c>
      <c r="V54" s="611"/>
      <c r="W54" s="671"/>
      <c r="X54" s="611"/>
      <c r="Y54" s="671"/>
      <c r="Z54" s="672"/>
    </row>
    <row r="55" spans="1:26" s="673" customFormat="1" ht="42" customHeight="1">
      <c r="A55" s="677" t="s">
        <v>668</v>
      </c>
      <c r="B55" s="434" t="s">
        <v>1147</v>
      </c>
      <c r="C55" s="614"/>
      <c r="D55" s="642"/>
      <c r="E55" s="678"/>
      <c r="F55" s="601">
        <f>+F56+F57+F58+F59+F60+F61</f>
        <v>12146</v>
      </c>
      <c r="G55" s="601">
        <f>+G56+G57+G58+G59+G60+G61</f>
        <v>12022</v>
      </c>
      <c r="H55" s="601">
        <f t="shared" ref="H55:U55" si="11">+H56+H57+H58+H59+H60+H61</f>
        <v>11932</v>
      </c>
      <c r="I55" s="601">
        <f t="shared" si="11"/>
        <v>11932</v>
      </c>
      <c r="J55" s="601">
        <f t="shared" si="11"/>
        <v>0</v>
      </c>
      <c r="K55" s="601">
        <f t="shared" si="11"/>
        <v>0</v>
      </c>
      <c r="L55" s="601">
        <f t="shared" si="11"/>
        <v>4711.7775719999991</v>
      </c>
      <c r="M55" s="601">
        <f t="shared" si="11"/>
        <v>4711.7775719999991</v>
      </c>
      <c r="N55" s="606">
        <f t="shared" si="11"/>
        <v>0</v>
      </c>
      <c r="O55" s="606">
        <f t="shared" si="11"/>
        <v>0</v>
      </c>
      <c r="P55" s="676">
        <f t="shared" si="11"/>
        <v>64.222428000000008</v>
      </c>
      <c r="Q55" s="676">
        <f t="shared" si="11"/>
        <v>64.222428000000008</v>
      </c>
      <c r="R55" s="601">
        <f t="shared" si="11"/>
        <v>0</v>
      </c>
      <c r="S55" s="601">
        <f t="shared" si="11"/>
        <v>0</v>
      </c>
      <c r="T55" s="601">
        <f t="shared" si="11"/>
        <v>0</v>
      </c>
      <c r="U55" s="601">
        <f t="shared" si="11"/>
        <v>0</v>
      </c>
      <c r="V55" s="611"/>
      <c r="W55" s="671"/>
      <c r="X55" s="611"/>
      <c r="Y55" s="671"/>
      <c r="Z55" s="672"/>
    </row>
    <row r="56" spans="1:26" s="604" customFormat="1" ht="35.1" customHeight="1">
      <c r="A56" s="679">
        <v>1</v>
      </c>
      <c r="B56" s="680" t="s">
        <v>1148</v>
      </c>
      <c r="C56" s="623"/>
      <c r="D56" s="107" t="s">
        <v>442</v>
      </c>
      <c r="E56" s="681" t="s">
        <v>1149</v>
      </c>
      <c r="F56" s="682">
        <f>1500</f>
        <v>1500</v>
      </c>
      <c r="G56" s="683">
        <v>1485</v>
      </c>
      <c r="H56" s="611">
        <v>1484</v>
      </c>
      <c r="I56" s="611">
        <v>1484</v>
      </c>
      <c r="J56" s="611"/>
      <c r="K56" s="611"/>
      <c r="L56" s="682">
        <v>821.23540200000002</v>
      </c>
      <c r="M56" s="682">
        <v>821.23540200000002</v>
      </c>
      <c r="N56" s="683"/>
      <c r="O56" s="683"/>
      <c r="P56" s="682">
        <v>2.7645979999999999</v>
      </c>
      <c r="Q56" s="682">
        <v>2.7645979999999999</v>
      </c>
      <c r="R56" s="606"/>
      <c r="S56" s="606"/>
      <c r="T56" s="683"/>
      <c r="U56" s="683"/>
      <c r="V56" s="602"/>
      <c r="W56" s="602"/>
      <c r="X56" s="602"/>
      <c r="Y56" s="602"/>
      <c r="Z56" s="1310" t="s">
        <v>129</v>
      </c>
    </row>
    <row r="57" spans="1:26" s="673" customFormat="1" ht="35.1" customHeight="1">
      <c r="A57" s="679">
        <v>2</v>
      </c>
      <c r="B57" s="680" t="s">
        <v>1150</v>
      </c>
      <c r="C57" s="684"/>
      <c r="D57" s="107" t="s">
        <v>442</v>
      </c>
      <c r="E57" s="681" t="s">
        <v>1151</v>
      </c>
      <c r="F57" s="683">
        <f>3100</f>
        <v>3100</v>
      </c>
      <c r="G57" s="683">
        <v>3069</v>
      </c>
      <c r="H57" s="627">
        <v>3058</v>
      </c>
      <c r="I57" s="627">
        <v>3058</v>
      </c>
      <c r="J57" s="671"/>
      <c r="K57" s="611"/>
      <c r="L57" s="682">
        <v>881.10799999999995</v>
      </c>
      <c r="M57" s="682">
        <v>881.10799999999995</v>
      </c>
      <c r="N57" s="683"/>
      <c r="O57" s="683"/>
      <c r="P57" s="682">
        <v>7.8920000000000003</v>
      </c>
      <c r="Q57" s="682">
        <v>7.8920000000000003</v>
      </c>
      <c r="R57" s="606"/>
      <c r="S57" s="606"/>
      <c r="T57" s="683"/>
      <c r="U57" s="683"/>
      <c r="V57" s="611"/>
      <c r="W57" s="671"/>
      <c r="X57" s="611"/>
      <c r="Y57" s="671"/>
      <c r="Z57" s="1311"/>
    </row>
    <row r="58" spans="1:26" s="673" customFormat="1" ht="35.1" customHeight="1">
      <c r="A58" s="679">
        <v>3</v>
      </c>
      <c r="B58" s="680" t="s">
        <v>1152</v>
      </c>
      <c r="C58" s="684"/>
      <c r="D58" s="107" t="s">
        <v>442</v>
      </c>
      <c r="E58" s="681" t="s">
        <v>1153</v>
      </c>
      <c r="F58" s="683">
        <f>4500</f>
        <v>4500</v>
      </c>
      <c r="G58" s="683">
        <v>4455</v>
      </c>
      <c r="H58" s="627">
        <v>4415</v>
      </c>
      <c r="I58" s="627">
        <v>4415</v>
      </c>
      <c r="J58" s="671"/>
      <c r="K58" s="611"/>
      <c r="L58" s="682">
        <v>1421.876782</v>
      </c>
      <c r="M58" s="682">
        <v>1421.876782</v>
      </c>
      <c r="N58" s="683"/>
      <c r="O58" s="683"/>
      <c r="P58" s="682">
        <v>13.123218</v>
      </c>
      <c r="Q58" s="682">
        <v>13.123218</v>
      </c>
      <c r="R58" s="606"/>
      <c r="S58" s="606"/>
      <c r="T58" s="683"/>
      <c r="U58" s="683"/>
      <c r="V58" s="611"/>
      <c r="W58" s="671"/>
      <c r="X58" s="611"/>
      <c r="Y58" s="671"/>
      <c r="Z58" s="1311"/>
    </row>
    <row r="59" spans="1:26" s="673" customFormat="1" ht="35.1" customHeight="1">
      <c r="A59" s="679">
        <v>4</v>
      </c>
      <c r="B59" s="680" t="s">
        <v>1154</v>
      </c>
      <c r="C59" s="684"/>
      <c r="D59" s="107" t="s">
        <v>442</v>
      </c>
      <c r="E59" s="681" t="s">
        <v>1155</v>
      </c>
      <c r="F59" s="683">
        <f>1000</f>
        <v>1000</v>
      </c>
      <c r="G59" s="683">
        <v>990</v>
      </c>
      <c r="H59" s="627">
        <v>988</v>
      </c>
      <c r="I59" s="627">
        <v>988</v>
      </c>
      <c r="J59" s="671"/>
      <c r="K59" s="611"/>
      <c r="L59" s="682">
        <v>547.35599999999999</v>
      </c>
      <c r="M59" s="682">
        <v>547.35599999999999</v>
      </c>
      <c r="N59" s="683"/>
      <c r="O59" s="683"/>
      <c r="P59" s="682">
        <v>0.64400000000000002</v>
      </c>
      <c r="Q59" s="682">
        <v>0.64400000000000002</v>
      </c>
      <c r="R59" s="606"/>
      <c r="S59" s="606"/>
      <c r="T59" s="683"/>
      <c r="U59" s="683"/>
      <c r="V59" s="611"/>
      <c r="W59" s="671"/>
      <c r="X59" s="611"/>
      <c r="Y59" s="671"/>
      <c r="Z59" s="1311"/>
    </row>
    <row r="60" spans="1:26" s="673" customFormat="1" ht="35.1" customHeight="1">
      <c r="A60" s="679">
        <v>5</v>
      </c>
      <c r="B60" s="680" t="s">
        <v>1156</v>
      </c>
      <c r="C60" s="684"/>
      <c r="D60" s="107" t="s">
        <v>442</v>
      </c>
      <c r="E60" s="681" t="s">
        <v>1157</v>
      </c>
      <c r="F60" s="683">
        <f>1440</f>
        <v>1440</v>
      </c>
      <c r="G60" s="683">
        <v>1423</v>
      </c>
      <c r="H60" s="627">
        <v>1396</v>
      </c>
      <c r="I60" s="627">
        <v>1396</v>
      </c>
      <c r="J60" s="671"/>
      <c r="K60" s="611"/>
      <c r="L60" s="682">
        <v>765.72699999999998</v>
      </c>
      <c r="M60" s="682">
        <v>765.72699999999998</v>
      </c>
      <c r="N60" s="683"/>
      <c r="O60" s="683"/>
      <c r="P60" s="682">
        <v>0.27300000000000002</v>
      </c>
      <c r="Q60" s="682">
        <v>0.27300000000000002</v>
      </c>
      <c r="R60" s="606"/>
      <c r="S60" s="606"/>
      <c r="T60" s="683"/>
      <c r="U60" s="683"/>
      <c r="V60" s="611"/>
      <c r="W60" s="671"/>
      <c r="X60" s="611"/>
      <c r="Y60" s="671"/>
      <c r="Z60" s="1311"/>
    </row>
    <row r="61" spans="1:26" s="673" customFormat="1" ht="35.1" customHeight="1">
      <c r="A61" s="679">
        <v>6</v>
      </c>
      <c r="B61" s="680" t="s">
        <v>443</v>
      </c>
      <c r="C61" s="684"/>
      <c r="D61" s="107" t="s">
        <v>442</v>
      </c>
      <c r="E61" s="681" t="s">
        <v>1155</v>
      </c>
      <c r="F61" s="683">
        <f>606</f>
        <v>606</v>
      </c>
      <c r="G61" s="683">
        <v>600</v>
      </c>
      <c r="H61" s="627">
        <v>591</v>
      </c>
      <c r="I61" s="627">
        <v>591</v>
      </c>
      <c r="J61" s="671"/>
      <c r="K61" s="611"/>
      <c r="L61" s="682">
        <v>274.47438799999998</v>
      </c>
      <c r="M61" s="682">
        <v>274.47438799999998</v>
      </c>
      <c r="N61" s="683"/>
      <c r="O61" s="683"/>
      <c r="P61" s="682">
        <v>39.525612000000002</v>
      </c>
      <c r="Q61" s="682">
        <v>39.525612000000002</v>
      </c>
      <c r="R61" s="606"/>
      <c r="S61" s="606"/>
      <c r="T61" s="683"/>
      <c r="U61" s="683"/>
      <c r="V61" s="611"/>
      <c r="W61" s="671"/>
      <c r="X61" s="611"/>
      <c r="Y61" s="671"/>
      <c r="Z61" s="1312"/>
    </row>
    <row r="62" spans="1:26" s="673" customFormat="1" ht="15.75">
      <c r="A62" s="677" t="s">
        <v>668</v>
      </c>
      <c r="B62" s="434" t="s">
        <v>1147</v>
      </c>
      <c r="C62" s="684"/>
      <c r="D62" s="550"/>
      <c r="E62" s="678"/>
      <c r="F62" s="685">
        <f t="shared" ref="F62:Y62" si="12">SUM(F63:F75)</f>
        <v>13029</v>
      </c>
      <c r="G62" s="685">
        <f t="shared" si="12"/>
        <v>12906</v>
      </c>
      <c r="H62" s="685">
        <f t="shared" si="12"/>
        <v>12906</v>
      </c>
      <c r="I62" s="685">
        <f t="shared" si="12"/>
        <v>12906</v>
      </c>
      <c r="J62" s="685">
        <f t="shared" si="12"/>
        <v>0</v>
      </c>
      <c r="K62" s="685">
        <f t="shared" si="12"/>
        <v>0</v>
      </c>
      <c r="L62" s="685">
        <f t="shared" si="12"/>
        <v>6888</v>
      </c>
      <c r="M62" s="685">
        <f t="shared" si="12"/>
        <v>6888</v>
      </c>
      <c r="N62" s="685">
        <f t="shared" si="12"/>
        <v>6018</v>
      </c>
      <c r="O62" s="685">
        <f t="shared" si="12"/>
        <v>6018</v>
      </c>
      <c r="P62" s="685">
        <f t="shared" si="12"/>
        <v>0</v>
      </c>
      <c r="Q62" s="685">
        <f t="shared" si="12"/>
        <v>0</v>
      </c>
      <c r="R62" s="686">
        <f t="shared" si="12"/>
        <v>4381.7409999999991</v>
      </c>
      <c r="S62" s="686">
        <f t="shared" si="12"/>
        <v>4381.7409999999991</v>
      </c>
      <c r="T62" s="685">
        <f t="shared" si="12"/>
        <v>6018</v>
      </c>
      <c r="U62" s="685">
        <f t="shared" si="12"/>
        <v>6018</v>
      </c>
      <c r="V62" s="685">
        <f t="shared" si="12"/>
        <v>0</v>
      </c>
      <c r="W62" s="685">
        <f t="shared" si="12"/>
        <v>0</v>
      </c>
      <c r="X62" s="685">
        <f t="shared" si="12"/>
        <v>0</v>
      </c>
      <c r="Y62" s="685">
        <f t="shared" si="12"/>
        <v>0</v>
      </c>
      <c r="Z62" s="672"/>
    </row>
    <row r="63" spans="1:26" s="673" customFormat="1" ht="31.5">
      <c r="A63" s="687">
        <v>1</v>
      </c>
      <c r="B63" s="680" t="s">
        <v>1158</v>
      </c>
      <c r="C63" s="684"/>
      <c r="D63" s="107" t="s">
        <v>560</v>
      </c>
      <c r="E63" s="436" t="s">
        <v>1159</v>
      </c>
      <c r="F63" s="688">
        <v>1033</v>
      </c>
      <c r="G63" s="631">
        <v>1023</v>
      </c>
      <c r="H63" s="627">
        <v>1023</v>
      </c>
      <c r="I63" s="627">
        <v>1023</v>
      </c>
      <c r="J63" s="671"/>
      <c r="K63" s="611"/>
      <c r="L63" s="682">
        <v>600</v>
      </c>
      <c r="M63" s="682">
        <v>600</v>
      </c>
      <c r="N63" s="689">
        <v>423</v>
      </c>
      <c r="O63" s="689">
        <v>423</v>
      </c>
      <c r="P63" s="689"/>
      <c r="Q63" s="689"/>
      <c r="R63" s="690">
        <v>378.05900000000003</v>
      </c>
      <c r="S63" s="690">
        <v>378.05900000000003</v>
      </c>
      <c r="T63" s="689">
        <v>423</v>
      </c>
      <c r="U63" s="689">
        <v>423</v>
      </c>
      <c r="V63" s="611"/>
      <c r="W63" s="671"/>
      <c r="X63" s="611"/>
      <c r="Y63" s="671"/>
      <c r="Z63" s="672"/>
    </row>
    <row r="64" spans="1:26" s="673" customFormat="1" ht="31.5">
      <c r="A64" s="687">
        <v>2</v>
      </c>
      <c r="B64" s="680" t="s">
        <v>1160</v>
      </c>
      <c r="C64" s="684"/>
      <c r="D64" s="107" t="s">
        <v>560</v>
      </c>
      <c r="E64" s="436" t="s">
        <v>1161</v>
      </c>
      <c r="F64" s="688">
        <v>838</v>
      </c>
      <c r="G64" s="631">
        <v>830</v>
      </c>
      <c r="H64" s="627">
        <v>830</v>
      </c>
      <c r="I64" s="627">
        <v>830</v>
      </c>
      <c r="J64" s="671"/>
      <c r="K64" s="611"/>
      <c r="L64" s="682">
        <v>450</v>
      </c>
      <c r="M64" s="682">
        <v>450</v>
      </c>
      <c r="N64" s="689">
        <v>380</v>
      </c>
      <c r="O64" s="689">
        <v>380</v>
      </c>
      <c r="P64" s="689" t="s">
        <v>1162</v>
      </c>
      <c r="Q64" s="689" t="s">
        <v>1162</v>
      </c>
      <c r="R64" s="690">
        <v>339.77</v>
      </c>
      <c r="S64" s="690">
        <v>339.77</v>
      </c>
      <c r="T64" s="689">
        <v>380</v>
      </c>
      <c r="U64" s="689">
        <v>380</v>
      </c>
      <c r="V64" s="611"/>
      <c r="W64" s="671"/>
      <c r="X64" s="611"/>
      <c r="Y64" s="671"/>
      <c r="Z64" s="672"/>
    </row>
    <row r="65" spans="1:26" s="604" customFormat="1" ht="31.5">
      <c r="A65" s="687">
        <v>3</v>
      </c>
      <c r="B65" s="680" t="s">
        <v>1163</v>
      </c>
      <c r="C65" s="623"/>
      <c r="D65" s="107" t="s">
        <v>560</v>
      </c>
      <c r="E65" s="436" t="s">
        <v>1164</v>
      </c>
      <c r="F65" s="688">
        <v>931</v>
      </c>
      <c r="G65" s="631">
        <v>922</v>
      </c>
      <c r="H65" s="611">
        <v>922</v>
      </c>
      <c r="I65" s="611">
        <v>922</v>
      </c>
      <c r="J65" s="602"/>
      <c r="K65" s="602"/>
      <c r="L65" s="682">
        <v>500</v>
      </c>
      <c r="M65" s="682">
        <v>500</v>
      </c>
      <c r="N65" s="689">
        <v>422</v>
      </c>
      <c r="O65" s="689">
        <v>422</v>
      </c>
      <c r="P65" s="689"/>
      <c r="Q65" s="689"/>
      <c r="R65" s="606">
        <v>377.78699999999998</v>
      </c>
      <c r="S65" s="606">
        <v>377.78699999999998</v>
      </c>
      <c r="T65" s="689">
        <v>422</v>
      </c>
      <c r="U65" s="689">
        <v>422</v>
      </c>
      <c r="V65" s="602"/>
      <c r="W65" s="602"/>
      <c r="X65" s="602"/>
      <c r="Y65" s="602"/>
      <c r="Z65" s="598"/>
    </row>
    <row r="66" spans="1:26" s="673" customFormat="1" ht="31.5">
      <c r="A66" s="687">
        <v>4</v>
      </c>
      <c r="B66" s="680" t="s">
        <v>437</v>
      </c>
      <c r="C66" s="684"/>
      <c r="D66" s="107" t="s">
        <v>560</v>
      </c>
      <c r="E66" s="436" t="s">
        <v>1165</v>
      </c>
      <c r="F66" s="688">
        <v>564</v>
      </c>
      <c r="G66" s="631">
        <v>559</v>
      </c>
      <c r="H66" s="627">
        <v>559</v>
      </c>
      <c r="I66" s="627">
        <v>559</v>
      </c>
      <c r="J66" s="671"/>
      <c r="K66" s="611"/>
      <c r="L66" s="682">
        <v>250</v>
      </c>
      <c r="M66" s="682">
        <v>250</v>
      </c>
      <c r="N66" s="689">
        <v>309</v>
      </c>
      <c r="O66" s="689">
        <v>309</v>
      </c>
      <c r="P66" s="689"/>
      <c r="Q66" s="689"/>
      <c r="R66" s="606">
        <v>270.00200000000001</v>
      </c>
      <c r="S66" s="606">
        <v>270.00200000000001</v>
      </c>
      <c r="T66" s="689">
        <v>309</v>
      </c>
      <c r="U66" s="689">
        <v>309</v>
      </c>
      <c r="V66" s="611"/>
      <c r="W66" s="671"/>
      <c r="X66" s="611"/>
      <c r="Y66" s="671"/>
      <c r="Z66" s="1309"/>
    </row>
    <row r="67" spans="1:26" s="673" customFormat="1" ht="31.5">
      <c r="A67" s="687">
        <v>5</v>
      </c>
      <c r="B67" s="680" t="s">
        <v>561</v>
      </c>
      <c r="C67" s="684"/>
      <c r="D67" s="107" t="s">
        <v>560</v>
      </c>
      <c r="E67" s="436" t="s">
        <v>1166</v>
      </c>
      <c r="F67" s="688">
        <v>1118</v>
      </c>
      <c r="G67" s="631">
        <v>1107</v>
      </c>
      <c r="H67" s="627">
        <v>1107</v>
      </c>
      <c r="I67" s="627">
        <v>1107</v>
      </c>
      <c r="J67" s="671"/>
      <c r="K67" s="611"/>
      <c r="L67" s="682">
        <v>600</v>
      </c>
      <c r="M67" s="682">
        <v>600</v>
      </c>
      <c r="N67" s="683">
        <v>507</v>
      </c>
      <c r="O67" s="683">
        <v>507</v>
      </c>
      <c r="P67" s="683"/>
      <c r="Q67" s="683"/>
      <c r="R67" s="606">
        <v>460.36900000000003</v>
      </c>
      <c r="S67" s="606">
        <v>460.36900000000003</v>
      </c>
      <c r="T67" s="683">
        <v>507</v>
      </c>
      <c r="U67" s="683">
        <v>507</v>
      </c>
      <c r="V67" s="611"/>
      <c r="W67" s="671"/>
      <c r="X67" s="611"/>
      <c r="Y67" s="671"/>
      <c r="Z67" s="1309"/>
    </row>
    <row r="68" spans="1:26" s="673" customFormat="1" ht="32.25" customHeight="1">
      <c r="A68" s="687">
        <v>6</v>
      </c>
      <c r="B68" s="680" t="s">
        <v>564</v>
      </c>
      <c r="C68" s="684"/>
      <c r="D68" s="107" t="s">
        <v>560</v>
      </c>
      <c r="E68" s="436" t="s">
        <v>1167</v>
      </c>
      <c r="F68" s="688">
        <v>559</v>
      </c>
      <c r="G68" s="631">
        <v>554</v>
      </c>
      <c r="H68" s="627">
        <v>554</v>
      </c>
      <c r="I68" s="627">
        <v>554</v>
      </c>
      <c r="J68" s="671"/>
      <c r="K68" s="611"/>
      <c r="L68" s="682">
        <v>250</v>
      </c>
      <c r="M68" s="682">
        <v>250</v>
      </c>
      <c r="N68" s="683">
        <v>304</v>
      </c>
      <c r="O68" s="683">
        <v>304</v>
      </c>
      <c r="P68" s="683"/>
      <c r="Q68" s="683"/>
      <c r="R68" s="606">
        <v>238.94</v>
      </c>
      <c r="S68" s="606">
        <v>238.94</v>
      </c>
      <c r="T68" s="683">
        <v>304</v>
      </c>
      <c r="U68" s="683">
        <v>304</v>
      </c>
      <c r="V68" s="611"/>
      <c r="W68" s="671"/>
      <c r="X68" s="611"/>
      <c r="Y68" s="671"/>
      <c r="Z68" s="1309"/>
    </row>
    <row r="69" spans="1:26" s="673" customFormat="1" ht="30.75" customHeight="1">
      <c r="A69" s="687">
        <v>7</v>
      </c>
      <c r="B69" s="691" t="s">
        <v>1168</v>
      </c>
      <c r="C69" s="684"/>
      <c r="D69" s="107" t="s">
        <v>560</v>
      </c>
      <c r="E69" s="436" t="s">
        <v>1169</v>
      </c>
      <c r="F69" s="688">
        <v>1026</v>
      </c>
      <c r="G69" s="631">
        <v>1017</v>
      </c>
      <c r="H69" s="627">
        <v>1017</v>
      </c>
      <c r="I69" s="627">
        <v>1017</v>
      </c>
      <c r="J69" s="671"/>
      <c r="K69" s="611"/>
      <c r="L69" s="682">
        <v>500</v>
      </c>
      <c r="M69" s="682">
        <v>500</v>
      </c>
      <c r="N69" s="683">
        <v>517</v>
      </c>
      <c r="O69" s="683">
        <v>517</v>
      </c>
      <c r="P69" s="683"/>
      <c r="Q69" s="683"/>
      <c r="R69" s="690">
        <f>446.332+38.357</f>
        <v>484.68899999999996</v>
      </c>
      <c r="S69" s="690">
        <f>446.332+38.357</f>
        <v>484.68899999999996</v>
      </c>
      <c r="T69" s="683">
        <v>517</v>
      </c>
      <c r="U69" s="683">
        <v>517</v>
      </c>
      <c r="V69" s="611"/>
      <c r="W69" s="671"/>
      <c r="X69" s="611"/>
      <c r="Y69" s="671"/>
      <c r="Z69" s="1309"/>
    </row>
    <row r="70" spans="1:26" s="673" customFormat="1" ht="47.25">
      <c r="A70" s="687">
        <v>8</v>
      </c>
      <c r="B70" s="691" t="s">
        <v>562</v>
      </c>
      <c r="C70" s="684"/>
      <c r="D70" s="107" t="s">
        <v>560</v>
      </c>
      <c r="E70" s="436" t="s">
        <v>1170</v>
      </c>
      <c r="F70" s="688">
        <v>709</v>
      </c>
      <c r="G70" s="631">
        <v>702</v>
      </c>
      <c r="H70" s="627">
        <v>702</v>
      </c>
      <c r="I70" s="627">
        <v>702</v>
      </c>
      <c r="J70" s="671"/>
      <c r="K70" s="611"/>
      <c r="L70" s="682">
        <v>350</v>
      </c>
      <c r="M70" s="682">
        <v>350</v>
      </c>
      <c r="N70" s="683">
        <v>352</v>
      </c>
      <c r="O70" s="683">
        <v>352</v>
      </c>
      <c r="P70" s="683"/>
      <c r="Q70" s="683"/>
      <c r="R70" s="606">
        <v>304.97699999999998</v>
      </c>
      <c r="S70" s="606">
        <v>304.97699999999998</v>
      </c>
      <c r="T70" s="683">
        <v>352</v>
      </c>
      <c r="U70" s="683">
        <v>352</v>
      </c>
      <c r="V70" s="611"/>
      <c r="W70" s="671"/>
      <c r="X70" s="611"/>
      <c r="Y70" s="671"/>
      <c r="Z70" s="1309"/>
    </row>
    <row r="71" spans="1:26" s="673" customFormat="1" ht="31.5">
      <c r="A71" s="687">
        <v>9</v>
      </c>
      <c r="B71" s="691" t="s">
        <v>563</v>
      </c>
      <c r="C71" s="684"/>
      <c r="D71" s="107" t="s">
        <v>560</v>
      </c>
      <c r="E71" s="436" t="s">
        <v>1171</v>
      </c>
      <c r="F71" s="688">
        <v>2377</v>
      </c>
      <c r="G71" s="631">
        <v>2354</v>
      </c>
      <c r="H71" s="627">
        <v>2354</v>
      </c>
      <c r="I71" s="627">
        <v>2354</v>
      </c>
      <c r="J71" s="671"/>
      <c r="K71" s="611"/>
      <c r="L71" s="682">
        <v>1300</v>
      </c>
      <c r="M71" s="682">
        <v>1300</v>
      </c>
      <c r="N71" s="683">
        <v>1054</v>
      </c>
      <c r="O71" s="683">
        <v>1054</v>
      </c>
      <c r="P71" s="683"/>
      <c r="Q71" s="683"/>
      <c r="R71" s="606"/>
      <c r="S71" s="606"/>
      <c r="T71" s="683">
        <v>1054</v>
      </c>
      <c r="U71" s="683">
        <v>1054</v>
      </c>
      <c r="V71" s="611"/>
      <c r="W71" s="671"/>
      <c r="X71" s="611"/>
      <c r="Y71" s="671"/>
      <c r="Z71" s="1309"/>
    </row>
    <row r="72" spans="1:26" s="673" customFormat="1" ht="31.5">
      <c r="A72" s="687">
        <v>10</v>
      </c>
      <c r="B72" s="680" t="s">
        <v>565</v>
      </c>
      <c r="C72" s="684"/>
      <c r="D72" s="107" t="s">
        <v>560</v>
      </c>
      <c r="E72" s="436" t="s">
        <v>1172</v>
      </c>
      <c r="F72" s="688">
        <v>933</v>
      </c>
      <c r="G72" s="631">
        <v>924</v>
      </c>
      <c r="H72" s="627">
        <v>924</v>
      </c>
      <c r="I72" s="627">
        <v>924</v>
      </c>
      <c r="J72" s="671"/>
      <c r="K72" s="611"/>
      <c r="L72" s="682">
        <v>500</v>
      </c>
      <c r="M72" s="682">
        <v>500</v>
      </c>
      <c r="N72" s="683">
        <v>424</v>
      </c>
      <c r="O72" s="683">
        <v>424</v>
      </c>
      <c r="P72" s="683"/>
      <c r="Q72" s="683"/>
      <c r="R72" s="606">
        <v>367.22300000000001</v>
      </c>
      <c r="S72" s="606">
        <v>367.22300000000001</v>
      </c>
      <c r="T72" s="683">
        <v>424</v>
      </c>
      <c r="U72" s="683">
        <v>424</v>
      </c>
      <c r="V72" s="611"/>
      <c r="W72" s="671"/>
      <c r="X72" s="611"/>
      <c r="Y72" s="671"/>
      <c r="Z72" s="1309"/>
    </row>
    <row r="73" spans="1:26" s="673" customFormat="1" ht="47.25">
      <c r="A73" s="687">
        <v>11</v>
      </c>
      <c r="B73" s="680" t="s">
        <v>1173</v>
      </c>
      <c r="C73" s="684"/>
      <c r="D73" s="107" t="s">
        <v>560</v>
      </c>
      <c r="E73" s="436" t="s">
        <v>1174</v>
      </c>
      <c r="F73" s="688">
        <v>788</v>
      </c>
      <c r="G73" s="631">
        <v>781</v>
      </c>
      <c r="H73" s="627">
        <v>781</v>
      </c>
      <c r="I73" s="627">
        <v>781</v>
      </c>
      <c r="J73" s="671"/>
      <c r="K73" s="611"/>
      <c r="L73" s="682">
        <v>400</v>
      </c>
      <c r="M73" s="682">
        <v>400</v>
      </c>
      <c r="N73" s="683">
        <v>381</v>
      </c>
      <c r="O73" s="683">
        <v>381</v>
      </c>
      <c r="P73" s="683"/>
      <c r="Q73" s="683"/>
      <c r="R73" s="606">
        <v>349.35599999999999</v>
      </c>
      <c r="S73" s="606">
        <v>349.35599999999999</v>
      </c>
      <c r="T73" s="683">
        <v>381</v>
      </c>
      <c r="U73" s="683">
        <v>381</v>
      </c>
      <c r="V73" s="611"/>
      <c r="W73" s="671"/>
      <c r="X73" s="611"/>
      <c r="Y73" s="671"/>
      <c r="Z73" s="1309"/>
    </row>
    <row r="74" spans="1:26" s="604" customFormat="1" ht="31.5">
      <c r="A74" s="687">
        <v>12</v>
      </c>
      <c r="B74" s="680" t="s">
        <v>1175</v>
      </c>
      <c r="C74" s="623"/>
      <c r="D74" s="107" t="s">
        <v>560</v>
      </c>
      <c r="E74" s="436" t="s">
        <v>1176</v>
      </c>
      <c r="F74" s="688">
        <v>559</v>
      </c>
      <c r="G74" s="631">
        <v>554</v>
      </c>
      <c r="H74" s="611">
        <v>554</v>
      </c>
      <c r="I74" s="611">
        <v>554</v>
      </c>
      <c r="J74" s="602"/>
      <c r="K74" s="602"/>
      <c r="L74" s="682">
        <v>300</v>
      </c>
      <c r="M74" s="682">
        <v>300</v>
      </c>
      <c r="N74" s="683">
        <v>254</v>
      </c>
      <c r="O74" s="683">
        <v>254</v>
      </c>
      <c r="P74" s="683"/>
      <c r="Q74" s="683"/>
      <c r="R74" s="606">
        <v>207.85599999999999</v>
      </c>
      <c r="S74" s="606">
        <v>207.85599999999999</v>
      </c>
      <c r="T74" s="683">
        <v>254</v>
      </c>
      <c r="U74" s="683">
        <v>254</v>
      </c>
      <c r="V74" s="602"/>
      <c r="W74" s="602"/>
      <c r="X74" s="602"/>
      <c r="Y74" s="602"/>
      <c r="Z74" s="598"/>
    </row>
    <row r="75" spans="1:26" s="604" customFormat="1" ht="31.5">
      <c r="A75" s="687">
        <v>13</v>
      </c>
      <c r="B75" s="691" t="s">
        <v>438</v>
      </c>
      <c r="C75" s="684"/>
      <c r="D75" s="107" t="s">
        <v>560</v>
      </c>
      <c r="E75" s="436" t="s">
        <v>1177</v>
      </c>
      <c r="F75" s="688">
        <v>1594</v>
      </c>
      <c r="G75" s="631">
        <v>1579</v>
      </c>
      <c r="H75" s="627">
        <v>1579</v>
      </c>
      <c r="I75" s="627">
        <v>1579</v>
      </c>
      <c r="J75" s="692"/>
      <c r="K75" s="602"/>
      <c r="L75" s="682">
        <v>888</v>
      </c>
      <c r="M75" s="682">
        <v>888</v>
      </c>
      <c r="N75" s="683">
        <v>691</v>
      </c>
      <c r="O75" s="683">
        <v>691</v>
      </c>
      <c r="P75" s="683"/>
      <c r="Q75" s="683"/>
      <c r="R75" s="682">
        <v>602.71299999999997</v>
      </c>
      <c r="S75" s="682">
        <v>602.71299999999997</v>
      </c>
      <c r="T75" s="683">
        <v>691</v>
      </c>
      <c r="U75" s="683">
        <v>691</v>
      </c>
      <c r="V75" s="620"/>
      <c r="W75" s="693"/>
      <c r="X75" s="602"/>
      <c r="Y75" s="692"/>
      <c r="Z75" s="598"/>
    </row>
    <row r="76" spans="1:26" s="604" customFormat="1" ht="31.5">
      <c r="A76" s="677" t="s">
        <v>1132</v>
      </c>
      <c r="B76" s="434" t="s">
        <v>1178</v>
      </c>
      <c r="C76" s="684"/>
      <c r="D76" s="550"/>
      <c r="E76" s="678"/>
      <c r="F76" s="685">
        <f>SUM(F77:F80)</f>
        <v>6327</v>
      </c>
      <c r="G76" s="685">
        <f t="shared" ref="G76:U76" si="13">SUM(G77:G80)</f>
        <v>5911</v>
      </c>
      <c r="H76" s="685">
        <f t="shared" si="13"/>
        <v>6140</v>
      </c>
      <c r="I76" s="685">
        <f t="shared" si="13"/>
        <v>6140</v>
      </c>
      <c r="J76" s="685">
        <f t="shared" si="13"/>
        <v>0</v>
      </c>
      <c r="K76" s="685">
        <f t="shared" si="13"/>
        <v>0</v>
      </c>
      <c r="L76" s="685">
        <f t="shared" si="13"/>
        <v>0</v>
      </c>
      <c r="M76" s="685">
        <f t="shared" si="13"/>
        <v>0</v>
      </c>
      <c r="N76" s="685">
        <f t="shared" si="13"/>
        <v>6140</v>
      </c>
      <c r="O76" s="685">
        <f t="shared" si="13"/>
        <v>6140</v>
      </c>
      <c r="P76" s="685">
        <f t="shared" si="13"/>
        <v>0</v>
      </c>
      <c r="Q76" s="685">
        <f t="shared" si="13"/>
        <v>0</v>
      </c>
      <c r="R76" s="685">
        <f t="shared" si="13"/>
        <v>3041.643</v>
      </c>
      <c r="S76" s="685">
        <f t="shared" si="13"/>
        <v>3041.643</v>
      </c>
      <c r="T76" s="685">
        <f t="shared" si="13"/>
        <v>6140</v>
      </c>
      <c r="U76" s="685">
        <f t="shared" si="13"/>
        <v>6140</v>
      </c>
      <c r="V76" s="620"/>
      <c r="W76" s="693"/>
      <c r="X76" s="602"/>
      <c r="Y76" s="692"/>
      <c r="Z76" s="598"/>
    </row>
    <row r="77" spans="1:26" s="604" customFormat="1" ht="31.5">
      <c r="A77" s="694">
        <v>1</v>
      </c>
      <c r="B77" s="680" t="s">
        <v>130</v>
      </c>
      <c r="C77" s="684"/>
      <c r="D77" s="107" t="s">
        <v>560</v>
      </c>
      <c r="E77" s="681" t="s">
        <v>1179</v>
      </c>
      <c r="F77" s="546">
        <v>2000</v>
      </c>
      <c r="G77" s="546">
        <v>1850</v>
      </c>
      <c r="H77" s="627">
        <v>1900</v>
      </c>
      <c r="I77" s="627">
        <v>1900</v>
      </c>
      <c r="J77" s="692"/>
      <c r="K77" s="602"/>
      <c r="L77" s="602"/>
      <c r="M77" s="602"/>
      <c r="N77" s="683">
        <v>1900</v>
      </c>
      <c r="O77" s="683">
        <v>1900</v>
      </c>
      <c r="P77" s="683"/>
      <c r="Q77" s="683"/>
      <c r="R77" s="695">
        <v>204.327</v>
      </c>
      <c r="S77" s="695">
        <v>204.327</v>
      </c>
      <c r="T77" s="683">
        <v>1900</v>
      </c>
      <c r="U77" s="683">
        <v>1900</v>
      </c>
      <c r="V77" s="620"/>
      <c r="W77" s="693"/>
      <c r="X77" s="602"/>
      <c r="Y77" s="692"/>
      <c r="Z77" s="598"/>
    </row>
    <row r="78" spans="1:26" s="604" customFormat="1" ht="31.5">
      <c r="A78" s="694">
        <v>2</v>
      </c>
      <c r="B78" s="680" t="s">
        <v>131</v>
      </c>
      <c r="C78" s="684"/>
      <c r="D78" s="107" t="s">
        <v>560</v>
      </c>
      <c r="E78" s="681" t="s">
        <v>1180</v>
      </c>
      <c r="F78" s="546">
        <v>1637</v>
      </c>
      <c r="G78" s="546">
        <v>1537</v>
      </c>
      <c r="H78" s="627">
        <v>1550</v>
      </c>
      <c r="I78" s="627">
        <v>1550</v>
      </c>
      <c r="J78" s="692"/>
      <c r="K78" s="602"/>
      <c r="L78" s="602"/>
      <c r="M78" s="602"/>
      <c r="N78" s="683">
        <v>1550</v>
      </c>
      <c r="O78" s="683">
        <v>1550</v>
      </c>
      <c r="P78" s="683"/>
      <c r="Q78" s="683"/>
      <c r="R78" s="682">
        <v>837.83900000000006</v>
      </c>
      <c r="S78" s="682">
        <v>837.83900000000006</v>
      </c>
      <c r="T78" s="683">
        <v>1550</v>
      </c>
      <c r="U78" s="683">
        <v>1550</v>
      </c>
      <c r="V78" s="620"/>
      <c r="W78" s="693"/>
      <c r="X78" s="602"/>
      <c r="Y78" s="692"/>
      <c r="Z78" s="598"/>
    </row>
    <row r="79" spans="1:26" s="604" customFormat="1" ht="31.5">
      <c r="A79" s="694">
        <v>3</v>
      </c>
      <c r="B79" s="680" t="s">
        <v>132</v>
      </c>
      <c r="C79" s="684"/>
      <c r="D79" s="107" t="s">
        <v>560</v>
      </c>
      <c r="E79" s="681" t="s">
        <v>1181</v>
      </c>
      <c r="F79" s="546">
        <v>1400</v>
      </c>
      <c r="G79" s="546">
        <v>1300</v>
      </c>
      <c r="H79" s="627">
        <v>1400</v>
      </c>
      <c r="I79" s="627">
        <v>1400</v>
      </c>
      <c r="J79" s="692"/>
      <c r="K79" s="602"/>
      <c r="L79" s="602"/>
      <c r="M79" s="602"/>
      <c r="N79" s="683">
        <v>1400</v>
      </c>
      <c r="O79" s="683">
        <v>1400</v>
      </c>
      <c r="P79" s="683"/>
      <c r="Q79" s="683"/>
      <c r="R79" s="683">
        <v>1332.8510000000001</v>
      </c>
      <c r="S79" s="683">
        <v>1332.8510000000001</v>
      </c>
      <c r="T79" s="683">
        <v>1400</v>
      </c>
      <c r="U79" s="683">
        <v>1400</v>
      </c>
      <c r="V79" s="620"/>
      <c r="W79" s="693"/>
      <c r="X79" s="602"/>
      <c r="Y79" s="692"/>
      <c r="Z79" s="598"/>
    </row>
    <row r="80" spans="1:26" s="604" customFormat="1" ht="39.75" customHeight="1">
      <c r="A80" s="694">
        <v>4</v>
      </c>
      <c r="B80" s="680" t="s">
        <v>133</v>
      </c>
      <c r="C80" s="684"/>
      <c r="D80" s="107" t="s">
        <v>560</v>
      </c>
      <c r="E80" s="681" t="s">
        <v>1182</v>
      </c>
      <c r="F80" s="546">
        <v>1290</v>
      </c>
      <c r="G80" s="546">
        <v>1224</v>
      </c>
      <c r="H80" s="627">
        <v>1290</v>
      </c>
      <c r="I80" s="627">
        <v>1290</v>
      </c>
      <c r="J80" s="692"/>
      <c r="K80" s="602"/>
      <c r="L80" s="602"/>
      <c r="M80" s="602"/>
      <c r="N80" s="683">
        <v>1290</v>
      </c>
      <c r="O80" s="683">
        <v>1290</v>
      </c>
      <c r="P80" s="683"/>
      <c r="Q80" s="683"/>
      <c r="R80" s="683">
        <v>666.62599999999998</v>
      </c>
      <c r="S80" s="683">
        <v>666.62599999999998</v>
      </c>
      <c r="T80" s="683">
        <v>1290</v>
      </c>
      <c r="U80" s="683">
        <v>1290</v>
      </c>
      <c r="V80" s="620"/>
      <c r="W80" s="693"/>
      <c r="X80" s="602"/>
      <c r="Y80" s="692"/>
      <c r="Z80" s="598"/>
    </row>
    <row r="81" spans="1:26" s="604" customFormat="1" ht="48" customHeight="1">
      <c r="A81" s="551" t="s">
        <v>227</v>
      </c>
      <c r="B81" s="652" t="s">
        <v>1183</v>
      </c>
      <c r="C81" s="684"/>
      <c r="D81" s="552"/>
      <c r="E81" s="678"/>
      <c r="F81" s="601">
        <f>F82+F98+F123+F127</f>
        <v>64524</v>
      </c>
      <c r="G81" s="601">
        <f t="shared" ref="G81:Y81" si="14">G82+G98+G123+G127</f>
        <v>63874</v>
      </c>
      <c r="H81" s="601">
        <f t="shared" si="14"/>
        <v>64372.77</v>
      </c>
      <c r="I81" s="601">
        <f t="shared" si="14"/>
        <v>64372.77</v>
      </c>
      <c r="J81" s="601">
        <f t="shared" si="14"/>
        <v>0</v>
      </c>
      <c r="K81" s="601">
        <f t="shared" si="14"/>
        <v>0</v>
      </c>
      <c r="L81" s="601">
        <f t="shared" si="14"/>
        <v>17310.231521000002</v>
      </c>
      <c r="M81" s="601">
        <f t="shared" si="14"/>
        <v>17310.231521000002</v>
      </c>
      <c r="N81" s="601">
        <f t="shared" si="14"/>
        <v>40010.985921</v>
      </c>
      <c r="O81" s="601">
        <f t="shared" si="14"/>
        <v>40010.985921</v>
      </c>
      <c r="P81" s="655">
        <f t="shared" si="14"/>
        <v>631.76847899999996</v>
      </c>
      <c r="Q81" s="655">
        <f t="shared" si="14"/>
        <v>631.76847899999996</v>
      </c>
      <c r="R81" s="601">
        <f t="shared" si="14"/>
        <v>23999.311875000003</v>
      </c>
      <c r="S81" s="601">
        <f t="shared" si="14"/>
        <v>23999.311875000003</v>
      </c>
      <c r="T81" s="601">
        <f t="shared" si="14"/>
        <v>40010.985921</v>
      </c>
      <c r="U81" s="601">
        <f t="shared" si="14"/>
        <v>40010.985921</v>
      </c>
      <c r="V81" s="601">
        <f t="shared" si="14"/>
        <v>0</v>
      </c>
      <c r="W81" s="601">
        <f t="shared" si="14"/>
        <v>0</v>
      </c>
      <c r="X81" s="601">
        <f t="shared" si="14"/>
        <v>0</v>
      </c>
      <c r="Y81" s="601">
        <f t="shared" si="14"/>
        <v>0</v>
      </c>
      <c r="Z81" s="598"/>
    </row>
    <row r="82" spans="1:26" s="673" customFormat="1" ht="15.75">
      <c r="A82" s="551" t="s">
        <v>668</v>
      </c>
      <c r="B82" s="652" t="s">
        <v>1184</v>
      </c>
      <c r="C82" s="614"/>
      <c r="D82" s="552"/>
      <c r="E82" s="678"/>
      <c r="F82" s="675">
        <f>+F83+F84+F85+F86+F87+F88+F89+F90+F91+F92+F93+F94+F95+F96+F97</f>
        <v>30511</v>
      </c>
      <c r="G82" s="675">
        <f>+G83+G84+G85+G86+G87+G88+G89+G90+G91+G92+G93+G94+G95+G96+G97</f>
        <v>30210</v>
      </c>
      <c r="H82" s="675">
        <f t="shared" ref="H82:U82" si="15">+H83+H84+H85+H86+H87+H88+H89+H90+H91+H92+H93+H94+H95+H96+H97</f>
        <v>29448.07</v>
      </c>
      <c r="I82" s="675">
        <f t="shared" si="15"/>
        <v>29448.07</v>
      </c>
      <c r="J82" s="675">
        <f t="shared" si="15"/>
        <v>0</v>
      </c>
      <c r="K82" s="675">
        <f t="shared" si="15"/>
        <v>0</v>
      </c>
      <c r="L82" s="675">
        <f t="shared" si="15"/>
        <v>15292.231521</v>
      </c>
      <c r="M82" s="675">
        <f t="shared" si="15"/>
        <v>15292.231521</v>
      </c>
      <c r="N82" s="601">
        <f t="shared" si="15"/>
        <v>7184.2859209999997</v>
      </c>
      <c r="O82" s="601">
        <f t="shared" si="15"/>
        <v>7184.2859209999997</v>
      </c>
      <c r="P82" s="676">
        <f t="shared" si="15"/>
        <v>551.76847899999996</v>
      </c>
      <c r="Q82" s="676">
        <f t="shared" si="15"/>
        <v>551.76847899999996</v>
      </c>
      <c r="R82" s="675">
        <f t="shared" si="15"/>
        <v>6553.2833700000001</v>
      </c>
      <c r="S82" s="675">
        <f t="shared" si="15"/>
        <v>6553.2833700000001</v>
      </c>
      <c r="T82" s="675">
        <f t="shared" si="15"/>
        <v>7184.2859209999997</v>
      </c>
      <c r="U82" s="675">
        <f t="shared" si="15"/>
        <v>7184.2859209999997</v>
      </c>
      <c r="V82" s="616"/>
      <c r="W82" s="616"/>
      <c r="X82" s="611"/>
      <c r="Y82" s="671"/>
      <c r="Z82" s="672"/>
    </row>
    <row r="83" spans="1:26" s="673" customFormat="1" ht="31.5">
      <c r="A83" s="696">
        <v>1</v>
      </c>
      <c r="B83" s="680" t="s">
        <v>566</v>
      </c>
      <c r="C83" s="614"/>
      <c r="D83" s="615" t="s">
        <v>442</v>
      </c>
      <c r="E83" s="681" t="s">
        <v>1185</v>
      </c>
      <c r="F83" s="546">
        <f>4000</f>
        <v>4000</v>
      </c>
      <c r="G83" s="546">
        <v>3960</v>
      </c>
      <c r="H83" s="660">
        <f>+I83</f>
        <v>3890.07</v>
      </c>
      <c r="I83" s="630">
        <v>3890.07</v>
      </c>
      <c r="J83" s="671"/>
      <c r="K83" s="611"/>
      <c r="L83" s="682">
        <v>2000</v>
      </c>
      <c r="M83" s="682">
        <v>2000</v>
      </c>
      <c r="N83" s="695">
        <v>1049.2207189999999</v>
      </c>
      <c r="O83" s="695">
        <v>1049.2207189999999</v>
      </c>
      <c r="P83" s="683"/>
      <c r="Q83" s="683"/>
      <c r="R83" s="606">
        <v>1035.939147</v>
      </c>
      <c r="S83" s="606">
        <v>1035.939147</v>
      </c>
      <c r="T83" s="695">
        <v>1049.2207189999999</v>
      </c>
      <c r="U83" s="695">
        <v>1049.2207189999999</v>
      </c>
      <c r="V83" s="616"/>
      <c r="W83" s="616"/>
      <c r="X83" s="611"/>
      <c r="Y83" s="671"/>
      <c r="Z83" s="672"/>
    </row>
    <row r="84" spans="1:26" s="673" customFormat="1" ht="63.75" customHeight="1">
      <c r="A84" s="696">
        <v>2</v>
      </c>
      <c r="B84" s="680" t="s">
        <v>567</v>
      </c>
      <c r="C84" s="697"/>
      <c r="D84" s="615" t="s">
        <v>442</v>
      </c>
      <c r="E84" s="681" t="s">
        <v>1186</v>
      </c>
      <c r="F84" s="546">
        <f>2056</f>
        <v>2056</v>
      </c>
      <c r="G84" s="546">
        <v>2036</v>
      </c>
      <c r="H84" s="627">
        <f t="shared" ref="H84:H97" si="16">+I84</f>
        <v>2035</v>
      </c>
      <c r="I84" s="693">
        <v>2035</v>
      </c>
      <c r="J84" s="693"/>
      <c r="K84" s="693"/>
      <c r="L84" s="682">
        <v>1000</v>
      </c>
      <c r="M84" s="682">
        <v>1000</v>
      </c>
      <c r="N84" s="695">
        <v>604.85695899999996</v>
      </c>
      <c r="O84" s="695">
        <v>604.85695899999996</v>
      </c>
      <c r="P84" s="683"/>
      <c r="Q84" s="683"/>
      <c r="R84" s="606">
        <v>583.82642299999998</v>
      </c>
      <c r="S84" s="606">
        <v>583.82642299999998</v>
      </c>
      <c r="T84" s="695">
        <v>604.85695899999996</v>
      </c>
      <c r="U84" s="695">
        <v>604.85695899999996</v>
      </c>
      <c r="V84" s="698"/>
      <c r="W84" s="698"/>
      <c r="X84" s="698"/>
      <c r="Y84" s="698"/>
      <c r="Z84" s="699"/>
    </row>
    <row r="85" spans="1:26" s="662" customFormat="1" ht="39.75" customHeight="1">
      <c r="A85" s="696">
        <v>3</v>
      </c>
      <c r="B85" s="680" t="s">
        <v>453</v>
      </c>
      <c r="C85" s="697"/>
      <c r="D85" s="615" t="s">
        <v>442</v>
      </c>
      <c r="E85" s="681" t="s">
        <v>1187</v>
      </c>
      <c r="F85" s="547">
        <f>600</f>
        <v>600</v>
      </c>
      <c r="G85" s="547">
        <v>594</v>
      </c>
      <c r="H85" s="627">
        <f t="shared" si="16"/>
        <v>593</v>
      </c>
      <c r="I85" s="627">
        <v>593</v>
      </c>
      <c r="J85" s="627"/>
      <c r="K85" s="627"/>
      <c r="L85" s="682">
        <v>464.91770300000002</v>
      </c>
      <c r="M85" s="682">
        <v>464.91770300000002</v>
      </c>
      <c r="N85" s="683"/>
      <c r="O85" s="683"/>
      <c r="P85" s="682">
        <v>3.0822970000000001</v>
      </c>
      <c r="Q85" s="682">
        <v>3.0822970000000001</v>
      </c>
      <c r="R85" s="695"/>
      <c r="S85" s="695"/>
      <c r="T85" s="683"/>
      <c r="U85" s="683"/>
      <c r="V85" s="654"/>
      <c r="W85" s="654"/>
      <c r="X85" s="654"/>
      <c r="Y85" s="654"/>
      <c r="Z85" s="1323" t="s">
        <v>129</v>
      </c>
    </row>
    <row r="86" spans="1:26" s="604" customFormat="1" ht="31.5">
      <c r="A86" s="696">
        <v>4</v>
      </c>
      <c r="B86" s="680" t="s">
        <v>454</v>
      </c>
      <c r="C86" s="614"/>
      <c r="D86" s="615" t="s">
        <v>442</v>
      </c>
      <c r="E86" s="681" t="s">
        <v>1188</v>
      </c>
      <c r="F86" s="547">
        <f>600</f>
        <v>600</v>
      </c>
      <c r="G86" s="547">
        <v>594</v>
      </c>
      <c r="H86" s="627">
        <f t="shared" si="16"/>
        <v>593</v>
      </c>
      <c r="I86" s="627">
        <v>593</v>
      </c>
      <c r="J86" s="611"/>
      <c r="K86" s="627"/>
      <c r="L86" s="682">
        <v>465.38221399999998</v>
      </c>
      <c r="M86" s="682">
        <v>465.38221399999998</v>
      </c>
      <c r="N86" s="683"/>
      <c r="O86" s="683"/>
      <c r="P86" s="682">
        <v>2.6177860000000002</v>
      </c>
      <c r="Q86" s="682">
        <v>2.6177860000000002</v>
      </c>
      <c r="R86" s="682"/>
      <c r="S86" s="682"/>
      <c r="T86" s="683"/>
      <c r="U86" s="683"/>
      <c r="V86" s="602"/>
      <c r="W86" s="692"/>
      <c r="X86" s="602"/>
      <c r="Y86" s="692"/>
      <c r="Z86" s="1324"/>
    </row>
    <row r="87" spans="1:26" s="604" customFormat="1" ht="40.5" customHeight="1">
      <c r="A87" s="696">
        <v>5</v>
      </c>
      <c r="B87" s="680" t="s">
        <v>568</v>
      </c>
      <c r="C87" s="614"/>
      <c r="D87" s="615" t="s">
        <v>442</v>
      </c>
      <c r="E87" s="681" t="s">
        <v>1189</v>
      </c>
      <c r="F87" s="547">
        <f>1580</f>
        <v>1580</v>
      </c>
      <c r="G87" s="547">
        <v>1565</v>
      </c>
      <c r="H87" s="627">
        <f t="shared" si="16"/>
        <v>1542</v>
      </c>
      <c r="I87" s="627">
        <v>1542</v>
      </c>
      <c r="J87" s="611"/>
      <c r="K87" s="627"/>
      <c r="L87" s="682">
        <v>1211.106</v>
      </c>
      <c r="M87" s="682">
        <v>1211.106</v>
      </c>
      <c r="N87" s="683"/>
      <c r="O87" s="683"/>
      <c r="P87" s="682">
        <v>0.89400000000000002</v>
      </c>
      <c r="Q87" s="682">
        <v>0.89400000000000002</v>
      </c>
      <c r="R87" s="682"/>
      <c r="S87" s="682"/>
      <c r="T87" s="683"/>
      <c r="U87" s="683"/>
      <c r="V87" s="602"/>
      <c r="W87" s="692"/>
      <c r="X87" s="602"/>
      <c r="Y87" s="692"/>
      <c r="Z87" s="1325"/>
    </row>
    <row r="88" spans="1:26" s="604" customFormat="1" ht="53.25" customHeight="1">
      <c r="A88" s="696">
        <v>6</v>
      </c>
      <c r="B88" s="680" t="s">
        <v>569</v>
      </c>
      <c r="C88" s="614"/>
      <c r="D88" s="615" t="s">
        <v>442</v>
      </c>
      <c r="E88" s="681" t="s">
        <v>1190</v>
      </c>
      <c r="F88" s="547">
        <f>5600</f>
        <v>5600</v>
      </c>
      <c r="G88" s="547">
        <v>5544</v>
      </c>
      <c r="H88" s="627">
        <f t="shared" si="16"/>
        <v>5277</v>
      </c>
      <c r="I88" s="627">
        <v>5277</v>
      </c>
      <c r="J88" s="611"/>
      <c r="K88" s="627"/>
      <c r="L88" s="682">
        <v>2000</v>
      </c>
      <c r="M88" s="682">
        <v>2000</v>
      </c>
      <c r="N88" s="695">
        <v>2096.669785</v>
      </c>
      <c r="O88" s="695">
        <v>2096.669785</v>
      </c>
      <c r="P88" s="683"/>
      <c r="Q88" s="683"/>
      <c r="R88" s="682">
        <v>2074.1817999999998</v>
      </c>
      <c r="S88" s="682">
        <v>2074.1817999999998</v>
      </c>
      <c r="T88" s="695">
        <v>2096.669785</v>
      </c>
      <c r="U88" s="695">
        <v>2096.669785</v>
      </c>
      <c r="V88" s="602"/>
      <c r="W88" s="692"/>
      <c r="X88" s="602"/>
      <c r="Y88" s="692"/>
      <c r="Z88" s="598"/>
    </row>
    <row r="89" spans="1:26" s="604" customFormat="1" ht="40.5" customHeight="1">
      <c r="A89" s="696">
        <v>7</v>
      </c>
      <c r="B89" s="680" t="s">
        <v>570</v>
      </c>
      <c r="C89" s="614"/>
      <c r="D89" s="615" t="s">
        <v>442</v>
      </c>
      <c r="E89" s="681" t="s">
        <v>1191</v>
      </c>
      <c r="F89" s="547">
        <f>6600</f>
        <v>6600</v>
      </c>
      <c r="G89" s="547">
        <v>6534</v>
      </c>
      <c r="H89" s="627">
        <f t="shared" si="16"/>
        <v>6232</v>
      </c>
      <c r="I89" s="627">
        <v>6232</v>
      </c>
      <c r="J89" s="611"/>
      <c r="K89" s="627"/>
      <c r="L89" s="682">
        <v>2500</v>
      </c>
      <c r="M89" s="682">
        <v>2500</v>
      </c>
      <c r="N89" s="695">
        <v>2341.9049719999998</v>
      </c>
      <c r="O89" s="695">
        <v>2341.9049719999998</v>
      </c>
      <c r="P89" s="683"/>
      <c r="Q89" s="683"/>
      <c r="R89" s="682">
        <v>2046.606</v>
      </c>
      <c r="S89" s="682">
        <v>2046.606</v>
      </c>
      <c r="T89" s="695">
        <v>2341.9049719999998</v>
      </c>
      <c r="U89" s="695">
        <v>2341.9049719999998</v>
      </c>
      <c r="V89" s="602"/>
      <c r="W89" s="692"/>
      <c r="X89" s="602"/>
      <c r="Y89" s="692"/>
      <c r="Z89" s="598"/>
    </row>
    <row r="90" spans="1:26" s="604" customFormat="1" ht="45.75" customHeight="1">
      <c r="A90" s="696">
        <v>8</v>
      </c>
      <c r="B90" s="680" t="s">
        <v>455</v>
      </c>
      <c r="C90" s="614"/>
      <c r="D90" s="615" t="s">
        <v>442</v>
      </c>
      <c r="E90" s="681" t="s">
        <v>1192</v>
      </c>
      <c r="F90" s="547">
        <f>2000</f>
        <v>2000</v>
      </c>
      <c r="G90" s="547">
        <v>1980</v>
      </c>
      <c r="H90" s="627">
        <f t="shared" si="16"/>
        <v>1963</v>
      </c>
      <c r="I90" s="627">
        <v>1963</v>
      </c>
      <c r="J90" s="611"/>
      <c r="K90" s="627"/>
      <c r="L90" s="682">
        <v>1000</v>
      </c>
      <c r="M90" s="682">
        <v>1000</v>
      </c>
      <c r="N90" s="695">
        <v>543.39933399999995</v>
      </c>
      <c r="O90" s="695">
        <v>543.39933399999995</v>
      </c>
      <c r="P90" s="683"/>
      <c r="Q90" s="683"/>
      <c r="R90" s="606">
        <v>533.447</v>
      </c>
      <c r="S90" s="606">
        <v>533.447</v>
      </c>
      <c r="T90" s="695">
        <v>543.39933399999995</v>
      </c>
      <c r="U90" s="695">
        <v>543.39933399999995</v>
      </c>
      <c r="V90" s="602"/>
      <c r="W90" s="692"/>
      <c r="X90" s="602"/>
      <c r="Y90" s="692"/>
      <c r="Z90" s="598"/>
    </row>
    <row r="91" spans="1:26" s="604" customFormat="1" ht="82.5" customHeight="1">
      <c r="A91" s="696">
        <v>9</v>
      </c>
      <c r="B91" s="680" t="s">
        <v>456</v>
      </c>
      <c r="C91" s="666"/>
      <c r="D91" s="615" t="s">
        <v>442</v>
      </c>
      <c r="E91" s="681" t="s">
        <v>1193</v>
      </c>
      <c r="F91" s="547">
        <f>2000</f>
        <v>2000</v>
      </c>
      <c r="G91" s="547">
        <v>1980</v>
      </c>
      <c r="H91" s="627">
        <f t="shared" si="16"/>
        <v>1968</v>
      </c>
      <c r="I91" s="627">
        <v>1968</v>
      </c>
      <c r="J91" s="611"/>
      <c r="K91" s="616"/>
      <c r="L91" s="682">
        <v>1000</v>
      </c>
      <c r="M91" s="682">
        <v>1000</v>
      </c>
      <c r="N91" s="695">
        <v>548.23415199999999</v>
      </c>
      <c r="O91" s="695">
        <v>548.23415199999999</v>
      </c>
      <c r="P91" s="683"/>
      <c r="Q91" s="683"/>
      <c r="R91" s="606">
        <v>279.28300000000002</v>
      </c>
      <c r="S91" s="606">
        <v>279.28300000000002</v>
      </c>
      <c r="T91" s="695">
        <v>548.23415199999999</v>
      </c>
      <c r="U91" s="695">
        <v>548.23415199999999</v>
      </c>
      <c r="V91" s="602"/>
      <c r="W91" s="692"/>
      <c r="X91" s="602"/>
      <c r="Y91" s="692"/>
      <c r="Z91" s="598"/>
    </row>
    <row r="92" spans="1:26" s="662" customFormat="1" ht="45" customHeight="1">
      <c r="A92" s="696">
        <v>10</v>
      </c>
      <c r="B92" s="680" t="s">
        <v>571</v>
      </c>
      <c r="C92" s="697"/>
      <c r="D92" s="615" t="s">
        <v>442</v>
      </c>
      <c r="E92" s="681" t="s">
        <v>1194</v>
      </c>
      <c r="F92" s="547">
        <f>900</f>
        <v>900</v>
      </c>
      <c r="G92" s="547">
        <v>891</v>
      </c>
      <c r="H92" s="627">
        <f t="shared" si="16"/>
        <v>877</v>
      </c>
      <c r="I92" s="627">
        <v>877</v>
      </c>
      <c r="J92" s="627"/>
      <c r="K92" s="627"/>
      <c r="L92" s="682">
        <v>630.32990400000006</v>
      </c>
      <c r="M92" s="682">
        <v>630.32990400000006</v>
      </c>
      <c r="N92" s="683"/>
      <c r="O92" s="683"/>
      <c r="P92" s="682">
        <v>56.670096000000001</v>
      </c>
      <c r="Q92" s="682">
        <v>56.670096000000001</v>
      </c>
      <c r="R92" s="606"/>
      <c r="S92" s="606"/>
      <c r="T92" s="683"/>
      <c r="U92" s="683"/>
      <c r="V92" s="654"/>
      <c r="W92" s="654"/>
      <c r="X92" s="654"/>
      <c r="Y92" s="654"/>
      <c r="Z92" s="1323" t="s">
        <v>129</v>
      </c>
    </row>
    <row r="93" spans="1:26" s="662" customFormat="1" ht="45" customHeight="1">
      <c r="A93" s="696">
        <v>11</v>
      </c>
      <c r="B93" s="680" t="s">
        <v>458</v>
      </c>
      <c r="C93" s="697"/>
      <c r="D93" s="615" t="s">
        <v>442</v>
      </c>
      <c r="E93" s="681" t="s">
        <v>1195</v>
      </c>
      <c r="F93" s="547">
        <f>600</f>
        <v>600</v>
      </c>
      <c r="G93" s="547">
        <v>594</v>
      </c>
      <c r="H93" s="627">
        <f t="shared" si="16"/>
        <v>554</v>
      </c>
      <c r="I93" s="611">
        <v>554</v>
      </c>
      <c r="J93" s="611"/>
      <c r="K93" s="611"/>
      <c r="L93" s="682">
        <v>428.98660000000001</v>
      </c>
      <c r="M93" s="682">
        <v>428.98660000000001</v>
      </c>
      <c r="N93" s="683"/>
      <c r="O93" s="683"/>
      <c r="P93" s="700">
        <v>1.34E-2</v>
      </c>
      <c r="Q93" s="700">
        <v>1.34E-2</v>
      </c>
      <c r="R93" s="606"/>
      <c r="S93" s="606"/>
      <c r="T93" s="683"/>
      <c r="U93" s="683"/>
      <c r="V93" s="602"/>
      <c r="W93" s="602"/>
      <c r="X93" s="602"/>
      <c r="Y93" s="602"/>
      <c r="Z93" s="1324"/>
    </row>
    <row r="94" spans="1:26" s="673" customFormat="1" ht="63" customHeight="1">
      <c r="A94" s="696">
        <v>12</v>
      </c>
      <c r="B94" s="680" t="s">
        <v>572</v>
      </c>
      <c r="C94" s="614"/>
      <c r="D94" s="615" t="s">
        <v>442</v>
      </c>
      <c r="E94" s="681" t="s">
        <v>1196</v>
      </c>
      <c r="F94" s="547">
        <f>600</f>
        <v>600</v>
      </c>
      <c r="G94" s="547">
        <v>594</v>
      </c>
      <c r="H94" s="627">
        <f t="shared" si="16"/>
        <v>589</v>
      </c>
      <c r="I94" s="627">
        <v>589</v>
      </c>
      <c r="J94" s="671"/>
      <c r="K94" s="611"/>
      <c r="L94" s="682">
        <v>23.882000000000001</v>
      </c>
      <c r="M94" s="682">
        <v>23.882000000000001</v>
      </c>
      <c r="N94" s="683"/>
      <c r="O94" s="683"/>
      <c r="P94" s="682">
        <v>440.11799999999999</v>
      </c>
      <c r="Q94" s="682">
        <v>440.11799999999999</v>
      </c>
      <c r="R94" s="606"/>
      <c r="S94" s="606"/>
      <c r="T94" s="683"/>
      <c r="U94" s="683"/>
      <c r="V94" s="611"/>
      <c r="W94" s="611"/>
      <c r="X94" s="611"/>
      <c r="Y94" s="611"/>
      <c r="Z94" s="1324"/>
    </row>
    <row r="95" spans="1:26" s="673" customFormat="1" ht="63" customHeight="1">
      <c r="A95" s="696">
        <v>13</v>
      </c>
      <c r="B95" s="680" t="s">
        <v>457</v>
      </c>
      <c r="C95" s="614"/>
      <c r="D95" s="615" t="s">
        <v>442</v>
      </c>
      <c r="E95" s="681" t="s">
        <v>1197</v>
      </c>
      <c r="F95" s="547">
        <f>600</f>
        <v>600</v>
      </c>
      <c r="G95" s="547">
        <v>594</v>
      </c>
      <c r="H95" s="627">
        <f t="shared" si="16"/>
        <v>592</v>
      </c>
      <c r="I95" s="627">
        <v>592</v>
      </c>
      <c r="J95" s="671"/>
      <c r="K95" s="611"/>
      <c r="L95" s="682">
        <v>432.3546</v>
      </c>
      <c r="M95" s="682">
        <v>432.3546</v>
      </c>
      <c r="N95" s="683"/>
      <c r="O95" s="683"/>
      <c r="P95" s="682">
        <v>34.645400000000002</v>
      </c>
      <c r="Q95" s="682">
        <v>34.645400000000002</v>
      </c>
      <c r="R95" s="606"/>
      <c r="S95" s="606"/>
      <c r="T95" s="683"/>
      <c r="U95" s="683"/>
      <c r="V95" s="611"/>
      <c r="W95" s="611"/>
      <c r="X95" s="611"/>
      <c r="Y95" s="611"/>
      <c r="Z95" s="1324"/>
    </row>
    <row r="96" spans="1:26" s="673" customFormat="1" ht="47.25">
      <c r="A96" s="696">
        <v>14</v>
      </c>
      <c r="B96" s="680" t="s">
        <v>459</v>
      </c>
      <c r="C96" s="614"/>
      <c r="D96" s="615" t="s">
        <v>442</v>
      </c>
      <c r="E96" s="681" t="s">
        <v>1198</v>
      </c>
      <c r="F96" s="547">
        <f>1000</f>
        <v>1000</v>
      </c>
      <c r="G96" s="547">
        <v>990</v>
      </c>
      <c r="H96" s="627">
        <f t="shared" si="16"/>
        <v>988</v>
      </c>
      <c r="I96" s="627">
        <v>988</v>
      </c>
      <c r="J96" s="671"/>
      <c r="K96" s="611"/>
      <c r="L96" s="682">
        <v>776.27350000000001</v>
      </c>
      <c r="M96" s="682">
        <v>776.27350000000001</v>
      </c>
      <c r="N96" s="683"/>
      <c r="O96" s="683"/>
      <c r="P96" s="682">
        <v>1.7264999999999999</v>
      </c>
      <c r="Q96" s="682">
        <v>1.7264999999999999</v>
      </c>
      <c r="R96" s="606"/>
      <c r="S96" s="606"/>
      <c r="T96" s="683"/>
      <c r="U96" s="683"/>
      <c r="V96" s="611"/>
      <c r="W96" s="611"/>
      <c r="X96" s="611"/>
      <c r="Y96" s="611"/>
      <c r="Z96" s="1324"/>
    </row>
    <row r="97" spans="1:26" s="673" customFormat="1" ht="42.75" customHeight="1">
      <c r="A97" s="696">
        <v>15</v>
      </c>
      <c r="B97" s="680" t="s">
        <v>573</v>
      </c>
      <c r="C97" s="614"/>
      <c r="D97" s="615" t="s">
        <v>442</v>
      </c>
      <c r="E97" s="681" t="s">
        <v>1199</v>
      </c>
      <c r="F97" s="438">
        <f>1775</f>
        <v>1775</v>
      </c>
      <c r="G97" s="438">
        <v>1760</v>
      </c>
      <c r="H97" s="627">
        <f t="shared" si="16"/>
        <v>1755</v>
      </c>
      <c r="I97" s="627">
        <v>1755</v>
      </c>
      <c r="J97" s="671"/>
      <c r="K97" s="611"/>
      <c r="L97" s="682">
        <v>1358.999</v>
      </c>
      <c r="M97" s="682">
        <v>1358.999</v>
      </c>
      <c r="N97" s="683"/>
      <c r="O97" s="683"/>
      <c r="P97" s="682">
        <v>12.000999999999999</v>
      </c>
      <c r="Q97" s="682">
        <v>12.000999999999999</v>
      </c>
      <c r="R97" s="606"/>
      <c r="S97" s="606"/>
      <c r="T97" s="683"/>
      <c r="U97" s="683"/>
      <c r="V97" s="611"/>
      <c r="W97" s="611"/>
      <c r="X97" s="611"/>
      <c r="Y97" s="611"/>
      <c r="Z97" s="1325"/>
    </row>
    <row r="98" spans="1:26" s="673" customFormat="1" ht="15.75">
      <c r="A98" s="701" t="s">
        <v>1132</v>
      </c>
      <c r="B98" s="434" t="s">
        <v>1147</v>
      </c>
      <c r="C98" s="614"/>
      <c r="D98" s="702"/>
      <c r="E98" s="653"/>
      <c r="F98" s="703">
        <f t="shared" ref="F98:Q98" si="17">SUM(F99:F122)</f>
        <v>26613</v>
      </c>
      <c r="G98" s="703">
        <f t="shared" si="17"/>
        <v>26349</v>
      </c>
      <c r="H98" s="703">
        <f t="shared" si="17"/>
        <v>26349</v>
      </c>
      <c r="I98" s="703">
        <f t="shared" si="17"/>
        <v>26349</v>
      </c>
      <c r="J98" s="703">
        <f t="shared" si="17"/>
        <v>0</v>
      </c>
      <c r="K98" s="703">
        <f t="shared" si="17"/>
        <v>0</v>
      </c>
      <c r="L98" s="703">
        <f t="shared" si="17"/>
        <v>2018</v>
      </c>
      <c r="M98" s="703">
        <f t="shared" si="17"/>
        <v>2018</v>
      </c>
      <c r="N98" s="703">
        <f t="shared" si="17"/>
        <v>24251</v>
      </c>
      <c r="O98" s="703">
        <f t="shared" si="17"/>
        <v>24251</v>
      </c>
      <c r="P98" s="703">
        <f t="shared" si="17"/>
        <v>80</v>
      </c>
      <c r="Q98" s="703">
        <f t="shared" si="17"/>
        <v>80</v>
      </c>
      <c r="R98" s="703">
        <f>SUM(R99:R122)</f>
        <v>14133.130800000003</v>
      </c>
      <c r="S98" s="703">
        <f>SUM(S99:S122)</f>
        <v>14133.130800000003</v>
      </c>
      <c r="T98" s="703">
        <f t="shared" ref="T98:U98" si="18">SUM(T99:T122)</f>
        <v>24251</v>
      </c>
      <c r="U98" s="703">
        <f t="shared" si="18"/>
        <v>24251</v>
      </c>
      <c r="V98" s="611"/>
      <c r="W98" s="611"/>
      <c r="X98" s="611"/>
      <c r="Y98" s="611"/>
      <c r="Z98" s="611"/>
    </row>
    <row r="99" spans="1:26" s="706" customFormat="1" ht="44.25" customHeight="1">
      <c r="A99" s="687">
        <v>1</v>
      </c>
      <c r="B99" s="680" t="s">
        <v>134</v>
      </c>
      <c r="C99" s="704"/>
      <c r="D99" s="615" t="s">
        <v>560</v>
      </c>
      <c r="E99" s="615" t="s">
        <v>1200</v>
      </c>
      <c r="F99" s="547">
        <v>1000</v>
      </c>
      <c r="G99" s="631">
        <v>988</v>
      </c>
      <c r="H99" s="611">
        <f>+I99</f>
        <v>988</v>
      </c>
      <c r="I99" s="611">
        <v>988</v>
      </c>
      <c r="J99" s="611"/>
      <c r="K99" s="611"/>
      <c r="L99" s="682">
        <v>100</v>
      </c>
      <c r="M99" s="682">
        <v>100</v>
      </c>
      <c r="N99" s="113">
        <v>888</v>
      </c>
      <c r="O99" s="113">
        <v>888</v>
      </c>
      <c r="P99" s="113"/>
      <c r="Q99" s="113"/>
      <c r="R99" s="606">
        <v>63.460999999999999</v>
      </c>
      <c r="S99" s="606">
        <v>63.460999999999999</v>
      </c>
      <c r="T99" s="113">
        <v>888</v>
      </c>
      <c r="U99" s="113">
        <v>888</v>
      </c>
      <c r="V99" s="602"/>
      <c r="W99" s="602"/>
      <c r="X99" s="602"/>
      <c r="Y99" s="602"/>
      <c r="Z99" s="705"/>
    </row>
    <row r="100" spans="1:26" s="673" customFormat="1" ht="31.5">
      <c r="A100" s="687">
        <v>2</v>
      </c>
      <c r="B100" s="680" t="s">
        <v>444</v>
      </c>
      <c r="C100" s="684"/>
      <c r="D100" s="615" t="s">
        <v>560</v>
      </c>
      <c r="E100" s="615" t="s">
        <v>1201</v>
      </c>
      <c r="F100" s="547">
        <v>1000</v>
      </c>
      <c r="G100" s="631">
        <v>991</v>
      </c>
      <c r="H100" s="611">
        <f t="shared" ref="H100:H122" si="19">+I100</f>
        <v>991</v>
      </c>
      <c r="I100" s="627">
        <v>991</v>
      </c>
      <c r="J100" s="671"/>
      <c r="K100" s="611"/>
      <c r="L100" s="682">
        <v>100</v>
      </c>
      <c r="M100" s="682">
        <v>100</v>
      </c>
      <c r="N100" s="113">
        <v>891</v>
      </c>
      <c r="O100" s="113">
        <v>891</v>
      </c>
      <c r="P100" s="113"/>
      <c r="Q100" s="113"/>
      <c r="R100" s="606">
        <v>93.138999999999996</v>
      </c>
      <c r="S100" s="606">
        <v>93.138999999999996</v>
      </c>
      <c r="T100" s="113">
        <v>891</v>
      </c>
      <c r="U100" s="113">
        <v>891</v>
      </c>
      <c r="V100" s="611"/>
      <c r="W100" s="671"/>
      <c r="X100" s="611"/>
      <c r="Y100" s="671"/>
      <c r="Z100" s="672"/>
    </row>
    <row r="101" spans="1:26" s="673" customFormat="1" ht="45" customHeight="1">
      <c r="A101" s="687">
        <v>3</v>
      </c>
      <c r="B101" s="680" t="s">
        <v>586</v>
      </c>
      <c r="C101" s="684"/>
      <c r="D101" s="615" t="s">
        <v>560</v>
      </c>
      <c r="E101" s="615" t="s">
        <v>1202</v>
      </c>
      <c r="F101" s="547">
        <v>1990</v>
      </c>
      <c r="G101" s="631">
        <v>1970</v>
      </c>
      <c r="H101" s="611">
        <f t="shared" si="19"/>
        <v>1970</v>
      </c>
      <c r="I101" s="627">
        <v>1970</v>
      </c>
      <c r="J101" s="671"/>
      <c r="K101" s="611"/>
      <c r="L101" s="682">
        <v>200</v>
      </c>
      <c r="M101" s="682">
        <v>200</v>
      </c>
      <c r="N101" s="683">
        <v>1770</v>
      </c>
      <c r="O101" s="683">
        <v>1770</v>
      </c>
      <c r="P101" s="113"/>
      <c r="Q101" s="113"/>
      <c r="R101" s="606">
        <v>167.65799999999999</v>
      </c>
      <c r="S101" s="606">
        <v>167.65799999999999</v>
      </c>
      <c r="T101" s="683">
        <v>1770</v>
      </c>
      <c r="U101" s="683">
        <v>1770</v>
      </c>
      <c r="V101" s="611"/>
      <c r="W101" s="671"/>
      <c r="X101" s="611"/>
      <c r="Y101" s="671"/>
      <c r="Z101" s="672"/>
    </row>
    <row r="102" spans="1:26" s="673" customFormat="1" ht="45" customHeight="1">
      <c r="A102" s="687">
        <v>4</v>
      </c>
      <c r="B102" s="680" t="s">
        <v>587</v>
      </c>
      <c r="C102" s="684"/>
      <c r="D102" s="615" t="s">
        <v>560</v>
      </c>
      <c r="E102" s="615" t="s">
        <v>1203</v>
      </c>
      <c r="F102" s="547">
        <v>1016</v>
      </c>
      <c r="G102" s="631">
        <v>1006</v>
      </c>
      <c r="H102" s="611">
        <f t="shared" si="19"/>
        <v>1006</v>
      </c>
      <c r="I102" s="631">
        <v>1006</v>
      </c>
      <c r="J102" s="671"/>
      <c r="K102" s="611"/>
      <c r="L102" s="682">
        <v>100</v>
      </c>
      <c r="M102" s="682">
        <v>100</v>
      </c>
      <c r="N102" s="113">
        <v>906</v>
      </c>
      <c r="O102" s="113">
        <v>906</v>
      </c>
      <c r="P102" s="113"/>
      <c r="Q102" s="113"/>
      <c r="R102" s="626">
        <v>855.96799999999996</v>
      </c>
      <c r="S102" s="626">
        <v>855.96799999999996</v>
      </c>
      <c r="T102" s="113">
        <v>906</v>
      </c>
      <c r="U102" s="113">
        <v>906</v>
      </c>
      <c r="V102" s="611"/>
      <c r="W102" s="671"/>
      <c r="X102" s="611"/>
      <c r="Y102" s="671"/>
      <c r="Z102" s="672"/>
    </row>
    <row r="103" spans="1:26" s="673" customFormat="1" ht="45" customHeight="1">
      <c r="A103" s="687">
        <v>5</v>
      </c>
      <c r="B103" s="707" t="s">
        <v>574</v>
      </c>
      <c r="C103" s="684"/>
      <c r="D103" s="615" t="s">
        <v>560</v>
      </c>
      <c r="E103" s="615" t="s">
        <v>1204</v>
      </c>
      <c r="F103" s="547">
        <v>500</v>
      </c>
      <c r="G103" s="631">
        <v>490</v>
      </c>
      <c r="H103" s="611">
        <f t="shared" si="19"/>
        <v>490</v>
      </c>
      <c r="I103" s="631">
        <v>490</v>
      </c>
      <c r="J103" s="671"/>
      <c r="K103" s="611"/>
      <c r="L103" s="682"/>
      <c r="M103" s="682"/>
      <c r="N103" s="113">
        <v>410</v>
      </c>
      <c r="O103" s="113">
        <v>410</v>
      </c>
      <c r="P103" s="113">
        <v>80</v>
      </c>
      <c r="Q103" s="113">
        <v>80</v>
      </c>
      <c r="R103" s="606">
        <v>431.58100000000002</v>
      </c>
      <c r="S103" s="606">
        <v>431.58100000000002</v>
      </c>
      <c r="T103" s="113">
        <v>410</v>
      </c>
      <c r="U103" s="113">
        <v>410</v>
      </c>
      <c r="V103" s="611"/>
      <c r="W103" s="671"/>
      <c r="X103" s="611"/>
      <c r="Y103" s="671"/>
      <c r="Z103" s="672"/>
    </row>
    <row r="104" spans="1:26" s="673" customFormat="1" ht="45" customHeight="1">
      <c r="A104" s="687">
        <v>6</v>
      </c>
      <c r="B104" s="680" t="s">
        <v>575</v>
      </c>
      <c r="C104" s="684"/>
      <c r="D104" s="615" t="s">
        <v>560</v>
      </c>
      <c r="E104" s="615" t="s">
        <v>1205</v>
      </c>
      <c r="F104" s="547">
        <v>470</v>
      </c>
      <c r="G104" s="631">
        <v>462</v>
      </c>
      <c r="H104" s="611">
        <f t="shared" si="19"/>
        <v>462</v>
      </c>
      <c r="I104" s="631">
        <v>462</v>
      </c>
      <c r="J104" s="671"/>
      <c r="K104" s="611"/>
      <c r="L104" s="682">
        <v>80</v>
      </c>
      <c r="M104" s="682">
        <v>80</v>
      </c>
      <c r="N104" s="113">
        <v>382</v>
      </c>
      <c r="O104" s="113">
        <v>382</v>
      </c>
      <c r="P104" s="113"/>
      <c r="Q104" s="113"/>
      <c r="R104" s="606">
        <v>316.42899999999997</v>
      </c>
      <c r="S104" s="606">
        <v>316.42899999999997</v>
      </c>
      <c r="T104" s="113">
        <v>382</v>
      </c>
      <c r="U104" s="113">
        <v>382</v>
      </c>
      <c r="V104" s="611"/>
      <c r="W104" s="671"/>
      <c r="X104" s="611"/>
      <c r="Y104" s="671"/>
      <c r="Z104" s="672"/>
    </row>
    <row r="105" spans="1:26" s="673" customFormat="1" ht="45" customHeight="1">
      <c r="A105" s="687">
        <v>7</v>
      </c>
      <c r="B105" s="707" t="s">
        <v>576</v>
      </c>
      <c r="C105" s="684"/>
      <c r="D105" s="615" t="s">
        <v>560</v>
      </c>
      <c r="E105" s="615" t="s">
        <v>1206</v>
      </c>
      <c r="F105" s="547">
        <v>2364</v>
      </c>
      <c r="G105" s="631">
        <v>2341</v>
      </c>
      <c r="H105" s="611">
        <f t="shared" si="19"/>
        <v>2341</v>
      </c>
      <c r="I105" s="631">
        <v>2341</v>
      </c>
      <c r="J105" s="671"/>
      <c r="K105" s="611"/>
      <c r="L105" s="682">
        <v>318</v>
      </c>
      <c r="M105" s="682">
        <v>318</v>
      </c>
      <c r="N105" s="683">
        <v>2023</v>
      </c>
      <c r="O105" s="683">
        <v>2023</v>
      </c>
      <c r="P105" s="113"/>
      <c r="Q105" s="113"/>
      <c r="R105" s="606">
        <v>2000.415</v>
      </c>
      <c r="S105" s="606">
        <v>2000.415</v>
      </c>
      <c r="T105" s="683">
        <v>2023</v>
      </c>
      <c r="U105" s="683">
        <v>2023</v>
      </c>
      <c r="V105" s="611"/>
      <c r="W105" s="671"/>
      <c r="X105" s="611"/>
      <c r="Y105" s="671"/>
      <c r="Z105" s="672"/>
    </row>
    <row r="106" spans="1:26" s="673" customFormat="1" ht="45" customHeight="1">
      <c r="A106" s="687">
        <v>8</v>
      </c>
      <c r="B106" s="680" t="s">
        <v>582</v>
      </c>
      <c r="C106" s="684"/>
      <c r="D106" s="615" t="s">
        <v>560</v>
      </c>
      <c r="E106" s="615" t="s">
        <v>1207</v>
      </c>
      <c r="F106" s="547">
        <v>2000</v>
      </c>
      <c r="G106" s="631">
        <v>1980</v>
      </c>
      <c r="H106" s="611">
        <f t="shared" si="19"/>
        <v>1980</v>
      </c>
      <c r="I106" s="631">
        <v>1980</v>
      </c>
      <c r="J106" s="671"/>
      <c r="K106" s="611"/>
      <c r="L106" s="682">
        <v>200</v>
      </c>
      <c r="M106" s="682">
        <v>200</v>
      </c>
      <c r="N106" s="683">
        <v>1780</v>
      </c>
      <c r="O106" s="683">
        <v>1780</v>
      </c>
      <c r="P106" s="113"/>
      <c r="Q106" s="113"/>
      <c r="R106" s="606">
        <v>1685.4580000000001</v>
      </c>
      <c r="S106" s="606">
        <v>1685.4580000000001</v>
      </c>
      <c r="T106" s="683">
        <v>1780</v>
      </c>
      <c r="U106" s="683">
        <v>1780</v>
      </c>
      <c r="V106" s="611"/>
      <c r="W106" s="671"/>
      <c r="X106" s="611"/>
      <c r="Y106" s="671"/>
      <c r="Z106" s="672"/>
    </row>
    <row r="107" spans="1:26" s="604" customFormat="1" ht="60" customHeight="1">
      <c r="A107" s="687">
        <v>9</v>
      </c>
      <c r="B107" s="680" t="s">
        <v>584</v>
      </c>
      <c r="C107" s="623"/>
      <c r="D107" s="615" t="s">
        <v>560</v>
      </c>
      <c r="E107" s="615" t="s">
        <v>1208</v>
      </c>
      <c r="F107" s="547">
        <v>2000</v>
      </c>
      <c r="G107" s="631">
        <v>1990</v>
      </c>
      <c r="H107" s="611">
        <f t="shared" si="19"/>
        <v>1990</v>
      </c>
      <c r="I107" s="631">
        <v>1990</v>
      </c>
      <c r="J107" s="611"/>
      <c r="K107" s="611"/>
      <c r="L107" s="682">
        <v>200</v>
      </c>
      <c r="M107" s="682">
        <v>200</v>
      </c>
      <c r="N107" s="683">
        <v>1790</v>
      </c>
      <c r="O107" s="683">
        <v>1790</v>
      </c>
      <c r="P107" s="113"/>
      <c r="Q107" s="113"/>
      <c r="R107" s="606"/>
      <c r="S107" s="606"/>
      <c r="T107" s="683">
        <v>1790</v>
      </c>
      <c r="U107" s="683">
        <v>1790</v>
      </c>
      <c r="V107" s="602"/>
      <c r="W107" s="602"/>
      <c r="X107" s="602"/>
      <c r="Y107" s="602"/>
      <c r="Z107" s="598"/>
    </row>
    <row r="108" spans="1:26" s="673" customFormat="1" ht="45.75" customHeight="1">
      <c r="A108" s="687">
        <v>10</v>
      </c>
      <c r="B108" s="680" t="s">
        <v>585</v>
      </c>
      <c r="C108" s="684"/>
      <c r="D108" s="615" t="s">
        <v>560</v>
      </c>
      <c r="E108" s="615" t="s">
        <v>1209</v>
      </c>
      <c r="F108" s="547">
        <v>1000</v>
      </c>
      <c r="G108" s="631">
        <v>990</v>
      </c>
      <c r="H108" s="611">
        <f t="shared" si="19"/>
        <v>990</v>
      </c>
      <c r="I108" s="631">
        <v>990</v>
      </c>
      <c r="J108" s="671"/>
      <c r="K108" s="611"/>
      <c r="L108" s="682">
        <v>100</v>
      </c>
      <c r="M108" s="682">
        <v>100</v>
      </c>
      <c r="N108" s="683">
        <v>890</v>
      </c>
      <c r="O108" s="683">
        <v>890</v>
      </c>
      <c r="P108" s="113"/>
      <c r="Q108" s="113"/>
      <c r="R108" s="606">
        <v>831.43700000000001</v>
      </c>
      <c r="S108" s="606">
        <v>831.43700000000001</v>
      </c>
      <c r="T108" s="683">
        <v>890</v>
      </c>
      <c r="U108" s="683">
        <v>890</v>
      </c>
      <c r="V108" s="620"/>
      <c r="W108" s="671"/>
      <c r="X108" s="611"/>
      <c r="Y108" s="671"/>
      <c r="Z108" s="611"/>
    </row>
    <row r="109" spans="1:26" s="673" customFormat="1" ht="65.25" customHeight="1">
      <c r="A109" s="687">
        <v>11</v>
      </c>
      <c r="B109" s="680" t="s">
        <v>583</v>
      </c>
      <c r="C109" s="684"/>
      <c r="D109" s="615" t="s">
        <v>560</v>
      </c>
      <c r="E109" s="615" t="s">
        <v>1210</v>
      </c>
      <c r="F109" s="547">
        <v>1585</v>
      </c>
      <c r="G109" s="631">
        <v>1569</v>
      </c>
      <c r="H109" s="611">
        <f t="shared" si="19"/>
        <v>1569</v>
      </c>
      <c r="I109" s="631">
        <v>1569</v>
      </c>
      <c r="J109" s="671"/>
      <c r="K109" s="611"/>
      <c r="L109" s="682">
        <v>120</v>
      </c>
      <c r="M109" s="682">
        <v>120</v>
      </c>
      <c r="N109" s="683">
        <v>1449</v>
      </c>
      <c r="O109" s="683">
        <v>1449</v>
      </c>
      <c r="P109" s="113"/>
      <c r="Q109" s="113"/>
      <c r="R109" s="606">
        <v>1371.8088</v>
      </c>
      <c r="S109" s="606">
        <v>1371.8088</v>
      </c>
      <c r="T109" s="683">
        <v>1449</v>
      </c>
      <c r="U109" s="683">
        <v>1449</v>
      </c>
      <c r="V109" s="620"/>
      <c r="W109" s="671"/>
      <c r="X109" s="611"/>
      <c r="Y109" s="671"/>
      <c r="Z109" s="611"/>
    </row>
    <row r="110" spans="1:26" s="673" customFormat="1" ht="31.5">
      <c r="A110" s="687">
        <v>12</v>
      </c>
      <c r="B110" s="680" t="s">
        <v>450</v>
      </c>
      <c r="C110" s="684"/>
      <c r="D110" s="615" t="s">
        <v>560</v>
      </c>
      <c r="E110" s="615" t="s">
        <v>1211</v>
      </c>
      <c r="F110" s="547">
        <v>1090</v>
      </c>
      <c r="G110" s="631">
        <v>1080</v>
      </c>
      <c r="H110" s="611">
        <f t="shared" si="19"/>
        <v>1080</v>
      </c>
      <c r="I110" s="631">
        <v>1080</v>
      </c>
      <c r="J110" s="671"/>
      <c r="K110" s="611"/>
      <c r="L110" s="682">
        <v>100</v>
      </c>
      <c r="M110" s="682">
        <v>100</v>
      </c>
      <c r="N110" s="683">
        <v>980</v>
      </c>
      <c r="O110" s="683">
        <v>980</v>
      </c>
      <c r="P110" s="113"/>
      <c r="Q110" s="113"/>
      <c r="R110" s="606"/>
      <c r="S110" s="606"/>
      <c r="T110" s="683">
        <v>980</v>
      </c>
      <c r="U110" s="683">
        <v>980</v>
      </c>
      <c r="V110" s="620"/>
      <c r="W110" s="671"/>
      <c r="X110" s="611"/>
      <c r="Y110" s="671"/>
      <c r="Z110" s="1309"/>
    </row>
    <row r="111" spans="1:26" s="673" customFormat="1" ht="60" customHeight="1">
      <c r="A111" s="687">
        <v>13</v>
      </c>
      <c r="B111" s="707" t="s">
        <v>578</v>
      </c>
      <c r="C111" s="684"/>
      <c r="D111" s="615" t="s">
        <v>560</v>
      </c>
      <c r="E111" s="615" t="s">
        <v>1212</v>
      </c>
      <c r="F111" s="547">
        <v>4000</v>
      </c>
      <c r="G111" s="631">
        <v>3960</v>
      </c>
      <c r="H111" s="611">
        <f t="shared" si="19"/>
        <v>3960</v>
      </c>
      <c r="I111" s="631">
        <v>3960</v>
      </c>
      <c r="J111" s="671"/>
      <c r="K111" s="611"/>
      <c r="L111" s="682">
        <v>400</v>
      </c>
      <c r="M111" s="682">
        <v>400</v>
      </c>
      <c r="N111" s="683">
        <v>3560</v>
      </c>
      <c r="O111" s="683">
        <v>3560</v>
      </c>
      <c r="P111" s="113"/>
      <c r="Q111" s="113"/>
      <c r="R111" s="606">
        <v>3256.7559999999999</v>
      </c>
      <c r="S111" s="606">
        <v>3256.7559999999999</v>
      </c>
      <c r="T111" s="683">
        <v>3560</v>
      </c>
      <c r="U111" s="683">
        <v>3560</v>
      </c>
      <c r="V111" s="620"/>
      <c r="W111" s="671"/>
      <c r="X111" s="611"/>
      <c r="Y111" s="671"/>
      <c r="Z111" s="1309"/>
    </row>
    <row r="112" spans="1:26" s="673" customFormat="1" ht="81.75" customHeight="1">
      <c r="A112" s="687">
        <v>14</v>
      </c>
      <c r="B112" s="680" t="s">
        <v>580</v>
      </c>
      <c r="C112" s="684"/>
      <c r="D112" s="615" t="s">
        <v>560</v>
      </c>
      <c r="E112" s="615" t="s">
        <v>1213</v>
      </c>
      <c r="F112" s="547">
        <v>598</v>
      </c>
      <c r="G112" s="631">
        <v>592</v>
      </c>
      <c r="H112" s="611">
        <f t="shared" si="19"/>
        <v>592</v>
      </c>
      <c r="I112" s="631">
        <v>592</v>
      </c>
      <c r="J112" s="671"/>
      <c r="K112" s="611"/>
      <c r="L112" s="682"/>
      <c r="M112" s="682"/>
      <c r="N112" s="113">
        <v>592</v>
      </c>
      <c r="O112" s="113">
        <v>592</v>
      </c>
      <c r="P112" s="113"/>
      <c r="Q112" s="113"/>
      <c r="R112" s="606">
        <v>564.89599999999996</v>
      </c>
      <c r="S112" s="606">
        <v>564.89599999999996</v>
      </c>
      <c r="T112" s="113">
        <v>592</v>
      </c>
      <c r="U112" s="113">
        <v>592</v>
      </c>
      <c r="V112" s="620"/>
      <c r="W112" s="671"/>
      <c r="X112" s="611"/>
      <c r="Y112" s="671"/>
      <c r="Z112" s="1309"/>
    </row>
    <row r="113" spans="1:26" s="673" customFormat="1" ht="59.25" customHeight="1">
      <c r="A113" s="687">
        <v>15</v>
      </c>
      <c r="B113" s="680" t="s">
        <v>446</v>
      </c>
      <c r="C113" s="684"/>
      <c r="D113" s="615" t="s">
        <v>560</v>
      </c>
      <c r="E113" s="615" t="s">
        <v>1214</v>
      </c>
      <c r="F113" s="547">
        <v>600</v>
      </c>
      <c r="G113" s="631">
        <v>594</v>
      </c>
      <c r="H113" s="611">
        <f t="shared" si="19"/>
        <v>594</v>
      </c>
      <c r="I113" s="631">
        <v>594</v>
      </c>
      <c r="J113" s="671"/>
      <c r="K113" s="611"/>
      <c r="L113" s="682"/>
      <c r="M113" s="682"/>
      <c r="N113" s="113">
        <v>594</v>
      </c>
      <c r="O113" s="113">
        <v>594</v>
      </c>
      <c r="P113" s="113"/>
      <c r="Q113" s="113"/>
      <c r="R113" s="606"/>
      <c r="S113" s="606"/>
      <c r="T113" s="113">
        <v>594</v>
      </c>
      <c r="U113" s="113">
        <v>594</v>
      </c>
      <c r="V113" s="620"/>
      <c r="W113" s="671"/>
      <c r="X113" s="611"/>
      <c r="Y113" s="671"/>
      <c r="Z113" s="672"/>
    </row>
    <row r="114" spans="1:26" s="673" customFormat="1" ht="63" customHeight="1">
      <c r="A114" s="687">
        <v>16</v>
      </c>
      <c r="B114" s="680" t="s">
        <v>445</v>
      </c>
      <c r="C114" s="684"/>
      <c r="D114" s="615" t="s">
        <v>560</v>
      </c>
      <c r="E114" s="615" t="s">
        <v>1215</v>
      </c>
      <c r="F114" s="547">
        <v>600</v>
      </c>
      <c r="G114" s="631">
        <v>594</v>
      </c>
      <c r="H114" s="611">
        <f t="shared" si="19"/>
        <v>594</v>
      </c>
      <c r="I114" s="631">
        <v>594</v>
      </c>
      <c r="J114" s="671"/>
      <c r="K114" s="611"/>
      <c r="L114" s="682"/>
      <c r="M114" s="682"/>
      <c r="N114" s="113">
        <v>594</v>
      </c>
      <c r="O114" s="113">
        <v>594</v>
      </c>
      <c r="P114" s="113"/>
      <c r="Q114" s="113"/>
      <c r="R114" s="606"/>
      <c r="S114" s="606"/>
      <c r="T114" s="113">
        <v>594</v>
      </c>
      <c r="U114" s="113">
        <v>594</v>
      </c>
      <c r="V114" s="620"/>
      <c r="W114" s="671"/>
      <c r="X114" s="611"/>
      <c r="Y114" s="671"/>
      <c r="Z114" s="672"/>
    </row>
    <row r="115" spans="1:26" s="673" customFormat="1" ht="46.5" customHeight="1">
      <c r="A115" s="687">
        <v>17</v>
      </c>
      <c r="B115" s="680" t="s">
        <v>581</v>
      </c>
      <c r="C115" s="684"/>
      <c r="D115" s="615" t="s">
        <v>560</v>
      </c>
      <c r="E115" s="615" t="s">
        <v>1216</v>
      </c>
      <c r="F115" s="547">
        <v>600</v>
      </c>
      <c r="G115" s="631">
        <v>594</v>
      </c>
      <c r="H115" s="611">
        <f t="shared" si="19"/>
        <v>594</v>
      </c>
      <c r="I115" s="631">
        <v>594</v>
      </c>
      <c r="J115" s="671"/>
      <c r="K115" s="611"/>
      <c r="L115" s="682"/>
      <c r="M115" s="682"/>
      <c r="N115" s="113">
        <v>594</v>
      </c>
      <c r="O115" s="113">
        <v>594</v>
      </c>
      <c r="P115" s="113"/>
      <c r="Q115" s="113"/>
      <c r="R115" s="606">
        <v>542.245</v>
      </c>
      <c r="S115" s="606">
        <v>542.245</v>
      </c>
      <c r="T115" s="113">
        <v>594</v>
      </c>
      <c r="U115" s="113">
        <v>594</v>
      </c>
      <c r="V115" s="620"/>
      <c r="W115" s="671"/>
      <c r="X115" s="611"/>
      <c r="Y115" s="671"/>
      <c r="Z115" s="672"/>
    </row>
    <row r="116" spans="1:26" s="673" customFormat="1" ht="31.5">
      <c r="A116" s="687">
        <v>18</v>
      </c>
      <c r="B116" s="680" t="s">
        <v>448</v>
      </c>
      <c r="C116" s="684"/>
      <c r="D116" s="615" t="s">
        <v>560</v>
      </c>
      <c r="E116" s="615" t="s">
        <v>1217</v>
      </c>
      <c r="F116" s="547">
        <v>600</v>
      </c>
      <c r="G116" s="631">
        <v>594</v>
      </c>
      <c r="H116" s="611">
        <f t="shared" si="19"/>
        <v>594</v>
      </c>
      <c r="I116" s="631">
        <v>594</v>
      </c>
      <c r="J116" s="671"/>
      <c r="K116" s="611"/>
      <c r="L116" s="682"/>
      <c r="M116" s="682"/>
      <c r="N116" s="113">
        <v>594</v>
      </c>
      <c r="O116" s="113">
        <v>594</v>
      </c>
      <c r="P116" s="113"/>
      <c r="Q116" s="113"/>
      <c r="R116" s="606">
        <v>415.32299999999998</v>
      </c>
      <c r="S116" s="606">
        <v>415.32299999999998</v>
      </c>
      <c r="T116" s="113">
        <v>594</v>
      </c>
      <c r="U116" s="113">
        <v>594</v>
      </c>
      <c r="V116" s="620"/>
      <c r="W116" s="671"/>
      <c r="X116" s="611"/>
      <c r="Y116" s="671"/>
      <c r="Z116" s="672"/>
    </row>
    <row r="117" spans="1:26" s="673" customFormat="1" ht="31.5">
      <c r="A117" s="687">
        <v>19</v>
      </c>
      <c r="B117" s="680" t="s">
        <v>447</v>
      </c>
      <c r="C117" s="684"/>
      <c r="D117" s="615" t="s">
        <v>560</v>
      </c>
      <c r="E117" s="615" t="s">
        <v>1218</v>
      </c>
      <c r="F117" s="547">
        <v>600</v>
      </c>
      <c r="G117" s="631">
        <v>594</v>
      </c>
      <c r="H117" s="611">
        <f t="shared" si="19"/>
        <v>594</v>
      </c>
      <c r="I117" s="631">
        <v>594</v>
      </c>
      <c r="J117" s="671"/>
      <c r="K117" s="611"/>
      <c r="L117" s="682"/>
      <c r="M117" s="682"/>
      <c r="N117" s="113">
        <v>594</v>
      </c>
      <c r="O117" s="113">
        <v>594</v>
      </c>
      <c r="P117" s="113"/>
      <c r="Q117" s="113"/>
      <c r="R117" s="606">
        <v>464.48500000000001</v>
      </c>
      <c r="S117" s="606">
        <v>464.48500000000001</v>
      </c>
      <c r="T117" s="113">
        <v>594</v>
      </c>
      <c r="U117" s="113">
        <v>594</v>
      </c>
      <c r="V117" s="620"/>
      <c r="W117" s="671"/>
      <c r="X117" s="611"/>
      <c r="Y117" s="671"/>
      <c r="Z117" s="1309"/>
    </row>
    <row r="118" spans="1:26" s="673" customFormat="1" ht="56.25" customHeight="1">
      <c r="A118" s="687">
        <v>20</v>
      </c>
      <c r="B118" s="707" t="s">
        <v>577</v>
      </c>
      <c r="C118" s="684"/>
      <c r="D118" s="615" t="s">
        <v>560</v>
      </c>
      <c r="E118" s="615" t="s">
        <v>1219</v>
      </c>
      <c r="F118" s="547">
        <v>600</v>
      </c>
      <c r="G118" s="631">
        <v>594</v>
      </c>
      <c r="H118" s="611">
        <f t="shared" si="19"/>
        <v>594</v>
      </c>
      <c r="I118" s="631">
        <v>594</v>
      </c>
      <c r="J118" s="671"/>
      <c r="K118" s="611"/>
      <c r="L118" s="682"/>
      <c r="M118" s="682"/>
      <c r="N118" s="113">
        <v>594</v>
      </c>
      <c r="O118" s="113">
        <v>594</v>
      </c>
      <c r="P118" s="113"/>
      <c r="Q118" s="113"/>
      <c r="R118" s="606">
        <v>511.66199999999998</v>
      </c>
      <c r="S118" s="606">
        <v>511.66199999999998</v>
      </c>
      <c r="T118" s="113">
        <v>594</v>
      </c>
      <c r="U118" s="113">
        <v>594</v>
      </c>
      <c r="V118" s="620"/>
      <c r="W118" s="671"/>
      <c r="X118" s="611"/>
      <c r="Y118" s="671"/>
      <c r="Z118" s="1309"/>
    </row>
    <row r="119" spans="1:26" s="673" customFormat="1" ht="59.25" customHeight="1">
      <c r="A119" s="687">
        <v>21</v>
      </c>
      <c r="B119" s="680" t="s">
        <v>449</v>
      </c>
      <c r="C119" s="684"/>
      <c r="D119" s="615" t="s">
        <v>560</v>
      </c>
      <c r="E119" s="615" t="s">
        <v>1220</v>
      </c>
      <c r="F119" s="547">
        <v>600</v>
      </c>
      <c r="G119" s="631">
        <v>594</v>
      </c>
      <c r="H119" s="611">
        <f t="shared" si="19"/>
        <v>594</v>
      </c>
      <c r="I119" s="631">
        <v>594</v>
      </c>
      <c r="J119" s="671"/>
      <c r="K119" s="611"/>
      <c r="L119" s="682"/>
      <c r="M119" s="682"/>
      <c r="N119" s="113">
        <v>594</v>
      </c>
      <c r="O119" s="113">
        <v>594</v>
      </c>
      <c r="P119" s="113"/>
      <c r="Q119" s="113"/>
      <c r="R119" s="606">
        <v>560.40899999999999</v>
      </c>
      <c r="S119" s="606">
        <v>560.40899999999999</v>
      </c>
      <c r="T119" s="113">
        <v>594</v>
      </c>
      <c r="U119" s="113">
        <v>594</v>
      </c>
      <c r="V119" s="620"/>
      <c r="W119" s="671"/>
      <c r="X119" s="611"/>
      <c r="Y119" s="671"/>
      <c r="Z119" s="1309"/>
    </row>
    <row r="120" spans="1:26" s="673" customFormat="1" ht="64.5" customHeight="1">
      <c r="A120" s="687">
        <v>22</v>
      </c>
      <c r="B120" s="680" t="s">
        <v>135</v>
      </c>
      <c r="C120" s="684"/>
      <c r="D120" s="615" t="s">
        <v>560</v>
      </c>
      <c r="E120" s="615" t="s">
        <v>1221</v>
      </c>
      <c r="F120" s="547">
        <v>600</v>
      </c>
      <c r="G120" s="631">
        <v>594</v>
      </c>
      <c r="H120" s="611">
        <f t="shared" si="19"/>
        <v>594</v>
      </c>
      <c r="I120" s="631">
        <v>594</v>
      </c>
      <c r="J120" s="671"/>
      <c r="K120" s="611"/>
      <c r="L120" s="682"/>
      <c r="M120" s="682"/>
      <c r="N120" s="113">
        <v>594</v>
      </c>
      <c r="O120" s="113">
        <v>594</v>
      </c>
      <c r="P120" s="113"/>
      <c r="Q120" s="113"/>
      <c r="R120" s="606"/>
      <c r="S120" s="606"/>
      <c r="T120" s="113">
        <v>594</v>
      </c>
      <c r="U120" s="113">
        <v>594</v>
      </c>
      <c r="V120" s="620"/>
      <c r="W120" s="671"/>
      <c r="X120" s="611"/>
      <c r="Y120" s="671"/>
      <c r="Z120" s="1309"/>
    </row>
    <row r="121" spans="1:26" s="673" customFormat="1" ht="39" customHeight="1">
      <c r="A121" s="687">
        <v>23</v>
      </c>
      <c r="B121" s="707" t="s">
        <v>579</v>
      </c>
      <c r="C121" s="684"/>
      <c r="D121" s="615" t="s">
        <v>560</v>
      </c>
      <c r="E121" s="615" t="s">
        <v>1222</v>
      </c>
      <c r="F121" s="547">
        <v>600</v>
      </c>
      <c r="G121" s="631">
        <v>594</v>
      </c>
      <c r="H121" s="611">
        <f t="shared" si="19"/>
        <v>594</v>
      </c>
      <c r="I121" s="631">
        <v>594</v>
      </c>
      <c r="J121" s="671"/>
      <c r="K121" s="611"/>
      <c r="L121" s="682"/>
      <c r="M121" s="682"/>
      <c r="N121" s="113">
        <v>594</v>
      </c>
      <c r="O121" s="113">
        <v>594</v>
      </c>
      <c r="P121" s="113"/>
      <c r="Q121" s="113"/>
      <c r="R121" s="606"/>
      <c r="S121" s="606"/>
      <c r="T121" s="113">
        <v>594</v>
      </c>
      <c r="U121" s="113">
        <v>594</v>
      </c>
      <c r="V121" s="620"/>
      <c r="W121" s="671"/>
      <c r="X121" s="611"/>
      <c r="Y121" s="671"/>
      <c r="Z121" s="1309"/>
    </row>
    <row r="122" spans="1:26" s="673" customFormat="1" ht="55.5" customHeight="1">
      <c r="A122" s="687">
        <v>24</v>
      </c>
      <c r="B122" s="680" t="s">
        <v>451</v>
      </c>
      <c r="C122" s="684"/>
      <c r="D122" s="615" t="s">
        <v>560</v>
      </c>
      <c r="E122" s="615" t="s">
        <v>1223</v>
      </c>
      <c r="F122" s="547">
        <v>600</v>
      </c>
      <c r="G122" s="631">
        <v>594</v>
      </c>
      <c r="H122" s="611">
        <f t="shared" si="19"/>
        <v>594</v>
      </c>
      <c r="I122" s="631">
        <v>594</v>
      </c>
      <c r="J122" s="671"/>
      <c r="K122" s="611"/>
      <c r="L122" s="682"/>
      <c r="M122" s="682"/>
      <c r="N122" s="113">
        <v>594</v>
      </c>
      <c r="O122" s="113">
        <v>594</v>
      </c>
      <c r="P122" s="113"/>
      <c r="Q122" s="113"/>
      <c r="R122" s="606"/>
      <c r="S122" s="606"/>
      <c r="T122" s="113">
        <v>594</v>
      </c>
      <c r="U122" s="113">
        <v>594</v>
      </c>
      <c r="V122" s="620"/>
      <c r="W122" s="671"/>
      <c r="X122" s="611"/>
      <c r="Y122" s="671"/>
      <c r="Z122" s="1309"/>
    </row>
    <row r="123" spans="1:26" s="673" customFormat="1" ht="39" customHeight="1">
      <c r="A123" s="701" t="s">
        <v>1224</v>
      </c>
      <c r="B123" s="434" t="s">
        <v>1225</v>
      </c>
      <c r="C123" s="684"/>
      <c r="D123" s="702"/>
      <c r="E123" s="653"/>
      <c r="F123" s="703">
        <f>SUM(F124:F126)</f>
        <v>7400</v>
      </c>
      <c r="G123" s="703">
        <f t="shared" ref="G123:U123" si="20">SUM(G124:G126)</f>
        <v>7315</v>
      </c>
      <c r="H123" s="703">
        <f t="shared" si="20"/>
        <v>7315</v>
      </c>
      <c r="I123" s="703">
        <f t="shared" si="20"/>
        <v>7315</v>
      </c>
      <c r="J123" s="703">
        <f t="shared" si="20"/>
        <v>0</v>
      </c>
      <c r="K123" s="703">
        <f t="shared" si="20"/>
        <v>0</v>
      </c>
      <c r="L123" s="703">
        <f t="shared" si="20"/>
        <v>0</v>
      </c>
      <c r="M123" s="703">
        <f t="shared" si="20"/>
        <v>0</v>
      </c>
      <c r="N123" s="703">
        <f t="shared" si="20"/>
        <v>7315</v>
      </c>
      <c r="O123" s="703">
        <f t="shared" si="20"/>
        <v>7315</v>
      </c>
      <c r="P123" s="703">
        <f t="shared" si="20"/>
        <v>0</v>
      </c>
      <c r="Q123" s="703">
        <f t="shared" si="20"/>
        <v>0</v>
      </c>
      <c r="R123" s="703">
        <f t="shared" si="20"/>
        <v>3312.8977049999999</v>
      </c>
      <c r="S123" s="703">
        <f t="shared" si="20"/>
        <v>3312.8977049999999</v>
      </c>
      <c r="T123" s="703">
        <f t="shared" si="20"/>
        <v>7315</v>
      </c>
      <c r="U123" s="703">
        <f t="shared" si="20"/>
        <v>7315</v>
      </c>
      <c r="V123" s="620"/>
      <c r="W123" s="671"/>
      <c r="X123" s="611"/>
      <c r="Y123" s="671"/>
      <c r="Z123" s="1309"/>
    </row>
    <row r="124" spans="1:26" s="706" customFormat="1" ht="33.75" customHeight="1">
      <c r="A124" s="687">
        <v>1</v>
      </c>
      <c r="B124" s="707" t="s">
        <v>136</v>
      </c>
      <c r="C124" s="704"/>
      <c r="D124" s="615" t="s">
        <v>560</v>
      </c>
      <c r="E124" s="615" t="s">
        <v>1226</v>
      </c>
      <c r="F124" s="708">
        <v>900</v>
      </c>
      <c r="G124" s="708">
        <v>891</v>
      </c>
      <c r="H124" s="611">
        <f>+I124</f>
        <v>891</v>
      </c>
      <c r="I124" s="708">
        <v>891</v>
      </c>
      <c r="J124" s="602"/>
      <c r="K124" s="602"/>
      <c r="L124" s="602"/>
      <c r="M124" s="602"/>
      <c r="N124" s="113">
        <v>891</v>
      </c>
      <c r="O124" s="113">
        <v>891</v>
      </c>
      <c r="P124" s="113"/>
      <c r="Q124" s="113"/>
      <c r="R124" s="606">
        <v>79.701785000000001</v>
      </c>
      <c r="S124" s="606">
        <v>79.701785000000001</v>
      </c>
      <c r="T124" s="113">
        <v>891</v>
      </c>
      <c r="U124" s="113">
        <v>891</v>
      </c>
      <c r="V124" s="602"/>
      <c r="W124" s="602"/>
      <c r="X124" s="602"/>
      <c r="Y124" s="602"/>
      <c r="Z124" s="705"/>
    </row>
    <row r="125" spans="1:26" s="604" customFormat="1" ht="31.5">
      <c r="A125" s="687">
        <v>2</v>
      </c>
      <c r="B125" s="707" t="s">
        <v>137</v>
      </c>
      <c r="C125" s="709"/>
      <c r="D125" s="615" t="s">
        <v>560</v>
      </c>
      <c r="E125" s="615" t="s">
        <v>1227</v>
      </c>
      <c r="F125" s="708">
        <v>600</v>
      </c>
      <c r="G125" s="708">
        <v>594</v>
      </c>
      <c r="H125" s="611">
        <f t="shared" ref="H125:H126" si="21">+I125</f>
        <v>594</v>
      </c>
      <c r="I125" s="708">
        <v>594</v>
      </c>
      <c r="J125" s="692"/>
      <c r="K125" s="602"/>
      <c r="L125" s="710"/>
      <c r="M125" s="602"/>
      <c r="N125" s="113">
        <v>594</v>
      </c>
      <c r="O125" s="113">
        <v>594</v>
      </c>
      <c r="P125" s="113"/>
      <c r="Q125" s="113"/>
      <c r="R125" s="606">
        <v>301.19592</v>
      </c>
      <c r="S125" s="606">
        <v>301.19592</v>
      </c>
      <c r="T125" s="113">
        <v>594</v>
      </c>
      <c r="U125" s="113">
        <v>594</v>
      </c>
      <c r="V125" s="620"/>
      <c r="W125" s="693"/>
      <c r="X125" s="693"/>
      <c r="Y125" s="692"/>
      <c r="Z125" s="598"/>
    </row>
    <row r="126" spans="1:26" s="604" customFormat="1" ht="31.5">
      <c r="A126" s="687">
        <v>3</v>
      </c>
      <c r="B126" s="707" t="s">
        <v>138</v>
      </c>
      <c r="C126" s="709"/>
      <c r="D126" s="615" t="s">
        <v>560</v>
      </c>
      <c r="E126" s="615" t="s">
        <v>1228</v>
      </c>
      <c r="F126" s="708">
        <v>5900</v>
      </c>
      <c r="G126" s="708">
        <v>5830</v>
      </c>
      <c r="H126" s="611">
        <f t="shared" si="21"/>
        <v>5830</v>
      </c>
      <c r="I126" s="708">
        <v>5830</v>
      </c>
      <c r="J126" s="692"/>
      <c r="K126" s="602"/>
      <c r="L126" s="602"/>
      <c r="M126" s="602"/>
      <c r="N126" s="438">
        <v>5830</v>
      </c>
      <c r="O126" s="438">
        <v>5830</v>
      </c>
      <c r="P126" s="113"/>
      <c r="Q126" s="113"/>
      <c r="R126" s="606">
        <v>2932</v>
      </c>
      <c r="S126" s="606">
        <v>2932</v>
      </c>
      <c r="T126" s="438">
        <v>5830</v>
      </c>
      <c r="U126" s="438">
        <v>5830</v>
      </c>
      <c r="V126" s="620"/>
      <c r="W126" s="693"/>
      <c r="X126" s="602"/>
      <c r="Y126" s="692"/>
      <c r="Z126" s="598"/>
    </row>
    <row r="127" spans="1:26" s="604" customFormat="1" ht="15.75">
      <c r="A127" s="701" t="s">
        <v>1229</v>
      </c>
      <c r="B127" s="711" t="s">
        <v>1230</v>
      </c>
      <c r="C127" s="709"/>
      <c r="D127" s="702"/>
      <c r="E127" s="653"/>
      <c r="F127" s="712"/>
      <c r="G127" s="712"/>
      <c r="H127" s="713">
        <v>1260.7</v>
      </c>
      <c r="I127" s="713">
        <v>1260.7</v>
      </c>
      <c r="J127" s="692"/>
      <c r="K127" s="602"/>
      <c r="L127" s="602"/>
      <c r="M127" s="602"/>
      <c r="N127" s="713">
        <v>1260.7</v>
      </c>
      <c r="O127" s="713">
        <v>1260.7</v>
      </c>
      <c r="P127" s="111"/>
      <c r="Q127" s="111"/>
      <c r="R127" s="601"/>
      <c r="S127" s="601"/>
      <c r="T127" s="713">
        <v>1260.7</v>
      </c>
      <c r="U127" s="713">
        <v>1260.7</v>
      </c>
      <c r="V127" s="620"/>
      <c r="W127" s="693"/>
      <c r="X127" s="602"/>
      <c r="Y127" s="692"/>
      <c r="Z127" s="598"/>
    </row>
    <row r="128" spans="1:26" s="604" customFormat="1" ht="47.25">
      <c r="A128" s="552" t="s">
        <v>228</v>
      </c>
      <c r="B128" s="605" t="s">
        <v>1231</v>
      </c>
      <c r="C128" s="709"/>
      <c r="D128" s="656"/>
      <c r="E128" s="653"/>
      <c r="F128" s="675">
        <f>+F129+F130+F131</f>
        <v>18132</v>
      </c>
      <c r="G128" s="675">
        <f t="shared" ref="G128:Y128" si="22">+G129+G130+G131</f>
        <v>18120</v>
      </c>
      <c r="H128" s="675">
        <f t="shared" si="22"/>
        <v>18054</v>
      </c>
      <c r="I128" s="675">
        <f t="shared" si="22"/>
        <v>18054</v>
      </c>
      <c r="J128" s="675">
        <f t="shared" si="22"/>
        <v>0</v>
      </c>
      <c r="K128" s="675">
        <f t="shared" si="22"/>
        <v>0</v>
      </c>
      <c r="L128" s="675">
        <f t="shared" si="22"/>
        <v>0</v>
      </c>
      <c r="M128" s="675">
        <f t="shared" si="22"/>
        <v>0</v>
      </c>
      <c r="N128" s="675">
        <f t="shared" si="22"/>
        <v>0</v>
      </c>
      <c r="O128" s="675">
        <f t="shared" si="22"/>
        <v>0</v>
      </c>
      <c r="P128" s="675">
        <f t="shared" si="22"/>
        <v>576</v>
      </c>
      <c r="Q128" s="675">
        <f t="shared" si="22"/>
        <v>576</v>
      </c>
      <c r="R128" s="601">
        <f t="shared" si="22"/>
        <v>135.76900000000001</v>
      </c>
      <c r="S128" s="601">
        <f t="shared" si="22"/>
        <v>135.76900000000001</v>
      </c>
      <c r="T128" s="601">
        <f t="shared" si="22"/>
        <v>135.88800000000001</v>
      </c>
      <c r="U128" s="601">
        <f t="shared" si="22"/>
        <v>135.88800000000001</v>
      </c>
      <c r="V128" s="675">
        <f t="shared" si="22"/>
        <v>0</v>
      </c>
      <c r="W128" s="675">
        <f t="shared" si="22"/>
        <v>0</v>
      </c>
      <c r="X128" s="675">
        <f t="shared" si="22"/>
        <v>0</v>
      </c>
      <c r="Y128" s="675">
        <f t="shared" si="22"/>
        <v>0</v>
      </c>
      <c r="Z128" s="598"/>
    </row>
    <row r="129" spans="1:26" s="604" customFormat="1" ht="63">
      <c r="A129" s="544">
        <v>1</v>
      </c>
      <c r="B129" s="60" t="s">
        <v>1232</v>
      </c>
      <c r="C129" s="709"/>
      <c r="D129" s="544" t="s">
        <v>1233</v>
      </c>
      <c r="E129" s="543" t="s">
        <v>142</v>
      </c>
      <c r="F129" s="545">
        <v>6860</v>
      </c>
      <c r="G129" s="545">
        <v>6860</v>
      </c>
      <c r="H129" s="627">
        <f>+I129</f>
        <v>6798</v>
      </c>
      <c r="I129" s="627">
        <v>6798</v>
      </c>
      <c r="J129" s="692"/>
      <c r="K129" s="602"/>
      <c r="L129" s="602"/>
      <c r="M129" s="602"/>
      <c r="N129" s="624"/>
      <c r="O129" s="624"/>
      <c r="P129" s="624">
        <v>358</v>
      </c>
      <c r="Q129" s="624">
        <v>358</v>
      </c>
      <c r="R129" s="606">
        <v>55.887999999999998</v>
      </c>
      <c r="S129" s="606">
        <v>55.887999999999998</v>
      </c>
      <c r="T129" s="606">
        <v>55.887999999999998</v>
      </c>
      <c r="U129" s="606">
        <v>55.887999999999998</v>
      </c>
      <c r="V129" s="620"/>
      <c r="W129" s="693"/>
      <c r="X129" s="602"/>
      <c r="Y129" s="692"/>
      <c r="Z129" s="1310" t="s">
        <v>129</v>
      </c>
    </row>
    <row r="130" spans="1:26" s="604" customFormat="1" ht="63">
      <c r="A130" s="544">
        <v>2</v>
      </c>
      <c r="B130" s="60" t="s">
        <v>1234</v>
      </c>
      <c r="C130" s="699"/>
      <c r="D130" s="544" t="s">
        <v>1233</v>
      </c>
      <c r="E130" s="543" t="s">
        <v>143</v>
      </c>
      <c r="F130" s="545">
        <v>6360</v>
      </c>
      <c r="G130" s="545">
        <v>6360</v>
      </c>
      <c r="H130" s="627">
        <f t="shared" ref="H130:H131" si="23">+I130</f>
        <v>6356</v>
      </c>
      <c r="I130" s="627">
        <v>6356</v>
      </c>
      <c r="J130" s="692"/>
      <c r="K130" s="602"/>
      <c r="L130" s="602"/>
      <c r="M130" s="602"/>
      <c r="N130" s="624"/>
      <c r="O130" s="624"/>
      <c r="P130" s="624">
        <v>146</v>
      </c>
      <c r="Q130" s="624">
        <v>146</v>
      </c>
      <c r="R130" s="606">
        <v>52</v>
      </c>
      <c r="S130" s="606">
        <v>52</v>
      </c>
      <c r="T130" s="624">
        <v>52</v>
      </c>
      <c r="U130" s="624">
        <v>52</v>
      </c>
      <c r="V130" s="620"/>
      <c r="W130" s="693"/>
      <c r="X130" s="602"/>
      <c r="Y130" s="692"/>
      <c r="Z130" s="1311"/>
    </row>
    <row r="131" spans="1:26" s="604" customFormat="1" ht="47.25">
      <c r="A131" s="544">
        <v>3</v>
      </c>
      <c r="B131" s="60" t="s">
        <v>737</v>
      </c>
      <c r="C131" s="699"/>
      <c r="D131" s="544" t="s">
        <v>1233</v>
      </c>
      <c r="E131" s="543" t="s">
        <v>141</v>
      </c>
      <c r="F131" s="545">
        <v>4912</v>
      </c>
      <c r="G131" s="545">
        <v>4900</v>
      </c>
      <c r="H131" s="627">
        <f t="shared" si="23"/>
        <v>4900</v>
      </c>
      <c r="I131" s="627">
        <v>4900</v>
      </c>
      <c r="J131" s="692"/>
      <c r="K131" s="602"/>
      <c r="L131" s="602"/>
      <c r="M131" s="602"/>
      <c r="N131" s="624"/>
      <c r="O131" s="624"/>
      <c r="P131" s="624">
        <v>72</v>
      </c>
      <c r="Q131" s="624">
        <v>72</v>
      </c>
      <c r="R131" s="626">
        <v>27.881</v>
      </c>
      <c r="S131" s="626">
        <v>27.881</v>
      </c>
      <c r="T131" s="624">
        <v>28</v>
      </c>
      <c r="U131" s="624">
        <v>28</v>
      </c>
      <c r="V131" s="620"/>
      <c r="W131" s="693"/>
      <c r="X131" s="602"/>
      <c r="Y131" s="692"/>
      <c r="Z131" s="1312"/>
    </row>
    <row r="132" spans="1:26" s="604" customFormat="1" ht="39.75" customHeight="1">
      <c r="A132" s="550" t="s">
        <v>245</v>
      </c>
      <c r="B132" s="714" t="s">
        <v>1235</v>
      </c>
      <c r="C132" s="709"/>
      <c r="D132" s="552"/>
      <c r="E132" s="642"/>
      <c r="F132" s="643">
        <f>+F133</f>
        <v>39922</v>
      </c>
      <c r="G132" s="643">
        <f>+G133</f>
        <v>36325</v>
      </c>
      <c r="H132" s="643">
        <f t="shared" ref="H132:Q132" si="24">+H133</f>
        <v>25823</v>
      </c>
      <c r="I132" s="643">
        <f t="shared" si="24"/>
        <v>25823</v>
      </c>
      <c r="J132" s="643">
        <f t="shared" si="24"/>
        <v>0</v>
      </c>
      <c r="K132" s="643">
        <f t="shared" si="24"/>
        <v>0</v>
      </c>
      <c r="L132" s="643">
        <f t="shared" si="24"/>
        <v>0</v>
      </c>
      <c r="M132" s="643">
        <f t="shared" si="24"/>
        <v>0</v>
      </c>
      <c r="N132" s="644">
        <f t="shared" si="24"/>
        <v>0</v>
      </c>
      <c r="O132" s="644">
        <f t="shared" si="24"/>
        <v>0</v>
      </c>
      <c r="P132" s="644">
        <f t="shared" si="24"/>
        <v>2149.2155660000003</v>
      </c>
      <c r="Q132" s="644">
        <f t="shared" si="24"/>
        <v>2149.2155660000003</v>
      </c>
      <c r="R132" s="644">
        <f>+R133</f>
        <v>2097.5540000000001</v>
      </c>
      <c r="S132" s="644">
        <f>+S133</f>
        <v>2097.5540000000001</v>
      </c>
      <c r="T132" s="644">
        <f t="shared" ref="T132:U132" si="25">+T133</f>
        <v>0</v>
      </c>
      <c r="U132" s="644">
        <f t="shared" si="25"/>
        <v>0</v>
      </c>
      <c r="V132" s="620"/>
      <c r="W132" s="693"/>
      <c r="X132" s="602"/>
      <c r="Y132" s="692"/>
      <c r="Z132" s="598"/>
    </row>
    <row r="133" spans="1:26" s="706" customFormat="1" ht="60" customHeight="1">
      <c r="A133" s="550"/>
      <c r="B133" s="641" t="s">
        <v>1112</v>
      </c>
      <c r="C133" s="699"/>
      <c r="D133" s="552"/>
      <c r="E133" s="642"/>
      <c r="F133" s="643">
        <v>39922</v>
      </c>
      <c r="G133" s="643">
        <f>33695+2630</f>
        <v>36325</v>
      </c>
      <c r="H133" s="654">
        <f>+H134+H135+H136</f>
        <v>25823</v>
      </c>
      <c r="I133" s="654">
        <f t="shared" ref="I133:X133" si="26">+I134+I135+I136</f>
        <v>25823</v>
      </c>
      <c r="J133" s="654">
        <f t="shared" si="26"/>
        <v>0</v>
      </c>
      <c r="K133" s="654">
        <f t="shared" si="26"/>
        <v>0</v>
      </c>
      <c r="L133" s="654">
        <f t="shared" si="26"/>
        <v>0</v>
      </c>
      <c r="M133" s="654">
        <f t="shared" si="26"/>
        <v>0</v>
      </c>
      <c r="N133" s="654">
        <f t="shared" si="26"/>
        <v>0</v>
      </c>
      <c r="O133" s="654">
        <f t="shared" si="26"/>
        <v>0</v>
      </c>
      <c r="P133" s="715">
        <f t="shared" si="26"/>
        <v>2149.2155660000003</v>
      </c>
      <c r="Q133" s="715">
        <f t="shared" si="26"/>
        <v>2149.2155660000003</v>
      </c>
      <c r="R133" s="715">
        <f t="shared" si="26"/>
        <v>2097.5540000000001</v>
      </c>
      <c r="S133" s="715">
        <f t="shared" si="26"/>
        <v>2097.5540000000001</v>
      </c>
      <c r="T133" s="654">
        <f t="shared" si="26"/>
        <v>0</v>
      </c>
      <c r="U133" s="654">
        <f t="shared" si="26"/>
        <v>0</v>
      </c>
      <c r="V133" s="654">
        <f t="shared" si="26"/>
        <v>0</v>
      </c>
      <c r="W133" s="654">
        <f t="shared" si="26"/>
        <v>0</v>
      </c>
      <c r="X133" s="654">
        <f t="shared" si="26"/>
        <v>0</v>
      </c>
      <c r="Y133" s="602"/>
      <c r="Z133" s="705"/>
    </row>
    <row r="134" spans="1:26" s="673" customFormat="1" ht="60" customHeight="1">
      <c r="A134" s="107">
        <v>1</v>
      </c>
      <c r="B134" s="640" t="s">
        <v>1236</v>
      </c>
      <c r="C134" s="699"/>
      <c r="D134" s="544" t="s">
        <v>121</v>
      </c>
      <c r="E134" s="436" t="s">
        <v>1237</v>
      </c>
      <c r="F134" s="716">
        <v>12483</v>
      </c>
      <c r="G134" s="716">
        <v>12483</v>
      </c>
      <c r="H134" s="627">
        <f>+I134</f>
        <v>12901</v>
      </c>
      <c r="I134" s="627">
        <v>12901</v>
      </c>
      <c r="J134" s="671"/>
      <c r="K134" s="611"/>
      <c r="L134" s="611"/>
      <c r="M134" s="611"/>
      <c r="N134" s="717"/>
      <c r="O134" s="717"/>
      <c r="P134" s="717">
        <v>50</v>
      </c>
      <c r="Q134" s="717">
        <v>50</v>
      </c>
      <c r="R134" s="606"/>
      <c r="S134" s="606"/>
      <c r="T134" s="717"/>
      <c r="U134" s="717"/>
      <c r="V134" s="620"/>
      <c r="W134" s="693"/>
      <c r="X134" s="611"/>
      <c r="Y134" s="671"/>
      <c r="Z134" s="1310" t="s">
        <v>129</v>
      </c>
    </row>
    <row r="135" spans="1:26" s="673" customFormat="1" ht="37.5" customHeight="1">
      <c r="A135" s="107">
        <v>2</v>
      </c>
      <c r="B135" s="640" t="s">
        <v>1238</v>
      </c>
      <c r="C135" s="709"/>
      <c r="D135" s="544" t="s">
        <v>121</v>
      </c>
      <c r="E135" s="436" t="s">
        <v>1239</v>
      </c>
      <c r="F135" s="716">
        <v>7596</v>
      </c>
      <c r="G135" s="716">
        <v>7596</v>
      </c>
      <c r="H135" s="627">
        <f t="shared" ref="H135:H136" si="27">+I135</f>
        <v>7547</v>
      </c>
      <c r="I135" s="627">
        <v>7547</v>
      </c>
      <c r="J135" s="671"/>
      <c r="K135" s="611"/>
      <c r="L135" s="611"/>
      <c r="M135" s="611"/>
      <c r="N135" s="717"/>
      <c r="O135" s="717"/>
      <c r="P135" s="718">
        <v>1.6615660000000001</v>
      </c>
      <c r="Q135" s="718">
        <v>1.6615660000000001</v>
      </c>
      <c r="R135" s="606"/>
      <c r="S135" s="606"/>
      <c r="T135" s="717"/>
      <c r="U135" s="717"/>
      <c r="V135" s="620"/>
      <c r="W135" s="693"/>
      <c r="X135" s="611"/>
      <c r="Y135" s="671"/>
      <c r="Z135" s="1312"/>
    </row>
    <row r="136" spans="1:26" s="673" customFormat="1" ht="63">
      <c r="A136" s="107">
        <v>3</v>
      </c>
      <c r="B136" s="640" t="s">
        <v>1109</v>
      </c>
      <c r="C136" s="699"/>
      <c r="D136" s="639" t="s">
        <v>560</v>
      </c>
      <c r="E136" s="436" t="s">
        <v>1110</v>
      </c>
      <c r="F136" s="719">
        <v>5794</v>
      </c>
      <c r="G136" s="719">
        <v>5794</v>
      </c>
      <c r="H136" s="627">
        <f t="shared" si="27"/>
        <v>5375</v>
      </c>
      <c r="I136" s="627">
        <v>5375</v>
      </c>
      <c r="J136" s="671"/>
      <c r="K136" s="611"/>
      <c r="L136" s="611"/>
      <c r="M136" s="611"/>
      <c r="N136" s="717"/>
      <c r="O136" s="717"/>
      <c r="P136" s="719">
        <v>2097.5540000000001</v>
      </c>
      <c r="Q136" s="719">
        <v>2097.5540000000001</v>
      </c>
      <c r="R136" s="719">
        <v>2097.5540000000001</v>
      </c>
      <c r="S136" s="719">
        <v>2097.5540000000001</v>
      </c>
      <c r="T136" s="717"/>
      <c r="U136" s="717"/>
      <c r="V136" s="620"/>
      <c r="W136" s="693"/>
      <c r="X136" s="611"/>
      <c r="Y136" s="671"/>
      <c r="Z136" s="672"/>
    </row>
    <row r="137" spans="1:26" s="673" customFormat="1" ht="15.75">
      <c r="A137" s="110" t="s">
        <v>823</v>
      </c>
      <c r="B137" s="720" t="s">
        <v>1240</v>
      </c>
      <c r="C137" s="709"/>
      <c r="D137" s="111"/>
      <c r="E137" s="111"/>
      <c r="F137" s="721">
        <f t="shared" ref="F137:Q137" si="28">+F138</f>
        <v>80000</v>
      </c>
      <c r="G137" s="721">
        <f t="shared" si="28"/>
        <v>77300</v>
      </c>
      <c r="H137" s="721">
        <f t="shared" si="28"/>
        <v>20000</v>
      </c>
      <c r="I137" s="721">
        <f t="shared" si="28"/>
        <v>20000</v>
      </c>
      <c r="J137" s="721">
        <f t="shared" si="28"/>
        <v>0</v>
      </c>
      <c r="K137" s="721">
        <f t="shared" si="28"/>
        <v>0</v>
      </c>
      <c r="L137" s="721">
        <f t="shared" si="28"/>
        <v>18000</v>
      </c>
      <c r="M137" s="721">
        <f t="shared" si="28"/>
        <v>18000</v>
      </c>
      <c r="N137" s="722">
        <f t="shared" si="28"/>
        <v>2000</v>
      </c>
      <c r="O137" s="722">
        <f t="shared" si="28"/>
        <v>2000</v>
      </c>
      <c r="P137" s="722">
        <f t="shared" si="28"/>
        <v>0</v>
      </c>
      <c r="Q137" s="722">
        <f t="shared" si="28"/>
        <v>0</v>
      </c>
      <c r="R137" s="722">
        <f>+R138</f>
        <v>2000</v>
      </c>
      <c r="S137" s="722">
        <f>+S138</f>
        <v>2000</v>
      </c>
      <c r="T137" s="722">
        <f t="shared" ref="T137:U137" si="29">+T138</f>
        <v>2000</v>
      </c>
      <c r="U137" s="722">
        <f t="shared" si="29"/>
        <v>2000</v>
      </c>
      <c r="V137" s="620"/>
      <c r="W137" s="693"/>
      <c r="X137" s="611"/>
      <c r="Y137" s="671"/>
      <c r="Z137" s="672"/>
    </row>
    <row r="138" spans="1:26" s="673" customFormat="1" ht="60" customHeight="1">
      <c r="A138" s="107">
        <v>1</v>
      </c>
      <c r="B138" s="60" t="s">
        <v>128</v>
      </c>
      <c r="C138" s="709"/>
      <c r="D138" s="107" t="s">
        <v>1241</v>
      </c>
      <c r="E138" s="435" t="s">
        <v>1145</v>
      </c>
      <c r="F138" s="546">
        <v>80000</v>
      </c>
      <c r="G138" s="546">
        <v>77300</v>
      </c>
      <c r="H138" s="627">
        <f>+I138</f>
        <v>20000</v>
      </c>
      <c r="I138" s="627">
        <v>20000</v>
      </c>
      <c r="J138" s="671"/>
      <c r="K138" s="611"/>
      <c r="L138" s="611">
        <v>18000</v>
      </c>
      <c r="M138" s="611">
        <v>18000</v>
      </c>
      <c r="N138" s="723">
        <v>2000</v>
      </c>
      <c r="O138" s="723">
        <v>2000</v>
      </c>
      <c r="P138" s="723"/>
      <c r="Q138" s="723"/>
      <c r="R138" s="606">
        <v>2000</v>
      </c>
      <c r="S138" s="606">
        <v>2000</v>
      </c>
      <c r="T138" s="723">
        <v>2000</v>
      </c>
      <c r="U138" s="723">
        <v>2000</v>
      </c>
      <c r="V138" s="620"/>
      <c r="W138" s="693"/>
      <c r="X138" s="611"/>
      <c r="Y138" s="671"/>
      <c r="Z138" s="672"/>
    </row>
    <row r="139" spans="1:26" s="673" customFormat="1" ht="47.25" customHeight="1">
      <c r="A139" s="110" t="s">
        <v>825</v>
      </c>
      <c r="B139" s="111" t="s">
        <v>1242</v>
      </c>
      <c r="C139" s="709"/>
      <c r="D139" s="111"/>
      <c r="E139" s="111"/>
      <c r="F139" s="721">
        <f t="shared" ref="F139:Q139" si="30">+F140</f>
        <v>13500</v>
      </c>
      <c r="G139" s="721">
        <f t="shared" si="30"/>
        <v>12600</v>
      </c>
      <c r="H139" s="721">
        <f t="shared" si="30"/>
        <v>9160</v>
      </c>
      <c r="I139" s="721">
        <f t="shared" si="30"/>
        <v>9160</v>
      </c>
      <c r="J139" s="721">
        <f t="shared" si="30"/>
        <v>0</v>
      </c>
      <c r="K139" s="721">
        <f t="shared" si="30"/>
        <v>0</v>
      </c>
      <c r="L139" s="721">
        <f t="shared" si="30"/>
        <v>3700</v>
      </c>
      <c r="M139" s="721">
        <f t="shared" si="30"/>
        <v>3700</v>
      </c>
      <c r="N139" s="721">
        <f t="shared" si="30"/>
        <v>5460</v>
      </c>
      <c r="O139" s="721">
        <f t="shared" si="30"/>
        <v>5460</v>
      </c>
      <c r="P139" s="721">
        <f t="shared" si="30"/>
        <v>0</v>
      </c>
      <c r="Q139" s="721">
        <f t="shared" si="30"/>
        <v>0</v>
      </c>
      <c r="R139" s="721">
        <f>+R140</f>
        <v>366</v>
      </c>
      <c r="S139" s="721">
        <f>+S140</f>
        <v>366</v>
      </c>
      <c r="T139" s="721">
        <f t="shared" ref="T139:Y139" si="31">+T140</f>
        <v>5460</v>
      </c>
      <c r="U139" s="721">
        <f t="shared" si="31"/>
        <v>5460</v>
      </c>
      <c r="V139" s="721">
        <f t="shared" si="31"/>
        <v>3084</v>
      </c>
      <c r="W139" s="721">
        <f t="shared" si="31"/>
        <v>3084</v>
      </c>
      <c r="X139" s="721">
        <f t="shared" si="31"/>
        <v>0</v>
      </c>
      <c r="Y139" s="721">
        <f t="shared" si="31"/>
        <v>0</v>
      </c>
      <c r="Z139" s="672"/>
    </row>
    <row r="140" spans="1:26" s="673" customFormat="1" ht="37.5" customHeight="1">
      <c r="A140" s="107">
        <v>1</v>
      </c>
      <c r="B140" s="60" t="s">
        <v>1243</v>
      </c>
      <c r="C140" s="709"/>
      <c r="D140" s="107" t="s">
        <v>738</v>
      </c>
      <c r="E140" s="435" t="s">
        <v>1244</v>
      </c>
      <c r="F140" s="546">
        <v>13500</v>
      </c>
      <c r="G140" s="546">
        <v>12600</v>
      </c>
      <c r="H140" s="627">
        <f>+I140</f>
        <v>9160</v>
      </c>
      <c r="I140" s="627">
        <v>9160</v>
      </c>
      <c r="J140" s="671"/>
      <c r="K140" s="611"/>
      <c r="L140" s="611">
        <v>3700</v>
      </c>
      <c r="M140" s="611">
        <v>3700</v>
      </c>
      <c r="N140" s="724">
        <f>+O140</f>
        <v>5460</v>
      </c>
      <c r="O140" s="724">
        <f>4326+1134</f>
        <v>5460</v>
      </c>
      <c r="P140" s="724"/>
      <c r="Q140" s="724"/>
      <c r="R140" s="724">
        <v>366</v>
      </c>
      <c r="S140" s="724">
        <v>366</v>
      </c>
      <c r="T140" s="724">
        <f>+U140</f>
        <v>5460</v>
      </c>
      <c r="U140" s="724">
        <f>4326+1134</f>
        <v>5460</v>
      </c>
      <c r="V140" s="693">
        <v>3084</v>
      </c>
      <c r="W140" s="693">
        <v>3084</v>
      </c>
      <c r="X140" s="611"/>
      <c r="Y140" s="671"/>
      <c r="Z140" s="672"/>
    </row>
    <row r="141" spans="1:26" s="673" customFormat="1" ht="39" customHeight="1">
      <c r="A141" s="725" t="s">
        <v>830</v>
      </c>
      <c r="B141" s="726" t="s">
        <v>1245</v>
      </c>
      <c r="C141" s="672"/>
      <c r="D141" s="727"/>
      <c r="E141" s="638"/>
      <c r="F141" s="602">
        <f>+F142+F143</f>
        <v>9000</v>
      </c>
      <c r="G141" s="602">
        <f t="shared" ref="G141:Y141" si="32">+G142+G143</f>
        <v>0</v>
      </c>
      <c r="H141" s="602">
        <f t="shared" si="32"/>
        <v>6270</v>
      </c>
      <c r="I141" s="602">
        <f t="shared" si="32"/>
        <v>6270</v>
      </c>
      <c r="J141" s="602">
        <f t="shared" si="32"/>
        <v>0</v>
      </c>
      <c r="K141" s="602">
        <f t="shared" si="32"/>
        <v>0</v>
      </c>
      <c r="L141" s="602">
        <f t="shared" si="32"/>
        <v>4200</v>
      </c>
      <c r="M141" s="602">
        <f t="shared" si="32"/>
        <v>0</v>
      </c>
      <c r="N141" s="602">
        <f t="shared" si="32"/>
        <v>2070</v>
      </c>
      <c r="O141" s="602">
        <f t="shared" si="32"/>
        <v>0</v>
      </c>
      <c r="P141" s="602">
        <f t="shared" si="32"/>
        <v>0</v>
      </c>
      <c r="Q141" s="602">
        <f t="shared" si="32"/>
        <v>0</v>
      </c>
      <c r="R141" s="602">
        <f t="shared" si="32"/>
        <v>0</v>
      </c>
      <c r="S141" s="602">
        <f t="shared" si="32"/>
        <v>0</v>
      </c>
      <c r="T141" s="602">
        <f t="shared" si="32"/>
        <v>2070</v>
      </c>
      <c r="U141" s="602">
        <f t="shared" si="32"/>
        <v>0</v>
      </c>
      <c r="V141" s="602">
        <f t="shared" si="32"/>
        <v>2730</v>
      </c>
      <c r="W141" s="602">
        <f t="shared" si="32"/>
        <v>2730</v>
      </c>
      <c r="X141" s="602">
        <f t="shared" si="32"/>
        <v>0</v>
      </c>
      <c r="Y141" s="602">
        <f t="shared" si="32"/>
        <v>0</v>
      </c>
      <c r="Z141" s="611"/>
    </row>
    <row r="142" spans="1:26" s="673" customFormat="1" ht="75" customHeight="1">
      <c r="A142" s="728">
        <v>1</v>
      </c>
      <c r="B142" s="60" t="s">
        <v>1246</v>
      </c>
      <c r="C142" s="672" t="s">
        <v>1247</v>
      </c>
      <c r="D142" s="727">
        <v>2020</v>
      </c>
      <c r="E142" s="435" t="s">
        <v>1248</v>
      </c>
      <c r="F142" s="729">
        <v>6000</v>
      </c>
      <c r="G142" s="671"/>
      <c r="H142" s="671">
        <v>5700</v>
      </c>
      <c r="I142" s="671">
        <v>5700</v>
      </c>
      <c r="J142" s="671"/>
      <c r="K142" s="611"/>
      <c r="L142" s="611">
        <v>4200</v>
      </c>
      <c r="M142" s="611"/>
      <c r="N142" s="724">
        <v>1500</v>
      </c>
      <c r="O142" s="611"/>
      <c r="P142" s="611"/>
      <c r="Q142" s="611"/>
      <c r="R142" s="671"/>
      <c r="S142" s="671"/>
      <c r="T142" s="724">
        <v>1500</v>
      </c>
      <c r="U142" s="611"/>
      <c r="V142" s="611">
        <f>+W142</f>
        <v>300</v>
      </c>
      <c r="W142" s="671">
        <f>+F142-H142</f>
        <v>300</v>
      </c>
      <c r="X142" s="611"/>
      <c r="Y142" s="671"/>
      <c r="Z142" s="611"/>
    </row>
    <row r="143" spans="1:26" s="673" customFormat="1" ht="63">
      <c r="A143" s="728">
        <v>2</v>
      </c>
      <c r="B143" s="730" t="s">
        <v>1249</v>
      </c>
      <c r="C143" s="672" t="s">
        <v>1250</v>
      </c>
      <c r="D143" s="727">
        <v>2020</v>
      </c>
      <c r="E143" s="435" t="s">
        <v>1251</v>
      </c>
      <c r="F143" s="546">
        <v>3000</v>
      </c>
      <c r="G143" s="671"/>
      <c r="H143" s="671">
        <v>570</v>
      </c>
      <c r="I143" s="671">
        <v>570</v>
      </c>
      <c r="J143" s="671"/>
      <c r="K143" s="611"/>
      <c r="L143" s="611"/>
      <c r="M143" s="611"/>
      <c r="N143" s="546">
        <v>570</v>
      </c>
      <c r="O143" s="611"/>
      <c r="P143" s="611"/>
      <c r="Q143" s="611"/>
      <c r="R143" s="671"/>
      <c r="S143" s="671"/>
      <c r="T143" s="546">
        <v>570</v>
      </c>
      <c r="U143" s="611"/>
      <c r="V143" s="611">
        <f>+W143</f>
        <v>2430</v>
      </c>
      <c r="W143" s="671">
        <f>+F143-H143</f>
        <v>2430</v>
      </c>
      <c r="X143" s="611"/>
      <c r="Y143" s="671"/>
      <c r="Z143" s="611"/>
    </row>
    <row r="144" spans="1:26" s="336" customFormat="1">
      <c r="A144" s="337"/>
      <c r="B144" s="338"/>
      <c r="C144" s="339"/>
      <c r="D144" s="340"/>
      <c r="E144" s="341"/>
      <c r="F144" s="342"/>
      <c r="G144" s="343"/>
      <c r="H144" s="342"/>
      <c r="I144" s="343"/>
      <c r="J144" s="343"/>
      <c r="K144" s="342"/>
      <c r="L144" s="342"/>
      <c r="M144" s="342"/>
      <c r="N144" s="342"/>
      <c r="O144" s="342"/>
      <c r="P144" s="342"/>
      <c r="Q144" s="342"/>
      <c r="R144" s="343"/>
      <c r="S144" s="343"/>
      <c r="T144" s="342"/>
      <c r="U144" s="342"/>
      <c r="V144" s="342"/>
      <c r="W144" s="343"/>
      <c r="X144" s="342"/>
      <c r="Y144" s="343"/>
      <c r="Z144" s="342"/>
    </row>
    <row r="145" spans="1:26" s="336" customFormat="1">
      <c r="A145" s="337"/>
      <c r="B145" s="338"/>
      <c r="C145" s="339"/>
      <c r="D145" s="340"/>
      <c r="E145" s="341"/>
      <c r="F145" s="342"/>
      <c r="G145" s="343"/>
      <c r="H145" s="342"/>
      <c r="I145" s="343"/>
      <c r="J145" s="343"/>
      <c r="K145" s="342"/>
      <c r="L145" s="342"/>
      <c r="M145" s="342"/>
      <c r="N145" s="342"/>
      <c r="O145" s="342"/>
      <c r="P145" s="342"/>
      <c r="Q145" s="342"/>
      <c r="R145" s="343"/>
      <c r="S145" s="343"/>
      <c r="T145" s="342"/>
      <c r="U145" s="342"/>
      <c r="V145" s="342"/>
      <c r="W145" s="343"/>
      <c r="X145" s="342"/>
      <c r="Y145" s="343"/>
      <c r="Z145" s="342"/>
    </row>
    <row r="146" spans="1:26" s="336" customFormat="1">
      <c r="A146" s="337"/>
      <c r="B146" s="338"/>
      <c r="C146" s="339"/>
      <c r="D146" s="340"/>
      <c r="E146" s="341"/>
      <c r="F146" s="342"/>
      <c r="G146" s="343"/>
      <c r="H146" s="342"/>
      <c r="I146" s="343"/>
      <c r="J146" s="343"/>
      <c r="K146" s="342"/>
      <c r="L146" s="342"/>
      <c r="M146" s="342"/>
      <c r="N146" s="342"/>
      <c r="O146" s="342"/>
      <c r="P146" s="342"/>
      <c r="Q146" s="342"/>
      <c r="R146" s="343"/>
      <c r="S146" s="343"/>
      <c r="T146" s="342"/>
      <c r="U146" s="342"/>
      <c r="V146" s="342"/>
      <c r="W146" s="343"/>
      <c r="X146" s="342"/>
      <c r="Y146" s="343"/>
      <c r="Z146" s="342"/>
    </row>
    <row r="147" spans="1:26" s="336" customFormat="1">
      <c r="A147" s="337"/>
      <c r="B147" s="338"/>
      <c r="C147" s="339"/>
      <c r="D147" s="340"/>
      <c r="E147" s="341"/>
      <c r="F147" s="342"/>
      <c r="G147" s="343"/>
      <c r="H147" s="342"/>
      <c r="I147" s="343"/>
      <c r="J147" s="343"/>
      <c r="K147" s="342"/>
      <c r="L147" s="342"/>
      <c r="M147" s="342"/>
      <c r="N147" s="342"/>
      <c r="O147" s="342"/>
      <c r="P147" s="342"/>
      <c r="Q147" s="342"/>
      <c r="R147" s="343"/>
      <c r="S147" s="343"/>
      <c r="T147" s="342"/>
      <c r="U147" s="342"/>
      <c r="V147" s="342"/>
      <c r="W147" s="343"/>
      <c r="X147" s="342"/>
      <c r="Y147" s="343"/>
      <c r="Z147" s="342"/>
    </row>
    <row r="148" spans="1:26" s="336" customFormat="1">
      <c r="A148" s="337"/>
      <c r="B148" s="338"/>
      <c r="C148" s="339"/>
      <c r="D148" s="340"/>
      <c r="E148" s="341"/>
      <c r="F148" s="342"/>
      <c r="G148" s="343"/>
      <c r="H148" s="342"/>
      <c r="I148" s="343"/>
      <c r="J148" s="343"/>
      <c r="K148" s="342"/>
      <c r="L148" s="342"/>
      <c r="M148" s="342"/>
      <c r="N148" s="342"/>
      <c r="O148" s="342"/>
      <c r="P148" s="342"/>
      <c r="Q148" s="342"/>
      <c r="R148" s="343"/>
      <c r="S148" s="343"/>
      <c r="T148" s="342"/>
      <c r="U148" s="342"/>
      <c r="V148" s="342"/>
      <c r="W148" s="343"/>
      <c r="X148" s="342"/>
      <c r="Y148" s="343"/>
      <c r="Z148" s="342"/>
    </row>
    <row r="149" spans="1:26" s="336" customFormat="1" ht="42" customHeight="1">
      <c r="A149" s="337"/>
      <c r="B149" s="338"/>
      <c r="C149" s="339"/>
      <c r="D149" s="340"/>
      <c r="E149" s="341"/>
      <c r="F149" s="342"/>
      <c r="G149" s="343"/>
      <c r="H149" s="342"/>
      <c r="I149" s="343"/>
      <c r="J149" s="343"/>
      <c r="K149" s="342"/>
      <c r="L149" s="342"/>
      <c r="M149" s="342"/>
      <c r="N149" s="342"/>
      <c r="O149" s="342"/>
      <c r="P149" s="342"/>
      <c r="Q149" s="342"/>
      <c r="R149" s="343"/>
      <c r="S149" s="343"/>
      <c r="T149" s="342"/>
      <c r="U149" s="342"/>
      <c r="V149" s="342"/>
      <c r="W149" s="343"/>
      <c r="X149" s="342"/>
      <c r="Y149" s="343"/>
      <c r="Z149" s="342"/>
    </row>
    <row r="150" spans="1:26" s="336" customFormat="1">
      <c r="A150" s="337"/>
      <c r="B150" s="338"/>
      <c r="C150" s="339"/>
      <c r="D150" s="340"/>
      <c r="E150" s="341"/>
      <c r="F150" s="342"/>
      <c r="G150" s="343"/>
      <c r="H150" s="342"/>
      <c r="I150" s="343"/>
      <c r="J150" s="343"/>
      <c r="K150" s="342"/>
      <c r="L150" s="342"/>
      <c r="M150" s="342"/>
      <c r="N150" s="342"/>
      <c r="O150" s="342"/>
      <c r="P150" s="342"/>
      <c r="Q150" s="342"/>
      <c r="R150" s="343"/>
      <c r="S150" s="343"/>
      <c r="T150" s="342"/>
      <c r="U150" s="342"/>
      <c r="V150" s="342"/>
      <c r="W150" s="343"/>
      <c r="X150" s="342"/>
      <c r="Y150" s="343"/>
      <c r="Z150" s="342"/>
    </row>
    <row r="151" spans="1:26" s="336" customFormat="1">
      <c r="A151" s="337"/>
      <c r="B151" s="338"/>
      <c r="C151" s="339"/>
      <c r="D151" s="340"/>
      <c r="E151" s="341"/>
      <c r="F151" s="342"/>
      <c r="G151" s="343"/>
      <c r="H151" s="342"/>
      <c r="I151" s="343"/>
      <c r="J151" s="343"/>
      <c r="K151" s="342"/>
      <c r="L151" s="342"/>
      <c r="M151" s="342"/>
      <c r="N151" s="342"/>
      <c r="O151" s="342"/>
      <c r="P151" s="342"/>
      <c r="Q151" s="342"/>
      <c r="R151" s="343"/>
      <c r="S151" s="343"/>
      <c r="T151" s="342"/>
      <c r="U151" s="342"/>
      <c r="V151" s="342"/>
      <c r="W151" s="343"/>
      <c r="X151" s="342"/>
      <c r="Y151" s="343"/>
      <c r="Z151" s="342"/>
    </row>
    <row r="152" spans="1:26" s="336" customFormat="1">
      <c r="A152" s="337"/>
      <c r="B152" s="338"/>
      <c r="C152" s="339"/>
      <c r="D152" s="340"/>
      <c r="E152" s="341"/>
      <c r="F152" s="342"/>
      <c r="G152" s="343"/>
      <c r="H152" s="342"/>
      <c r="I152" s="343"/>
      <c r="J152" s="343"/>
      <c r="K152" s="342"/>
      <c r="L152" s="342"/>
      <c r="M152" s="342"/>
      <c r="N152" s="342"/>
      <c r="O152" s="342"/>
      <c r="P152" s="342"/>
      <c r="Q152" s="342"/>
      <c r="R152" s="343"/>
      <c r="S152" s="343"/>
      <c r="T152" s="342"/>
      <c r="U152" s="342"/>
      <c r="V152" s="342"/>
      <c r="W152" s="343"/>
      <c r="X152" s="342"/>
      <c r="Y152" s="343"/>
      <c r="Z152" s="342"/>
    </row>
    <row r="153" spans="1:26" s="336" customFormat="1">
      <c r="A153" s="337"/>
      <c r="B153" s="338"/>
      <c r="C153" s="339"/>
      <c r="D153" s="340"/>
      <c r="E153" s="341"/>
      <c r="F153" s="342"/>
      <c r="G153" s="343"/>
      <c r="H153" s="342"/>
      <c r="I153" s="343"/>
      <c r="J153" s="343"/>
      <c r="K153" s="342"/>
      <c r="L153" s="342"/>
      <c r="M153" s="342"/>
      <c r="N153" s="342"/>
      <c r="O153" s="342"/>
      <c r="P153" s="342"/>
      <c r="Q153" s="342"/>
      <c r="R153" s="343"/>
      <c r="S153" s="343"/>
      <c r="T153" s="342"/>
      <c r="U153" s="342"/>
      <c r="V153" s="342"/>
      <c r="W153" s="343"/>
      <c r="X153" s="342"/>
      <c r="Y153" s="343"/>
      <c r="Z153" s="342"/>
    </row>
    <row r="154" spans="1:26" s="336" customFormat="1">
      <c r="A154" s="337"/>
      <c r="B154" s="338"/>
      <c r="C154" s="339"/>
      <c r="D154" s="340"/>
      <c r="E154" s="341"/>
      <c r="F154" s="342"/>
      <c r="G154" s="343"/>
      <c r="H154" s="342"/>
      <c r="I154" s="343"/>
      <c r="J154" s="343"/>
      <c r="K154" s="342"/>
      <c r="L154" s="342"/>
      <c r="M154" s="342"/>
      <c r="N154" s="342"/>
      <c r="O154" s="342"/>
      <c r="P154" s="342"/>
      <c r="Q154" s="342"/>
      <c r="R154" s="343"/>
      <c r="S154" s="343"/>
      <c r="T154" s="342"/>
      <c r="U154" s="342"/>
      <c r="V154" s="342"/>
      <c r="W154" s="343"/>
      <c r="X154" s="342"/>
      <c r="Y154" s="343"/>
      <c r="Z154" s="342"/>
    </row>
    <row r="155" spans="1:26" s="336" customFormat="1">
      <c r="A155" s="337"/>
      <c r="B155" s="338"/>
      <c r="C155" s="339"/>
      <c r="D155" s="340"/>
      <c r="E155" s="341"/>
      <c r="F155" s="342"/>
      <c r="G155" s="343"/>
      <c r="H155" s="342"/>
      <c r="I155" s="343"/>
      <c r="J155" s="343"/>
      <c r="K155" s="342"/>
      <c r="L155" s="342"/>
      <c r="M155" s="342"/>
      <c r="N155" s="342"/>
      <c r="O155" s="342"/>
      <c r="P155" s="342"/>
      <c r="Q155" s="342"/>
      <c r="R155" s="343"/>
      <c r="S155" s="343"/>
      <c r="T155" s="342"/>
      <c r="U155" s="342"/>
      <c r="V155" s="342"/>
      <c r="W155" s="343"/>
      <c r="X155" s="342"/>
      <c r="Y155" s="343"/>
      <c r="Z155" s="342"/>
    </row>
    <row r="156" spans="1:26" s="336" customFormat="1">
      <c r="A156" s="337"/>
      <c r="B156" s="338"/>
      <c r="C156" s="339"/>
      <c r="D156" s="340"/>
      <c r="E156" s="341"/>
      <c r="F156" s="342"/>
      <c r="G156" s="343"/>
      <c r="H156" s="342"/>
      <c r="I156" s="343"/>
      <c r="J156" s="343"/>
      <c r="K156" s="342"/>
      <c r="L156" s="342"/>
      <c r="M156" s="342"/>
      <c r="N156" s="342"/>
      <c r="O156" s="342"/>
      <c r="P156" s="342"/>
      <c r="Q156" s="342"/>
      <c r="R156" s="343"/>
      <c r="S156" s="343"/>
      <c r="T156" s="342"/>
      <c r="U156" s="342"/>
      <c r="V156" s="342"/>
      <c r="W156" s="343"/>
      <c r="X156" s="342"/>
      <c r="Y156" s="343"/>
      <c r="Z156" s="342"/>
    </row>
    <row r="157" spans="1:26" s="336" customFormat="1">
      <c r="A157" s="337"/>
      <c r="B157" s="338"/>
      <c r="C157" s="339"/>
      <c r="D157" s="340"/>
      <c r="E157" s="341"/>
      <c r="F157" s="342"/>
      <c r="G157" s="343"/>
      <c r="H157" s="342"/>
      <c r="I157" s="343"/>
      <c r="J157" s="343"/>
      <c r="K157" s="342"/>
      <c r="L157" s="342"/>
      <c r="M157" s="342"/>
      <c r="N157" s="342"/>
      <c r="O157" s="342"/>
      <c r="P157" s="342"/>
      <c r="Q157" s="342"/>
      <c r="R157" s="343"/>
      <c r="S157" s="343"/>
      <c r="T157" s="342"/>
      <c r="U157" s="342"/>
      <c r="V157" s="342"/>
      <c r="W157" s="343"/>
      <c r="X157" s="342"/>
      <c r="Y157" s="343"/>
      <c r="Z157" s="342"/>
    </row>
    <row r="158" spans="1:26" s="336" customFormat="1">
      <c r="A158" s="337"/>
      <c r="B158" s="338"/>
      <c r="C158" s="339"/>
      <c r="D158" s="340"/>
      <c r="E158" s="341"/>
      <c r="F158" s="342"/>
      <c r="G158" s="343"/>
      <c r="H158" s="342"/>
      <c r="I158" s="343"/>
      <c r="J158" s="343"/>
      <c r="K158" s="342"/>
      <c r="L158" s="342"/>
      <c r="M158" s="342"/>
      <c r="N158" s="342"/>
      <c r="O158" s="342"/>
      <c r="P158" s="342"/>
      <c r="Q158" s="342"/>
      <c r="R158" s="343"/>
      <c r="S158" s="343"/>
      <c r="T158" s="342"/>
      <c r="U158" s="342"/>
      <c r="V158" s="342"/>
      <c r="W158" s="343"/>
      <c r="X158" s="342"/>
      <c r="Y158" s="343"/>
      <c r="Z158" s="342"/>
    </row>
    <row r="159" spans="1:26" s="336" customFormat="1">
      <c r="A159" s="337"/>
      <c r="B159" s="338"/>
      <c r="C159" s="339"/>
      <c r="D159" s="340"/>
      <c r="E159" s="341"/>
      <c r="F159" s="342"/>
      <c r="G159" s="343"/>
      <c r="H159" s="342"/>
      <c r="I159" s="343"/>
      <c r="J159" s="343"/>
      <c r="K159" s="342"/>
      <c r="L159" s="342"/>
      <c r="M159" s="342"/>
      <c r="N159" s="342"/>
      <c r="O159" s="342"/>
      <c r="P159" s="342"/>
      <c r="Q159" s="342"/>
      <c r="R159" s="343"/>
      <c r="S159" s="343"/>
      <c r="T159" s="342"/>
      <c r="U159" s="342"/>
      <c r="V159" s="342"/>
      <c r="W159" s="343"/>
      <c r="X159" s="342"/>
      <c r="Y159" s="343"/>
      <c r="Z159" s="342"/>
    </row>
    <row r="160" spans="1:26" s="336" customFormat="1">
      <c r="A160" s="337"/>
      <c r="B160" s="338"/>
      <c r="C160" s="339"/>
      <c r="D160" s="340"/>
      <c r="E160" s="341"/>
      <c r="F160" s="342"/>
      <c r="G160" s="343"/>
      <c r="H160" s="342"/>
      <c r="I160" s="343"/>
      <c r="J160" s="343"/>
      <c r="K160" s="342"/>
      <c r="L160" s="342"/>
      <c r="M160" s="342"/>
      <c r="N160" s="342"/>
      <c r="O160" s="342"/>
      <c r="P160" s="342"/>
      <c r="Q160" s="342"/>
      <c r="R160" s="343"/>
      <c r="S160" s="343"/>
      <c r="T160" s="342"/>
      <c r="U160" s="342"/>
      <c r="V160" s="342"/>
      <c r="W160" s="343"/>
      <c r="X160" s="342"/>
      <c r="Y160" s="343"/>
      <c r="Z160" s="342"/>
    </row>
    <row r="161" spans="1:26" s="336" customFormat="1">
      <c r="A161" s="337"/>
      <c r="B161" s="338"/>
      <c r="C161" s="339"/>
      <c r="D161" s="340"/>
      <c r="E161" s="341"/>
      <c r="F161" s="342"/>
      <c r="G161" s="343"/>
      <c r="H161" s="342"/>
      <c r="I161" s="343"/>
      <c r="J161" s="343"/>
      <c r="K161" s="342"/>
      <c r="L161" s="342"/>
      <c r="M161" s="342"/>
      <c r="N161" s="342"/>
      <c r="O161" s="342"/>
      <c r="P161" s="342"/>
      <c r="Q161" s="342"/>
      <c r="R161" s="343"/>
      <c r="S161" s="343"/>
      <c r="T161" s="342"/>
      <c r="U161" s="342"/>
      <c r="V161" s="342"/>
      <c r="W161" s="343"/>
      <c r="X161" s="342"/>
      <c r="Y161" s="343"/>
      <c r="Z161" s="342"/>
    </row>
    <row r="162" spans="1:26" s="336" customFormat="1">
      <c r="A162" s="337"/>
      <c r="B162" s="338"/>
      <c r="C162" s="339"/>
      <c r="D162" s="340"/>
      <c r="E162" s="341"/>
      <c r="F162" s="342"/>
      <c r="G162" s="343"/>
      <c r="H162" s="342"/>
      <c r="I162" s="343"/>
      <c r="J162" s="343"/>
      <c r="K162" s="342"/>
      <c r="L162" s="342"/>
      <c r="M162" s="342"/>
      <c r="N162" s="342"/>
      <c r="O162" s="342"/>
      <c r="P162" s="342"/>
      <c r="Q162" s="342"/>
      <c r="R162" s="343"/>
      <c r="S162" s="343"/>
      <c r="T162" s="342"/>
      <c r="U162" s="342"/>
      <c r="V162" s="342"/>
      <c r="W162" s="343"/>
      <c r="X162" s="342"/>
      <c r="Y162" s="343"/>
      <c r="Z162" s="342"/>
    </row>
    <row r="163" spans="1:26" s="336" customFormat="1" ht="38.25" customHeight="1">
      <c r="A163" s="337"/>
      <c r="B163" s="338"/>
      <c r="C163" s="339"/>
      <c r="D163" s="340"/>
      <c r="E163" s="341"/>
      <c r="F163" s="342"/>
      <c r="G163" s="343"/>
      <c r="H163" s="342"/>
      <c r="I163" s="343"/>
      <c r="J163" s="343"/>
      <c r="K163" s="342"/>
      <c r="L163" s="342"/>
      <c r="M163" s="342"/>
      <c r="N163" s="342"/>
      <c r="O163" s="342"/>
      <c r="P163" s="342"/>
      <c r="Q163" s="342"/>
      <c r="R163" s="343"/>
      <c r="S163" s="343"/>
      <c r="T163" s="342"/>
      <c r="U163" s="342"/>
      <c r="V163" s="342"/>
      <c r="W163" s="343"/>
      <c r="X163" s="342"/>
      <c r="Y163" s="343"/>
      <c r="Z163" s="342"/>
    </row>
    <row r="164" spans="1:26" s="336" customFormat="1">
      <c r="A164" s="337"/>
      <c r="B164" s="338"/>
      <c r="C164" s="339"/>
      <c r="D164" s="340"/>
      <c r="E164" s="341"/>
      <c r="F164" s="342"/>
      <c r="G164" s="343"/>
      <c r="H164" s="342"/>
      <c r="I164" s="343"/>
      <c r="J164" s="343"/>
      <c r="K164" s="342"/>
      <c r="L164" s="342"/>
      <c r="M164" s="342"/>
      <c r="N164" s="342"/>
      <c r="O164" s="342"/>
      <c r="P164" s="342"/>
      <c r="Q164" s="342"/>
      <c r="R164" s="343"/>
      <c r="S164" s="343"/>
      <c r="T164" s="342"/>
      <c r="U164" s="342"/>
      <c r="V164" s="342"/>
      <c r="W164" s="343"/>
      <c r="X164" s="342"/>
      <c r="Y164" s="343"/>
      <c r="Z164" s="342"/>
    </row>
    <row r="165" spans="1:26" s="336" customFormat="1">
      <c r="A165" s="337"/>
      <c r="B165" s="338"/>
      <c r="C165" s="339"/>
      <c r="D165" s="340"/>
      <c r="E165" s="341"/>
      <c r="F165" s="342"/>
      <c r="G165" s="343"/>
      <c r="H165" s="342"/>
      <c r="I165" s="343"/>
      <c r="J165" s="343"/>
      <c r="K165" s="342"/>
      <c r="L165" s="342"/>
      <c r="M165" s="342"/>
      <c r="N165" s="342"/>
      <c r="O165" s="342"/>
      <c r="P165" s="342"/>
      <c r="Q165" s="342"/>
      <c r="R165" s="343"/>
      <c r="S165" s="343"/>
      <c r="T165" s="342"/>
      <c r="U165" s="342"/>
      <c r="V165" s="342"/>
      <c r="W165" s="343"/>
      <c r="X165" s="342"/>
      <c r="Y165" s="343"/>
      <c r="Z165" s="342"/>
    </row>
    <row r="166" spans="1:26" s="336" customFormat="1">
      <c r="A166" s="337"/>
      <c r="B166" s="338"/>
      <c r="C166" s="339"/>
      <c r="D166" s="340"/>
      <c r="E166" s="341"/>
      <c r="F166" s="342"/>
      <c r="G166" s="343"/>
      <c r="H166" s="342"/>
      <c r="I166" s="343"/>
      <c r="J166" s="343"/>
      <c r="K166" s="342"/>
      <c r="L166" s="342"/>
      <c r="M166" s="342"/>
      <c r="N166" s="342"/>
      <c r="O166" s="342"/>
      <c r="P166" s="342"/>
      <c r="Q166" s="342"/>
      <c r="R166" s="343"/>
      <c r="S166" s="343"/>
      <c r="T166" s="342"/>
      <c r="U166" s="342"/>
      <c r="V166" s="342"/>
      <c r="W166" s="343"/>
      <c r="X166" s="342"/>
      <c r="Y166" s="343"/>
      <c r="Z166" s="342"/>
    </row>
    <row r="167" spans="1:26" s="336" customFormat="1">
      <c r="A167" s="337"/>
      <c r="B167" s="338"/>
      <c r="C167" s="339"/>
      <c r="D167" s="340"/>
      <c r="E167" s="341"/>
      <c r="F167" s="342"/>
      <c r="G167" s="343"/>
      <c r="H167" s="342"/>
      <c r="I167" s="343"/>
      <c r="J167" s="343"/>
      <c r="K167" s="342"/>
      <c r="L167" s="342"/>
      <c r="M167" s="342"/>
      <c r="N167" s="342"/>
      <c r="O167" s="342"/>
      <c r="P167" s="342"/>
      <c r="Q167" s="342"/>
      <c r="R167" s="343"/>
      <c r="S167" s="343"/>
      <c r="T167" s="342"/>
      <c r="U167" s="342"/>
      <c r="V167" s="342"/>
      <c r="W167" s="343"/>
      <c r="X167" s="342"/>
      <c r="Y167" s="343"/>
      <c r="Z167" s="342"/>
    </row>
    <row r="168" spans="1:26" s="336" customFormat="1">
      <c r="A168" s="337"/>
      <c r="B168" s="338"/>
      <c r="C168" s="339"/>
      <c r="D168" s="340"/>
      <c r="E168" s="341"/>
      <c r="F168" s="342"/>
      <c r="G168" s="343"/>
      <c r="H168" s="342"/>
      <c r="I168" s="343"/>
      <c r="J168" s="343"/>
      <c r="K168" s="342"/>
      <c r="L168" s="342"/>
      <c r="M168" s="342"/>
      <c r="N168" s="342"/>
      <c r="O168" s="342"/>
      <c r="P168" s="342"/>
      <c r="Q168" s="342"/>
      <c r="R168" s="343"/>
      <c r="S168" s="343"/>
      <c r="T168" s="342"/>
      <c r="U168" s="342"/>
      <c r="V168" s="342"/>
      <c r="W168" s="343"/>
      <c r="X168" s="342"/>
      <c r="Y168" s="343"/>
      <c r="Z168" s="342"/>
    </row>
    <row r="169" spans="1:26" s="336" customFormat="1">
      <c r="A169" s="337"/>
      <c r="B169" s="338"/>
      <c r="C169" s="339"/>
      <c r="D169" s="340"/>
      <c r="E169" s="341"/>
      <c r="F169" s="342"/>
      <c r="G169" s="343"/>
      <c r="H169" s="342"/>
      <c r="I169" s="343"/>
      <c r="J169" s="343"/>
      <c r="K169" s="342"/>
      <c r="L169" s="342"/>
      <c r="M169" s="342"/>
      <c r="N169" s="342"/>
      <c r="O169" s="342"/>
      <c r="P169" s="342"/>
      <c r="Q169" s="342"/>
      <c r="R169" s="343"/>
      <c r="S169" s="343"/>
      <c r="T169" s="342"/>
      <c r="U169" s="342"/>
      <c r="V169" s="342"/>
      <c r="W169" s="343"/>
      <c r="X169" s="342"/>
      <c r="Y169" s="343"/>
      <c r="Z169" s="342"/>
    </row>
    <row r="170" spans="1:26" s="336" customFormat="1">
      <c r="A170" s="337"/>
      <c r="B170" s="338"/>
      <c r="C170" s="339"/>
      <c r="D170" s="340"/>
      <c r="E170" s="341"/>
      <c r="F170" s="342"/>
      <c r="G170" s="343"/>
      <c r="H170" s="342"/>
      <c r="I170" s="343"/>
      <c r="J170" s="343"/>
      <c r="K170" s="342"/>
      <c r="L170" s="342"/>
      <c r="M170" s="342"/>
      <c r="N170" s="342"/>
      <c r="O170" s="342"/>
      <c r="P170" s="342"/>
      <c r="Q170" s="342"/>
      <c r="R170" s="343"/>
      <c r="S170" s="343"/>
      <c r="T170" s="342"/>
      <c r="U170" s="342"/>
      <c r="V170" s="342"/>
      <c r="W170" s="343"/>
      <c r="X170" s="342"/>
      <c r="Y170" s="343"/>
      <c r="Z170" s="342"/>
    </row>
    <row r="171" spans="1:26" s="336" customFormat="1">
      <c r="A171" s="337"/>
      <c r="B171" s="338"/>
      <c r="C171" s="339"/>
      <c r="D171" s="340"/>
      <c r="E171" s="341"/>
      <c r="F171" s="342"/>
      <c r="G171" s="343"/>
      <c r="H171" s="342"/>
      <c r="I171" s="343"/>
      <c r="J171" s="343"/>
      <c r="K171" s="342"/>
      <c r="L171" s="342"/>
      <c r="M171" s="342"/>
      <c r="N171" s="342"/>
      <c r="O171" s="342"/>
      <c r="P171" s="342"/>
      <c r="Q171" s="342"/>
      <c r="R171" s="343"/>
      <c r="S171" s="343"/>
      <c r="T171" s="342"/>
      <c r="U171" s="342"/>
      <c r="V171" s="342"/>
      <c r="W171" s="343"/>
      <c r="X171" s="342"/>
      <c r="Y171" s="343"/>
      <c r="Z171" s="342"/>
    </row>
    <row r="172" spans="1:26" s="336" customFormat="1">
      <c r="A172" s="337"/>
      <c r="B172" s="338"/>
      <c r="C172" s="339"/>
      <c r="D172" s="340"/>
      <c r="E172" s="341"/>
      <c r="F172" s="342"/>
      <c r="G172" s="343"/>
      <c r="H172" s="342"/>
      <c r="I172" s="343"/>
      <c r="J172" s="343"/>
      <c r="K172" s="342"/>
      <c r="L172" s="342"/>
      <c r="M172" s="342"/>
      <c r="N172" s="342"/>
      <c r="O172" s="342"/>
      <c r="P172" s="342"/>
      <c r="Q172" s="342"/>
      <c r="R172" s="343"/>
      <c r="S172" s="343"/>
      <c r="T172" s="342"/>
      <c r="U172" s="342"/>
      <c r="V172" s="342"/>
      <c r="W172" s="343"/>
      <c r="X172" s="342"/>
      <c r="Y172" s="343"/>
      <c r="Z172" s="342"/>
    </row>
    <row r="173" spans="1:26" s="336" customFormat="1">
      <c r="A173" s="337"/>
      <c r="B173" s="338"/>
      <c r="C173" s="339"/>
      <c r="D173" s="340"/>
      <c r="E173" s="341"/>
      <c r="F173" s="342"/>
      <c r="G173" s="343"/>
      <c r="H173" s="342"/>
      <c r="I173" s="343"/>
      <c r="J173" s="343"/>
      <c r="K173" s="342"/>
      <c r="L173" s="342"/>
      <c r="M173" s="342"/>
      <c r="N173" s="342"/>
      <c r="O173" s="342"/>
      <c r="P173" s="342"/>
      <c r="Q173" s="342"/>
      <c r="R173" s="343"/>
      <c r="S173" s="343"/>
      <c r="T173" s="342"/>
      <c r="U173" s="342"/>
      <c r="V173" s="342"/>
      <c r="W173" s="343"/>
      <c r="X173" s="342"/>
      <c r="Y173" s="343"/>
      <c r="Z173" s="342"/>
    </row>
    <row r="174" spans="1:26" s="336" customFormat="1">
      <c r="A174" s="337"/>
      <c r="B174" s="338"/>
      <c r="C174" s="339"/>
      <c r="D174" s="340"/>
      <c r="E174" s="341"/>
      <c r="F174" s="342"/>
      <c r="G174" s="343"/>
      <c r="H174" s="342"/>
      <c r="I174" s="343"/>
      <c r="J174" s="343"/>
      <c r="K174" s="342"/>
      <c r="L174" s="342"/>
      <c r="M174" s="342"/>
      <c r="N174" s="342"/>
      <c r="O174" s="342"/>
      <c r="P174" s="342"/>
      <c r="Q174" s="342"/>
      <c r="R174" s="343"/>
      <c r="S174" s="343"/>
      <c r="T174" s="342"/>
      <c r="U174" s="342"/>
      <c r="V174" s="342"/>
      <c r="W174" s="343"/>
      <c r="X174" s="342"/>
      <c r="Y174" s="343"/>
      <c r="Z174" s="342"/>
    </row>
    <row r="175" spans="1:26" s="336" customFormat="1">
      <c r="A175" s="337"/>
      <c r="B175" s="338"/>
      <c r="C175" s="339"/>
      <c r="D175" s="340"/>
      <c r="E175" s="341"/>
      <c r="F175" s="342"/>
      <c r="G175" s="343"/>
      <c r="H175" s="342"/>
      <c r="I175" s="343"/>
      <c r="J175" s="343"/>
      <c r="K175" s="342"/>
      <c r="L175" s="342"/>
      <c r="M175" s="342"/>
      <c r="N175" s="342"/>
      <c r="O175" s="342"/>
      <c r="P175" s="342"/>
      <c r="Q175" s="342"/>
      <c r="R175" s="343"/>
      <c r="S175" s="343"/>
      <c r="T175" s="342"/>
      <c r="U175" s="342"/>
      <c r="V175" s="342"/>
      <c r="W175" s="343"/>
      <c r="X175" s="342"/>
      <c r="Y175" s="343"/>
      <c r="Z175" s="342"/>
    </row>
    <row r="176" spans="1:26" s="336" customFormat="1">
      <c r="A176" s="337"/>
      <c r="B176" s="338"/>
      <c r="C176" s="339"/>
      <c r="D176" s="340"/>
      <c r="E176" s="341"/>
      <c r="F176" s="342"/>
      <c r="G176" s="343"/>
      <c r="H176" s="342"/>
      <c r="I176" s="343"/>
      <c r="J176" s="343"/>
      <c r="K176" s="342"/>
      <c r="L176" s="342"/>
      <c r="M176" s="342"/>
      <c r="N176" s="342"/>
      <c r="O176" s="342"/>
      <c r="P176" s="342"/>
      <c r="Q176" s="342"/>
      <c r="R176" s="343"/>
      <c r="S176" s="343"/>
      <c r="T176" s="342"/>
      <c r="U176" s="342"/>
      <c r="V176" s="342"/>
      <c r="W176" s="343"/>
      <c r="X176" s="342"/>
      <c r="Y176" s="343"/>
      <c r="Z176" s="342"/>
    </row>
    <row r="177" spans="1:26" s="336" customFormat="1">
      <c r="A177" s="337"/>
      <c r="B177" s="338"/>
      <c r="C177" s="339"/>
      <c r="D177" s="340"/>
      <c r="E177" s="341"/>
      <c r="F177" s="342"/>
      <c r="G177" s="343"/>
      <c r="H177" s="342"/>
      <c r="I177" s="343"/>
      <c r="J177" s="343"/>
      <c r="K177" s="342"/>
      <c r="L177" s="342"/>
      <c r="M177" s="342"/>
      <c r="N177" s="342"/>
      <c r="O177" s="342"/>
      <c r="P177" s="342"/>
      <c r="Q177" s="342"/>
      <c r="R177" s="343"/>
      <c r="S177" s="343"/>
      <c r="T177" s="342"/>
      <c r="U177" s="342"/>
      <c r="V177" s="342"/>
      <c r="W177" s="343"/>
      <c r="X177" s="342"/>
      <c r="Y177" s="343"/>
      <c r="Z177" s="342"/>
    </row>
    <row r="178" spans="1:26" s="336" customFormat="1" ht="31.5" customHeight="1">
      <c r="A178" s="337"/>
      <c r="B178" s="338"/>
      <c r="C178" s="339"/>
      <c r="D178" s="340"/>
      <c r="E178" s="341"/>
      <c r="F178" s="342"/>
      <c r="G178" s="343"/>
      <c r="H178" s="342"/>
      <c r="I178" s="343"/>
      <c r="J178" s="343"/>
      <c r="K178" s="342"/>
      <c r="L178" s="342"/>
      <c r="M178" s="342"/>
      <c r="N178" s="342"/>
      <c r="O178" s="342"/>
      <c r="P178" s="342"/>
      <c r="Q178" s="342"/>
      <c r="R178" s="343"/>
      <c r="S178" s="343"/>
      <c r="T178" s="342"/>
      <c r="U178" s="342"/>
      <c r="V178" s="342"/>
      <c r="W178" s="343"/>
      <c r="X178" s="342"/>
      <c r="Y178" s="343"/>
      <c r="Z178" s="342"/>
    </row>
    <row r="179" spans="1:26" s="336" customFormat="1" ht="85.5" customHeight="1">
      <c r="A179" s="337"/>
      <c r="B179" s="338"/>
      <c r="C179" s="339"/>
      <c r="D179" s="340"/>
      <c r="E179" s="341"/>
      <c r="F179" s="342"/>
      <c r="G179" s="343"/>
      <c r="H179" s="342"/>
      <c r="I179" s="343"/>
      <c r="J179" s="343"/>
      <c r="K179" s="342"/>
      <c r="L179" s="342"/>
      <c r="M179" s="342"/>
      <c r="N179" s="342"/>
      <c r="O179" s="342"/>
      <c r="P179" s="342"/>
      <c r="Q179" s="342"/>
      <c r="R179" s="343"/>
      <c r="S179" s="343"/>
      <c r="T179" s="342"/>
      <c r="U179" s="342"/>
      <c r="V179" s="342"/>
      <c r="W179" s="343"/>
      <c r="X179" s="342"/>
      <c r="Y179" s="343"/>
      <c r="Z179" s="342"/>
    </row>
    <row r="180" spans="1:26" s="336" customFormat="1" ht="45" customHeight="1">
      <c r="A180" s="337"/>
      <c r="B180" s="338"/>
      <c r="C180" s="339"/>
      <c r="D180" s="340"/>
      <c r="E180" s="341"/>
      <c r="F180" s="342"/>
      <c r="G180" s="343"/>
      <c r="H180" s="342"/>
      <c r="I180" s="343"/>
      <c r="J180" s="343"/>
      <c r="K180" s="342"/>
      <c r="L180" s="342"/>
      <c r="M180" s="342"/>
      <c r="N180" s="342"/>
      <c r="O180" s="342"/>
      <c r="P180" s="342"/>
      <c r="Q180" s="342"/>
      <c r="R180" s="343"/>
      <c r="S180" s="343"/>
      <c r="T180" s="342"/>
      <c r="U180" s="342"/>
      <c r="V180" s="342"/>
      <c r="W180" s="343"/>
      <c r="X180" s="342"/>
      <c r="Y180" s="343"/>
      <c r="Z180" s="342"/>
    </row>
    <row r="181" spans="1:26" s="336" customFormat="1" ht="84" customHeight="1">
      <c r="A181" s="337"/>
      <c r="B181" s="338"/>
      <c r="C181" s="339"/>
      <c r="D181" s="340"/>
      <c r="E181" s="341"/>
      <c r="F181" s="342"/>
      <c r="G181" s="343"/>
      <c r="H181" s="342"/>
      <c r="I181" s="343"/>
      <c r="J181" s="343"/>
      <c r="K181" s="342"/>
      <c r="L181" s="342"/>
      <c r="M181" s="342"/>
      <c r="N181" s="342"/>
      <c r="O181" s="342"/>
      <c r="P181" s="342"/>
      <c r="Q181" s="342"/>
      <c r="R181" s="343"/>
      <c r="S181" s="343"/>
      <c r="T181" s="342"/>
      <c r="U181" s="342"/>
      <c r="V181" s="342"/>
      <c r="W181" s="343"/>
      <c r="X181" s="342"/>
      <c r="Y181" s="343"/>
      <c r="Z181" s="342"/>
    </row>
    <row r="182" spans="1:26" s="336" customFormat="1" ht="38.25" customHeight="1">
      <c r="A182" s="337"/>
      <c r="B182" s="338"/>
      <c r="C182" s="339"/>
      <c r="D182" s="340"/>
      <c r="E182" s="341"/>
      <c r="F182" s="342"/>
      <c r="G182" s="343"/>
      <c r="H182" s="342"/>
      <c r="I182" s="343"/>
      <c r="J182" s="343"/>
      <c r="K182" s="342"/>
      <c r="L182" s="342"/>
      <c r="M182" s="342"/>
      <c r="N182" s="342"/>
      <c r="O182" s="342"/>
      <c r="P182" s="342"/>
      <c r="Q182" s="342"/>
      <c r="R182" s="343"/>
      <c r="S182" s="343"/>
      <c r="T182" s="342"/>
      <c r="U182" s="342"/>
      <c r="V182" s="342"/>
      <c r="W182" s="343"/>
      <c r="X182" s="342"/>
      <c r="Y182" s="343"/>
      <c r="Z182" s="342"/>
    </row>
    <row r="183" spans="1:26" s="336" customFormat="1">
      <c r="A183" s="337"/>
      <c r="B183" s="338"/>
      <c r="C183" s="339"/>
      <c r="D183" s="340"/>
      <c r="E183" s="341"/>
      <c r="F183" s="342"/>
      <c r="G183" s="343"/>
      <c r="H183" s="342"/>
      <c r="I183" s="343"/>
      <c r="J183" s="343"/>
      <c r="K183" s="342"/>
      <c r="L183" s="342"/>
      <c r="M183" s="342"/>
      <c r="N183" s="342"/>
      <c r="O183" s="342"/>
      <c r="P183" s="342"/>
      <c r="Q183" s="342"/>
      <c r="R183" s="343"/>
      <c r="S183" s="343"/>
      <c r="T183" s="342"/>
      <c r="U183" s="342"/>
      <c r="V183" s="342"/>
      <c r="W183" s="343"/>
      <c r="X183" s="342"/>
      <c r="Y183" s="343"/>
      <c r="Z183" s="342"/>
    </row>
    <row r="184" spans="1:26" s="336" customFormat="1" ht="41.25" customHeight="1">
      <c r="A184" s="337"/>
      <c r="B184" s="338"/>
      <c r="C184" s="339"/>
      <c r="D184" s="340"/>
      <c r="E184" s="341"/>
      <c r="F184" s="342"/>
      <c r="G184" s="343"/>
      <c r="H184" s="342"/>
      <c r="I184" s="343"/>
      <c r="J184" s="343"/>
      <c r="K184" s="342"/>
      <c r="L184" s="342"/>
      <c r="M184" s="342"/>
      <c r="N184" s="342"/>
      <c r="O184" s="342"/>
      <c r="P184" s="342"/>
      <c r="Q184" s="342"/>
      <c r="R184" s="343"/>
      <c r="S184" s="343"/>
      <c r="T184" s="342"/>
      <c r="U184" s="342"/>
      <c r="V184" s="342"/>
      <c r="W184" s="343"/>
      <c r="X184" s="342"/>
      <c r="Y184" s="343"/>
      <c r="Z184" s="342"/>
    </row>
    <row r="185" spans="1:26" s="336" customFormat="1" ht="41.25" customHeight="1">
      <c r="A185" s="337"/>
      <c r="B185" s="338"/>
      <c r="C185" s="339"/>
      <c r="D185" s="340"/>
      <c r="E185" s="341"/>
      <c r="F185" s="342"/>
      <c r="G185" s="343"/>
      <c r="H185" s="342"/>
      <c r="I185" s="343"/>
      <c r="J185" s="343"/>
      <c r="K185" s="342"/>
      <c r="L185" s="342"/>
      <c r="M185" s="342"/>
      <c r="N185" s="342"/>
      <c r="O185" s="342"/>
      <c r="P185" s="342"/>
      <c r="Q185" s="342"/>
      <c r="R185" s="343"/>
      <c r="S185" s="343"/>
      <c r="T185" s="342"/>
      <c r="U185" s="342"/>
      <c r="V185" s="342"/>
      <c r="W185" s="343"/>
      <c r="X185" s="342"/>
      <c r="Y185" s="343"/>
      <c r="Z185" s="342"/>
    </row>
    <row r="186" spans="1:26" s="336" customFormat="1" ht="82.5" customHeight="1">
      <c r="A186" s="337"/>
      <c r="B186" s="338"/>
      <c r="C186" s="339"/>
      <c r="D186" s="340"/>
      <c r="E186" s="341"/>
      <c r="F186" s="342"/>
      <c r="G186" s="343"/>
      <c r="H186" s="342"/>
      <c r="I186" s="343"/>
      <c r="J186" s="343"/>
      <c r="K186" s="342"/>
      <c r="L186" s="342"/>
      <c r="M186" s="342"/>
      <c r="N186" s="342"/>
      <c r="O186" s="342"/>
      <c r="P186" s="342"/>
      <c r="Q186" s="342"/>
      <c r="R186" s="343"/>
      <c r="S186" s="343"/>
      <c r="T186" s="342"/>
      <c r="U186" s="342"/>
      <c r="V186" s="342"/>
      <c r="W186" s="343"/>
      <c r="X186" s="342"/>
      <c r="Y186" s="343"/>
      <c r="Z186" s="342"/>
    </row>
    <row r="187" spans="1:26" s="336" customFormat="1" ht="81" customHeight="1">
      <c r="A187" s="337"/>
      <c r="B187" s="338"/>
      <c r="C187" s="339"/>
      <c r="D187" s="340"/>
      <c r="E187" s="341"/>
      <c r="F187" s="342"/>
      <c r="G187" s="343"/>
      <c r="H187" s="342"/>
      <c r="I187" s="343"/>
      <c r="J187" s="343"/>
      <c r="K187" s="342"/>
      <c r="L187" s="342"/>
      <c r="M187" s="342"/>
      <c r="N187" s="342"/>
      <c r="O187" s="342"/>
      <c r="P187" s="342"/>
      <c r="Q187" s="342"/>
      <c r="R187" s="343"/>
      <c r="S187" s="343"/>
      <c r="T187" s="342"/>
      <c r="U187" s="342"/>
      <c r="V187" s="342"/>
      <c r="W187" s="343"/>
      <c r="X187" s="342"/>
      <c r="Y187" s="343"/>
      <c r="Z187" s="342"/>
    </row>
    <row r="188" spans="1:26" s="336" customFormat="1" ht="41.25" customHeight="1">
      <c r="A188" s="337"/>
      <c r="B188" s="338"/>
      <c r="C188" s="339"/>
      <c r="D188" s="340"/>
      <c r="E188" s="341"/>
      <c r="F188" s="342"/>
      <c r="G188" s="343"/>
      <c r="H188" s="342"/>
      <c r="I188" s="343"/>
      <c r="J188" s="343"/>
      <c r="K188" s="342"/>
      <c r="L188" s="342"/>
      <c r="M188" s="342"/>
      <c r="N188" s="342"/>
      <c r="O188" s="342"/>
      <c r="P188" s="342"/>
      <c r="Q188" s="342"/>
      <c r="R188" s="343"/>
      <c r="S188" s="343"/>
      <c r="T188" s="342"/>
      <c r="U188" s="342"/>
      <c r="V188" s="342"/>
      <c r="W188" s="343"/>
      <c r="X188" s="342"/>
      <c r="Y188" s="343"/>
      <c r="Z188" s="342"/>
    </row>
    <row r="189" spans="1:26" s="336" customFormat="1">
      <c r="A189" s="337"/>
      <c r="B189" s="338"/>
      <c r="C189" s="339"/>
      <c r="D189" s="340"/>
      <c r="E189" s="341"/>
      <c r="F189" s="342"/>
      <c r="G189" s="343"/>
      <c r="H189" s="342"/>
      <c r="I189" s="343"/>
      <c r="J189" s="343"/>
      <c r="K189" s="342"/>
      <c r="L189" s="342"/>
      <c r="M189" s="342"/>
      <c r="N189" s="342"/>
      <c r="O189" s="342"/>
      <c r="P189" s="342"/>
      <c r="Q189" s="342"/>
      <c r="R189" s="343"/>
      <c r="S189" s="343"/>
      <c r="T189" s="342"/>
      <c r="U189" s="342"/>
      <c r="V189" s="342"/>
      <c r="W189" s="343"/>
      <c r="X189" s="342"/>
      <c r="Y189" s="343"/>
      <c r="Z189" s="342"/>
    </row>
    <row r="190" spans="1:26" s="336" customFormat="1">
      <c r="A190" s="337"/>
      <c r="B190" s="338"/>
      <c r="C190" s="339"/>
      <c r="D190" s="340"/>
      <c r="E190" s="341"/>
      <c r="F190" s="342"/>
      <c r="G190" s="343"/>
      <c r="H190" s="342"/>
      <c r="I190" s="343"/>
      <c r="J190" s="343"/>
      <c r="K190" s="342"/>
      <c r="L190" s="342"/>
      <c r="M190" s="342"/>
      <c r="N190" s="342"/>
      <c r="O190" s="342"/>
      <c r="P190" s="342"/>
      <c r="Q190" s="342"/>
      <c r="R190" s="343"/>
      <c r="S190" s="343"/>
      <c r="T190" s="342"/>
      <c r="U190" s="342"/>
      <c r="V190" s="342"/>
      <c r="W190" s="343"/>
      <c r="X190" s="342"/>
      <c r="Y190" s="343"/>
      <c r="Z190" s="342"/>
    </row>
    <row r="191" spans="1:26" s="336" customFormat="1">
      <c r="A191" s="337"/>
      <c r="B191" s="338"/>
      <c r="C191" s="339"/>
      <c r="D191" s="340"/>
      <c r="E191" s="341"/>
      <c r="F191" s="342"/>
      <c r="G191" s="343"/>
      <c r="H191" s="342"/>
      <c r="I191" s="343"/>
      <c r="J191" s="343"/>
      <c r="K191" s="342"/>
      <c r="L191" s="342"/>
      <c r="M191" s="342"/>
      <c r="N191" s="342"/>
      <c r="O191" s="342"/>
      <c r="P191" s="342"/>
      <c r="Q191" s="342"/>
      <c r="R191" s="343"/>
      <c r="S191" s="343"/>
      <c r="T191" s="342"/>
      <c r="U191" s="342"/>
      <c r="V191" s="342"/>
      <c r="W191" s="343"/>
      <c r="X191" s="342"/>
      <c r="Y191" s="343"/>
      <c r="Z191" s="342"/>
    </row>
    <row r="192" spans="1:26" s="336" customFormat="1">
      <c r="A192" s="337"/>
      <c r="B192" s="338"/>
      <c r="C192" s="339"/>
      <c r="D192" s="340"/>
      <c r="E192" s="341"/>
      <c r="F192" s="342"/>
      <c r="G192" s="343"/>
      <c r="H192" s="342"/>
      <c r="I192" s="343"/>
      <c r="J192" s="343"/>
      <c r="K192" s="342"/>
      <c r="L192" s="342"/>
      <c r="M192" s="342"/>
      <c r="N192" s="342"/>
      <c r="O192" s="342"/>
      <c r="P192" s="342"/>
      <c r="Q192" s="342"/>
      <c r="R192" s="343"/>
      <c r="S192" s="343"/>
      <c r="T192" s="342"/>
      <c r="U192" s="342"/>
      <c r="V192" s="342"/>
      <c r="W192" s="343"/>
      <c r="X192" s="342"/>
      <c r="Y192" s="343"/>
      <c r="Z192" s="342"/>
    </row>
    <row r="193" spans="1:26" s="336" customFormat="1" ht="66.75" customHeight="1">
      <c r="A193" s="337"/>
      <c r="B193" s="338"/>
      <c r="C193" s="339"/>
      <c r="D193" s="340"/>
      <c r="E193" s="341"/>
      <c r="F193" s="342"/>
      <c r="G193" s="343"/>
      <c r="H193" s="342"/>
      <c r="I193" s="343"/>
      <c r="J193" s="343"/>
      <c r="K193" s="342"/>
      <c r="L193" s="342"/>
      <c r="M193" s="342"/>
      <c r="N193" s="342"/>
      <c r="O193" s="342"/>
      <c r="P193" s="342"/>
      <c r="Q193" s="342"/>
      <c r="R193" s="343"/>
      <c r="S193" s="343"/>
      <c r="T193" s="342"/>
      <c r="U193" s="342"/>
      <c r="V193" s="342"/>
      <c r="W193" s="343"/>
      <c r="X193" s="342"/>
      <c r="Y193" s="343"/>
      <c r="Z193" s="342"/>
    </row>
    <row r="194" spans="1:26" s="336" customFormat="1" ht="66.75" customHeight="1">
      <c r="A194" s="337"/>
      <c r="B194" s="338"/>
      <c r="C194" s="339"/>
      <c r="D194" s="340"/>
      <c r="E194" s="341"/>
      <c r="F194" s="342"/>
      <c r="G194" s="343"/>
      <c r="H194" s="342"/>
      <c r="I194" s="343"/>
      <c r="J194" s="343"/>
      <c r="K194" s="342"/>
      <c r="L194" s="342"/>
      <c r="M194" s="342"/>
      <c r="N194" s="342"/>
      <c r="O194" s="342"/>
      <c r="P194" s="342"/>
      <c r="Q194" s="342"/>
      <c r="R194" s="343"/>
      <c r="S194" s="343"/>
      <c r="T194" s="342"/>
      <c r="U194" s="342"/>
      <c r="V194" s="342"/>
      <c r="W194" s="343"/>
      <c r="X194" s="342"/>
      <c r="Y194" s="343"/>
      <c r="Z194" s="342"/>
    </row>
    <row r="195" spans="1:26" s="336" customFormat="1" ht="53.25" customHeight="1">
      <c r="A195" s="337"/>
      <c r="B195" s="338"/>
      <c r="C195" s="339"/>
      <c r="D195" s="340"/>
      <c r="E195" s="341"/>
      <c r="F195" s="342"/>
      <c r="G195" s="343"/>
      <c r="H195" s="342"/>
      <c r="I195" s="343"/>
      <c r="J195" s="343"/>
      <c r="K195" s="342"/>
      <c r="L195" s="342"/>
      <c r="M195" s="342"/>
      <c r="N195" s="342"/>
      <c r="O195" s="342"/>
      <c r="P195" s="342"/>
      <c r="Q195" s="342"/>
      <c r="R195" s="343"/>
      <c r="S195" s="343"/>
      <c r="T195" s="342"/>
      <c r="U195" s="342"/>
      <c r="V195" s="342"/>
      <c r="W195" s="343"/>
      <c r="X195" s="342"/>
      <c r="Y195" s="343"/>
      <c r="Z195" s="342"/>
    </row>
    <row r="196" spans="1:26" s="336" customFormat="1" ht="35.25" customHeight="1">
      <c r="A196" s="337"/>
      <c r="B196" s="338"/>
      <c r="C196" s="339"/>
      <c r="D196" s="340"/>
      <c r="E196" s="341"/>
      <c r="F196" s="342"/>
      <c r="G196" s="343"/>
      <c r="H196" s="342"/>
      <c r="I196" s="343"/>
      <c r="J196" s="343"/>
      <c r="K196" s="342"/>
      <c r="L196" s="342"/>
      <c r="M196" s="342"/>
      <c r="N196" s="342"/>
      <c r="O196" s="342"/>
      <c r="P196" s="342"/>
      <c r="Q196" s="342"/>
      <c r="R196" s="343"/>
      <c r="S196" s="343"/>
      <c r="T196" s="342"/>
      <c r="U196" s="342"/>
      <c r="V196" s="342"/>
      <c r="W196" s="343"/>
      <c r="X196" s="342"/>
      <c r="Y196" s="343"/>
      <c r="Z196" s="342"/>
    </row>
    <row r="197" spans="1:26" s="336" customFormat="1" ht="48" customHeight="1">
      <c r="A197" s="337"/>
      <c r="B197" s="338"/>
      <c r="C197" s="339"/>
      <c r="D197" s="340"/>
      <c r="E197" s="341"/>
      <c r="F197" s="342"/>
      <c r="G197" s="343"/>
      <c r="H197" s="342"/>
      <c r="I197" s="343"/>
      <c r="J197" s="343"/>
      <c r="K197" s="342"/>
      <c r="L197" s="342"/>
      <c r="M197" s="342"/>
      <c r="N197" s="342"/>
      <c r="O197" s="342"/>
      <c r="P197" s="342"/>
      <c r="Q197" s="342"/>
      <c r="R197" s="343"/>
      <c r="S197" s="343"/>
      <c r="T197" s="342"/>
      <c r="U197" s="342"/>
      <c r="V197" s="342"/>
      <c r="W197" s="343"/>
      <c r="X197" s="342"/>
      <c r="Y197" s="343"/>
      <c r="Z197" s="342"/>
    </row>
    <row r="198" spans="1:26" s="336" customFormat="1">
      <c r="A198" s="337"/>
      <c r="B198" s="338"/>
      <c r="C198" s="339"/>
      <c r="D198" s="340"/>
      <c r="E198" s="341"/>
      <c r="F198" s="342"/>
      <c r="G198" s="343"/>
      <c r="H198" s="342"/>
      <c r="I198" s="343"/>
      <c r="J198" s="343"/>
      <c r="K198" s="342"/>
      <c r="L198" s="342"/>
      <c r="M198" s="342"/>
      <c r="N198" s="342"/>
      <c r="O198" s="342"/>
      <c r="P198" s="342"/>
      <c r="Q198" s="342"/>
      <c r="R198" s="343"/>
      <c r="S198" s="343"/>
      <c r="T198" s="342"/>
      <c r="U198" s="342"/>
      <c r="V198" s="342"/>
      <c r="W198" s="343"/>
      <c r="X198" s="342"/>
      <c r="Y198" s="343"/>
      <c r="Z198" s="342"/>
    </row>
    <row r="199" spans="1:26" s="336" customFormat="1">
      <c r="A199" s="337"/>
      <c r="B199" s="338"/>
      <c r="C199" s="339"/>
      <c r="D199" s="340"/>
      <c r="E199" s="341"/>
      <c r="F199" s="342"/>
      <c r="G199" s="343"/>
      <c r="H199" s="342"/>
      <c r="I199" s="343"/>
      <c r="J199" s="343"/>
      <c r="K199" s="342"/>
      <c r="L199" s="342"/>
      <c r="M199" s="342"/>
      <c r="N199" s="342"/>
      <c r="O199" s="342"/>
      <c r="P199" s="342"/>
      <c r="Q199" s="342"/>
      <c r="R199" s="343"/>
      <c r="S199" s="343"/>
      <c r="T199" s="342"/>
      <c r="U199" s="342"/>
      <c r="V199" s="342"/>
      <c r="W199" s="343"/>
      <c r="X199" s="342"/>
      <c r="Y199" s="343"/>
      <c r="Z199" s="342"/>
    </row>
    <row r="200" spans="1:26" s="336" customFormat="1" ht="96.75" customHeight="1">
      <c r="A200" s="337"/>
      <c r="B200" s="338"/>
      <c r="C200" s="339"/>
      <c r="D200" s="340"/>
      <c r="E200" s="341"/>
      <c r="F200" s="342"/>
      <c r="G200" s="343"/>
      <c r="H200" s="342"/>
      <c r="I200" s="343"/>
      <c r="J200" s="343"/>
      <c r="K200" s="342"/>
      <c r="L200" s="342"/>
      <c r="M200" s="342"/>
      <c r="N200" s="342"/>
      <c r="O200" s="342"/>
      <c r="P200" s="342"/>
      <c r="Q200" s="342"/>
      <c r="R200" s="343"/>
      <c r="S200" s="343"/>
      <c r="T200" s="342"/>
      <c r="U200" s="342"/>
      <c r="V200" s="342"/>
      <c r="W200" s="343"/>
      <c r="X200" s="342"/>
      <c r="Y200" s="343"/>
      <c r="Z200" s="342"/>
    </row>
    <row r="201" spans="1:26" s="336" customFormat="1">
      <c r="A201" s="337"/>
      <c r="B201" s="338"/>
      <c r="C201" s="339"/>
      <c r="D201" s="340"/>
      <c r="E201" s="341"/>
      <c r="F201" s="342"/>
      <c r="G201" s="343"/>
      <c r="H201" s="342"/>
      <c r="I201" s="343"/>
      <c r="J201" s="343"/>
      <c r="K201" s="342"/>
      <c r="L201" s="342"/>
      <c r="M201" s="342"/>
      <c r="N201" s="342"/>
      <c r="O201" s="342"/>
      <c r="P201" s="342"/>
      <c r="Q201" s="342"/>
      <c r="R201" s="343"/>
      <c r="S201" s="343"/>
      <c r="T201" s="342"/>
      <c r="U201" s="342"/>
      <c r="V201" s="342"/>
      <c r="W201" s="343"/>
      <c r="X201" s="342"/>
      <c r="Y201" s="343"/>
      <c r="Z201" s="342"/>
    </row>
    <row r="202" spans="1:26" s="336" customFormat="1">
      <c r="A202" s="337"/>
      <c r="B202" s="338"/>
      <c r="C202" s="339"/>
      <c r="D202" s="340"/>
      <c r="E202" s="341"/>
      <c r="F202" s="342"/>
      <c r="G202" s="343"/>
      <c r="H202" s="342"/>
      <c r="I202" s="343"/>
      <c r="J202" s="343"/>
      <c r="K202" s="342"/>
      <c r="L202" s="342"/>
      <c r="M202" s="342"/>
      <c r="N202" s="342"/>
      <c r="O202" s="342"/>
      <c r="P202" s="342"/>
      <c r="Q202" s="342"/>
      <c r="R202" s="343"/>
      <c r="S202" s="343"/>
      <c r="T202" s="342"/>
      <c r="U202" s="342"/>
      <c r="V202" s="342"/>
      <c r="W202" s="343"/>
      <c r="X202" s="342"/>
      <c r="Y202" s="343"/>
      <c r="Z202" s="342"/>
    </row>
    <row r="203" spans="1:26" s="336" customFormat="1">
      <c r="A203" s="337"/>
      <c r="B203" s="338"/>
      <c r="C203" s="339"/>
      <c r="D203" s="340"/>
      <c r="E203" s="341"/>
      <c r="F203" s="342"/>
      <c r="G203" s="343"/>
      <c r="H203" s="342"/>
      <c r="I203" s="343"/>
      <c r="J203" s="343"/>
      <c r="K203" s="342"/>
      <c r="L203" s="342"/>
      <c r="M203" s="342"/>
      <c r="N203" s="342"/>
      <c r="O203" s="342"/>
      <c r="P203" s="342"/>
      <c r="Q203" s="342"/>
      <c r="R203" s="343"/>
      <c r="S203" s="343"/>
      <c r="T203" s="342"/>
      <c r="U203" s="342"/>
      <c r="V203" s="342"/>
      <c r="W203" s="343"/>
      <c r="X203" s="342"/>
      <c r="Y203" s="343"/>
      <c r="Z203" s="342"/>
    </row>
    <row r="204" spans="1:26" s="336" customFormat="1">
      <c r="A204" s="337"/>
      <c r="B204" s="338"/>
      <c r="C204" s="339"/>
      <c r="D204" s="340"/>
      <c r="E204" s="341"/>
      <c r="F204" s="342"/>
      <c r="G204" s="343"/>
      <c r="H204" s="342"/>
      <c r="I204" s="343"/>
      <c r="J204" s="343"/>
      <c r="K204" s="342"/>
      <c r="L204" s="342"/>
      <c r="M204" s="342"/>
      <c r="N204" s="342"/>
      <c r="O204" s="342"/>
      <c r="P204" s="342"/>
      <c r="Q204" s="342"/>
      <c r="R204" s="343"/>
      <c r="S204" s="343"/>
      <c r="T204" s="342"/>
      <c r="U204" s="342"/>
      <c r="V204" s="342"/>
      <c r="W204" s="343"/>
      <c r="X204" s="342"/>
      <c r="Y204" s="343"/>
      <c r="Z204" s="342"/>
    </row>
    <row r="205" spans="1:26" s="336" customFormat="1" ht="53.25" customHeight="1">
      <c r="A205" s="337"/>
      <c r="B205" s="338"/>
      <c r="C205" s="339"/>
      <c r="D205" s="340"/>
      <c r="E205" s="341"/>
      <c r="F205" s="342"/>
      <c r="G205" s="343"/>
      <c r="H205" s="342"/>
      <c r="I205" s="343"/>
      <c r="J205" s="343"/>
      <c r="K205" s="342"/>
      <c r="L205" s="342"/>
      <c r="M205" s="342"/>
      <c r="N205" s="342"/>
      <c r="O205" s="342"/>
      <c r="P205" s="342"/>
      <c r="Q205" s="342"/>
      <c r="R205" s="343"/>
      <c r="S205" s="343"/>
      <c r="T205" s="342"/>
      <c r="U205" s="342"/>
      <c r="V205" s="342"/>
      <c r="W205" s="343"/>
      <c r="X205" s="342"/>
      <c r="Y205" s="343"/>
      <c r="Z205" s="342"/>
    </row>
    <row r="206" spans="1:26" s="336" customFormat="1" ht="39.75" customHeight="1">
      <c r="A206" s="337"/>
      <c r="B206" s="338"/>
      <c r="C206" s="339"/>
      <c r="D206" s="340"/>
      <c r="E206" s="341"/>
      <c r="F206" s="342"/>
      <c r="G206" s="343"/>
      <c r="H206" s="342"/>
      <c r="I206" s="343"/>
      <c r="J206" s="343"/>
      <c r="K206" s="342"/>
      <c r="L206" s="342"/>
      <c r="M206" s="342"/>
      <c r="N206" s="342"/>
      <c r="O206" s="342"/>
      <c r="P206" s="342"/>
      <c r="Q206" s="342"/>
      <c r="R206" s="343"/>
      <c r="S206" s="343"/>
      <c r="T206" s="342"/>
      <c r="U206" s="342"/>
      <c r="V206" s="342"/>
      <c r="W206" s="343"/>
      <c r="X206" s="342"/>
      <c r="Y206" s="343"/>
      <c r="Z206" s="342"/>
    </row>
    <row r="207" spans="1:26" s="336" customFormat="1" ht="40.5" customHeight="1">
      <c r="A207" s="337"/>
      <c r="B207" s="338"/>
      <c r="C207" s="339"/>
      <c r="D207" s="340"/>
      <c r="E207" s="341"/>
      <c r="F207" s="342"/>
      <c r="G207" s="343"/>
      <c r="H207" s="342"/>
      <c r="I207" s="343"/>
      <c r="J207" s="343"/>
      <c r="K207" s="342"/>
      <c r="L207" s="342"/>
      <c r="M207" s="342"/>
      <c r="N207" s="342"/>
      <c r="O207" s="342"/>
      <c r="P207" s="342"/>
      <c r="Q207" s="342"/>
      <c r="R207" s="343"/>
      <c r="S207" s="343"/>
      <c r="T207" s="342"/>
      <c r="U207" s="342"/>
      <c r="V207" s="342"/>
      <c r="W207" s="343"/>
      <c r="X207" s="342"/>
      <c r="Y207" s="343"/>
      <c r="Z207" s="342"/>
    </row>
    <row r="208" spans="1:26" s="336" customFormat="1" ht="38.25" customHeight="1">
      <c r="A208" s="337"/>
      <c r="B208" s="338"/>
      <c r="C208" s="339"/>
      <c r="D208" s="340"/>
      <c r="E208" s="341"/>
      <c r="F208" s="342"/>
      <c r="G208" s="343"/>
      <c r="H208" s="342"/>
      <c r="I208" s="343"/>
      <c r="J208" s="343"/>
      <c r="K208" s="342"/>
      <c r="L208" s="342"/>
      <c r="M208" s="342"/>
      <c r="N208" s="342"/>
      <c r="O208" s="342"/>
      <c r="P208" s="342"/>
      <c r="Q208" s="342"/>
      <c r="R208" s="343"/>
      <c r="S208" s="343"/>
      <c r="T208" s="342"/>
      <c r="U208" s="342"/>
      <c r="V208" s="342"/>
      <c r="W208" s="343"/>
      <c r="X208" s="342"/>
      <c r="Y208" s="343"/>
      <c r="Z208" s="342"/>
    </row>
    <row r="209" spans="1:26" s="336" customFormat="1" ht="33.75" customHeight="1">
      <c r="A209" s="337"/>
      <c r="B209" s="338"/>
      <c r="C209" s="339"/>
      <c r="D209" s="340"/>
      <c r="E209" s="341"/>
      <c r="F209" s="342"/>
      <c r="G209" s="343"/>
      <c r="H209" s="342"/>
      <c r="I209" s="343"/>
      <c r="J209" s="343"/>
      <c r="K209" s="342"/>
      <c r="L209" s="342"/>
      <c r="M209" s="342"/>
      <c r="N209" s="342"/>
      <c r="O209" s="342"/>
      <c r="P209" s="342"/>
      <c r="Q209" s="342"/>
      <c r="R209" s="343"/>
      <c r="S209" s="343"/>
      <c r="T209" s="342"/>
      <c r="U209" s="342"/>
      <c r="V209" s="342"/>
      <c r="W209" s="343"/>
      <c r="X209" s="342"/>
      <c r="Y209" s="343"/>
      <c r="Z209" s="342"/>
    </row>
    <row r="210" spans="1:26" s="336" customFormat="1">
      <c r="A210" s="337"/>
      <c r="B210" s="338"/>
      <c r="C210" s="339"/>
      <c r="D210" s="340"/>
      <c r="E210" s="341"/>
      <c r="F210" s="342"/>
      <c r="G210" s="343"/>
      <c r="H210" s="342"/>
      <c r="I210" s="343"/>
      <c r="J210" s="343"/>
      <c r="K210" s="342"/>
      <c r="L210" s="342"/>
      <c r="M210" s="342"/>
      <c r="N210" s="342"/>
      <c r="O210" s="342"/>
      <c r="P210" s="342"/>
      <c r="Q210" s="342"/>
      <c r="R210" s="343"/>
      <c r="S210" s="343"/>
      <c r="T210" s="342"/>
      <c r="U210" s="342"/>
      <c r="V210" s="342"/>
      <c r="W210" s="343"/>
      <c r="X210" s="342"/>
      <c r="Y210" s="343"/>
      <c r="Z210" s="342"/>
    </row>
    <row r="211" spans="1:26" s="336" customFormat="1">
      <c r="A211" s="337"/>
      <c r="B211" s="338"/>
      <c r="C211" s="339"/>
      <c r="D211" s="340"/>
      <c r="E211" s="341"/>
      <c r="F211" s="342"/>
      <c r="G211" s="343"/>
      <c r="H211" s="342"/>
      <c r="I211" s="343"/>
      <c r="J211" s="343"/>
      <c r="K211" s="342"/>
      <c r="L211" s="342"/>
      <c r="M211" s="342"/>
      <c r="N211" s="342"/>
      <c r="O211" s="342"/>
      <c r="P211" s="342"/>
      <c r="Q211" s="342"/>
      <c r="R211" s="343"/>
      <c r="S211" s="343"/>
      <c r="T211" s="342"/>
      <c r="U211" s="342"/>
      <c r="V211" s="342"/>
      <c r="W211" s="343"/>
      <c r="X211" s="342"/>
      <c r="Y211" s="343"/>
      <c r="Z211" s="342"/>
    </row>
    <row r="212" spans="1:26" s="336" customFormat="1" ht="33.75" customHeight="1">
      <c r="A212" s="337"/>
      <c r="B212" s="338"/>
      <c r="C212" s="339"/>
      <c r="D212" s="340"/>
      <c r="E212" s="341"/>
      <c r="F212" s="342"/>
      <c r="G212" s="343"/>
      <c r="H212" s="342"/>
      <c r="I212" s="343"/>
      <c r="J212" s="343"/>
      <c r="K212" s="342"/>
      <c r="L212" s="342"/>
      <c r="M212" s="342"/>
      <c r="N212" s="342"/>
      <c r="O212" s="342"/>
      <c r="P212" s="342"/>
      <c r="Q212" s="342"/>
      <c r="R212" s="343"/>
      <c r="S212" s="343"/>
      <c r="T212" s="342"/>
      <c r="U212" s="342"/>
      <c r="V212" s="342"/>
      <c r="W212" s="343"/>
      <c r="X212" s="342"/>
      <c r="Y212" s="343"/>
      <c r="Z212" s="342"/>
    </row>
    <row r="213" spans="1:26" s="336" customFormat="1">
      <c r="A213" s="337"/>
      <c r="B213" s="338"/>
      <c r="C213" s="339"/>
      <c r="D213" s="340"/>
      <c r="E213" s="341"/>
      <c r="F213" s="342"/>
      <c r="G213" s="343"/>
      <c r="H213" s="342"/>
      <c r="I213" s="343"/>
      <c r="J213" s="343"/>
      <c r="K213" s="342"/>
      <c r="L213" s="342"/>
      <c r="M213" s="342"/>
      <c r="N213" s="342"/>
      <c r="O213" s="342"/>
      <c r="P213" s="342"/>
      <c r="Q213" s="342"/>
      <c r="R213" s="343"/>
      <c r="S213" s="343"/>
      <c r="T213" s="342"/>
      <c r="U213" s="342"/>
      <c r="V213" s="342"/>
      <c r="W213" s="343"/>
      <c r="X213" s="342"/>
      <c r="Y213" s="343"/>
      <c r="Z213" s="342"/>
    </row>
    <row r="214" spans="1:26" s="336" customFormat="1">
      <c r="A214" s="337"/>
      <c r="B214" s="338"/>
      <c r="C214" s="339"/>
      <c r="D214" s="340"/>
      <c r="E214" s="341"/>
      <c r="F214" s="342"/>
      <c r="G214" s="343"/>
      <c r="H214" s="342"/>
      <c r="I214" s="343"/>
      <c r="J214" s="343"/>
      <c r="K214" s="342"/>
      <c r="L214" s="342"/>
      <c r="M214" s="342"/>
      <c r="N214" s="342"/>
      <c r="O214" s="342"/>
      <c r="P214" s="342"/>
      <c r="Q214" s="342"/>
      <c r="R214" s="343"/>
      <c r="S214" s="343"/>
      <c r="T214" s="342"/>
      <c r="U214" s="342"/>
      <c r="V214" s="342"/>
      <c r="W214" s="343"/>
      <c r="X214" s="342"/>
      <c r="Y214" s="343"/>
      <c r="Z214" s="342"/>
    </row>
    <row r="215" spans="1:26" s="336" customFormat="1" ht="64.5" customHeight="1">
      <c r="A215" s="337"/>
      <c r="B215" s="338"/>
      <c r="C215" s="339"/>
      <c r="D215" s="340"/>
      <c r="E215" s="341"/>
      <c r="F215" s="342"/>
      <c r="G215" s="343"/>
      <c r="H215" s="342"/>
      <c r="I215" s="343"/>
      <c r="J215" s="343"/>
      <c r="K215" s="342"/>
      <c r="L215" s="342"/>
      <c r="M215" s="342"/>
      <c r="N215" s="342"/>
      <c r="O215" s="342"/>
      <c r="P215" s="342"/>
      <c r="Q215" s="342"/>
      <c r="R215" s="343"/>
      <c r="S215" s="343"/>
      <c r="T215" s="342"/>
      <c r="U215" s="342"/>
      <c r="V215" s="342"/>
      <c r="W215" s="343"/>
      <c r="X215" s="342"/>
      <c r="Y215" s="343"/>
      <c r="Z215" s="342"/>
    </row>
    <row r="216" spans="1:26" s="336" customFormat="1">
      <c r="A216" s="337"/>
      <c r="B216" s="338"/>
      <c r="C216" s="339"/>
      <c r="D216" s="340"/>
      <c r="E216" s="341"/>
      <c r="F216" s="342"/>
      <c r="G216" s="343"/>
      <c r="H216" s="342"/>
      <c r="I216" s="343"/>
      <c r="J216" s="343"/>
      <c r="K216" s="342"/>
      <c r="L216" s="342"/>
      <c r="M216" s="342"/>
      <c r="N216" s="342"/>
      <c r="O216" s="342"/>
      <c r="P216" s="342"/>
      <c r="Q216" s="342"/>
      <c r="R216" s="343"/>
      <c r="S216" s="343"/>
      <c r="T216" s="342"/>
      <c r="U216" s="342"/>
      <c r="V216" s="342"/>
      <c r="W216" s="343"/>
      <c r="X216" s="342"/>
      <c r="Y216" s="343"/>
      <c r="Z216" s="342"/>
    </row>
    <row r="217" spans="1:26" s="336" customFormat="1">
      <c r="A217" s="337"/>
      <c r="B217" s="338"/>
      <c r="C217" s="339"/>
      <c r="D217" s="340"/>
      <c r="E217" s="341"/>
      <c r="F217" s="342"/>
      <c r="G217" s="343"/>
      <c r="H217" s="342"/>
      <c r="I217" s="343"/>
      <c r="J217" s="343"/>
      <c r="K217" s="342"/>
      <c r="L217" s="342"/>
      <c r="M217" s="342"/>
      <c r="N217" s="342"/>
      <c r="O217" s="342"/>
      <c r="P217" s="342"/>
      <c r="Q217" s="342"/>
      <c r="R217" s="343"/>
      <c r="S217" s="343"/>
      <c r="T217" s="342"/>
      <c r="U217" s="342"/>
      <c r="V217" s="342"/>
      <c r="W217" s="343"/>
      <c r="X217" s="342"/>
      <c r="Y217" s="343"/>
      <c r="Z217" s="342"/>
    </row>
    <row r="218" spans="1:26" s="336" customFormat="1">
      <c r="A218" s="337"/>
      <c r="B218" s="338"/>
      <c r="C218" s="339"/>
      <c r="D218" s="340"/>
      <c r="E218" s="341"/>
      <c r="F218" s="342"/>
      <c r="G218" s="343"/>
      <c r="H218" s="342"/>
      <c r="I218" s="343"/>
      <c r="J218" s="343"/>
      <c r="K218" s="342"/>
      <c r="L218" s="342"/>
      <c r="M218" s="342"/>
      <c r="N218" s="342"/>
      <c r="O218" s="342"/>
      <c r="P218" s="342"/>
      <c r="Q218" s="342"/>
      <c r="R218" s="343"/>
      <c r="S218" s="343"/>
      <c r="T218" s="342"/>
      <c r="U218" s="342"/>
      <c r="V218" s="342"/>
      <c r="W218" s="343"/>
      <c r="X218" s="342"/>
      <c r="Y218" s="343"/>
      <c r="Z218" s="342"/>
    </row>
    <row r="219" spans="1:26" s="336" customFormat="1">
      <c r="A219" s="337"/>
      <c r="B219" s="338"/>
      <c r="C219" s="339"/>
      <c r="D219" s="340"/>
      <c r="E219" s="341"/>
      <c r="F219" s="342"/>
      <c r="G219" s="343"/>
      <c r="H219" s="342"/>
      <c r="I219" s="343"/>
      <c r="J219" s="343"/>
      <c r="K219" s="342"/>
      <c r="L219" s="342"/>
      <c r="M219" s="342"/>
      <c r="N219" s="342"/>
      <c r="O219" s="342"/>
      <c r="P219" s="342"/>
      <c r="Q219" s="342"/>
      <c r="R219" s="343"/>
      <c r="S219" s="343"/>
      <c r="T219" s="342"/>
      <c r="U219" s="342"/>
      <c r="V219" s="342"/>
      <c r="W219" s="343"/>
      <c r="X219" s="342"/>
      <c r="Y219" s="343"/>
      <c r="Z219" s="342"/>
    </row>
    <row r="220" spans="1:26" s="336" customFormat="1">
      <c r="A220" s="337"/>
      <c r="B220" s="338"/>
      <c r="C220" s="339"/>
      <c r="D220" s="340"/>
      <c r="E220" s="341"/>
      <c r="F220" s="342"/>
      <c r="G220" s="343"/>
      <c r="H220" s="342"/>
      <c r="I220" s="343"/>
      <c r="J220" s="343"/>
      <c r="K220" s="342"/>
      <c r="L220" s="342"/>
      <c r="M220" s="342"/>
      <c r="N220" s="342"/>
      <c r="O220" s="342"/>
      <c r="P220" s="342"/>
      <c r="Q220" s="342"/>
      <c r="R220" s="343"/>
      <c r="S220" s="343"/>
      <c r="T220" s="342"/>
      <c r="U220" s="342"/>
      <c r="V220" s="342"/>
      <c r="W220" s="343"/>
      <c r="X220" s="342"/>
      <c r="Y220" s="343"/>
      <c r="Z220" s="342"/>
    </row>
    <row r="221" spans="1:26" s="336" customFormat="1">
      <c r="A221" s="337"/>
      <c r="B221" s="338"/>
      <c r="C221" s="339"/>
      <c r="D221" s="340"/>
      <c r="E221" s="341"/>
      <c r="F221" s="342"/>
      <c r="G221" s="343"/>
      <c r="H221" s="342"/>
      <c r="I221" s="343"/>
      <c r="J221" s="343"/>
      <c r="K221" s="342"/>
      <c r="L221" s="342"/>
      <c r="M221" s="342"/>
      <c r="N221" s="342"/>
      <c r="O221" s="342"/>
      <c r="P221" s="342"/>
      <c r="Q221" s="342"/>
      <c r="R221" s="343"/>
      <c r="S221" s="343"/>
      <c r="T221" s="342"/>
      <c r="U221" s="342"/>
      <c r="V221" s="342"/>
      <c r="W221" s="343"/>
      <c r="X221" s="342"/>
      <c r="Y221" s="343"/>
      <c r="Z221" s="342"/>
    </row>
    <row r="222" spans="1:26" s="336" customFormat="1">
      <c r="A222" s="337"/>
      <c r="B222" s="338"/>
      <c r="C222" s="339"/>
      <c r="D222" s="340"/>
      <c r="E222" s="341"/>
      <c r="F222" s="342"/>
      <c r="G222" s="343"/>
      <c r="H222" s="342"/>
      <c r="I222" s="343"/>
      <c r="J222" s="343"/>
      <c r="K222" s="342"/>
      <c r="L222" s="342"/>
      <c r="M222" s="342"/>
      <c r="N222" s="342"/>
      <c r="O222" s="342"/>
      <c r="P222" s="342"/>
      <c r="Q222" s="342"/>
      <c r="R222" s="343"/>
      <c r="S222" s="343"/>
      <c r="T222" s="342"/>
      <c r="U222" s="342"/>
      <c r="V222" s="342"/>
      <c r="W222" s="343"/>
      <c r="X222" s="342"/>
      <c r="Y222" s="343"/>
      <c r="Z222" s="342"/>
    </row>
    <row r="223" spans="1:26" s="336" customFormat="1">
      <c r="A223" s="337"/>
      <c r="B223" s="338"/>
      <c r="C223" s="339"/>
      <c r="D223" s="340"/>
      <c r="E223" s="341"/>
      <c r="F223" s="342"/>
      <c r="G223" s="343"/>
      <c r="H223" s="342"/>
      <c r="I223" s="343"/>
      <c r="J223" s="343"/>
      <c r="K223" s="342"/>
      <c r="L223" s="342"/>
      <c r="M223" s="342"/>
      <c r="N223" s="342"/>
      <c r="O223" s="342"/>
      <c r="P223" s="342"/>
      <c r="Q223" s="342"/>
      <c r="R223" s="343"/>
      <c r="S223" s="343"/>
      <c r="T223" s="342"/>
      <c r="U223" s="342"/>
      <c r="V223" s="342"/>
      <c r="W223" s="343"/>
      <c r="X223" s="342"/>
      <c r="Y223" s="343"/>
      <c r="Z223" s="342"/>
    </row>
    <row r="224" spans="1:26" s="336" customFormat="1">
      <c r="A224" s="337"/>
      <c r="B224" s="338"/>
      <c r="C224" s="339"/>
      <c r="D224" s="340"/>
      <c r="E224" s="341"/>
      <c r="F224" s="342"/>
      <c r="G224" s="343"/>
      <c r="H224" s="342"/>
      <c r="I224" s="343"/>
      <c r="J224" s="343"/>
      <c r="K224" s="342"/>
      <c r="L224" s="342"/>
      <c r="M224" s="342"/>
      <c r="N224" s="342"/>
      <c r="O224" s="342"/>
      <c r="P224" s="342"/>
      <c r="Q224" s="342"/>
      <c r="R224" s="343"/>
      <c r="S224" s="343"/>
      <c r="T224" s="342"/>
      <c r="U224" s="342"/>
      <c r="V224" s="342"/>
      <c r="W224" s="343"/>
      <c r="X224" s="342"/>
      <c r="Y224" s="343"/>
      <c r="Z224" s="342"/>
    </row>
    <row r="225" spans="1:26" s="336" customFormat="1">
      <c r="A225" s="337"/>
      <c r="B225" s="338"/>
      <c r="C225" s="339"/>
      <c r="D225" s="340"/>
      <c r="E225" s="341"/>
      <c r="F225" s="342"/>
      <c r="G225" s="343"/>
      <c r="H225" s="342"/>
      <c r="I225" s="343"/>
      <c r="J225" s="343"/>
      <c r="K225" s="342"/>
      <c r="L225" s="342"/>
      <c r="M225" s="342"/>
      <c r="N225" s="342"/>
      <c r="O225" s="342"/>
      <c r="P225" s="342"/>
      <c r="Q225" s="342"/>
      <c r="R225" s="343"/>
      <c r="S225" s="343"/>
      <c r="T225" s="342"/>
      <c r="U225" s="342"/>
      <c r="V225" s="342"/>
      <c r="W225" s="343"/>
      <c r="X225" s="342"/>
      <c r="Y225" s="343"/>
      <c r="Z225" s="342"/>
    </row>
    <row r="226" spans="1:26" s="336" customFormat="1">
      <c r="A226" s="337"/>
      <c r="B226" s="338"/>
      <c r="C226" s="339"/>
      <c r="D226" s="340"/>
      <c r="E226" s="341"/>
      <c r="F226" s="342"/>
      <c r="G226" s="343"/>
      <c r="H226" s="342"/>
      <c r="I226" s="343"/>
      <c r="J226" s="343"/>
      <c r="K226" s="342"/>
      <c r="L226" s="342"/>
      <c r="M226" s="342"/>
      <c r="N226" s="342"/>
      <c r="O226" s="342"/>
      <c r="P226" s="342"/>
      <c r="Q226" s="342"/>
      <c r="R226" s="343"/>
      <c r="S226" s="343"/>
      <c r="T226" s="342"/>
      <c r="U226" s="342"/>
      <c r="V226" s="342"/>
      <c r="W226" s="343"/>
      <c r="X226" s="342"/>
      <c r="Y226" s="343"/>
      <c r="Z226" s="342"/>
    </row>
    <row r="227" spans="1:26" s="336" customFormat="1" ht="45.75" customHeight="1">
      <c r="A227" s="337"/>
      <c r="B227" s="338"/>
      <c r="C227" s="339"/>
      <c r="D227" s="340"/>
      <c r="E227" s="341"/>
      <c r="F227" s="342"/>
      <c r="G227" s="343"/>
      <c r="H227" s="342"/>
      <c r="I227" s="343"/>
      <c r="J227" s="343"/>
      <c r="K227" s="342"/>
      <c r="L227" s="342"/>
      <c r="M227" s="342"/>
      <c r="N227" s="342"/>
      <c r="O227" s="342"/>
      <c r="P227" s="342"/>
      <c r="Q227" s="342"/>
      <c r="R227" s="343"/>
      <c r="S227" s="343"/>
      <c r="T227" s="342"/>
      <c r="U227" s="342"/>
      <c r="V227" s="342"/>
      <c r="W227" s="343"/>
      <c r="X227" s="342"/>
      <c r="Y227" s="343"/>
      <c r="Z227" s="342"/>
    </row>
    <row r="228" spans="1:26" s="336" customFormat="1" ht="60.75" customHeight="1">
      <c r="A228" s="337"/>
      <c r="B228" s="338"/>
      <c r="C228" s="339"/>
      <c r="D228" s="340"/>
      <c r="E228" s="341"/>
      <c r="F228" s="342"/>
      <c r="G228" s="343"/>
      <c r="H228" s="342"/>
      <c r="I228" s="343"/>
      <c r="J228" s="343"/>
      <c r="K228" s="342"/>
      <c r="L228" s="342"/>
      <c r="M228" s="342"/>
      <c r="N228" s="342"/>
      <c r="O228" s="342"/>
      <c r="P228" s="342"/>
      <c r="Q228" s="342"/>
      <c r="R228" s="343"/>
      <c r="S228" s="343"/>
      <c r="T228" s="342"/>
      <c r="U228" s="342"/>
      <c r="V228" s="342"/>
      <c r="W228" s="343"/>
      <c r="X228" s="342"/>
      <c r="Y228" s="343"/>
      <c r="Z228" s="342"/>
    </row>
    <row r="229" spans="1:26" s="336" customFormat="1" ht="49.5" customHeight="1">
      <c r="A229" s="337"/>
      <c r="B229" s="338"/>
      <c r="C229" s="339"/>
      <c r="D229" s="340"/>
      <c r="E229" s="341"/>
      <c r="F229" s="342"/>
      <c r="G229" s="343"/>
      <c r="H229" s="342"/>
      <c r="I229" s="343"/>
      <c r="J229" s="343"/>
      <c r="K229" s="342"/>
      <c r="L229" s="342"/>
      <c r="M229" s="342"/>
      <c r="N229" s="342"/>
      <c r="O229" s="342"/>
      <c r="P229" s="342"/>
      <c r="Q229" s="342"/>
      <c r="R229" s="343"/>
      <c r="S229" s="343"/>
      <c r="T229" s="342"/>
      <c r="U229" s="342"/>
      <c r="V229" s="342"/>
      <c r="W229" s="343"/>
      <c r="X229" s="342"/>
      <c r="Y229" s="343"/>
      <c r="Z229" s="342"/>
    </row>
    <row r="230" spans="1:26" s="336" customFormat="1" ht="48.75" customHeight="1">
      <c r="A230" s="337"/>
      <c r="B230" s="338"/>
      <c r="C230" s="339"/>
      <c r="D230" s="340"/>
      <c r="E230" s="341"/>
      <c r="F230" s="342"/>
      <c r="G230" s="343"/>
      <c r="H230" s="342"/>
      <c r="I230" s="343"/>
      <c r="J230" s="343"/>
      <c r="K230" s="342"/>
      <c r="L230" s="342"/>
      <c r="M230" s="342"/>
      <c r="N230" s="342"/>
      <c r="O230" s="342"/>
      <c r="P230" s="342"/>
      <c r="Q230" s="342"/>
      <c r="R230" s="343"/>
      <c r="S230" s="343"/>
      <c r="T230" s="342"/>
      <c r="U230" s="342"/>
      <c r="V230" s="342"/>
      <c r="W230" s="343"/>
      <c r="X230" s="342"/>
      <c r="Y230" s="343"/>
      <c r="Z230" s="342"/>
    </row>
    <row r="231" spans="1:26" s="336" customFormat="1" ht="50.25" customHeight="1">
      <c r="A231" s="337"/>
      <c r="B231" s="338"/>
      <c r="C231" s="339"/>
      <c r="D231" s="340"/>
      <c r="E231" s="341"/>
      <c r="F231" s="342"/>
      <c r="G231" s="343"/>
      <c r="H231" s="342"/>
      <c r="I231" s="343"/>
      <c r="J231" s="343"/>
      <c r="K231" s="342"/>
      <c r="L231" s="342"/>
      <c r="M231" s="342"/>
      <c r="N231" s="342"/>
      <c r="O231" s="342"/>
      <c r="P231" s="342"/>
      <c r="Q231" s="342"/>
      <c r="R231" s="343"/>
      <c r="S231" s="343"/>
      <c r="T231" s="342"/>
      <c r="U231" s="342"/>
      <c r="V231" s="342"/>
      <c r="W231" s="343"/>
      <c r="X231" s="342"/>
      <c r="Y231" s="343"/>
      <c r="Z231" s="342"/>
    </row>
    <row r="232" spans="1:26" s="336" customFormat="1" ht="50.25" customHeight="1">
      <c r="A232" s="337"/>
      <c r="B232" s="338"/>
      <c r="C232" s="339"/>
      <c r="D232" s="340"/>
      <c r="E232" s="341"/>
      <c r="F232" s="342"/>
      <c r="G232" s="343"/>
      <c r="H232" s="342"/>
      <c r="I232" s="343"/>
      <c r="J232" s="343"/>
      <c r="K232" s="342"/>
      <c r="L232" s="342"/>
      <c r="M232" s="342"/>
      <c r="N232" s="342"/>
      <c r="O232" s="342"/>
      <c r="P232" s="342"/>
      <c r="Q232" s="342"/>
      <c r="R232" s="343"/>
      <c r="S232" s="343"/>
      <c r="T232" s="342"/>
      <c r="U232" s="342"/>
      <c r="V232" s="342"/>
      <c r="W232" s="343"/>
      <c r="X232" s="342"/>
      <c r="Y232" s="343"/>
      <c r="Z232" s="342"/>
    </row>
    <row r="233" spans="1:26" s="336" customFormat="1" ht="39.75" customHeight="1">
      <c r="A233" s="337"/>
      <c r="B233" s="338"/>
      <c r="C233" s="339"/>
      <c r="D233" s="340"/>
      <c r="E233" s="341"/>
      <c r="F233" s="342"/>
      <c r="G233" s="343"/>
      <c r="H233" s="342"/>
      <c r="I233" s="343"/>
      <c r="J233" s="343"/>
      <c r="K233" s="342"/>
      <c r="L233" s="342"/>
      <c r="M233" s="342"/>
      <c r="N233" s="342"/>
      <c r="O233" s="342"/>
      <c r="P233" s="342"/>
      <c r="Q233" s="342"/>
      <c r="R233" s="343"/>
      <c r="S233" s="343"/>
      <c r="T233" s="342"/>
      <c r="U233" s="342"/>
      <c r="V233" s="342"/>
      <c r="W233" s="343"/>
      <c r="X233" s="342"/>
      <c r="Y233" s="343"/>
      <c r="Z233" s="342"/>
    </row>
    <row r="234" spans="1:26" s="336" customFormat="1" ht="58.9" customHeight="1">
      <c r="A234" s="337"/>
      <c r="B234" s="338"/>
      <c r="C234" s="339"/>
      <c r="D234" s="340"/>
      <c r="E234" s="341"/>
      <c r="F234" s="342"/>
      <c r="G234" s="343"/>
      <c r="H234" s="342"/>
      <c r="I234" s="343"/>
      <c r="J234" s="343"/>
      <c r="K234" s="342"/>
      <c r="L234" s="342"/>
      <c r="M234" s="342"/>
      <c r="N234" s="342"/>
      <c r="O234" s="342"/>
      <c r="P234" s="342"/>
      <c r="Q234" s="342"/>
      <c r="R234" s="343"/>
      <c r="S234" s="343"/>
      <c r="T234" s="342"/>
      <c r="U234" s="342"/>
      <c r="V234" s="342"/>
      <c r="W234" s="343"/>
      <c r="X234" s="342"/>
      <c r="Y234" s="343"/>
      <c r="Z234" s="342"/>
    </row>
    <row r="235" spans="1:26" s="336" customFormat="1">
      <c r="A235" s="337"/>
      <c r="B235" s="338"/>
      <c r="C235" s="339"/>
      <c r="D235" s="340"/>
      <c r="E235" s="341"/>
      <c r="F235" s="342"/>
      <c r="G235" s="343"/>
      <c r="H235" s="342"/>
      <c r="I235" s="343"/>
      <c r="J235" s="343"/>
      <c r="K235" s="342"/>
      <c r="L235" s="342"/>
      <c r="M235" s="342"/>
      <c r="N235" s="342"/>
      <c r="O235" s="342"/>
      <c r="P235" s="342"/>
      <c r="Q235" s="342"/>
      <c r="R235" s="343"/>
      <c r="S235" s="343"/>
      <c r="T235" s="342"/>
      <c r="U235" s="342"/>
      <c r="V235" s="342"/>
      <c r="W235" s="343"/>
      <c r="X235" s="342"/>
      <c r="Y235" s="343"/>
      <c r="Z235" s="342"/>
    </row>
    <row r="236" spans="1:26" s="336" customFormat="1">
      <c r="A236" s="337"/>
      <c r="B236" s="338"/>
      <c r="C236" s="339"/>
      <c r="D236" s="340"/>
      <c r="E236" s="341"/>
      <c r="F236" s="342"/>
      <c r="G236" s="343"/>
      <c r="H236" s="342"/>
      <c r="I236" s="343"/>
      <c r="J236" s="343"/>
      <c r="K236" s="342"/>
      <c r="L236" s="342"/>
      <c r="M236" s="342"/>
      <c r="N236" s="342"/>
      <c r="O236" s="342"/>
      <c r="P236" s="342"/>
      <c r="Q236" s="342"/>
      <c r="R236" s="343"/>
      <c r="S236" s="343"/>
      <c r="T236" s="342"/>
      <c r="U236" s="342"/>
      <c r="V236" s="342"/>
      <c r="W236" s="343"/>
      <c r="X236" s="342"/>
      <c r="Y236" s="343"/>
      <c r="Z236" s="342"/>
    </row>
    <row r="237" spans="1:26" s="336" customFormat="1" ht="36" customHeight="1">
      <c r="A237" s="337"/>
      <c r="B237" s="338"/>
      <c r="C237" s="339"/>
      <c r="D237" s="340"/>
      <c r="E237" s="341"/>
      <c r="F237" s="342"/>
      <c r="G237" s="343"/>
      <c r="H237" s="342"/>
      <c r="I237" s="343"/>
      <c r="J237" s="343"/>
      <c r="K237" s="342"/>
      <c r="L237" s="342"/>
      <c r="M237" s="342"/>
      <c r="N237" s="342"/>
      <c r="O237" s="342"/>
      <c r="P237" s="342"/>
      <c r="Q237" s="342"/>
      <c r="R237" s="343"/>
      <c r="S237" s="343"/>
      <c r="T237" s="342"/>
      <c r="U237" s="342"/>
      <c r="V237" s="342"/>
      <c r="W237" s="343"/>
      <c r="X237" s="342"/>
      <c r="Y237" s="343"/>
      <c r="Z237" s="342"/>
    </row>
    <row r="238" spans="1:26" s="336" customFormat="1">
      <c r="A238" s="337"/>
      <c r="B238" s="338"/>
      <c r="C238" s="339"/>
      <c r="D238" s="340"/>
      <c r="E238" s="341"/>
      <c r="F238" s="342"/>
      <c r="G238" s="343"/>
      <c r="H238" s="342"/>
      <c r="I238" s="343"/>
      <c r="J238" s="343"/>
      <c r="K238" s="342"/>
      <c r="L238" s="342"/>
      <c r="M238" s="342"/>
      <c r="N238" s="342"/>
      <c r="O238" s="342"/>
      <c r="P238" s="342"/>
      <c r="Q238" s="342"/>
      <c r="R238" s="343"/>
      <c r="S238" s="343"/>
      <c r="T238" s="342"/>
      <c r="U238" s="342"/>
      <c r="V238" s="342"/>
      <c r="W238" s="343"/>
      <c r="X238" s="342"/>
      <c r="Y238" s="343"/>
      <c r="Z238" s="342"/>
    </row>
    <row r="239" spans="1:26" s="336" customFormat="1">
      <c r="A239" s="337"/>
      <c r="B239" s="338"/>
      <c r="C239" s="339"/>
      <c r="D239" s="340"/>
      <c r="E239" s="341"/>
      <c r="F239" s="342"/>
      <c r="G239" s="343"/>
      <c r="H239" s="342"/>
      <c r="I239" s="343"/>
      <c r="J239" s="343"/>
      <c r="K239" s="342"/>
      <c r="L239" s="342"/>
      <c r="M239" s="342"/>
      <c r="N239" s="342"/>
      <c r="O239" s="342"/>
      <c r="P239" s="342"/>
      <c r="Q239" s="342"/>
      <c r="R239" s="343"/>
      <c r="S239" s="343"/>
      <c r="T239" s="342"/>
      <c r="U239" s="342"/>
      <c r="V239" s="342"/>
      <c r="W239" s="343"/>
      <c r="X239" s="342"/>
      <c r="Y239" s="343"/>
      <c r="Z239" s="342"/>
    </row>
    <row r="240" spans="1:26" s="336" customFormat="1">
      <c r="A240" s="337"/>
      <c r="B240" s="338"/>
      <c r="C240" s="339"/>
      <c r="D240" s="340"/>
      <c r="E240" s="341"/>
      <c r="F240" s="342"/>
      <c r="G240" s="343"/>
      <c r="H240" s="342"/>
      <c r="I240" s="343"/>
      <c r="J240" s="343"/>
      <c r="K240" s="342"/>
      <c r="L240" s="342"/>
      <c r="M240" s="342"/>
      <c r="N240" s="342"/>
      <c r="O240" s="342"/>
      <c r="P240" s="342"/>
      <c r="Q240" s="342"/>
      <c r="R240" s="343"/>
      <c r="S240" s="343"/>
      <c r="T240" s="342"/>
      <c r="U240" s="342"/>
      <c r="V240" s="342"/>
      <c r="W240" s="343"/>
      <c r="X240" s="342"/>
      <c r="Y240" s="343"/>
      <c r="Z240" s="342"/>
    </row>
    <row r="241" spans="1:26" s="336" customFormat="1">
      <c r="A241" s="337"/>
      <c r="B241" s="338"/>
      <c r="C241" s="339"/>
      <c r="D241" s="340"/>
      <c r="E241" s="341"/>
      <c r="F241" s="342"/>
      <c r="G241" s="343"/>
      <c r="H241" s="342"/>
      <c r="I241" s="343"/>
      <c r="J241" s="343"/>
      <c r="K241" s="342"/>
      <c r="L241" s="342"/>
      <c r="M241" s="342"/>
      <c r="N241" s="342"/>
      <c r="O241" s="342"/>
      <c r="P241" s="342"/>
      <c r="Q241" s="342"/>
      <c r="R241" s="343"/>
      <c r="S241" s="343"/>
      <c r="T241" s="342"/>
      <c r="U241" s="342"/>
      <c r="V241" s="342"/>
      <c r="W241" s="343"/>
      <c r="X241" s="342"/>
      <c r="Y241" s="343"/>
      <c r="Z241" s="342"/>
    </row>
    <row r="242" spans="1:26" s="336" customFormat="1">
      <c r="A242" s="337"/>
      <c r="B242" s="338"/>
      <c r="C242" s="339"/>
      <c r="D242" s="340"/>
      <c r="E242" s="341"/>
      <c r="F242" s="342"/>
      <c r="G242" s="343"/>
      <c r="H242" s="342"/>
      <c r="I242" s="343"/>
      <c r="J242" s="343"/>
      <c r="K242" s="342"/>
      <c r="L242" s="342"/>
      <c r="M242" s="342"/>
      <c r="N242" s="342"/>
      <c r="O242" s="342"/>
      <c r="P242" s="342"/>
      <c r="Q242" s="342"/>
      <c r="R242" s="343"/>
      <c r="S242" s="343"/>
      <c r="T242" s="342"/>
      <c r="U242" s="342"/>
      <c r="V242" s="342"/>
      <c r="W242" s="343"/>
      <c r="X242" s="342"/>
      <c r="Y242" s="343"/>
      <c r="Z242" s="342"/>
    </row>
    <row r="243" spans="1:26" s="336" customFormat="1">
      <c r="A243" s="337"/>
      <c r="B243" s="338"/>
      <c r="C243" s="339"/>
      <c r="D243" s="340"/>
      <c r="E243" s="341"/>
      <c r="F243" s="342"/>
      <c r="G243" s="343"/>
      <c r="H243" s="342"/>
      <c r="I243" s="343"/>
      <c r="J243" s="343"/>
      <c r="K243" s="342"/>
      <c r="L243" s="342"/>
      <c r="M243" s="342"/>
      <c r="N243" s="342"/>
      <c r="O243" s="342"/>
      <c r="P243" s="342"/>
      <c r="Q243" s="342"/>
      <c r="R243" s="343"/>
      <c r="S243" s="343"/>
      <c r="T243" s="342"/>
      <c r="U243" s="342"/>
      <c r="V243" s="342"/>
      <c r="W243" s="343"/>
      <c r="X243" s="342"/>
      <c r="Y243" s="343"/>
      <c r="Z243" s="342"/>
    </row>
    <row r="244" spans="1:26" s="336" customFormat="1">
      <c r="A244" s="337"/>
      <c r="B244" s="338"/>
      <c r="C244" s="339"/>
      <c r="D244" s="340"/>
      <c r="E244" s="341"/>
      <c r="F244" s="342"/>
      <c r="G244" s="343"/>
      <c r="H244" s="342"/>
      <c r="I244" s="343"/>
      <c r="J244" s="343"/>
      <c r="K244" s="342"/>
      <c r="L244" s="342"/>
      <c r="M244" s="342"/>
      <c r="N244" s="342"/>
      <c r="O244" s="342"/>
      <c r="P244" s="342"/>
      <c r="Q244" s="342"/>
      <c r="R244" s="343"/>
      <c r="S244" s="343"/>
      <c r="T244" s="342"/>
      <c r="U244" s="342"/>
      <c r="V244" s="342"/>
      <c r="W244" s="343"/>
      <c r="X244" s="342"/>
      <c r="Y244" s="343"/>
      <c r="Z244" s="342"/>
    </row>
    <row r="245" spans="1:26" s="336" customFormat="1">
      <c r="A245" s="337"/>
      <c r="B245" s="338"/>
      <c r="C245" s="339"/>
      <c r="D245" s="340"/>
      <c r="E245" s="341"/>
      <c r="F245" s="342"/>
      <c r="G245" s="343"/>
      <c r="H245" s="342"/>
      <c r="I245" s="343"/>
      <c r="J245" s="343"/>
      <c r="K245" s="342"/>
      <c r="L245" s="342"/>
      <c r="M245" s="342"/>
      <c r="N245" s="342"/>
      <c r="O245" s="342"/>
      <c r="P245" s="342"/>
      <c r="Q245" s="342"/>
      <c r="R245" s="343"/>
      <c r="S245" s="343"/>
      <c r="T245" s="342"/>
      <c r="U245" s="342"/>
      <c r="V245" s="342"/>
      <c r="W245" s="343"/>
      <c r="X245" s="342"/>
      <c r="Y245" s="343"/>
      <c r="Z245" s="342"/>
    </row>
    <row r="246" spans="1:26" s="336" customFormat="1">
      <c r="A246" s="337"/>
      <c r="B246" s="338"/>
      <c r="C246" s="339"/>
      <c r="D246" s="340"/>
      <c r="E246" s="341"/>
      <c r="F246" s="342"/>
      <c r="G246" s="343"/>
      <c r="H246" s="342"/>
      <c r="I246" s="343"/>
      <c r="J246" s="343"/>
      <c r="K246" s="342"/>
      <c r="L246" s="342"/>
      <c r="M246" s="342"/>
      <c r="N246" s="342"/>
      <c r="O246" s="342"/>
      <c r="P246" s="342"/>
      <c r="Q246" s="342"/>
      <c r="R246" s="343"/>
      <c r="S246" s="343"/>
      <c r="T246" s="342"/>
      <c r="U246" s="342"/>
      <c r="V246" s="342"/>
      <c r="W246" s="343"/>
      <c r="X246" s="342"/>
      <c r="Y246" s="343"/>
      <c r="Z246" s="342"/>
    </row>
    <row r="247" spans="1:26" s="336" customFormat="1">
      <c r="A247" s="337"/>
      <c r="B247" s="338"/>
      <c r="C247" s="339"/>
      <c r="D247" s="340"/>
      <c r="E247" s="341"/>
      <c r="F247" s="342"/>
      <c r="G247" s="343"/>
      <c r="H247" s="342"/>
      <c r="I247" s="343"/>
      <c r="J247" s="343"/>
      <c r="K247" s="342"/>
      <c r="L247" s="342"/>
      <c r="M247" s="342"/>
      <c r="N247" s="342"/>
      <c r="O247" s="342"/>
      <c r="P247" s="342"/>
      <c r="Q247" s="342"/>
      <c r="R247" s="343"/>
      <c r="S247" s="343"/>
      <c r="T247" s="342"/>
      <c r="U247" s="342"/>
      <c r="V247" s="342"/>
      <c r="W247" s="343"/>
      <c r="X247" s="342"/>
      <c r="Y247" s="343"/>
      <c r="Z247" s="342"/>
    </row>
    <row r="248" spans="1:26" s="336" customFormat="1">
      <c r="A248" s="337"/>
      <c r="B248" s="338"/>
      <c r="C248" s="339"/>
      <c r="D248" s="340"/>
      <c r="E248" s="341"/>
      <c r="F248" s="342"/>
      <c r="G248" s="343"/>
      <c r="H248" s="342"/>
      <c r="I248" s="343"/>
      <c r="J248" s="343"/>
      <c r="K248" s="342"/>
      <c r="L248" s="342"/>
      <c r="M248" s="342"/>
      <c r="N248" s="342"/>
      <c r="O248" s="342"/>
      <c r="P248" s="342"/>
      <c r="Q248" s="342"/>
      <c r="R248" s="343"/>
      <c r="S248" s="343"/>
      <c r="T248" s="342"/>
      <c r="U248" s="342"/>
      <c r="V248" s="342"/>
      <c r="W248" s="343"/>
      <c r="X248" s="342"/>
      <c r="Y248" s="343"/>
      <c r="Z248" s="342"/>
    </row>
    <row r="249" spans="1:26" s="336" customFormat="1">
      <c r="A249" s="337"/>
      <c r="B249" s="338"/>
      <c r="C249" s="339"/>
      <c r="D249" s="340"/>
      <c r="E249" s="341"/>
      <c r="F249" s="342"/>
      <c r="G249" s="343"/>
      <c r="H249" s="342"/>
      <c r="I249" s="343"/>
      <c r="J249" s="343"/>
      <c r="K249" s="342"/>
      <c r="L249" s="342"/>
      <c r="M249" s="342"/>
      <c r="N249" s="342"/>
      <c r="O249" s="342"/>
      <c r="P249" s="342"/>
      <c r="Q249" s="342"/>
      <c r="R249" s="343"/>
      <c r="S249" s="343"/>
      <c r="T249" s="342"/>
      <c r="U249" s="342"/>
      <c r="V249" s="342"/>
      <c r="W249" s="343"/>
      <c r="X249" s="342"/>
      <c r="Y249" s="343"/>
      <c r="Z249" s="342"/>
    </row>
    <row r="250" spans="1:26" s="336" customFormat="1">
      <c r="A250" s="337"/>
      <c r="B250" s="338"/>
      <c r="C250" s="339"/>
      <c r="D250" s="340"/>
      <c r="E250" s="341"/>
      <c r="F250" s="342"/>
      <c r="G250" s="343"/>
      <c r="H250" s="342"/>
      <c r="I250" s="343"/>
      <c r="J250" s="343"/>
      <c r="K250" s="342"/>
      <c r="L250" s="342"/>
      <c r="M250" s="342"/>
      <c r="N250" s="342"/>
      <c r="O250" s="342"/>
      <c r="P250" s="342"/>
      <c r="Q250" s="342"/>
      <c r="R250" s="343"/>
      <c r="S250" s="343"/>
      <c r="T250" s="342"/>
      <c r="U250" s="342"/>
      <c r="V250" s="342"/>
      <c r="W250" s="343"/>
      <c r="X250" s="342"/>
      <c r="Y250" s="343"/>
      <c r="Z250" s="342"/>
    </row>
    <row r="251" spans="1:26" s="336" customFormat="1">
      <c r="A251" s="337"/>
      <c r="B251" s="338"/>
      <c r="C251" s="339"/>
      <c r="D251" s="340"/>
      <c r="E251" s="341"/>
      <c r="F251" s="342"/>
      <c r="G251" s="343"/>
      <c r="H251" s="342"/>
      <c r="I251" s="343"/>
      <c r="J251" s="343"/>
      <c r="K251" s="342"/>
      <c r="L251" s="342"/>
      <c r="M251" s="342"/>
      <c r="N251" s="342"/>
      <c r="O251" s="342"/>
      <c r="P251" s="342"/>
      <c r="Q251" s="342"/>
      <c r="R251" s="343"/>
      <c r="S251" s="343"/>
      <c r="T251" s="342"/>
      <c r="U251" s="342"/>
      <c r="V251" s="342"/>
      <c r="W251" s="343"/>
      <c r="X251" s="342"/>
      <c r="Y251" s="343"/>
      <c r="Z251" s="342"/>
    </row>
    <row r="253" spans="1:26">
      <c r="B253" s="333" t="s">
        <v>144</v>
      </c>
    </row>
    <row r="254" spans="1:26">
      <c r="B254" s="1313"/>
      <c r="C254" s="1313"/>
      <c r="D254" s="1313"/>
      <c r="E254" s="1313"/>
      <c r="F254" s="1313"/>
      <c r="G254" s="1313"/>
      <c r="H254" s="1313"/>
      <c r="I254" s="1313"/>
      <c r="J254" s="542"/>
      <c r="K254" s="542"/>
      <c r="L254" s="542"/>
      <c r="M254" s="542"/>
      <c r="N254" s="542"/>
      <c r="O254" s="542"/>
      <c r="P254" s="542"/>
      <c r="Q254" s="542"/>
      <c r="R254" s="542"/>
      <c r="S254" s="542"/>
      <c r="T254" s="542"/>
      <c r="U254" s="542"/>
      <c r="V254" s="542"/>
      <c r="W254" s="542"/>
      <c r="X254" s="542"/>
      <c r="Y254" s="542"/>
    </row>
    <row r="256" spans="1:26">
      <c r="Z256" s="333"/>
    </row>
    <row r="257" spans="1:26">
      <c r="Z257" s="333"/>
    </row>
    <row r="258" spans="1:26">
      <c r="A258" s="348"/>
      <c r="B258" s="333"/>
      <c r="C258" s="333"/>
      <c r="D258" s="333"/>
      <c r="E258" s="333"/>
      <c r="F258" s="333"/>
      <c r="G258" s="333"/>
      <c r="H258" s="333"/>
      <c r="I258" s="333"/>
      <c r="J258" s="333"/>
      <c r="K258" s="333"/>
      <c r="L258" s="333"/>
      <c r="M258" s="333"/>
      <c r="N258" s="333"/>
      <c r="O258" s="333"/>
      <c r="P258" s="333"/>
      <c r="Q258" s="333"/>
      <c r="R258" s="333"/>
      <c r="S258" s="333"/>
      <c r="T258" s="333"/>
      <c r="U258" s="333"/>
      <c r="V258" s="333"/>
      <c r="W258" s="333"/>
      <c r="X258" s="333"/>
      <c r="Y258" s="333"/>
      <c r="Z258" s="333"/>
    </row>
    <row r="259" spans="1:26">
      <c r="A259" s="348"/>
      <c r="B259" s="333"/>
      <c r="C259" s="333"/>
      <c r="D259" s="333"/>
      <c r="E259" s="333"/>
      <c r="F259" s="333"/>
      <c r="G259" s="333"/>
      <c r="H259" s="333"/>
      <c r="I259" s="333"/>
      <c r="J259" s="333"/>
      <c r="K259" s="333"/>
      <c r="L259" s="333"/>
      <c r="M259" s="333"/>
      <c r="N259" s="333"/>
      <c r="O259" s="333"/>
      <c r="P259" s="333"/>
      <c r="Q259" s="333"/>
      <c r="R259" s="333"/>
      <c r="S259" s="333"/>
      <c r="T259" s="333"/>
      <c r="U259" s="333"/>
      <c r="V259" s="333"/>
      <c r="W259" s="333"/>
      <c r="X259" s="333"/>
      <c r="Y259" s="333"/>
      <c r="Z259" s="333"/>
    </row>
    <row r="260" spans="1:26">
      <c r="A260" s="348"/>
      <c r="B260" s="333"/>
      <c r="C260" s="333"/>
      <c r="D260" s="333"/>
      <c r="E260" s="333"/>
      <c r="F260" s="333"/>
      <c r="G260" s="333"/>
      <c r="H260" s="333"/>
      <c r="I260" s="333"/>
      <c r="J260" s="333"/>
      <c r="K260" s="333"/>
      <c r="L260" s="333"/>
      <c r="M260" s="333"/>
      <c r="N260" s="333"/>
      <c r="O260" s="333"/>
      <c r="P260" s="333"/>
      <c r="Q260" s="333"/>
      <c r="R260" s="333"/>
      <c r="S260" s="333"/>
      <c r="T260" s="333"/>
      <c r="U260" s="333"/>
      <c r="V260" s="333"/>
      <c r="W260" s="333"/>
      <c r="X260" s="333"/>
      <c r="Y260" s="333"/>
      <c r="Z260" s="333"/>
    </row>
    <row r="261" spans="1:26">
      <c r="A261" s="348"/>
      <c r="B261" s="333"/>
      <c r="C261" s="333"/>
      <c r="D261" s="333"/>
      <c r="E261" s="333"/>
      <c r="F261" s="333"/>
      <c r="G261" s="333"/>
      <c r="H261" s="333"/>
      <c r="I261" s="333"/>
      <c r="J261" s="333"/>
      <c r="K261" s="333"/>
      <c r="L261" s="333"/>
      <c r="M261" s="333"/>
      <c r="N261" s="333"/>
      <c r="O261" s="333"/>
      <c r="P261" s="333"/>
      <c r="Q261" s="333"/>
      <c r="R261" s="333"/>
      <c r="S261" s="333"/>
      <c r="T261" s="333"/>
      <c r="U261" s="333"/>
      <c r="V261" s="333"/>
      <c r="W261" s="333"/>
      <c r="X261" s="333"/>
      <c r="Y261" s="333"/>
      <c r="Z261" s="333"/>
    </row>
    <row r="262" spans="1:26">
      <c r="A262" s="348"/>
      <c r="B262" s="333"/>
      <c r="C262" s="333"/>
      <c r="D262" s="333"/>
      <c r="E262" s="333"/>
      <c r="F262" s="333"/>
      <c r="G262" s="333"/>
      <c r="H262" s="333"/>
      <c r="I262" s="333"/>
      <c r="J262" s="333"/>
      <c r="K262" s="333"/>
      <c r="L262" s="333"/>
      <c r="M262" s="333"/>
      <c r="N262" s="333"/>
      <c r="O262" s="333"/>
      <c r="P262" s="333"/>
      <c r="Q262" s="333"/>
      <c r="R262" s="333"/>
      <c r="S262" s="333"/>
      <c r="T262" s="333"/>
      <c r="U262" s="333"/>
      <c r="V262" s="333"/>
      <c r="W262" s="333"/>
      <c r="X262" s="333"/>
      <c r="Y262" s="333"/>
      <c r="Z262" s="333"/>
    </row>
    <row r="263" spans="1:26">
      <c r="A263" s="348"/>
      <c r="B263" s="333"/>
      <c r="C263" s="333"/>
      <c r="D263" s="333"/>
      <c r="E263" s="333"/>
      <c r="F263" s="333"/>
      <c r="G263" s="333"/>
      <c r="H263" s="333"/>
      <c r="I263" s="333"/>
      <c r="J263" s="333"/>
      <c r="K263" s="333"/>
      <c r="L263" s="333"/>
      <c r="M263" s="333"/>
      <c r="N263" s="333"/>
      <c r="O263" s="333"/>
      <c r="P263" s="333"/>
      <c r="Q263" s="333"/>
      <c r="R263" s="333"/>
      <c r="S263" s="333"/>
      <c r="T263" s="333"/>
      <c r="U263" s="333"/>
      <c r="V263" s="333"/>
      <c r="W263" s="333"/>
      <c r="X263" s="333"/>
      <c r="Y263" s="333"/>
      <c r="Z263" s="333"/>
    </row>
    <row r="264" spans="1:26">
      <c r="A264" s="348"/>
      <c r="B264" s="333"/>
      <c r="C264" s="333"/>
      <c r="D264" s="333"/>
      <c r="E264" s="333"/>
      <c r="F264" s="333"/>
      <c r="G264" s="333"/>
      <c r="H264" s="333"/>
      <c r="I264" s="333"/>
      <c r="J264" s="333"/>
      <c r="K264" s="333"/>
      <c r="L264" s="333"/>
      <c r="M264" s="333"/>
      <c r="N264" s="333"/>
      <c r="O264" s="333"/>
      <c r="P264" s="333"/>
      <c r="Q264" s="333"/>
      <c r="R264" s="333"/>
      <c r="S264" s="333"/>
      <c r="T264" s="333"/>
      <c r="U264" s="333"/>
      <c r="V264" s="333"/>
      <c r="W264" s="333"/>
      <c r="X264" s="333"/>
      <c r="Y264" s="333"/>
      <c r="Z264" s="333"/>
    </row>
    <row r="265" spans="1:26">
      <c r="A265" s="348"/>
      <c r="B265" s="333"/>
      <c r="C265" s="333"/>
      <c r="D265" s="333"/>
      <c r="E265" s="333"/>
      <c r="F265" s="333"/>
      <c r="G265" s="333"/>
      <c r="H265" s="333"/>
      <c r="I265" s="333"/>
      <c r="J265" s="333"/>
      <c r="K265" s="333"/>
      <c r="L265" s="333"/>
      <c r="M265" s="333"/>
      <c r="N265" s="333"/>
      <c r="O265" s="333"/>
      <c r="P265" s="333"/>
      <c r="Q265" s="333"/>
      <c r="R265" s="333"/>
      <c r="S265" s="333"/>
      <c r="T265" s="333"/>
      <c r="U265" s="333"/>
      <c r="V265" s="333"/>
      <c r="W265" s="333"/>
      <c r="X265" s="333"/>
      <c r="Y265" s="333"/>
      <c r="Z265" s="333"/>
    </row>
    <row r="266" spans="1:26">
      <c r="A266" s="348"/>
      <c r="B266" s="333"/>
      <c r="C266" s="333"/>
      <c r="D266" s="333"/>
      <c r="E266" s="333"/>
      <c r="F266" s="333"/>
      <c r="G266" s="333"/>
      <c r="H266" s="333"/>
      <c r="I266" s="333"/>
      <c r="J266" s="333"/>
      <c r="K266" s="333"/>
      <c r="L266" s="333"/>
      <c r="M266" s="333"/>
      <c r="N266" s="333"/>
      <c r="O266" s="333"/>
      <c r="P266" s="333"/>
      <c r="Q266" s="333"/>
      <c r="R266" s="333"/>
      <c r="S266" s="333"/>
      <c r="T266" s="333"/>
      <c r="U266" s="333"/>
      <c r="V266" s="333"/>
      <c r="W266" s="333"/>
      <c r="X266" s="333"/>
      <c r="Y266" s="333"/>
      <c r="Z266" s="333"/>
    </row>
    <row r="267" spans="1:26">
      <c r="A267" s="348"/>
      <c r="B267" s="333"/>
      <c r="C267" s="333"/>
      <c r="D267" s="333"/>
      <c r="E267" s="333"/>
      <c r="F267" s="333"/>
      <c r="G267" s="333"/>
      <c r="H267" s="333"/>
      <c r="I267" s="333"/>
      <c r="J267" s="333"/>
      <c r="K267" s="333"/>
      <c r="L267" s="333"/>
      <c r="M267" s="333"/>
      <c r="N267" s="333"/>
      <c r="O267" s="333"/>
      <c r="P267" s="333"/>
      <c r="Q267" s="333"/>
      <c r="R267" s="333"/>
      <c r="S267" s="333"/>
      <c r="T267" s="333"/>
      <c r="U267" s="333"/>
      <c r="V267" s="333"/>
      <c r="W267" s="333"/>
      <c r="X267" s="333"/>
      <c r="Y267" s="333"/>
      <c r="Z267" s="333"/>
    </row>
    <row r="268" spans="1:26">
      <c r="A268" s="348"/>
      <c r="B268" s="333"/>
      <c r="C268" s="333"/>
      <c r="D268" s="333"/>
      <c r="E268" s="333"/>
      <c r="F268" s="333"/>
      <c r="G268" s="333"/>
      <c r="H268" s="333"/>
      <c r="I268" s="333"/>
      <c r="J268" s="333"/>
      <c r="K268" s="333"/>
      <c r="L268" s="333"/>
      <c r="M268" s="333"/>
      <c r="N268" s="333"/>
      <c r="O268" s="333"/>
      <c r="P268" s="333"/>
      <c r="Q268" s="333"/>
      <c r="R268" s="333"/>
      <c r="S268" s="333"/>
      <c r="T268" s="333"/>
      <c r="U268" s="333"/>
      <c r="V268" s="333"/>
      <c r="W268" s="333"/>
      <c r="X268" s="333"/>
      <c r="Y268" s="333"/>
      <c r="Z268" s="333"/>
    </row>
    <row r="269" spans="1:26">
      <c r="A269" s="348"/>
      <c r="B269" s="333"/>
      <c r="C269" s="333"/>
      <c r="D269" s="333"/>
      <c r="E269" s="333"/>
      <c r="F269" s="333"/>
      <c r="G269" s="333"/>
      <c r="H269" s="333"/>
      <c r="I269" s="333"/>
      <c r="J269" s="333"/>
      <c r="K269" s="333"/>
      <c r="L269" s="333"/>
      <c r="M269" s="333"/>
      <c r="N269" s="333"/>
      <c r="O269" s="333"/>
      <c r="P269" s="333"/>
      <c r="Q269" s="333"/>
      <c r="R269" s="333"/>
      <c r="S269" s="333"/>
      <c r="T269" s="333"/>
      <c r="U269" s="333"/>
      <c r="V269" s="333"/>
      <c r="W269" s="333"/>
      <c r="X269" s="333"/>
      <c r="Y269" s="333"/>
      <c r="Z269" s="333"/>
    </row>
    <row r="270" spans="1:26">
      <c r="A270" s="348"/>
      <c r="B270" s="333"/>
      <c r="C270" s="333"/>
      <c r="D270" s="333"/>
      <c r="E270" s="333"/>
      <c r="F270" s="333"/>
      <c r="G270" s="333"/>
      <c r="H270" s="333"/>
      <c r="I270" s="333"/>
      <c r="J270" s="333"/>
      <c r="K270" s="333"/>
      <c r="L270" s="333"/>
      <c r="M270" s="333"/>
      <c r="N270" s="333"/>
      <c r="O270" s="333"/>
      <c r="P270" s="333"/>
      <c r="Q270" s="333"/>
      <c r="R270" s="333"/>
      <c r="S270" s="333"/>
      <c r="T270" s="333"/>
      <c r="U270" s="333"/>
      <c r="V270" s="333"/>
      <c r="W270" s="333"/>
      <c r="X270" s="333"/>
      <c r="Y270" s="333"/>
      <c r="Z270" s="333"/>
    </row>
    <row r="271" spans="1:26">
      <c r="A271" s="348"/>
      <c r="B271" s="333"/>
      <c r="C271" s="333"/>
      <c r="D271" s="333"/>
      <c r="E271" s="333"/>
      <c r="F271" s="333"/>
      <c r="G271" s="333"/>
      <c r="H271" s="333"/>
      <c r="I271" s="333"/>
      <c r="J271" s="333"/>
      <c r="K271" s="333"/>
      <c r="L271" s="333"/>
      <c r="M271" s="333"/>
      <c r="N271" s="333"/>
      <c r="O271" s="333"/>
      <c r="P271" s="333"/>
      <c r="Q271" s="333"/>
      <c r="R271" s="333"/>
      <c r="S271" s="333"/>
      <c r="T271" s="333"/>
      <c r="U271" s="333"/>
      <c r="V271" s="333"/>
      <c r="W271" s="333"/>
      <c r="X271" s="333"/>
      <c r="Y271" s="333"/>
      <c r="Z271" s="333"/>
    </row>
    <row r="272" spans="1:26">
      <c r="A272" s="348"/>
      <c r="B272" s="333"/>
      <c r="C272" s="333"/>
      <c r="D272" s="333"/>
      <c r="E272" s="333"/>
      <c r="F272" s="333"/>
      <c r="G272" s="333"/>
      <c r="H272" s="333"/>
      <c r="I272" s="333"/>
      <c r="J272" s="333"/>
      <c r="K272" s="333"/>
      <c r="L272" s="333"/>
      <c r="M272" s="333"/>
      <c r="N272" s="333"/>
      <c r="O272" s="333"/>
      <c r="P272" s="333"/>
      <c r="Q272" s="333"/>
      <c r="R272" s="333"/>
      <c r="S272" s="333"/>
      <c r="T272" s="333"/>
      <c r="U272" s="333"/>
      <c r="V272" s="333"/>
      <c r="W272" s="333"/>
      <c r="X272" s="333"/>
      <c r="Y272" s="333"/>
      <c r="Z272" s="333"/>
    </row>
    <row r="273" spans="1:26">
      <c r="A273" s="348"/>
      <c r="B273" s="333"/>
      <c r="C273" s="333"/>
      <c r="D273" s="333"/>
      <c r="E273" s="333"/>
      <c r="F273" s="333"/>
      <c r="G273" s="333"/>
      <c r="H273" s="333"/>
      <c r="I273" s="333"/>
      <c r="J273" s="333"/>
      <c r="K273" s="333"/>
      <c r="L273" s="333"/>
      <c r="M273" s="333"/>
      <c r="N273" s="333"/>
      <c r="O273" s="333"/>
      <c r="P273" s="333"/>
      <c r="Q273" s="333"/>
      <c r="R273" s="333"/>
      <c r="S273" s="333"/>
      <c r="T273" s="333"/>
      <c r="U273" s="333"/>
      <c r="V273" s="333"/>
      <c r="W273" s="333"/>
      <c r="X273" s="333"/>
      <c r="Y273" s="333"/>
      <c r="Z273" s="333"/>
    </row>
    <row r="274" spans="1:26">
      <c r="A274" s="348"/>
      <c r="B274" s="333"/>
      <c r="C274" s="333"/>
      <c r="D274" s="333"/>
      <c r="E274" s="333"/>
      <c r="F274" s="333"/>
      <c r="G274" s="333"/>
      <c r="H274" s="333"/>
      <c r="I274" s="333"/>
      <c r="J274" s="333"/>
      <c r="K274" s="333"/>
      <c r="L274" s="333"/>
      <c r="M274" s="333"/>
      <c r="N274" s="333"/>
      <c r="O274" s="333"/>
      <c r="P274" s="333"/>
      <c r="Q274" s="333"/>
      <c r="R274" s="333"/>
      <c r="S274" s="333"/>
      <c r="T274" s="333"/>
      <c r="U274" s="333"/>
      <c r="V274" s="333"/>
      <c r="W274" s="333"/>
      <c r="X274" s="333"/>
      <c r="Y274" s="333"/>
      <c r="Z274" s="333"/>
    </row>
    <row r="275" spans="1:26">
      <c r="A275" s="348"/>
      <c r="B275" s="333"/>
      <c r="C275" s="333"/>
      <c r="D275" s="333"/>
      <c r="E275" s="333"/>
      <c r="F275" s="333"/>
      <c r="G275" s="333"/>
      <c r="H275" s="333"/>
      <c r="I275" s="333"/>
      <c r="J275" s="333"/>
      <c r="K275" s="333"/>
      <c r="L275" s="333"/>
      <c r="M275" s="333"/>
      <c r="N275" s="333"/>
      <c r="O275" s="333"/>
      <c r="P275" s="333"/>
      <c r="Q275" s="333"/>
      <c r="R275" s="333"/>
      <c r="S275" s="333"/>
      <c r="T275" s="333"/>
      <c r="U275" s="333"/>
      <c r="V275" s="333"/>
      <c r="W275" s="333"/>
      <c r="X275" s="333"/>
      <c r="Y275" s="333"/>
      <c r="Z275" s="333"/>
    </row>
    <row r="276" spans="1:26">
      <c r="A276" s="348"/>
      <c r="B276" s="333"/>
      <c r="C276" s="333"/>
      <c r="D276" s="333"/>
      <c r="E276" s="333"/>
      <c r="F276" s="333"/>
      <c r="G276" s="333"/>
      <c r="H276" s="333"/>
      <c r="I276" s="333"/>
      <c r="J276" s="333"/>
      <c r="K276" s="333"/>
      <c r="L276" s="333"/>
      <c r="M276" s="333"/>
      <c r="N276" s="333"/>
      <c r="O276" s="333"/>
      <c r="P276" s="333"/>
      <c r="Q276" s="333"/>
      <c r="R276" s="333"/>
      <c r="S276" s="333"/>
      <c r="T276" s="333"/>
      <c r="U276" s="333"/>
      <c r="V276" s="333"/>
      <c r="W276" s="333"/>
      <c r="X276" s="333"/>
      <c r="Y276" s="333"/>
      <c r="Z276" s="333"/>
    </row>
    <row r="277" spans="1:26">
      <c r="A277" s="348"/>
      <c r="B277" s="333"/>
      <c r="C277" s="333"/>
      <c r="D277" s="333"/>
      <c r="E277" s="333"/>
      <c r="F277" s="333"/>
      <c r="G277" s="333"/>
      <c r="H277" s="333"/>
      <c r="I277" s="333"/>
      <c r="J277" s="333"/>
      <c r="K277" s="333"/>
      <c r="L277" s="333"/>
      <c r="M277" s="333"/>
      <c r="N277" s="333"/>
      <c r="O277" s="333"/>
      <c r="P277" s="333"/>
      <c r="Q277" s="333"/>
      <c r="R277" s="333"/>
      <c r="S277" s="333"/>
      <c r="T277" s="333"/>
      <c r="U277" s="333"/>
      <c r="V277" s="333"/>
      <c r="W277" s="333"/>
      <c r="X277" s="333"/>
      <c r="Y277" s="333"/>
      <c r="Z277" s="333"/>
    </row>
    <row r="278" spans="1:26">
      <c r="A278" s="348"/>
      <c r="B278" s="333"/>
      <c r="C278" s="333"/>
      <c r="D278" s="333"/>
      <c r="E278" s="333"/>
      <c r="F278" s="333"/>
      <c r="G278" s="333"/>
      <c r="H278" s="333"/>
      <c r="I278" s="333"/>
      <c r="J278" s="333"/>
      <c r="K278" s="333"/>
      <c r="L278" s="333"/>
      <c r="M278" s="333"/>
      <c r="N278" s="333"/>
      <c r="O278" s="333"/>
      <c r="P278" s="333"/>
      <c r="Q278" s="333"/>
      <c r="R278" s="333"/>
      <c r="S278" s="333"/>
      <c r="T278" s="333"/>
      <c r="U278" s="333"/>
      <c r="V278" s="333"/>
      <c r="W278" s="333"/>
      <c r="X278" s="333"/>
      <c r="Y278" s="333"/>
      <c r="Z278" s="333"/>
    </row>
    <row r="279" spans="1:26">
      <c r="A279" s="348"/>
      <c r="B279" s="333"/>
      <c r="C279" s="333"/>
      <c r="D279" s="333"/>
      <c r="E279" s="333"/>
      <c r="F279" s="333"/>
      <c r="G279" s="333"/>
      <c r="H279" s="333"/>
      <c r="I279" s="333"/>
      <c r="J279" s="333"/>
      <c r="K279" s="333"/>
      <c r="L279" s="333"/>
      <c r="M279" s="333"/>
      <c r="N279" s="333"/>
      <c r="O279" s="333"/>
      <c r="P279" s="333"/>
      <c r="Q279" s="333"/>
      <c r="R279" s="333"/>
      <c r="S279" s="333"/>
      <c r="T279" s="333"/>
      <c r="U279" s="333"/>
      <c r="V279" s="333"/>
      <c r="W279" s="333"/>
      <c r="X279" s="333"/>
      <c r="Y279" s="333"/>
      <c r="Z279" s="333"/>
    </row>
    <row r="280" spans="1:26">
      <c r="A280" s="348"/>
      <c r="B280" s="333"/>
      <c r="C280" s="333"/>
      <c r="D280" s="333"/>
      <c r="E280" s="333"/>
      <c r="F280" s="333"/>
      <c r="G280" s="333"/>
      <c r="H280" s="333"/>
      <c r="I280" s="333"/>
      <c r="J280" s="333"/>
      <c r="K280" s="333"/>
      <c r="L280" s="333"/>
      <c r="M280" s="333"/>
      <c r="N280" s="333"/>
      <c r="O280" s="333"/>
      <c r="P280" s="333"/>
      <c r="Q280" s="333"/>
      <c r="R280" s="333"/>
      <c r="S280" s="333"/>
      <c r="T280" s="333"/>
      <c r="U280" s="333"/>
      <c r="V280" s="333"/>
      <c r="W280" s="333"/>
      <c r="X280" s="333"/>
      <c r="Y280" s="333"/>
      <c r="Z280" s="333"/>
    </row>
    <row r="281" spans="1:26">
      <c r="A281" s="348"/>
      <c r="B281" s="333"/>
      <c r="C281" s="333"/>
      <c r="D281" s="333"/>
      <c r="E281" s="333"/>
      <c r="F281" s="333"/>
      <c r="G281" s="333"/>
      <c r="H281" s="333"/>
      <c r="I281" s="333"/>
      <c r="J281" s="333"/>
      <c r="K281" s="333"/>
      <c r="L281" s="333"/>
      <c r="M281" s="333"/>
      <c r="N281" s="333"/>
      <c r="O281" s="333"/>
      <c r="P281" s="333"/>
      <c r="Q281" s="333"/>
      <c r="R281" s="333"/>
      <c r="S281" s="333"/>
      <c r="T281" s="333"/>
      <c r="U281" s="333"/>
      <c r="V281" s="333"/>
      <c r="W281" s="333"/>
      <c r="X281" s="333"/>
      <c r="Y281" s="333"/>
      <c r="Z281" s="333"/>
    </row>
    <row r="282" spans="1:26">
      <c r="A282" s="348"/>
      <c r="B282" s="333"/>
      <c r="C282" s="333"/>
      <c r="D282" s="333"/>
      <c r="E282" s="333"/>
      <c r="F282" s="333"/>
      <c r="G282" s="333"/>
      <c r="H282" s="333"/>
      <c r="I282" s="333"/>
      <c r="J282" s="333"/>
      <c r="K282" s="333"/>
      <c r="L282" s="333"/>
      <c r="M282" s="333"/>
      <c r="N282" s="333"/>
      <c r="O282" s="333"/>
      <c r="P282" s="333"/>
      <c r="Q282" s="333"/>
      <c r="R282" s="333"/>
      <c r="S282" s="333"/>
      <c r="T282" s="333"/>
      <c r="U282" s="333"/>
      <c r="V282" s="333"/>
      <c r="W282" s="333"/>
      <c r="X282" s="333"/>
      <c r="Y282" s="333"/>
      <c r="Z282" s="333"/>
    </row>
    <row r="283" spans="1:26">
      <c r="A283" s="348"/>
      <c r="B283" s="333"/>
      <c r="C283" s="333"/>
      <c r="D283" s="333"/>
      <c r="E283" s="333"/>
      <c r="F283" s="333"/>
      <c r="G283" s="333"/>
      <c r="H283" s="333"/>
      <c r="I283" s="333"/>
      <c r="J283" s="333"/>
      <c r="K283" s="333"/>
      <c r="L283" s="333"/>
      <c r="M283" s="333"/>
      <c r="N283" s="333"/>
      <c r="O283" s="333"/>
      <c r="P283" s="333"/>
      <c r="Q283" s="333"/>
      <c r="R283" s="333"/>
      <c r="S283" s="333"/>
      <c r="T283" s="333"/>
      <c r="U283" s="333"/>
      <c r="V283" s="333"/>
      <c r="W283" s="333"/>
      <c r="X283" s="333"/>
      <c r="Y283" s="333"/>
      <c r="Z283" s="333"/>
    </row>
    <row r="284" spans="1:26">
      <c r="A284" s="348"/>
      <c r="B284" s="333"/>
      <c r="C284" s="333"/>
      <c r="D284" s="333"/>
      <c r="E284" s="333"/>
      <c r="F284" s="333"/>
      <c r="G284" s="333"/>
      <c r="H284" s="333"/>
      <c r="I284" s="333"/>
      <c r="J284" s="333"/>
      <c r="K284" s="333"/>
      <c r="L284" s="333"/>
      <c r="M284" s="333"/>
      <c r="N284" s="333"/>
      <c r="O284" s="333"/>
      <c r="P284" s="333"/>
      <c r="Q284" s="333"/>
      <c r="R284" s="333"/>
      <c r="S284" s="333"/>
      <c r="T284" s="333"/>
      <c r="U284" s="333"/>
      <c r="V284" s="333"/>
      <c r="W284" s="333"/>
      <c r="X284" s="333"/>
      <c r="Y284" s="333"/>
      <c r="Z284" s="333"/>
    </row>
    <row r="285" spans="1:26">
      <c r="A285" s="348"/>
      <c r="B285" s="333"/>
      <c r="C285" s="333"/>
      <c r="D285" s="333"/>
      <c r="E285" s="333"/>
      <c r="F285" s="333"/>
      <c r="G285" s="333"/>
      <c r="H285" s="333"/>
      <c r="I285" s="333"/>
      <c r="J285" s="333"/>
      <c r="K285" s="333"/>
      <c r="L285" s="333"/>
      <c r="M285" s="333"/>
      <c r="N285" s="333"/>
      <c r="O285" s="333"/>
      <c r="P285" s="333"/>
      <c r="Q285" s="333"/>
      <c r="R285" s="333"/>
      <c r="S285" s="333"/>
      <c r="T285" s="333"/>
      <c r="U285" s="333"/>
      <c r="V285" s="333"/>
      <c r="W285" s="333"/>
      <c r="X285" s="333"/>
      <c r="Y285" s="333"/>
      <c r="Z285" s="333"/>
    </row>
    <row r="286" spans="1:26">
      <c r="A286" s="348"/>
      <c r="B286" s="333"/>
      <c r="C286" s="333"/>
      <c r="D286" s="333"/>
      <c r="E286" s="333"/>
      <c r="F286" s="333"/>
      <c r="G286" s="333"/>
      <c r="H286" s="333"/>
      <c r="I286" s="333"/>
      <c r="J286" s="333"/>
      <c r="K286" s="333"/>
      <c r="L286" s="333"/>
      <c r="M286" s="333"/>
      <c r="N286" s="333"/>
      <c r="O286" s="333"/>
      <c r="P286" s="333"/>
      <c r="Q286" s="333"/>
      <c r="R286" s="333"/>
      <c r="S286" s="333"/>
      <c r="T286" s="333"/>
      <c r="U286" s="333"/>
      <c r="V286" s="333"/>
      <c r="W286" s="333"/>
      <c r="X286" s="333"/>
      <c r="Y286" s="333"/>
      <c r="Z286" s="333"/>
    </row>
    <row r="287" spans="1:26">
      <c r="A287" s="348"/>
      <c r="B287" s="333"/>
      <c r="C287" s="333"/>
      <c r="D287" s="333"/>
      <c r="E287" s="333"/>
      <c r="F287" s="333"/>
      <c r="G287" s="333"/>
      <c r="H287" s="333"/>
      <c r="I287" s="333"/>
      <c r="J287" s="333"/>
      <c r="K287" s="333"/>
      <c r="L287" s="333"/>
      <c r="M287" s="333"/>
      <c r="N287" s="333"/>
      <c r="O287" s="333"/>
      <c r="P287" s="333"/>
      <c r="Q287" s="333"/>
      <c r="R287" s="333"/>
      <c r="S287" s="333"/>
      <c r="T287" s="333"/>
      <c r="U287" s="333"/>
      <c r="V287" s="333"/>
      <c r="W287" s="333"/>
      <c r="X287" s="333"/>
      <c r="Y287" s="333"/>
      <c r="Z287" s="333"/>
    </row>
    <row r="288" spans="1:26">
      <c r="A288" s="348"/>
      <c r="B288" s="333"/>
      <c r="C288" s="333"/>
      <c r="D288" s="333"/>
      <c r="E288" s="333"/>
      <c r="F288" s="333"/>
      <c r="G288" s="333"/>
      <c r="H288" s="333"/>
      <c r="I288" s="333"/>
      <c r="J288" s="333"/>
      <c r="K288" s="333"/>
      <c r="L288" s="333"/>
      <c r="M288" s="333"/>
      <c r="N288" s="333"/>
      <c r="O288" s="333"/>
      <c r="P288" s="333"/>
      <c r="Q288" s="333"/>
      <c r="R288" s="333"/>
      <c r="S288" s="333"/>
      <c r="T288" s="333"/>
      <c r="U288" s="333"/>
      <c r="V288" s="333"/>
      <c r="W288" s="333"/>
      <c r="X288" s="333"/>
      <c r="Y288" s="333"/>
      <c r="Z288" s="333"/>
    </row>
    <row r="289" spans="1:26">
      <c r="A289" s="348"/>
      <c r="B289" s="333"/>
      <c r="C289" s="333"/>
      <c r="D289" s="333"/>
      <c r="E289" s="333"/>
      <c r="F289" s="333"/>
      <c r="G289" s="333"/>
      <c r="H289" s="333"/>
      <c r="I289" s="333"/>
      <c r="J289" s="333"/>
      <c r="K289" s="333"/>
      <c r="L289" s="333"/>
      <c r="M289" s="333"/>
      <c r="N289" s="333"/>
      <c r="O289" s="333"/>
      <c r="P289" s="333"/>
      <c r="Q289" s="333"/>
      <c r="R289" s="333"/>
      <c r="S289" s="333"/>
      <c r="T289" s="333"/>
      <c r="U289" s="333"/>
      <c r="V289" s="333"/>
      <c r="W289" s="333"/>
      <c r="X289" s="333"/>
      <c r="Y289" s="333"/>
      <c r="Z289" s="333"/>
    </row>
    <row r="290" spans="1:26">
      <c r="A290" s="348"/>
      <c r="B290" s="333"/>
      <c r="C290" s="333"/>
      <c r="D290" s="333"/>
      <c r="E290" s="333"/>
      <c r="F290" s="333"/>
      <c r="G290" s="333"/>
      <c r="H290" s="333"/>
      <c r="I290" s="333"/>
      <c r="J290" s="333"/>
      <c r="K290" s="333"/>
      <c r="L290" s="333"/>
      <c r="M290" s="333"/>
      <c r="N290" s="333"/>
      <c r="O290" s="333"/>
      <c r="P290" s="333"/>
      <c r="Q290" s="333"/>
      <c r="R290" s="333"/>
      <c r="S290" s="333"/>
      <c r="T290" s="333"/>
      <c r="U290" s="333"/>
      <c r="V290" s="333"/>
      <c r="W290" s="333"/>
      <c r="X290" s="333"/>
      <c r="Y290" s="333"/>
      <c r="Z290" s="333"/>
    </row>
    <row r="291" spans="1:26">
      <c r="A291" s="348"/>
      <c r="B291" s="333"/>
      <c r="C291" s="333"/>
      <c r="D291" s="333"/>
      <c r="E291" s="333"/>
      <c r="F291" s="333"/>
      <c r="G291" s="333"/>
      <c r="H291" s="333"/>
      <c r="I291" s="333"/>
      <c r="J291" s="333"/>
      <c r="K291" s="333"/>
      <c r="L291" s="333"/>
      <c r="M291" s="333"/>
      <c r="N291" s="333"/>
      <c r="O291" s="333"/>
      <c r="P291" s="333"/>
      <c r="Q291" s="333"/>
      <c r="R291" s="333"/>
      <c r="S291" s="333"/>
      <c r="T291" s="333"/>
      <c r="U291" s="333"/>
      <c r="V291" s="333"/>
      <c r="W291" s="333"/>
      <c r="X291" s="333"/>
      <c r="Y291" s="333"/>
      <c r="Z291" s="333"/>
    </row>
    <row r="292" spans="1:26">
      <c r="A292" s="348"/>
      <c r="B292" s="333"/>
      <c r="C292" s="333"/>
      <c r="D292" s="333"/>
      <c r="E292" s="333"/>
      <c r="F292" s="333"/>
      <c r="G292" s="333"/>
      <c r="H292" s="333"/>
      <c r="I292" s="333"/>
      <c r="J292" s="333"/>
      <c r="K292" s="333"/>
      <c r="L292" s="333"/>
      <c r="M292" s="333"/>
      <c r="N292" s="333"/>
      <c r="O292" s="333"/>
      <c r="P292" s="333"/>
      <c r="Q292" s="333"/>
      <c r="R292" s="333"/>
      <c r="S292" s="333"/>
      <c r="T292" s="333"/>
      <c r="U292" s="333"/>
      <c r="V292" s="333"/>
      <c r="W292" s="333"/>
      <c r="X292" s="333"/>
      <c r="Y292" s="333"/>
      <c r="Z292" s="333"/>
    </row>
    <row r="293" spans="1:26">
      <c r="A293" s="348"/>
      <c r="B293" s="333"/>
      <c r="C293" s="333"/>
      <c r="D293" s="333"/>
      <c r="E293" s="333"/>
      <c r="F293" s="333"/>
      <c r="G293" s="333"/>
      <c r="H293" s="333"/>
      <c r="I293" s="333"/>
      <c r="J293" s="333"/>
      <c r="K293" s="333"/>
      <c r="L293" s="333"/>
      <c r="M293" s="333"/>
      <c r="N293" s="333"/>
      <c r="O293" s="333"/>
      <c r="P293" s="333"/>
      <c r="Q293" s="333"/>
      <c r="R293" s="333"/>
      <c r="S293" s="333"/>
      <c r="T293" s="333"/>
      <c r="U293" s="333"/>
      <c r="V293" s="333"/>
      <c r="W293" s="333"/>
      <c r="X293" s="333"/>
      <c r="Y293" s="333"/>
      <c r="Z293" s="333"/>
    </row>
    <row r="294" spans="1:26">
      <c r="A294" s="348"/>
      <c r="B294" s="333"/>
      <c r="C294" s="333"/>
      <c r="D294" s="333"/>
      <c r="E294" s="333"/>
      <c r="F294" s="333"/>
      <c r="G294" s="333"/>
      <c r="H294" s="333"/>
      <c r="I294" s="333"/>
      <c r="J294" s="333"/>
      <c r="K294" s="333"/>
      <c r="L294" s="333"/>
      <c r="M294" s="333"/>
      <c r="N294" s="333"/>
      <c r="O294" s="333"/>
      <c r="P294" s="333"/>
      <c r="Q294" s="333"/>
      <c r="R294" s="333"/>
      <c r="S294" s="333"/>
      <c r="T294" s="333"/>
      <c r="U294" s="333"/>
      <c r="V294" s="333"/>
      <c r="W294" s="333"/>
      <c r="X294" s="333"/>
      <c r="Y294" s="333"/>
      <c r="Z294" s="333"/>
    </row>
    <row r="295" spans="1:26">
      <c r="A295" s="348"/>
      <c r="B295" s="333"/>
      <c r="C295" s="333"/>
      <c r="D295" s="333"/>
      <c r="E295" s="333"/>
      <c r="F295" s="333"/>
      <c r="G295" s="333"/>
      <c r="H295" s="333"/>
      <c r="I295" s="333"/>
      <c r="J295" s="333"/>
      <c r="K295" s="333"/>
      <c r="L295" s="333"/>
      <c r="M295" s="333"/>
      <c r="N295" s="333"/>
      <c r="O295" s="333"/>
      <c r="P295" s="333"/>
      <c r="Q295" s="333"/>
      <c r="R295" s="333"/>
      <c r="S295" s="333"/>
      <c r="T295" s="333"/>
      <c r="U295" s="333"/>
      <c r="V295" s="333"/>
      <c r="W295" s="333"/>
      <c r="X295" s="333"/>
      <c r="Y295" s="333"/>
      <c r="Z295" s="333"/>
    </row>
    <row r="296" spans="1:26">
      <c r="A296" s="348"/>
      <c r="B296" s="333"/>
      <c r="C296" s="333"/>
      <c r="D296" s="333"/>
      <c r="E296" s="333"/>
      <c r="F296" s="333"/>
      <c r="G296" s="333"/>
      <c r="H296" s="333"/>
      <c r="I296" s="333"/>
      <c r="J296" s="333"/>
      <c r="K296" s="333"/>
      <c r="L296" s="333"/>
      <c r="M296" s="333"/>
      <c r="N296" s="333"/>
      <c r="O296" s="333"/>
      <c r="P296" s="333"/>
      <c r="Q296" s="333"/>
      <c r="R296" s="333"/>
      <c r="S296" s="333"/>
      <c r="T296" s="333"/>
      <c r="U296" s="333"/>
      <c r="V296" s="333"/>
      <c r="W296" s="333"/>
      <c r="X296" s="333"/>
      <c r="Y296" s="333"/>
      <c r="Z296" s="333"/>
    </row>
    <row r="297" spans="1:26">
      <c r="A297" s="348"/>
      <c r="B297" s="333"/>
      <c r="C297" s="333"/>
      <c r="D297" s="333"/>
      <c r="E297" s="333"/>
      <c r="F297" s="333"/>
      <c r="G297" s="333"/>
      <c r="H297" s="333"/>
      <c r="I297" s="333"/>
      <c r="J297" s="333"/>
      <c r="K297" s="333"/>
      <c r="L297" s="333"/>
      <c r="M297" s="333"/>
      <c r="N297" s="333"/>
      <c r="O297" s="333"/>
      <c r="P297" s="333"/>
      <c r="Q297" s="333"/>
      <c r="R297" s="333"/>
      <c r="S297" s="333"/>
      <c r="T297" s="333"/>
      <c r="U297" s="333"/>
      <c r="V297" s="333"/>
      <c r="W297" s="333"/>
      <c r="X297" s="333"/>
      <c r="Y297" s="333"/>
      <c r="Z297" s="333"/>
    </row>
    <row r="298" spans="1:26">
      <c r="A298" s="348"/>
      <c r="B298" s="333"/>
      <c r="C298" s="333"/>
      <c r="D298" s="333"/>
      <c r="E298" s="333"/>
      <c r="F298" s="333"/>
      <c r="G298" s="333"/>
      <c r="H298" s="333"/>
      <c r="I298" s="333"/>
      <c r="J298" s="333"/>
      <c r="K298" s="333"/>
      <c r="L298" s="333"/>
      <c r="M298" s="333"/>
      <c r="N298" s="333"/>
      <c r="O298" s="333"/>
      <c r="P298" s="333"/>
      <c r="Q298" s="333"/>
      <c r="R298" s="333"/>
      <c r="S298" s="333"/>
      <c r="T298" s="333"/>
      <c r="U298" s="333"/>
      <c r="V298" s="333"/>
      <c r="W298" s="333"/>
      <c r="X298" s="333"/>
      <c r="Y298" s="333"/>
      <c r="Z298" s="333"/>
    </row>
    <row r="299" spans="1:26">
      <c r="A299" s="348"/>
      <c r="B299" s="333"/>
      <c r="C299" s="333"/>
      <c r="D299" s="333"/>
      <c r="E299" s="333"/>
      <c r="F299" s="333"/>
      <c r="G299" s="333"/>
      <c r="H299" s="333"/>
      <c r="I299" s="333"/>
      <c r="J299" s="333"/>
      <c r="K299" s="333"/>
      <c r="L299" s="333"/>
      <c r="M299" s="333"/>
      <c r="N299" s="333"/>
      <c r="O299" s="333"/>
      <c r="P299" s="333"/>
      <c r="Q299" s="333"/>
      <c r="R299" s="333"/>
      <c r="S299" s="333"/>
      <c r="T299" s="333"/>
      <c r="U299" s="333"/>
      <c r="V299" s="333"/>
      <c r="W299" s="333"/>
      <c r="X299" s="333"/>
      <c r="Y299" s="333"/>
      <c r="Z299" s="333"/>
    </row>
    <row r="300" spans="1:26">
      <c r="A300" s="348"/>
      <c r="B300" s="333"/>
      <c r="C300" s="333"/>
      <c r="D300" s="333"/>
      <c r="E300" s="333"/>
      <c r="F300" s="333"/>
      <c r="G300" s="333"/>
      <c r="H300" s="333"/>
      <c r="I300" s="333"/>
      <c r="J300" s="333"/>
      <c r="K300" s="333"/>
      <c r="L300" s="333"/>
      <c r="M300" s="333"/>
      <c r="N300" s="333"/>
      <c r="O300" s="333"/>
      <c r="P300" s="333"/>
      <c r="Q300" s="333"/>
      <c r="R300" s="333"/>
      <c r="S300" s="333"/>
      <c r="T300" s="333"/>
      <c r="U300" s="333"/>
      <c r="V300" s="333"/>
      <c r="W300" s="333"/>
      <c r="X300" s="333"/>
      <c r="Y300" s="333"/>
      <c r="Z300" s="333"/>
    </row>
    <row r="301" spans="1:26">
      <c r="A301" s="348"/>
      <c r="B301" s="333"/>
      <c r="C301" s="333"/>
      <c r="D301" s="333"/>
      <c r="E301" s="333"/>
      <c r="F301" s="333"/>
      <c r="G301" s="333"/>
      <c r="H301" s="333"/>
      <c r="I301" s="333"/>
      <c r="J301" s="333"/>
      <c r="K301" s="333"/>
      <c r="L301" s="333"/>
      <c r="M301" s="333"/>
      <c r="N301" s="333"/>
      <c r="O301" s="333"/>
      <c r="P301" s="333"/>
      <c r="Q301" s="333"/>
      <c r="R301" s="333"/>
      <c r="S301" s="333"/>
      <c r="T301" s="333"/>
      <c r="U301" s="333"/>
      <c r="V301" s="333"/>
      <c r="W301" s="333"/>
      <c r="X301" s="333"/>
      <c r="Y301" s="333"/>
      <c r="Z301" s="333"/>
    </row>
    <row r="302" spans="1:26">
      <c r="A302" s="348"/>
      <c r="B302" s="333"/>
      <c r="C302" s="333"/>
      <c r="D302" s="333"/>
      <c r="E302" s="333"/>
      <c r="F302" s="333"/>
      <c r="G302" s="333"/>
      <c r="H302" s="333"/>
      <c r="I302" s="333"/>
      <c r="J302" s="333"/>
      <c r="K302" s="333"/>
      <c r="L302" s="333"/>
      <c r="M302" s="333"/>
      <c r="N302" s="333"/>
      <c r="O302" s="333"/>
      <c r="P302" s="333"/>
      <c r="Q302" s="333"/>
      <c r="R302" s="333"/>
      <c r="S302" s="333"/>
      <c r="T302" s="333"/>
      <c r="U302" s="333"/>
      <c r="V302" s="333"/>
      <c r="W302" s="333"/>
      <c r="X302" s="333"/>
      <c r="Y302" s="333"/>
      <c r="Z302" s="333"/>
    </row>
    <row r="303" spans="1:26">
      <c r="A303" s="348"/>
      <c r="B303" s="333"/>
      <c r="C303" s="333"/>
      <c r="D303" s="333"/>
      <c r="E303" s="333"/>
      <c r="F303" s="333"/>
      <c r="G303" s="333"/>
      <c r="H303" s="333"/>
      <c r="I303" s="333"/>
      <c r="J303" s="333"/>
      <c r="K303" s="333"/>
      <c r="L303" s="333"/>
      <c r="M303" s="333"/>
      <c r="N303" s="333"/>
      <c r="O303" s="333"/>
      <c r="P303" s="333"/>
      <c r="Q303" s="333"/>
      <c r="R303" s="333"/>
      <c r="S303" s="333"/>
      <c r="T303" s="333"/>
      <c r="U303" s="333"/>
      <c r="V303" s="333"/>
      <c r="W303" s="333"/>
      <c r="X303" s="333"/>
      <c r="Y303" s="333"/>
      <c r="Z303" s="333"/>
    </row>
    <row r="304" spans="1:26">
      <c r="A304" s="348"/>
      <c r="B304" s="333"/>
      <c r="C304" s="333"/>
      <c r="D304" s="333"/>
      <c r="E304" s="333"/>
      <c r="F304" s="333"/>
      <c r="G304" s="333"/>
      <c r="H304" s="333"/>
      <c r="I304" s="333"/>
      <c r="J304" s="333"/>
      <c r="K304" s="333"/>
      <c r="L304" s="333"/>
      <c r="M304" s="333"/>
      <c r="N304" s="333"/>
      <c r="O304" s="333"/>
      <c r="P304" s="333"/>
      <c r="Q304" s="333"/>
      <c r="R304" s="333"/>
      <c r="S304" s="333"/>
      <c r="T304" s="333"/>
      <c r="U304" s="333"/>
      <c r="V304" s="333"/>
      <c r="W304" s="333"/>
      <c r="X304" s="333"/>
      <c r="Y304" s="333"/>
      <c r="Z304" s="333"/>
    </row>
    <row r="305" spans="1:26">
      <c r="A305" s="348"/>
      <c r="B305" s="333"/>
      <c r="C305" s="333"/>
      <c r="D305" s="333"/>
      <c r="E305" s="333"/>
      <c r="F305" s="333"/>
      <c r="G305" s="333"/>
      <c r="H305" s="333"/>
      <c r="I305" s="333"/>
      <c r="J305" s="333"/>
      <c r="K305" s="333"/>
      <c r="L305" s="333"/>
      <c r="M305" s="333"/>
      <c r="N305" s="333"/>
      <c r="O305" s="333"/>
      <c r="P305" s="333"/>
      <c r="Q305" s="333"/>
      <c r="R305" s="333"/>
      <c r="S305" s="333"/>
      <c r="T305" s="333"/>
      <c r="U305" s="333"/>
      <c r="V305" s="333"/>
      <c r="W305" s="333"/>
      <c r="X305" s="333"/>
      <c r="Y305" s="333"/>
      <c r="Z305" s="333"/>
    </row>
    <row r="306" spans="1:26">
      <c r="A306" s="348"/>
      <c r="B306" s="333"/>
      <c r="C306" s="333"/>
      <c r="D306" s="333"/>
      <c r="E306" s="333"/>
      <c r="F306" s="333"/>
      <c r="G306" s="333"/>
      <c r="H306" s="333"/>
      <c r="I306" s="333"/>
      <c r="J306" s="333"/>
      <c r="K306" s="333"/>
      <c r="L306" s="333"/>
      <c r="M306" s="333"/>
      <c r="N306" s="333"/>
      <c r="O306" s="333"/>
      <c r="P306" s="333"/>
      <c r="Q306" s="333"/>
      <c r="R306" s="333"/>
      <c r="S306" s="333"/>
      <c r="T306" s="333"/>
      <c r="U306" s="333"/>
      <c r="V306" s="333"/>
      <c r="W306" s="333"/>
      <c r="X306" s="333"/>
      <c r="Y306" s="333"/>
      <c r="Z306" s="333"/>
    </row>
    <row r="307" spans="1:26">
      <c r="A307" s="348"/>
      <c r="B307" s="333"/>
      <c r="C307" s="333"/>
      <c r="D307" s="333"/>
      <c r="E307" s="333"/>
      <c r="F307" s="333"/>
      <c r="G307" s="333"/>
      <c r="H307" s="333"/>
      <c r="I307" s="333"/>
      <c r="J307" s="333"/>
      <c r="K307" s="333"/>
      <c r="L307" s="333"/>
      <c r="M307" s="333"/>
      <c r="N307" s="333"/>
      <c r="O307" s="333"/>
      <c r="P307" s="333"/>
      <c r="Q307" s="333"/>
      <c r="R307" s="333"/>
      <c r="S307" s="333"/>
      <c r="T307" s="333"/>
      <c r="U307" s="333"/>
      <c r="V307" s="333"/>
      <c r="W307" s="333"/>
      <c r="X307" s="333"/>
      <c r="Y307" s="333"/>
      <c r="Z307" s="333"/>
    </row>
    <row r="308" spans="1:26">
      <c r="A308" s="348"/>
      <c r="B308" s="333"/>
      <c r="C308" s="333"/>
      <c r="D308" s="333"/>
      <c r="E308" s="333"/>
      <c r="F308" s="333"/>
      <c r="G308" s="333"/>
      <c r="H308" s="333"/>
      <c r="I308" s="333"/>
      <c r="J308" s="333"/>
      <c r="K308" s="333"/>
      <c r="L308" s="333"/>
      <c r="M308" s="333"/>
      <c r="N308" s="333"/>
      <c r="O308" s="333"/>
      <c r="P308" s="333"/>
      <c r="Q308" s="333"/>
      <c r="R308" s="333"/>
      <c r="S308" s="333"/>
      <c r="T308" s="333"/>
      <c r="U308" s="333"/>
      <c r="V308" s="333"/>
      <c r="W308" s="333"/>
      <c r="X308" s="333"/>
      <c r="Y308" s="333"/>
      <c r="Z308" s="333"/>
    </row>
    <row r="309" spans="1:26">
      <c r="A309" s="348"/>
      <c r="B309" s="333"/>
      <c r="C309" s="333"/>
      <c r="D309" s="333"/>
      <c r="E309" s="333"/>
      <c r="F309" s="333"/>
      <c r="G309" s="333"/>
      <c r="H309" s="333"/>
      <c r="I309" s="333"/>
      <c r="J309" s="333"/>
      <c r="K309" s="333"/>
      <c r="L309" s="333"/>
      <c r="M309" s="333"/>
      <c r="N309" s="333"/>
      <c r="O309" s="333"/>
      <c r="P309" s="333"/>
      <c r="Q309" s="333"/>
      <c r="R309" s="333"/>
      <c r="S309" s="333"/>
      <c r="T309" s="333"/>
      <c r="U309" s="333"/>
      <c r="V309" s="333"/>
      <c r="W309" s="333"/>
      <c r="X309" s="333"/>
      <c r="Y309" s="333"/>
      <c r="Z309" s="333"/>
    </row>
    <row r="310" spans="1:26">
      <c r="A310" s="348"/>
      <c r="B310" s="333"/>
      <c r="C310" s="333"/>
      <c r="D310" s="333"/>
      <c r="E310" s="333"/>
      <c r="F310" s="333"/>
      <c r="G310" s="333"/>
      <c r="H310" s="333"/>
      <c r="I310" s="333"/>
      <c r="J310" s="333"/>
      <c r="K310" s="333"/>
      <c r="L310" s="333"/>
      <c r="M310" s="333"/>
      <c r="N310" s="333"/>
      <c r="O310" s="333"/>
      <c r="P310" s="333"/>
      <c r="Q310" s="333"/>
      <c r="R310" s="333"/>
      <c r="S310" s="333"/>
      <c r="T310" s="333"/>
      <c r="U310" s="333"/>
      <c r="V310" s="333"/>
      <c r="W310" s="333"/>
      <c r="X310" s="333"/>
      <c r="Y310" s="333"/>
      <c r="Z310" s="333"/>
    </row>
    <row r="311" spans="1:26">
      <c r="A311" s="348"/>
      <c r="B311" s="333"/>
      <c r="C311" s="333"/>
      <c r="D311" s="333"/>
      <c r="E311" s="333"/>
      <c r="F311" s="333"/>
      <c r="G311" s="333"/>
      <c r="H311" s="333"/>
      <c r="I311" s="333"/>
      <c r="J311" s="333"/>
      <c r="K311" s="333"/>
      <c r="L311" s="333"/>
      <c r="M311" s="333"/>
      <c r="N311" s="333"/>
      <c r="O311" s="333"/>
      <c r="P311" s="333"/>
      <c r="Q311" s="333"/>
      <c r="R311" s="333"/>
      <c r="S311" s="333"/>
      <c r="T311" s="333"/>
      <c r="U311" s="333"/>
      <c r="V311" s="333"/>
      <c r="W311" s="333"/>
      <c r="X311" s="333"/>
      <c r="Y311" s="333"/>
      <c r="Z311" s="333"/>
    </row>
    <row r="312" spans="1:26">
      <c r="A312" s="348"/>
      <c r="B312" s="333"/>
      <c r="C312" s="333"/>
      <c r="D312" s="333"/>
      <c r="E312" s="333"/>
      <c r="F312" s="333"/>
      <c r="G312" s="333"/>
      <c r="H312" s="333"/>
      <c r="I312" s="333"/>
      <c r="J312" s="333"/>
      <c r="K312" s="333"/>
      <c r="L312" s="333"/>
      <c r="M312" s="333"/>
      <c r="N312" s="333"/>
      <c r="O312" s="333"/>
      <c r="P312" s="333"/>
      <c r="Q312" s="333"/>
      <c r="R312" s="333"/>
      <c r="S312" s="333"/>
      <c r="T312" s="333"/>
      <c r="U312" s="333"/>
      <c r="V312" s="333"/>
      <c r="W312" s="333"/>
      <c r="X312" s="333"/>
      <c r="Y312" s="333"/>
      <c r="Z312" s="333"/>
    </row>
    <row r="313" spans="1:26">
      <c r="A313" s="348"/>
      <c r="B313" s="333"/>
      <c r="C313" s="333"/>
      <c r="D313" s="333"/>
      <c r="E313" s="333"/>
      <c r="F313" s="333"/>
      <c r="G313" s="333"/>
      <c r="H313" s="333"/>
      <c r="I313" s="333"/>
      <c r="J313" s="333"/>
      <c r="K313" s="333"/>
      <c r="L313" s="333"/>
      <c r="M313" s="333"/>
      <c r="N313" s="333"/>
      <c r="O313" s="333"/>
      <c r="P313" s="333"/>
      <c r="Q313" s="333"/>
      <c r="R313" s="333"/>
      <c r="S313" s="333"/>
      <c r="T313" s="333"/>
      <c r="U313" s="333"/>
      <c r="V313" s="333"/>
      <c r="W313" s="333"/>
      <c r="X313" s="333"/>
      <c r="Y313" s="333"/>
      <c r="Z313" s="333"/>
    </row>
    <row r="314" spans="1:26">
      <c r="A314" s="348"/>
      <c r="B314" s="333"/>
      <c r="C314" s="333"/>
      <c r="D314" s="333"/>
      <c r="E314" s="333"/>
      <c r="F314" s="333"/>
      <c r="G314" s="333"/>
      <c r="H314" s="333"/>
      <c r="I314" s="333"/>
      <c r="J314" s="333"/>
      <c r="K314" s="333"/>
      <c r="L314" s="333"/>
      <c r="M314" s="333"/>
      <c r="N314" s="333"/>
      <c r="O314" s="333"/>
      <c r="P314" s="333"/>
      <c r="Q314" s="333"/>
      <c r="R314" s="333"/>
      <c r="S314" s="333"/>
      <c r="T314" s="333"/>
      <c r="U314" s="333"/>
      <c r="V314" s="333"/>
      <c r="W314" s="333"/>
      <c r="X314" s="333"/>
      <c r="Y314" s="333"/>
      <c r="Z314" s="333"/>
    </row>
    <row r="315" spans="1:26">
      <c r="A315" s="348"/>
      <c r="B315" s="333"/>
      <c r="C315" s="333"/>
      <c r="D315" s="333"/>
      <c r="E315" s="333"/>
      <c r="F315" s="333"/>
      <c r="G315" s="333"/>
      <c r="H315" s="333"/>
      <c r="I315" s="333"/>
      <c r="J315" s="333"/>
      <c r="K315" s="333"/>
      <c r="L315" s="333"/>
      <c r="M315" s="333"/>
      <c r="N315" s="333"/>
      <c r="O315" s="333"/>
      <c r="P315" s="333"/>
      <c r="Q315" s="333"/>
      <c r="R315" s="333"/>
      <c r="S315" s="333"/>
      <c r="T315" s="333"/>
      <c r="U315" s="333"/>
      <c r="V315" s="333"/>
      <c r="W315" s="333"/>
      <c r="X315" s="333"/>
      <c r="Y315" s="333"/>
      <c r="Z315" s="333"/>
    </row>
    <row r="316" spans="1:26">
      <c r="A316" s="348"/>
      <c r="B316" s="333"/>
      <c r="C316" s="333"/>
      <c r="D316" s="333"/>
      <c r="E316" s="333"/>
      <c r="F316" s="333"/>
      <c r="G316" s="333"/>
      <c r="H316" s="333"/>
      <c r="I316" s="333"/>
      <c r="J316" s="333"/>
      <c r="K316" s="333"/>
      <c r="L316" s="333"/>
      <c r="M316" s="333"/>
      <c r="N316" s="333"/>
      <c r="O316" s="333"/>
      <c r="P316" s="333"/>
      <c r="Q316" s="333"/>
      <c r="R316" s="333"/>
      <c r="S316" s="333"/>
      <c r="T316" s="333"/>
      <c r="U316" s="333"/>
      <c r="V316" s="333"/>
      <c r="W316" s="333"/>
      <c r="X316" s="333"/>
      <c r="Y316" s="333"/>
      <c r="Z316" s="333"/>
    </row>
    <row r="317" spans="1:26">
      <c r="A317" s="348"/>
      <c r="B317" s="333"/>
      <c r="C317" s="333"/>
      <c r="D317" s="333"/>
      <c r="E317" s="333"/>
      <c r="F317" s="333"/>
      <c r="G317" s="333"/>
      <c r="H317" s="333"/>
      <c r="I317" s="333"/>
      <c r="J317" s="333"/>
      <c r="K317" s="333"/>
      <c r="L317" s="333"/>
      <c r="M317" s="333"/>
      <c r="N317" s="333"/>
      <c r="O317" s="333"/>
      <c r="P317" s="333"/>
      <c r="Q317" s="333"/>
      <c r="R317" s="333"/>
      <c r="S317" s="333"/>
      <c r="T317" s="333"/>
      <c r="U317" s="333"/>
      <c r="V317" s="333"/>
      <c r="W317" s="333"/>
      <c r="X317" s="333"/>
      <c r="Y317" s="333"/>
      <c r="Z317" s="333"/>
    </row>
    <row r="318" spans="1:26">
      <c r="A318" s="348"/>
      <c r="B318" s="333"/>
      <c r="C318" s="333"/>
      <c r="D318" s="333"/>
      <c r="E318" s="333"/>
      <c r="F318" s="333"/>
      <c r="G318" s="333"/>
      <c r="H318" s="333"/>
      <c r="I318" s="333"/>
      <c r="J318" s="333"/>
      <c r="K318" s="333"/>
      <c r="L318" s="333"/>
      <c r="M318" s="333"/>
      <c r="N318" s="333"/>
      <c r="O318" s="333"/>
      <c r="P318" s="333"/>
      <c r="Q318" s="333"/>
      <c r="R318" s="333"/>
      <c r="S318" s="333"/>
      <c r="T318" s="333"/>
      <c r="U318" s="333"/>
      <c r="V318" s="333"/>
      <c r="W318" s="333"/>
      <c r="X318" s="333"/>
      <c r="Y318" s="333"/>
      <c r="Z318" s="333"/>
    </row>
    <row r="319" spans="1:26">
      <c r="A319" s="348"/>
      <c r="B319" s="333"/>
      <c r="C319" s="333"/>
      <c r="D319" s="333"/>
      <c r="E319" s="333"/>
      <c r="F319" s="333"/>
      <c r="G319" s="333"/>
      <c r="H319" s="333"/>
      <c r="I319" s="333"/>
      <c r="J319" s="333"/>
      <c r="K319" s="333"/>
      <c r="L319" s="333"/>
      <c r="M319" s="333"/>
      <c r="N319" s="333"/>
      <c r="O319" s="333"/>
      <c r="P319" s="333"/>
      <c r="Q319" s="333"/>
      <c r="R319" s="333"/>
      <c r="S319" s="333"/>
      <c r="T319" s="333"/>
      <c r="U319" s="333"/>
      <c r="V319" s="333"/>
      <c r="W319" s="333"/>
      <c r="X319" s="333"/>
      <c r="Y319" s="333"/>
      <c r="Z319" s="333"/>
    </row>
    <row r="320" spans="1:26">
      <c r="A320" s="348"/>
      <c r="B320" s="333"/>
      <c r="C320" s="333"/>
      <c r="D320" s="333"/>
      <c r="E320" s="333"/>
      <c r="F320" s="333"/>
      <c r="G320" s="333"/>
      <c r="H320" s="333"/>
      <c r="I320" s="333"/>
      <c r="J320" s="333"/>
      <c r="K320" s="333"/>
      <c r="L320" s="333"/>
      <c r="M320" s="333"/>
      <c r="N320" s="333"/>
      <c r="O320" s="333"/>
      <c r="P320" s="333"/>
      <c r="Q320" s="333"/>
      <c r="R320" s="333"/>
      <c r="S320" s="333"/>
      <c r="T320" s="333"/>
      <c r="U320" s="333"/>
      <c r="V320" s="333"/>
      <c r="W320" s="333"/>
      <c r="X320" s="333"/>
      <c r="Y320" s="333"/>
      <c r="Z320" s="333"/>
    </row>
    <row r="321" spans="1:26">
      <c r="A321" s="348"/>
      <c r="B321" s="333"/>
      <c r="C321" s="333"/>
      <c r="D321" s="333"/>
      <c r="E321" s="333"/>
      <c r="F321" s="333"/>
      <c r="G321" s="333"/>
      <c r="H321" s="333"/>
      <c r="I321" s="333"/>
      <c r="J321" s="333"/>
      <c r="K321" s="333"/>
      <c r="L321" s="333"/>
      <c r="M321" s="333"/>
      <c r="N321" s="333"/>
      <c r="O321" s="333"/>
      <c r="P321" s="333"/>
      <c r="Q321" s="333"/>
      <c r="R321" s="333"/>
      <c r="S321" s="333"/>
      <c r="T321" s="333"/>
      <c r="U321" s="333"/>
      <c r="V321" s="333"/>
      <c r="W321" s="333"/>
      <c r="X321" s="333"/>
      <c r="Y321" s="333"/>
      <c r="Z321" s="333"/>
    </row>
    <row r="322" spans="1:26">
      <c r="A322" s="348"/>
      <c r="B322" s="333"/>
      <c r="C322" s="333"/>
      <c r="D322" s="333"/>
      <c r="E322" s="333"/>
      <c r="F322" s="333"/>
      <c r="G322" s="333"/>
      <c r="H322" s="333"/>
      <c r="I322" s="333"/>
      <c r="J322" s="333"/>
      <c r="K322" s="333"/>
      <c r="L322" s="333"/>
      <c r="M322" s="333"/>
      <c r="N322" s="333"/>
      <c r="O322" s="333"/>
      <c r="P322" s="333"/>
      <c r="Q322" s="333"/>
      <c r="R322" s="333"/>
      <c r="S322" s="333"/>
      <c r="T322" s="333"/>
      <c r="U322" s="333"/>
      <c r="V322" s="333"/>
      <c r="W322" s="333"/>
      <c r="X322" s="333"/>
      <c r="Y322" s="333"/>
      <c r="Z322" s="333"/>
    </row>
    <row r="323" spans="1:26">
      <c r="A323" s="348"/>
      <c r="B323" s="333"/>
      <c r="C323" s="333"/>
      <c r="D323" s="333"/>
      <c r="E323" s="333"/>
      <c r="F323" s="333"/>
      <c r="G323" s="333"/>
      <c r="H323" s="333"/>
      <c r="I323" s="333"/>
      <c r="J323" s="333"/>
      <c r="K323" s="333"/>
      <c r="L323" s="333"/>
      <c r="M323" s="333"/>
      <c r="N323" s="333"/>
      <c r="O323" s="333"/>
      <c r="P323" s="333"/>
      <c r="Q323" s="333"/>
      <c r="R323" s="333"/>
      <c r="S323" s="333"/>
      <c r="T323" s="333"/>
      <c r="U323" s="333"/>
      <c r="V323" s="333"/>
      <c r="W323" s="333"/>
      <c r="X323" s="333"/>
      <c r="Y323" s="333"/>
      <c r="Z323" s="333"/>
    </row>
    <row r="324" spans="1:26">
      <c r="A324" s="348"/>
      <c r="B324" s="333"/>
      <c r="C324" s="333"/>
      <c r="D324" s="333"/>
      <c r="E324" s="333"/>
      <c r="F324" s="333"/>
      <c r="G324" s="333"/>
      <c r="H324" s="333"/>
      <c r="I324" s="333"/>
      <c r="J324" s="333"/>
      <c r="K324" s="333"/>
      <c r="L324" s="333"/>
      <c r="M324" s="333"/>
      <c r="N324" s="333"/>
      <c r="O324" s="333"/>
      <c r="P324" s="333"/>
      <c r="Q324" s="333"/>
      <c r="R324" s="333"/>
      <c r="S324" s="333"/>
      <c r="T324" s="333"/>
      <c r="U324" s="333"/>
      <c r="V324" s="333"/>
      <c r="W324" s="333"/>
      <c r="X324" s="333"/>
      <c r="Y324" s="333"/>
      <c r="Z324" s="333"/>
    </row>
    <row r="325" spans="1:26">
      <c r="A325" s="348"/>
      <c r="B325" s="333"/>
      <c r="C325" s="333"/>
      <c r="D325" s="333"/>
      <c r="E325" s="333"/>
      <c r="F325" s="333"/>
      <c r="G325" s="333"/>
      <c r="H325" s="333"/>
      <c r="I325" s="333"/>
      <c r="J325" s="333"/>
      <c r="K325" s="333"/>
      <c r="L325" s="333"/>
      <c r="M325" s="333"/>
      <c r="N325" s="333"/>
      <c r="O325" s="333"/>
      <c r="P325" s="333"/>
      <c r="Q325" s="333"/>
      <c r="R325" s="333"/>
      <c r="S325" s="333"/>
      <c r="T325" s="333"/>
      <c r="U325" s="333"/>
      <c r="V325" s="333"/>
      <c r="W325" s="333"/>
      <c r="X325" s="333"/>
      <c r="Y325" s="333"/>
      <c r="Z325" s="333"/>
    </row>
    <row r="326" spans="1:26">
      <c r="A326" s="348"/>
      <c r="B326" s="333"/>
      <c r="C326" s="333"/>
      <c r="D326" s="333"/>
      <c r="E326" s="333"/>
      <c r="F326" s="333"/>
      <c r="G326" s="333"/>
      <c r="H326" s="333"/>
      <c r="I326" s="333"/>
      <c r="J326" s="333"/>
      <c r="K326" s="333"/>
      <c r="L326" s="333"/>
      <c r="M326" s="333"/>
      <c r="N326" s="333"/>
      <c r="O326" s="333"/>
      <c r="P326" s="333"/>
      <c r="Q326" s="333"/>
      <c r="R326" s="333"/>
      <c r="S326" s="333"/>
      <c r="T326" s="333"/>
      <c r="U326" s="333"/>
      <c r="V326" s="333"/>
      <c r="W326" s="333"/>
      <c r="X326" s="333"/>
      <c r="Y326" s="333"/>
      <c r="Z326" s="333"/>
    </row>
    <row r="327" spans="1:26">
      <c r="A327" s="348"/>
      <c r="B327" s="333"/>
      <c r="C327" s="333"/>
      <c r="D327" s="333"/>
      <c r="E327" s="333"/>
      <c r="F327" s="333"/>
      <c r="G327" s="333"/>
      <c r="H327" s="333"/>
      <c r="I327" s="333"/>
      <c r="J327" s="333"/>
      <c r="K327" s="333"/>
      <c r="L327" s="333"/>
      <c r="M327" s="333"/>
      <c r="N327" s="333"/>
      <c r="O327" s="333"/>
      <c r="P327" s="333"/>
      <c r="Q327" s="333"/>
      <c r="R327" s="333"/>
      <c r="S327" s="333"/>
      <c r="T327" s="333"/>
      <c r="U327" s="333"/>
      <c r="V327" s="333"/>
      <c r="W327" s="333"/>
      <c r="X327" s="333"/>
      <c r="Y327" s="333"/>
      <c r="Z327" s="333"/>
    </row>
    <row r="328" spans="1:26">
      <c r="A328" s="348"/>
      <c r="B328" s="333"/>
      <c r="C328" s="333"/>
      <c r="D328" s="333"/>
      <c r="E328" s="333"/>
      <c r="F328" s="333"/>
      <c r="G328" s="333"/>
      <c r="H328" s="333"/>
      <c r="I328" s="333"/>
      <c r="J328" s="333"/>
      <c r="K328" s="333"/>
      <c r="L328" s="333"/>
      <c r="M328" s="333"/>
      <c r="N328" s="333"/>
      <c r="O328" s="333"/>
      <c r="P328" s="333"/>
      <c r="Q328" s="333"/>
      <c r="R328" s="333"/>
      <c r="S328" s="333"/>
      <c r="T328" s="333"/>
      <c r="U328" s="333"/>
      <c r="V328" s="333"/>
      <c r="W328" s="333"/>
      <c r="X328" s="333"/>
      <c r="Y328" s="333"/>
      <c r="Z328" s="333"/>
    </row>
    <row r="329" spans="1:26">
      <c r="A329" s="348"/>
      <c r="B329" s="333"/>
      <c r="C329" s="333"/>
      <c r="D329" s="333"/>
      <c r="E329" s="333"/>
      <c r="F329" s="333"/>
      <c r="G329" s="333"/>
      <c r="H329" s="333"/>
      <c r="I329" s="333"/>
      <c r="J329" s="333"/>
      <c r="K329" s="333"/>
      <c r="L329" s="333"/>
      <c r="M329" s="333"/>
      <c r="N329" s="333"/>
      <c r="O329" s="333"/>
      <c r="P329" s="333"/>
      <c r="Q329" s="333"/>
      <c r="R329" s="333"/>
      <c r="S329" s="333"/>
      <c r="T329" s="333"/>
      <c r="U329" s="333"/>
      <c r="V329" s="333"/>
      <c r="W329" s="333"/>
      <c r="X329" s="333"/>
      <c r="Y329" s="333"/>
      <c r="Z329" s="333"/>
    </row>
    <row r="330" spans="1:26">
      <c r="A330" s="348"/>
      <c r="B330" s="333"/>
      <c r="C330" s="333"/>
      <c r="D330" s="333"/>
      <c r="E330" s="333"/>
      <c r="F330" s="333"/>
      <c r="G330" s="333"/>
      <c r="H330" s="333"/>
      <c r="I330" s="333"/>
      <c r="J330" s="333"/>
      <c r="K330" s="333"/>
      <c r="L330" s="333"/>
      <c r="M330" s="333"/>
      <c r="N330" s="333"/>
      <c r="O330" s="333"/>
      <c r="P330" s="333"/>
      <c r="Q330" s="333"/>
      <c r="R330" s="333"/>
      <c r="S330" s="333"/>
      <c r="T330" s="333"/>
      <c r="U330" s="333"/>
      <c r="V330" s="333"/>
      <c r="W330" s="333"/>
      <c r="X330" s="333"/>
      <c r="Y330" s="333"/>
      <c r="Z330" s="333"/>
    </row>
    <row r="331" spans="1:26">
      <c r="A331" s="348"/>
      <c r="B331" s="333"/>
      <c r="C331" s="333"/>
      <c r="D331" s="333"/>
      <c r="E331" s="333"/>
      <c r="F331" s="333"/>
      <c r="G331" s="333"/>
      <c r="H331" s="333"/>
      <c r="I331" s="333"/>
      <c r="J331" s="333"/>
      <c r="K331" s="333"/>
      <c r="L331" s="333"/>
      <c r="M331" s="333"/>
      <c r="N331" s="333"/>
      <c r="O331" s="333"/>
      <c r="P331" s="333"/>
      <c r="Q331" s="333"/>
      <c r="R331" s="333"/>
      <c r="S331" s="333"/>
      <c r="T331" s="333"/>
      <c r="U331" s="333"/>
      <c r="V331" s="333"/>
      <c r="W331" s="333"/>
      <c r="X331" s="333"/>
      <c r="Y331" s="333"/>
      <c r="Z331" s="333"/>
    </row>
    <row r="332" spans="1:26">
      <c r="A332" s="348"/>
      <c r="B332" s="333"/>
      <c r="C332" s="333"/>
      <c r="D332" s="333"/>
      <c r="E332" s="333"/>
      <c r="F332" s="333"/>
      <c r="G332" s="333"/>
      <c r="H332" s="333"/>
      <c r="I332" s="333"/>
      <c r="J332" s="333"/>
      <c r="K332" s="333"/>
      <c r="L332" s="333"/>
      <c r="M332" s="333"/>
      <c r="N332" s="333"/>
      <c r="O332" s="333"/>
      <c r="P332" s="333"/>
      <c r="Q332" s="333"/>
      <c r="R332" s="333"/>
      <c r="S332" s="333"/>
      <c r="T332" s="333"/>
      <c r="U332" s="333"/>
      <c r="V332" s="333"/>
      <c r="W332" s="333"/>
      <c r="X332" s="333"/>
      <c r="Y332" s="333"/>
      <c r="Z332" s="333"/>
    </row>
    <row r="333" spans="1:26">
      <c r="A333" s="348"/>
      <c r="B333" s="333"/>
      <c r="C333" s="333"/>
      <c r="D333" s="333"/>
      <c r="E333" s="333"/>
      <c r="F333" s="333"/>
      <c r="G333" s="333"/>
      <c r="H333" s="333"/>
      <c r="I333" s="333"/>
      <c r="J333" s="333"/>
      <c r="K333" s="333"/>
      <c r="L333" s="333"/>
      <c r="M333" s="333"/>
      <c r="N333" s="333"/>
      <c r="O333" s="333"/>
      <c r="P333" s="333"/>
      <c r="Q333" s="333"/>
      <c r="R333" s="333"/>
      <c r="S333" s="333"/>
      <c r="T333" s="333"/>
      <c r="U333" s="333"/>
      <c r="V333" s="333"/>
      <c r="W333" s="333"/>
      <c r="X333" s="333"/>
      <c r="Y333" s="333"/>
      <c r="Z333" s="333"/>
    </row>
    <row r="334" spans="1:26">
      <c r="A334" s="348"/>
      <c r="B334" s="333"/>
      <c r="C334" s="333"/>
      <c r="D334" s="333"/>
      <c r="E334" s="333"/>
      <c r="F334" s="333"/>
      <c r="G334" s="333"/>
      <c r="H334" s="333"/>
      <c r="I334" s="333"/>
      <c r="J334" s="333"/>
      <c r="K334" s="333"/>
      <c r="L334" s="333"/>
      <c r="M334" s="333"/>
      <c r="N334" s="333"/>
      <c r="O334" s="333"/>
      <c r="P334" s="333"/>
      <c r="Q334" s="333"/>
      <c r="R334" s="333"/>
      <c r="S334" s="333"/>
      <c r="T334" s="333"/>
      <c r="U334" s="333"/>
      <c r="V334" s="333"/>
      <c r="W334" s="333"/>
      <c r="X334" s="333"/>
      <c r="Y334" s="333"/>
      <c r="Z334" s="333"/>
    </row>
    <row r="335" spans="1:26">
      <c r="A335" s="348"/>
      <c r="B335" s="333"/>
      <c r="C335" s="333"/>
      <c r="D335" s="333"/>
      <c r="E335" s="333"/>
      <c r="F335" s="333"/>
      <c r="G335" s="333"/>
      <c r="H335" s="333"/>
      <c r="I335" s="333"/>
      <c r="J335" s="333"/>
      <c r="K335" s="333"/>
      <c r="L335" s="333"/>
      <c r="M335" s="333"/>
      <c r="N335" s="333"/>
      <c r="O335" s="333"/>
      <c r="P335" s="333"/>
      <c r="Q335" s="333"/>
      <c r="R335" s="333"/>
      <c r="S335" s="333"/>
      <c r="T335" s="333"/>
      <c r="U335" s="333"/>
      <c r="V335" s="333"/>
      <c r="W335" s="333"/>
      <c r="X335" s="333"/>
      <c r="Y335" s="333"/>
      <c r="Z335" s="333"/>
    </row>
    <row r="336" spans="1:26">
      <c r="A336" s="348"/>
      <c r="B336" s="333"/>
      <c r="C336" s="333"/>
      <c r="D336" s="333"/>
      <c r="E336" s="333"/>
      <c r="F336" s="333"/>
      <c r="G336" s="333"/>
      <c r="H336" s="333"/>
      <c r="I336" s="333"/>
      <c r="J336" s="333"/>
      <c r="K336" s="333"/>
      <c r="L336" s="333"/>
      <c r="M336" s="333"/>
      <c r="N336" s="333"/>
      <c r="O336" s="333"/>
      <c r="P336" s="333"/>
      <c r="Q336" s="333"/>
      <c r="R336" s="333"/>
      <c r="S336" s="333"/>
      <c r="T336" s="333"/>
      <c r="U336" s="333"/>
      <c r="V336" s="333"/>
      <c r="W336" s="333"/>
      <c r="X336" s="333"/>
      <c r="Y336" s="333"/>
      <c r="Z336" s="333"/>
    </row>
    <row r="337" spans="1:26">
      <c r="A337" s="348"/>
      <c r="B337" s="333"/>
      <c r="C337" s="333"/>
      <c r="D337" s="333"/>
      <c r="E337" s="333"/>
      <c r="F337" s="333"/>
      <c r="G337" s="333"/>
      <c r="H337" s="333"/>
      <c r="I337" s="333"/>
      <c r="J337" s="333"/>
      <c r="K337" s="333"/>
      <c r="L337" s="333"/>
      <c r="M337" s="333"/>
      <c r="N337" s="333"/>
      <c r="O337" s="333"/>
      <c r="P337" s="333"/>
      <c r="Q337" s="333"/>
      <c r="R337" s="333"/>
      <c r="S337" s="333"/>
      <c r="T337" s="333"/>
      <c r="U337" s="333"/>
      <c r="V337" s="333"/>
      <c r="W337" s="333"/>
      <c r="X337" s="333"/>
      <c r="Y337" s="333"/>
      <c r="Z337" s="333"/>
    </row>
    <row r="338" spans="1:26">
      <c r="A338" s="348"/>
      <c r="B338" s="333"/>
      <c r="C338" s="333"/>
      <c r="D338" s="333"/>
      <c r="E338" s="333"/>
      <c r="F338" s="333"/>
      <c r="G338" s="333"/>
      <c r="H338" s="333"/>
      <c r="I338" s="333"/>
      <c r="J338" s="333"/>
      <c r="K338" s="333"/>
      <c r="L338" s="333"/>
      <c r="M338" s="333"/>
      <c r="N338" s="333"/>
      <c r="O338" s="333"/>
      <c r="P338" s="333"/>
      <c r="Q338" s="333"/>
      <c r="R338" s="333"/>
      <c r="S338" s="333"/>
      <c r="T338" s="333"/>
      <c r="U338" s="333"/>
      <c r="V338" s="333"/>
      <c r="W338" s="333"/>
      <c r="X338" s="333"/>
      <c r="Y338" s="333"/>
      <c r="Z338" s="333"/>
    </row>
    <row r="339" spans="1:26">
      <c r="A339" s="348"/>
      <c r="B339" s="333"/>
      <c r="C339" s="333"/>
      <c r="D339" s="333"/>
      <c r="E339" s="333"/>
      <c r="F339" s="333"/>
      <c r="G339" s="333"/>
      <c r="H339" s="333"/>
      <c r="I339" s="333"/>
      <c r="J339" s="333"/>
      <c r="K339" s="333"/>
      <c r="L339" s="333"/>
      <c r="M339" s="333"/>
      <c r="N339" s="333"/>
      <c r="O339" s="333"/>
      <c r="P339" s="333"/>
      <c r="Q339" s="333"/>
      <c r="R339" s="333"/>
      <c r="S339" s="333"/>
      <c r="T339" s="333"/>
      <c r="U339" s="333"/>
      <c r="V339" s="333"/>
      <c r="W339" s="333"/>
      <c r="X339" s="333"/>
      <c r="Y339" s="333"/>
      <c r="Z339" s="333"/>
    </row>
    <row r="340" spans="1:26">
      <c r="A340" s="348"/>
      <c r="B340" s="333"/>
      <c r="C340" s="333"/>
      <c r="D340" s="333"/>
      <c r="E340" s="333"/>
      <c r="F340" s="333"/>
      <c r="G340" s="333"/>
      <c r="H340" s="333"/>
      <c r="I340" s="333"/>
      <c r="J340" s="333"/>
      <c r="K340" s="333"/>
      <c r="L340" s="333"/>
      <c r="M340" s="333"/>
      <c r="N340" s="333"/>
      <c r="O340" s="333"/>
      <c r="P340" s="333"/>
      <c r="Q340" s="333"/>
      <c r="R340" s="333"/>
      <c r="S340" s="333"/>
      <c r="T340" s="333"/>
      <c r="U340" s="333"/>
      <c r="V340" s="333"/>
      <c r="W340" s="333"/>
      <c r="X340" s="333"/>
      <c r="Y340" s="333"/>
      <c r="Z340" s="333"/>
    </row>
    <row r="341" spans="1:26">
      <c r="A341" s="348"/>
      <c r="B341" s="333"/>
      <c r="C341" s="333"/>
      <c r="D341" s="333"/>
      <c r="E341" s="333"/>
      <c r="F341" s="333"/>
      <c r="G341" s="333"/>
      <c r="H341" s="333"/>
      <c r="I341" s="333"/>
      <c r="J341" s="333"/>
      <c r="K341" s="333"/>
      <c r="L341" s="333"/>
      <c r="M341" s="333"/>
      <c r="N341" s="333"/>
      <c r="O341" s="333"/>
      <c r="P341" s="333"/>
      <c r="Q341" s="333"/>
      <c r="R341" s="333"/>
      <c r="S341" s="333"/>
      <c r="T341" s="333"/>
      <c r="U341" s="333"/>
      <c r="V341" s="333"/>
      <c r="W341" s="333"/>
      <c r="X341" s="333"/>
      <c r="Y341" s="333"/>
      <c r="Z341" s="333"/>
    </row>
    <row r="342" spans="1:26">
      <c r="A342" s="348"/>
      <c r="B342" s="333"/>
      <c r="C342" s="333"/>
      <c r="D342" s="333"/>
      <c r="E342" s="333"/>
      <c r="F342" s="333"/>
      <c r="G342" s="333"/>
      <c r="H342" s="333"/>
      <c r="I342" s="333"/>
      <c r="J342" s="333"/>
      <c r="K342" s="333"/>
      <c r="L342" s="333"/>
      <c r="M342" s="333"/>
      <c r="N342" s="333"/>
      <c r="O342" s="333"/>
      <c r="P342" s="333"/>
      <c r="Q342" s="333"/>
      <c r="R342" s="333"/>
      <c r="S342" s="333"/>
      <c r="T342" s="333"/>
      <c r="U342" s="333"/>
      <c r="V342" s="333"/>
      <c r="W342" s="333"/>
      <c r="X342" s="333"/>
      <c r="Y342" s="333"/>
      <c r="Z342" s="333"/>
    </row>
    <row r="343" spans="1:26">
      <c r="A343" s="348"/>
      <c r="B343" s="333"/>
      <c r="C343" s="333"/>
      <c r="D343" s="333"/>
      <c r="E343" s="333"/>
      <c r="F343" s="333"/>
      <c r="G343" s="333"/>
      <c r="H343" s="333"/>
      <c r="I343" s="333"/>
      <c r="J343" s="333"/>
      <c r="K343" s="333"/>
      <c r="L343" s="333"/>
      <c r="M343" s="333"/>
      <c r="N343" s="333"/>
      <c r="O343" s="333"/>
      <c r="P343" s="333"/>
      <c r="Q343" s="333"/>
      <c r="R343" s="333"/>
      <c r="S343" s="333"/>
      <c r="T343" s="333"/>
      <c r="U343" s="333"/>
      <c r="V343" s="333"/>
      <c r="W343" s="333"/>
      <c r="X343" s="333"/>
      <c r="Y343" s="333"/>
      <c r="Z343" s="333"/>
    </row>
    <row r="344" spans="1:26">
      <c r="A344" s="348"/>
      <c r="B344" s="333"/>
      <c r="C344" s="333"/>
      <c r="D344" s="333"/>
      <c r="E344" s="333"/>
      <c r="F344" s="333"/>
      <c r="G344" s="333"/>
      <c r="H344" s="333"/>
      <c r="I344" s="333"/>
      <c r="J344" s="333"/>
      <c r="K344" s="333"/>
      <c r="L344" s="333"/>
      <c r="M344" s="333"/>
      <c r="N344" s="333"/>
      <c r="O344" s="333"/>
      <c r="P344" s="333"/>
      <c r="Q344" s="333"/>
      <c r="R344" s="333"/>
      <c r="S344" s="333"/>
      <c r="T344" s="333"/>
      <c r="U344" s="333"/>
      <c r="V344" s="333"/>
      <c r="W344" s="333"/>
      <c r="X344" s="333"/>
      <c r="Y344" s="333"/>
      <c r="Z344" s="333"/>
    </row>
    <row r="345" spans="1:26">
      <c r="A345" s="348"/>
      <c r="B345" s="333"/>
      <c r="C345" s="333"/>
      <c r="D345" s="333"/>
      <c r="E345" s="333"/>
      <c r="F345" s="333"/>
      <c r="G345" s="333"/>
      <c r="H345" s="333"/>
      <c r="I345" s="333"/>
      <c r="J345" s="333"/>
      <c r="K345" s="333"/>
      <c r="L345" s="333"/>
      <c r="M345" s="333"/>
      <c r="N345" s="333"/>
      <c r="O345" s="333"/>
      <c r="P345" s="333"/>
      <c r="Q345" s="333"/>
      <c r="R345" s="333"/>
      <c r="S345" s="333"/>
      <c r="T345" s="333"/>
      <c r="U345" s="333"/>
      <c r="V345" s="333"/>
      <c r="W345" s="333"/>
      <c r="X345" s="333"/>
      <c r="Y345" s="333"/>
      <c r="Z345" s="333"/>
    </row>
    <row r="346" spans="1:26">
      <c r="A346" s="348"/>
      <c r="B346" s="333"/>
      <c r="C346" s="333"/>
      <c r="D346" s="333"/>
      <c r="E346" s="333"/>
      <c r="F346" s="333"/>
      <c r="G346" s="333"/>
      <c r="H346" s="333"/>
      <c r="I346" s="333"/>
      <c r="J346" s="333"/>
      <c r="K346" s="333"/>
      <c r="L346" s="333"/>
      <c r="M346" s="333"/>
      <c r="N346" s="333"/>
      <c r="O346" s="333"/>
      <c r="P346" s="333"/>
      <c r="Q346" s="333"/>
      <c r="R346" s="333"/>
      <c r="S346" s="333"/>
      <c r="T346" s="333"/>
      <c r="U346" s="333"/>
      <c r="V346" s="333"/>
      <c r="W346" s="333"/>
      <c r="X346" s="333"/>
      <c r="Y346" s="333"/>
      <c r="Z346" s="333"/>
    </row>
    <row r="347" spans="1:26">
      <c r="A347" s="348"/>
      <c r="B347" s="333"/>
      <c r="C347" s="333"/>
      <c r="D347" s="333"/>
      <c r="E347" s="333"/>
      <c r="F347" s="333"/>
      <c r="G347" s="333"/>
      <c r="H347" s="333"/>
      <c r="I347" s="333"/>
      <c r="J347" s="333"/>
      <c r="K347" s="333"/>
      <c r="L347" s="333"/>
      <c r="M347" s="333"/>
      <c r="N347" s="333"/>
      <c r="O347" s="333"/>
      <c r="P347" s="333"/>
      <c r="Q347" s="333"/>
      <c r="R347" s="333"/>
      <c r="S347" s="333"/>
      <c r="T347" s="333"/>
      <c r="U347" s="333"/>
      <c r="V347" s="333"/>
      <c r="W347" s="333"/>
      <c r="X347" s="333"/>
      <c r="Y347" s="333"/>
      <c r="Z347" s="333"/>
    </row>
    <row r="348" spans="1:26">
      <c r="A348" s="348"/>
      <c r="B348" s="333"/>
      <c r="C348" s="333"/>
      <c r="D348" s="333"/>
      <c r="E348" s="333"/>
      <c r="F348" s="333"/>
      <c r="G348" s="333"/>
      <c r="H348" s="333"/>
      <c r="I348" s="333"/>
      <c r="J348" s="333"/>
      <c r="K348" s="333"/>
      <c r="L348" s="333"/>
      <c r="M348" s="333"/>
      <c r="N348" s="333"/>
      <c r="O348" s="333"/>
      <c r="P348" s="333"/>
      <c r="Q348" s="333"/>
      <c r="R348" s="333"/>
      <c r="S348" s="333"/>
      <c r="T348" s="333"/>
      <c r="U348" s="333"/>
      <c r="V348" s="333"/>
      <c r="W348" s="333"/>
      <c r="X348" s="333"/>
      <c r="Y348" s="333"/>
      <c r="Z348" s="333"/>
    </row>
    <row r="349" spans="1:26">
      <c r="A349" s="348"/>
      <c r="B349" s="333"/>
      <c r="C349" s="333"/>
      <c r="D349" s="333"/>
      <c r="E349" s="333"/>
      <c r="F349" s="333"/>
      <c r="G349" s="333"/>
      <c r="H349" s="333"/>
      <c r="I349" s="333"/>
      <c r="J349" s="333"/>
      <c r="K349" s="333"/>
      <c r="L349" s="333"/>
      <c r="M349" s="333"/>
      <c r="N349" s="333"/>
      <c r="O349" s="333"/>
      <c r="P349" s="333"/>
      <c r="Q349" s="333"/>
      <c r="R349" s="333"/>
      <c r="S349" s="333"/>
      <c r="T349" s="333"/>
      <c r="U349" s="333"/>
      <c r="V349" s="333"/>
      <c r="W349" s="333"/>
      <c r="X349" s="333"/>
      <c r="Y349" s="333"/>
      <c r="Z349" s="333"/>
    </row>
    <row r="350" spans="1:26">
      <c r="A350" s="348"/>
      <c r="B350" s="333"/>
      <c r="C350" s="333"/>
      <c r="D350" s="333"/>
      <c r="E350" s="333"/>
      <c r="F350" s="333"/>
      <c r="G350" s="333"/>
      <c r="H350" s="333"/>
      <c r="I350" s="333"/>
      <c r="J350" s="333"/>
      <c r="K350" s="333"/>
      <c r="L350" s="333"/>
      <c r="M350" s="333"/>
      <c r="N350" s="333"/>
      <c r="O350" s="333"/>
      <c r="P350" s="333"/>
      <c r="Q350" s="333"/>
      <c r="R350" s="333"/>
      <c r="S350" s="333"/>
      <c r="T350" s="333"/>
      <c r="U350" s="333"/>
      <c r="V350" s="333"/>
      <c r="W350" s="333"/>
      <c r="X350" s="333"/>
      <c r="Y350" s="333"/>
      <c r="Z350" s="333"/>
    </row>
    <row r="351" spans="1:26">
      <c r="A351" s="348"/>
      <c r="B351" s="333"/>
      <c r="C351" s="333"/>
      <c r="D351" s="333"/>
      <c r="E351" s="333"/>
      <c r="F351" s="333"/>
      <c r="G351" s="333"/>
      <c r="H351" s="333"/>
      <c r="I351" s="333"/>
      <c r="J351" s="333"/>
      <c r="K351" s="333"/>
      <c r="L351" s="333"/>
      <c r="M351" s="333"/>
      <c r="N351" s="333"/>
      <c r="O351" s="333"/>
      <c r="P351" s="333"/>
      <c r="Q351" s="333"/>
      <c r="R351" s="333"/>
      <c r="S351" s="333"/>
      <c r="T351" s="333"/>
      <c r="U351" s="333"/>
      <c r="V351" s="333"/>
      <c r="W351" s="333"/>
      <c r="X351" s="333"/>
      <c r="Y351" s="333"/>
      <c r="Z351" s="333"/>
    </row>
    <row r="352" spans="1:26">
      <c r="A352" s="348"/>
      <c r="B352" s="333"/>
      <c r="C352" s="333"/>
      <c r="D352" s="333"/>
      <c r="E352" s="333"/>
      <c r="F352" s="333"/>
      <c r="G352" s="333"/>
      <c r="H352" s="333"/>
      <c r="I352" s="333"/>
      <c r="J352" s="333"/>
      <c r="K352" s="333"/>
      <c r="L352" s="333"/>
      <c r="M352" s="333"/>
      <c r="N352" s="333"/>
      <c r="O352" s="333"/>
      <c r="P352" s="333"/>
      <c r="Q352" s="333"/>
      <c r="R352" s="333"/>
      <c r="S352" s="333"/>
      <c r="T352" s="333"/>
      <c r="U352" s="333"/>
      <c r="V352" s="333"/>
      <c r="W352" s="333"/>
      <c r="X352" s="333"/>
      <c r="Y352" s="333"/>
      <c r="Z352" s="333"/>
    </row>
    <row r="353" spans="1:26">
      <c r="A353" s="348"/>
      <c r="B353" s="333"/>
      <c r="C353" s="333"/>
      <c r="D353" s="333"/>
      <c r="E353" s="333"/>
      <c r="F353" s="333"/>
      <c r="G353" s="333"/>
      <c r="H353" s="333"/>
      <c r="I353" s="333"/>
      <c r="J353" s="333"/>
      <c r="K353" s="333"/>
      <c r="L353" s="333"/>
      <c r="M353" s="333"/>
      <c r="N353" s="333"/>
      <c r="O353" s="333"/>
      <c r="P353" s="333"/>
      <c r="Q353" s="333"/>
      <c r="R353" s="333"/>
      <c r="S353" s="333"/>
      <c r="T353" s="333"/>
      <c r="U353" s="333"/>
      <c r="V353" s="333"/>
      <c r="W353" s="333"/>
      <c r="X353" s="333"/>
      <c r="Y353" s="333"/>
      <c r="Z353" s="333"/>
    </row>
    <row r="354" spans="1:26">
      <c r="A354" s="348"/>
      <c r="B354" s="333"/>
      <c r="C354" s="333"/>
      <c r="D354" s="333"/>
      <c r="E354" s="333"/>
      <c r="F354" s="333"/>
      <c r="G354" s="333"/>
      <c r="H354" s="333"/>
      <c r="I354" s="333"/>
      <c r="J354" s="333"/>
      <c r="K354" s="333"/>
      <c r="L354" s="333"/>
      <c r="M354" s="333"/>
      <c r="N354" s="333"/>
      <c r="O354" s="333"/>
      <c r="P354" s="333"/>
      <c r="Q354" s="333"/>
      <c r="R354" s="333"/>
      <c r="S354" s="333"/>
      <c r="T354" s="333"/>
      <c r="U354" s="333"/>
      <c r="V354" s="333"/>
      <c r="W354" s="333"/>
      <c r="X354" s="333"/>
      <c r="Y354" s="333"/>
      <c r="Z354" s="333"/>
    </row>
    <row r="355" spans="1:26">
      <c r="A355" s="348"/>
      <c r="B355" s="333"/>
      <c r="C355" s="333"/>
      <c r="D355" s="333"/>
      <c r="E355" s="333"/>
      <c r="F355" s="333"/>
      <c r="G355" s="333"/>
      <c r="H355" s="333"/>
      <c r="I355" s="333"/>
      <c r="J355" s="333"/>
      <c r="K355" s="333"/>
      <c r="L355" s="333"/>
      <c r="M355" s="333"/>
      <c r="N355" s="333"/>
      <c r="O355" s="333"/>
      <c r="P355" s="333"/>
      <c r="Q355" s="333"/>
      <c r="R355" s="333"/>
      <c r="S355" s="333"/>
      <c r="T355" s="333"/>
      <c r="U355" s="333"/>
      <c r="V355" s="333"/>
      <c r="W355" s="333"/>
      <c r="X355" s="333"/>
      <c r="Y355" s="333"/>
      <c r="Z355" s="333"/>
    </row>
    <row r="356" spans="1:26">
      <c r="A356" s="348"/>
      <c r="B356" s="333"/>
      <c r="C356" s="333"/>
      <c r="D356" s="333"/>
      <c r="E356" s="333"/>
      <c r="F356" s="333"/>
      <c r="G356" s="333"/>
      <c r="H356" s="333"/>
      <c r="I356" s="333"/>
      <c r="J356" s="333"/>
      <c r="K356" s="333"/>
      <c r="L356" s="333"/>
      <c r="M356" s="333"/>
      <c r="N356" s="333"/>
      <c r="O356" s="333"/>
      <c r="P356" s="333"/>
      <c r="Q356" s="333"/>
      <c r="R356" s="333"/>
      <c r="S356" s="333"/>
      <c r="T356" s="333"/>
      <c r="U356" s="333"/>
      <c r="V356" s="333"/>
      <c r="W356" s="333"/>
      <c r="X356" s="333"/>
      <c r="Y356" s="333"/>
      <c r="Z356" s="333"/>
    </row>
    <row r="357" spans="1:26">
      <c r="A357" s="348"/>
      <c r="B357" s="333"/>
      <c r="C357" s="333"/>
      <c r="D357" s="333"/>
      <c r="E357" s="333"/>
      <c r="F357" s="333"/>
      <c r="G357" s="333"/>
      <c r="H357" s="333"/>
      <c r="I357" s="333"/>
      <c r="J357" s="333"/>
      <c r="K357" s="333"/>
      <c r="L357" s="333"/>
      <c r="M357" s="333"/>
      <c r="N357" s="333"/>
      <c r="O357" s="333"/>
      <c r="P357" s="333"/>
      <c r="Q357" s="333"/>
      <c r="R357" s="333"/>
      <c r="S357" s="333"/>
      <c r="T357" s="333"/>
      <c r="U357" s="333"/>
      <c r="V357" s="333"/>
      <c r="W357" s="333"/>
      <c r="X357" s="333"/>
      <c r="Y357" s="333"/>
      <c r="Z357" s="333"/>
    </row>
    <row r="358" spans="1:26">
      <c r="A358" s="348"/>
      <c r="B358" s="333"/>
      <c r="C358" s="333"/>
      <c r="D358" s="333"/>
      <c r="E358" s="333"/>
      <c r="F358" s="333"/>
      <c r="G358" s="333"/>
      <c r="H358" s="333"/>
      <c r="I358" s="333"/>
      <c r="J358" s="333"/>
      <c r="K358" s="333"/>
      <c r="L358" s="333"/>
      <c r="M358" s="333"/>
      <c r="N358" s="333"/>
      <c r="O358" s="333"/>
      <c r="P358" s="333"/>
      <c r="Q358" s="333"/>
      <c r="R358" s="333"/>
      <c r="S358" s="333"/>
      <c r="T358" s="333"/>
      <c r="U358" s="333"/>
      <c r="V358" s="333"/>
      <c r="W358" s="333"/>
      <c r="X358" s="333"/>
      <c r="Y358" s="333"/>
      <c r="Z358" s="333"/>
    </row>
    <row r="359" spans="1:26">
      <c r="A359" s="348"/>
      <c r="B359" s="333"/>
      <c r="C359" s="333"/>
      <c r="D359" s="333"/>
      <c r="E359" s="333"/>
      <c r="F359" s="333"/>
      <c r="G359" s="333"/>
      <c r="H359" s="333"/>
      <c r="I359" s="333"/>
      <c r="J359" s="333"/>
      <c r="K359" s="333"/>
      <c r="L359" s="333"/>
      <c r="M359" s="333"/>
      <c r="N359" s="333"/>
      <c r="O359" s="333"/>
      <c r="P359" s="333"/>
      <c r="Q359" s="333"/>
      <c r="R359" s="333"/>
      <c r="S359" s="333"/>
      <c r="T359" s="333"/>
      <c r="U359" s="333"/>
      <c r="V359" s="333"/>
      <c r="W359" s="333"/>
      <c r="X359" s="333"/>
      <c r="Y359" s="333"/>
      <c r="Z359" s="333"/>
    </row>
    <row r="360" spans="1:26">
      <c r="A360" s="348"/>
      <c r="B360" s="333"/>
      <c r="C360" s="333"/>
      <c r="D360" s="333"/>
      <c r="E360" s="333"/>
      <c r="F360" s="333"/>
      <c r="G360" s="333"/>
      <c r="H360" s="333"/>
      <c r="I360" s="333"/>
      <c r="J360" s="333"/>
      <c r="K360" s="333"/>
      <c r="L360" s="333"/>
      <c r="M360" s="333"/>
      <c r="N360" s="333"/>
      <c r="O360" s="333"/>
      <c r="P360" s="333"/>
      <c r="Q360" s="333"/>
      <c r="R360" s="333"/>
      <c r="S360" s="333"/>
      <c r="T360" s="333"/>
      <c r="U360" s="333"/>
      <c r="V360" s="333"/>
      <c r="W360" s="333"/>
      <c r="X360" s="333"/>
      <c r="Y360" s="333"/>
      <c r="Z360" s="333"/>
    </row>
    <row r="361" spans="1:26">
      <c r="A361" s="348"/>
      <c r="B361" s="333"/>
      <c r="C361" s="333"/>
      <c r="D361" s="333"/>
      <c r="E361" s="333"/>
      <c r="F361" s="333"/>
      <c r="G361" s="333"/>
      <c r="H361" s="333"/>
      <c r="I361" s="333"/>
      <c r="J361" s="333"/>
      <c r="K361" s="333"/>
      <c r="L361" s="333"/>
      <c r="M361" s="333"/>
      <c r="N361" s="333"/>
      <c r="O361" s="333"/>
      <c r="P361" s="333"/>
      <c r="Q361" s="333"/>
      <c r="R361" s="333"/>
      <c r="S361" s="333"/>
      <c r="T361" s="333"/>
      <c r="U361" s="333"/>
      <c r="V361" s="333"/>
      <c r="W361" s="333"/>
      <c r="X361" s="333"/>
      <c r="Y361" s="333"/>
      <c r="Z361" s="333"/>
    </row>
    <row r="362" spans="1:26">
      <c r="A362" s="348"/>
      <c r="B362" s="333"/>
      <c r="C362" s="333"/>
      <c r="D362" s="333"/>
      <c r="E362" s="333"/>
      <c r="F362" s="333"/>
      <c r="G362" s="333"/>
      <c r="H362" s="333"/>
      <c r="I362" s="333"/>
      <c r="J362" s="333"/>
      <c r="K362" s="333"/>
      <c r="L362" s="333"/>
      <c r="M362" s="333"/>
      <c r="N362" s="333"/>
      <c r="O362" s="333"/>
      <c r="P362" s="333"/>
      <c r="Q362" s="333"/>
      <c r="R362" s="333"/>
      <c r="S362" s="333"/>
      <c r="T362" s="333"/>
      <c r="U362" s="333"/>
      <c r="V362" s="333"/>
      <c r="W362" s="333"/>
      <c r="X362" s="333"/>
      <c r="Y362" s="333"/>
      <c r="Z362" s="333"/>
    </row>
    <row r="363" spans="1:26">
      <c r="A363" s="348"/>
      <c r="B363" s="333"/>
      <c r="C363" s="333"/>
      <c r="D363" s="333"/>
      <c r="E363" s="333"/>
      <c r="F363" s="333"/>
      <c r="G363" s="333"/>
      <c r="H363" s="333"/>
      <c r="I363" s="333"/>
      <c r="J363" s="333"/>
      <c r="K363" s="333"/>
      <c r="L363" s="333"/>
      <c r="M363" s="333"/>
      <c r="N363" s="333"/>
      <c r="O363" s="333"/>
      <c r="P363" s="333"/>
      <c r="Q363" s="333"/>
      <c r="R363" s="333"/>
      <c r="S363" s="333"/>
      <c r="T363" s="333"/>
      <c r="U363" s="333"/>
      <c r="V363" s="333"/>
      <c r="W363" s="333"/>
      <c r="X363" s="333"/>
      <c r="Y363" s="333"/>
      <c r="Z363" s="333"/>
    </row>
    <row r="364" spans="1:26">
      <c r="A364" s="348"/>
      <c r="B364" s="333"/>
      <c r="C364" s="333"/>
      <c r="D364" s="333"/>
      <c r="E364" s="333"/>
      <c r="F364" s="333"/>
      <c r="G364" s="333"/>
      <c r="H364" s="333"/>
      <c r="I364" s="333"/>
      <c r="J364" s="333"/>
      <c r="K364" s="333"/>
      <c r="L364" s="333"/>
      <c r="M364" s="333"/>
      <c r="N364" s="333"/>
      <c r="O364" s="333"/>
      <c r="P364" s="333"/>
      <c r="Q364" s="333"/>
      <c r="R364" s="333"/>
      <c r="S364" s="333"/>
      <c r="T364" s="333"/>
      <c r="U364" s="333"/>
      <c r="V364" s="333"/>
      <c r="W364" s="333"/>
      <c r="X364" s="333"/>
      <c r="Y364" s="333"/>
      <c r="Z364" s="333"/>
    </row>
    <row r="365" spans="1:26">
      <c r="A365" s="348"/>
      <c r="B365" s="333"/>
      <c r="C365" s="333"/>
      <c r="D365" s="333"/>
      <c r="E365" s="333"/>
      <c r="F365" s="333"/>
      <c r="G365" s="333"/>
      <c r="H365" s="333"/>
      <c r="I365" s="333"/>
      <c r="J365" s="333"/>
      <c r="K365" s="333"/>
      <c r="L365" s="333"/>
      <c r="M365" s="333"/>
      <c r="N365" s="333"/>
      <c r="O365" s="333"/>
      <c r="P365" s="333"/>
      <c r="Q365" s="333"/>
      <c r="R365" s="333"/>
      <c r="S365" s="333"/>
      <c r="T365" s="333"/>
      <c r="U365" s="333"/>
      <c r="V365" s="333"/>
      <c r="W365" s="333"/>
      <c r="X365" s="333"/>
      <c r="Y365" s="333"/>
      <c r="Z365" s="333"/>
    </row>
    <row r="366" spans="1:26">
      <c r="A366" s="348"/>
      <c r="B366" s="333"/>
      <c r="C366" s="333"/>
      <c r="D366" s="333"/>
      <c r="E366" s="333"/>
      <c r="F366" s="333"/>
      <c r="G366" s="333"/>
      <c r="H366" s="333"/>
      <c r="I366" s="333"/>
      <c r="J366" s="333"/>
      <c r="K366" s="333"/>
      <c r="L366" s="333"/>
      <c r="M366" s="333"/>
      <c r="N366" s="333"/>
      <c r="O366" s="333"/>
      <c r="P366" s="333"/>
      <c r="Q366" s="333"/>
      <c r="R366" s="333"/>
      <c r="S366" s="333"/>
      <c r="T366" s="333"/>
      <c r="U366" s="333"/>
      <c r="V366" s="333"/>
      <c r="W366" s="333"/>
      <c r="X366" s="333"/>
      <c r="Y366" s="333"/>
      <c r="Z366" s="333"/>
    </row>
    <row r="367" spans="1:26">
      <c r="A367" s="348"/>
      <c r="B367" s="333"/>
      <c r="C367" s="333"/>
      <c r="D367" s="333"/>
      <c r="E367" s="333"/>
      <c r="F367" s="333"/>
      <c r="G367" s="333"/>
      <c r="H367" s="333"/>
      <c r="I367" s="333"/>
      <c r="J367" s="333"/>
      <c r="K367" s="333"/>
      <c r="L367" s="333"/>
      <c r="M367" s="333"/>
      <c r="N367" s="333"/>
      <c r="O367" s="333"/>
      <c r="P367" s="333"/>
      <c r="Q367" s="333"/>
      <c r="R367" s="333"/>
      <c r="S367" s="333"/>
      <c r="T367" s="333"/>
      <c r="U367" s="333"/>
      <c r="V367" s="333"/>
      <c r="W367" s="333"/>
      <c r="X367" s="333"/>
      <c r="Y367" s="333"/>
      <c r="Z367" s="333"/>
    </row>
    <row r="368" spans="1:26">
      <c r="A368" s="348"/>
      <c r="B368" s="333"/>
      <c r="C368" s="333"/>
      <c r="D368" s="333"/>
      <c r="E368" s="333"/>
      <c r="F368" s="333"/>
      <c r="G368" s="333"/>
      <c r="H368" s="333"/>
      <c r="I368" s="333"/>
      <c r="J368" s="333"/>
      <c r="K368" s="333"/>
      <c r="L368" s="333"/>
      <c r="M368" s="333"/>
      <c r="N368" s="333"/>
      <c r="O368" s="333"/>
      <c r="P368" s="333"/>
      <c r="Q368" s="333"/>
      <c r="R368" s="333"/>
      <c r="S368" s="333"/>
      <c r="T368" s="333"/>
      <c r="U368" s="333"/>
      <c r="V368" s="333"/>
      <c r="W368" s="333"/>
      <c r="X368" s="333"/>
      <c r="Y368" s="333"/>
      <c r="Z368" s="333"/>
    </row>
    <row r="369" spans="1:26">
      <c r="A369" s="348"/>
      <c r="B369" s="333"/>
      <c r="C369" s="333"/>
      <c r="D369" s="333"/>
      <c r="E369" s="333"/>
      <c r="F369" s="333"/>
      <c r="G369" s="333"/>
      <c r="H369" s="333"/>
      <c r="I369" s="333"/>
      <c r="J369" s="333"/>
      <c r="K369" s="333"/>
      <c r="L369" s="333"/>
      <c r="M369" s="333"/>
      <c r="N369" s="333"/>
      <c r="O369" s="333"/>
      <c r="P369" s="333"/>
      <c r="Q369" s="333"/>
      <c r="R369" s="333"/>
      <c r="S369" s="333"/>
      <c r="T369" s="333"/>
      <c r="U369" s="333"/>
      <c r="V369" s="333"/>
      <c r="W369" s="333"/>
      <c r="X369" s="333"/>
      <c r="Y369" s="333"/>
      <c r="Z369" s="333"/>
    </row>
    <row r="370" spans="1:26">
      <c r="A370" s="348"/>
      <c r="B370" s="333"/>
      <c r="C370" s="333"/>
      <c r="D370" s="333"/>
      <c r="E370" s="333"/>
      <c r="F370" s="333"/>
      <c r="G370" s="333"/>
      <c r="H370" s="333"/>
      <c r="I370" s="333"/>
      <c r="J370" s="333"/>
      <c r="K370" s="333"/>
      <c r="L370" s="333"/>
      <c r="M370" s="333"/>
      <c r="N370" s="333"/>
      <c r="O370" s="333"/>
      <c r="P370" s="333"/>
      <c r="Q370" s="333"/>
      <c r="R370" s="333"/>
      <c r="S370" s="333"/>
      <c r="T370" s="333"/>
      <c r="U370" s="333"/>
      <c r="V370" s="333"/>
      <c r="W370" s="333"/>
      <c r="X370" s="333"/>
      <c r="Y370" s="333"/>
      <c r="Z370" s="333"/>
    </row>
    <row r="371" spans="1:26">
      <c r="A371" s="348"/>
      <c r="B371" s="333"/>
      <c r="C371" s="333"/>
      <c r="D371" s="333"/>
      <c r="E371" s="333"/>
      <c r="F371" s="333"/>
      <c r="G371" s="333"/>
      <c r="H371" s="333"/>
      <c r="I371" s="333"/>
      <c r="J371" s="333"/>
      <c r="K371" s="333"/>
      <c r="L371" s="333"/>
      <c r="M371" s="333"/>
      <c r="N371" s="333"/>
      <c r="O371" s="333"/>
      <c r="P371" s="333"/>
      <c r="Q371" s="333"/>
      <c r="R371" s="333"/>
      <c r="S371" s="333"/>
      <c r="T371" s="333"/>
      <c r="U371" s="333"/>
      <c r="V371" s="333"/>
      <c r="W371" s="333"/>
      <c r="X371" s="333"/>
      <c r="Y371" s="333"/>
      <c r="Z371" s="333"/>
    </row>
    <row r="372" spans="1:26">
      <c r="A372" s="348"/>
      <c r="B372" s="333"/>
      <c r="C372" s="333"/>
      <c r="D372" s="333"/>
      <c r="E372" s="333"/>
      <c r="F372" s="333"/>
      <c r="G372" s="333"/>
      <c r="H372" s="333"/>
      <c r="I372" s="333"/>
      <c r="J372" s="333"/>
      <c r="K372" s="333"/>
      <c r="L372" s="333"/>
      <c r="M372" s="333"/>
      <c r="N372" s="333"/>
      <c r="O372" s="333"/>
      <c r="P372" s="333"/>
      <c r="Q372" s="333"/>
      <c r="R372" s="333"/>
      <c r="S372" s="333"/>
      <c r="T372" s="333"/>
      <c r="U372" s="333"/>
      <c r="V372" s="333"/>
      <c r="W372" s="333"/>
      <c r="X372" s="333"/>
      <c r="Y372" s="333"/>
      <c r="Z372" s="333"/>
    </row>
    <row r="373" spans="1:26">
      <c r="A373" s="348"/>
      <c r="B373" s="333"/>
      <c r="C373" s="333"/>
      <c r="D373" s="333"/>
      <c r="E373" s="333"/>
      <c r="F373" s="333"/>
      <c r="G373" s="333"/>
      <c r="H373" s="333"/>
      <c r="I373" s="333"/>
      <c r="J373" s="333"/>
      <c r="K373" s="333"/>
      <c r="L373" s="333"/>
      <c r="M373" s="333"/>
      <c r="N373" s="333"/>
      <c r="O373" s="333"/>
      <c r="P373" s="333"/>
      <c r="Q373" s="333"/>
      <c r="R373" s="333"/>
      <c r="S373" s="333"/>
      <c r="T373" s="333"/>
      <c r="U373" s="333"/>
      <c r="V373" s="333"/>
      <c r="W373" s="333"/>
      <c r="X373" s="333"/>
      <c r="Y373" s="333"/>
      <c r="Z373" s="333"/>
    </row>
    <row r="374" spans="1:26">
      <c r="A374" s="348"/>
      <c r="B374" s="333"/>
      <c r="C374" s="333"/>
      <c r="D374" s="333"/>
      <c r="E374" s="333"/>
      <c r="F374" s="333"/>
      <c r="G374" s="333"/>
      <c r="H374" s="333"/>
      <c r="I374" s="333"/>
      <c r="J374" s="333"/>
      <c r="K374" s="333"/>
      <c r="L374" s="333"/>
      <c r="M374" s="333"/>
      <c r="N374" s="333"/>
      <c r="O374" s="333"/>
      <c r="P374" s="333"/>
      <c r="Q374" s="333"/>
      <c r="R374" s="333"/>
      <c r="S374" s="333"/>
      <c r="T374" s="333"/>
      <c r="U374" s="333"/>
      <c r="V374" s="333"/>
      <c r="W374" s="333"/>
      <c r="X374" s="333"/>
      <c r="Y374" s="333"/>
      <c r="Z374" s="333"/>
    </row>
    <row r="375" spans="1:26">
      <c r="A375" s="348"/>
      <c r="B375" s="333"/>
      <c r="C375" s="333"/>
      <c r="D375" s="333"/>
      <c r="E375" s="333"/>
      <c r="F375" s="333"/>
      <c r="G375" s="333"/>
      <c r="H375" s="333"/>
      <c r="I375" s="333"/>
      <c r="J375" s="333"/>
      <c r="K375" s="333"/>
      <c r="L375" s="333"/>
      <c r="M375" s="333"/>
      <c r="N375" s="333"/>
      <c r="O375" s="333"/>
      <c r="P375" s="333"/>
      <c r="Q375" s="333"/>
      <c r="R375" s="333"/>
      <c r="S375" s="333"/>
      <c r="T375" s="333"/>
      <c r="U375" s="333"/>
      <c r="V375" s="333"/>
      <c r="W375" s="333"/>
      <c r="X375" s="333"/>
      <c r="Y375" s="333"/>
      <c r="Z375" s="333"/>
    </row>
    <row r="376" spans="1:26">
      <c r="A376" s="348"/>
      <c r="B376" s="333"/>
      <c r="C376" s="333"/>
      <c r="D376" s="333"/>
      <c r="E376" s="333"/>
      <c r="F376" s="333"/>
      <c r="G376" s="333"/>
      <c r="H376" s="333"/>
      <c r="I376" s="333"/>
      <c r="J376" s="333"/>
      <c r="K376" s="333"/>
      <c r="L376" s="333"/>
      <c r="M376" s="333"/>
      <c r="N376" s="333"/>
      <c r="O376" s="333"/>
      <c r="P376" s="333"/>
      <c r="Q376" s="333"/>
      <c r="R376" s="333"/>
      <c r="S376" s="333"/>
      <c r="T376" s="333"/>
      <c r="U376" s="333"/>
      <c r="V376" s="333"/>
      <c r="W376" s="333"/>
      <c r="X376" s="333"/>
      <c r="Y376" s="333"/>
      <c r="Z376" s="333"/>
    </row>
    <row r="377" spans="1:26">
      <c r="A377" s="348"/>
      <c r="B377" s="333"/>
      <c r="C377" s="333"/>
      <c r="D377" s="333"/>
      <c r="E377" s="333"/>
      <c r="F377" s="333"/>
      <c r="G377" s="333"/>
      <c r="H377" s="333"/>
      <c r="I377" s="333"/>
      <c r="J377" s="333"/>
      <c r="K377" s="333"/>
      <c r="L377" s="333"/>
      <c r="M377" s="333"/>
      <c r="N377" s="333"/>
      <c r="O377" s="333"/>
      <c r="P377" s="333"/>
      <c r="Q377" s="333"/>
      <c r="R377" s="333"/>
      <c r="S377" s="333"/>
      <c r="T377" s="333"/>
      <c r="U377" s="333"/>
      <c r="V377" s="333"/>
      <c r="W377" s="333"/>
      <c r="X377" s="333"/>
      <c r="Y377" s="333"/>
      <c r="Z377" s="333"/>
    </row>
    <row r="378" spans="1:26">
      <c r="A378" s="348"/>
      <c r="B378" s="333"/>
      <c r="C378" s="333"/>
      <c r="D378" s="333"/>
      <c r="E378" s="333"/>
      <c r="F378" s="333"/>
      <c r="G378" s="333"/>
      <c r="H378" s="333"/>
      <c r="I378" s="333"/>
      <c r="J378" s="333"/>
      <c r="K378" s="333"/>
      <c r="L378" s="333"/>
      <c r="M378" s="333"/>
      <c r="N378" s="333"/>
      <c r="O378" s="333"/>
      <c r="P378" s="333"/>
      <c r="Q378" s="333"/>
      <c r="R378" s="333"/>
      <c r="S378" s="333"/>
      <c r="T378" s="333"/>
      <c r="U378" s="333"/>
      <c r="V378" s="333"/>
      <c r="W378" s="333"/>
      <c r="X378" s="333"/>
      <c r="Y378" s="333"/>
      <c r="Z378" s="333"/>
    </row>
    <row r="379" spans="1:26">
      <c r="A379" s="348"/>
      <c r="B379" s="333"/>
      <c r="C379" s="333"/>
      <c r="D379" s="333"/>
      <c r="E379" s="333"/>
      <c r="F379" s="333"/>
      <c r="G379" s="333"/>
      <c r="H379" s="333"/>
      <c r="I379" s="333"/>
      <c r="J379" s="333"/>
      <c r="K379" s="333"/>
      <c r="L379" s="333"/>
      <c r="M379" s="333"/>
      <c r="N379" s="333"/>
      <c r="O379" s="333"/>
      <c r="P379" s="333"/>
      <c r="Q379" s="333"/>
      <c r="R379" s="333"/>
      <c r="S379" s="333"/>
      <c r="T379" s="333"/>
      <c r="U379" s="333"/>
      <c r="V379" s="333"/>
      <c r="W379" s="333"/>
      <c r="X379" s="333"/>
      <c r="Y379" s="333"/>
      <c r="Z379" s="333"/>
    </row>
    <row r="380" spans="1:26">
      <c r="A380" s="348"/>
      <c r="B380" s="333"/>
      <c r="C380" s="333"/>
      <c r="D380" s="333"/>
      <c r="E380" s="333"/>
      <c r="F380" s="333"/>
      <c r="G380" s="333"/>
      <c r="H380" s="333"/>
      <c r="I380" s="333"/>
      <c r="J380" s="333"/>
      <c r="K380" s="333"/>
      <c r="L380" s="333"/>
      <c r="M380" s="333"/>
      <c r="N380" s="333"/>
      <c r="O380" s="333"/>
      <c r="P380" s="333"/>
      <c r="Q380" s="333"/>
      <c r="R380" s="333"/>
      <c r="S380" s="333"/>
      <c r="T380" s="333"/>
      <c r="U380" s="333"/>
      <c r="V380" s="333"/>
      <c r="W380" s="333"/>
      <c r="X380" s="333"/>
      <c r="Y380" s="333"/>
      <c r="Z380" s="333"/>
    </row>
    <row r="381" spans="1:26">
      <c r="A381" s="348"/>
      <c r="B381" s="333"/>
      <c r="C381" s="333"/>
      <c r="D381" s="333"/>
      <c r="E381" s="333"/>
      <c r="F381" s="333"/>
      <c r="G381" s="333"/>
      <c r="H381" s="333"/>
      <c r="I381" s="333"/>
      <c r="J381" s="333"/>
      <c r="K381" s="333"/>
      <c r="L381" s="333"/>
      <c r="M381" s="333"/>
      <c r="N381" s="333"/>
      <c r="O381" s="333"/>
      <c r="P381" s="333"/>
      <c r="Q381" s="333"/>
      <c r="R381" s="333"/>
      <c r="S381" s="333"/>
      <c r="T381" s="333"/>
      <c r="U381" s="333"/>
      <c r="V381" s="333"/>
      <c r="W381" s="333"/>
      <c r="X381" s="333"/>
      <c r="Y381" s="333"/>
      <c r="Z381" s="333"/>
    </row>
    <row r="382" spans="1:26">
      <c r="A382" s="348"/>
      <c r="B382" s="333"/>
      <c r="C382" s="333"/>
      <c r="D382" s="333"/>
      <c r="E382" s="333"/>
      <c r="F382" s="333"/>
      <c r="G382" s="333"/>
      <c r="H382" s="333"/>
      <c r="I382" s="333"/>
      <c r="J382" s="333"/>
      <c r="K382" s="333"/>
      <c r="L382" s="333"/>
      <c r="M382" s="333"/>
      <c r="N382" s="333"/>
      <c r="O382" s="333"/>
      <c r="P382" s="333"/>
      <c r="Q382" s="333"/>
      <c r="R382" s="333"/>
      <c r="S382" s="333"/>
      <c r="T382" s="333"/>
      <c r="U382" s="333"/>
      <c r="V382" s="333"/>
      <c r="W382" s="333"/>
      <c r="X382" s="333"/>
      <c r="Y382" s="333"/>
      <c r="Z382" s="333"/>
    </row>
    <row r="383" spans="1:26">
      <c r="A383" s="348"/>
      <c r="B383" s="333"/>
      <c r="C383" s="333"/>
      <c r="D383" s="333"/>
      <c r="E383" s="333"/>
      <c r="F383" s="333"/>
      <c r="G383" s="333"/>
      <c r="H383" s="333"/>
      <c r="I383" s="333"/>
      <c r="J383" s="333"/>
      <c r="K383" s="333"/>
      <c r="L383" s="333"/>
      <c r="M383" s="333"/>
      <c r="N383" s="333"/>
      <c r="O383" s="333"/>
      <c r="P383" s="333"/>
      <c r="Q383" s="333"/>
      <c r="R383" s="333"/>
      <c r="S383" s="333"/>
      <c r="T383" s="333"/>
      <c r="U383" s="333"/>
      <c r="V383" s="333"/>
      <c r="W383" s="333"/>
      <c r="X383" s="333"/>
      <c r="Y383" s="333"/>
      <c r="Z383" s="333"/>
    </row>
    <row r="384" spans="1:26">
      <c r="A384" s="348"/>
      <c r="B384" s="333"/>
      <c r="C384" s="333"/>
      <c r="D384" s="333"/>
      <c r="E384" s="333"/>
      <c r="F384" s="333"/>
      <c r="G384" s="333"/>
      <c r="H384" s="333"/>
      <c r="I384" s="333"/>
      <c r="J384" s="333"/>
      <c r="K384" s="333"/>
      <c r="L384" s="333"/>
      <c r="M384" s="333"/>
      <c r="N384" s="333"/>
      <c r="O384" s="333"/>
      <c r="P384" s="333"/>
      <c r="Q384" s="333"/>
      <c r="R384" s="333"/>
      <c r="S384" s="333"/>
      <c r="T384" s="333"/>
      <c r="U384" s="333"/>
      <c r="V384" s="333"/>
      <c r="W384" s="333"/>
      <c r="X384" s="333"/>
      <c r="Y384" s="333"/>
      <c r="Z384" s="333"/>
    </row>
    <row r="385" spans="1:26">
      <c r="A385" s="348"/>
      <c r="B385" s="333"/>
      <c r="C385" s="333"/>
      <c r="D385" s="333"/>
      <c r="E385" s="333"/>
      <c r="F385" s="333"/>
      <c r="G385" s="333"/>
      <c r="H385" s="333"/>
      <c r="I385" s="333"/>
      <c r="J385" s="333"/>
      <c r="K385" s="333"/>
      <c r="L385" s="333"/>
      <c r="M385" s="333"/>
      <c r="N385" s="333"/>
      <c r="O385" s="333"/>
      <c r="P385" s="333"/>
      <c r="Q385" s="333"/>
      <c r="R385" s="333"/>
      <c r="S385" s="333"/>
      <c r="T385" s="333"/>
      <c r="U385" s="333"/>
      <c r="V385" s="333"/>
      <c r="W385" s="333"/>
      <c r="X385" s="333"/>
      <c r="Y385" s="333"/>
      <c r="Z385" s="333"/>
    </row>
    <row r="386" spans="1:26">
      <c r="A386" s="348"/>
      <c r="B386" s="333"/>
      <c r="C386" s="333"/>
      <c r="D386" s="333"/>
      <c r="E386" s="333"/>
      <c r="F386" s="333"/>
      <c r="G386" s="333"/>
      <c r="H386" s="333"/>
      <c r="I386" s="333"/>
      <c r="J386" s="333"/>
      <c r="K386" s="333"/>
      <c r="L386" s="333"/>
      <c r="M386" s="333"/>
      <c r="N386" s="333"/>
      <c r="O386" s="333"/>
      <c r="P386" s="333"/>
      <c r="Q386" s="333"/>
      <c r="R386" s="333"/>
      <c r="S386" s="333"/>
      <c r="T386" s="333"/>
      <c r="U386" s="333"/>
      <c r="V386" s="333"/>
      <c r="W386" s="333"/>
      <c r="X386" s="333"/>
      <c r="Y386" s="333"/>
      <c r="Z386" s="333"/>
    </row>
    <row r="387" spans="1:26">
      <c r="A387" s="348"/>
      <c r="B387" s="333"/>
      <c r="C387" s="333"/>
      <c r="D387" s="333"/>
      <c r="E387" s="333"/>
      <c r="F387" s="333"/>
      <c r="G387" s="333"/>
      <c r="H387" s="333"/>
      <c r="I387" s="333"/>
      <c r="J387" s="333"/>
      <c r="K387" s="333"/>
      <c r="L387" s="333"/>
      <c r="M387" s="333"/>
      <c r="N387" s="333"/>
      <c r="O387" s="333"/>
      <c r="P387" s="333"/>
      <c r="Q387" s="333"/>
      <c r="R387" s="333"/>
      <c r="S387" s="333"/>
      <c r="T387" s="333"/>
      <c r="U387" s="333"/>
      <c r="V387" s="333"/>
      <c r="W387" s="333"/>
      <c r="X387" s="333"/>
      <c r="Y387" s="333"/>
      <c r="Z387" s="333"/>
    </row>
    <row r="388" spans="1:26">
      <c r="A388" s="348"/>
      <c r="B388" s="333"/>
      <c r="C388" s="333"/>
      <c r="D388" s="333"/>
      <c r="E388" s="333"/>
      <c r="F388" s="333"/>
      <c r="G388" s="333"/>
      <c r="H388" s="333"/>
      <c r="I388" s="333"/>
      <c r="J388" s="333"/>
      <c r="K388" s="333"/>
      <c r="L388" s="333"/>
      <c r="M388" s="333"/>
      <c r="N388" s="333"/>
      <c r="O388" s="333"/>
      <c r="P388" s="333"/>
      <c r="Q388" s="333"/>
      <c r="R388" s="333"/>
      <c r="S388" s="333"/>
      <c r="T388" s="333"/>
      <c r="U388" s="333"/>
      <c r="V388" s="333"/>
      <c r="W388" s="333"/>
      <c r="X388" s="333"/>
      <c r="Y388" s="333"/>
      <c r="Z388" s="333"/>
    </row>
    <row r="389" spans="1:26">
      <c r="A389" s="348"/>
      <c r="B389" s="333"/>
      <c r="C389" s="333"/>
      <c r="D389" s="333"/>
      <c r="E389" s="333"/>
      <c r="F389" s="333"/>
      <c r="G389" s="333"/>
      <c r="H389" s="333"/>
      <c r="I389" s="333"/>
      <c r="J389" s="333"/>
      <c r="K389" s="333"/>
      <c r="L389" s="333"/>
      <c r="M389" s="333"/>
      <c r="N389" s="333"/>
      <c r="O389" s="333"/>
      <c r="P389" s="333"/>
      <c r="Q389" s="333"/>
      <c r="R389" s="333"/>
      <c r="S389" s="333"/>
      <c r="T389" s="333"/>
      <c r="U389" s="333"/>
      <c r="V389" s="333"/>
      <c r="W389" s="333"/>
      <c r="X389" s="333"/>
      <c r="Y389" s="333"/>
      <c r="Z389" s="333"/>
    </row>
    <row r="390" spans="1:26">
      <c r="A390" s="348"/>
      <c r="B390" s="333"/>
      <c r="C390" s="333"/>
      <c r="D390" s="333"/>
      <c r="E390" s="333"/>
      <c r="F390" s="333"/>
      <c r="G390" s="333"/>
      <c r="H390" s="333"/>
      <c r="I390" s="333"/>
      <c r="J390" s="333"/>
      <c r="K390" s="333"/>
      <c r="L390" s="333"/>
      <c r="M390" s="333"/>
      <c r="N390" s="333"/>
      <c r="O390" s="333"/>
      <c r="P390" s="333"/>
      <c r="Q390" s="333"/>
      <c r="R390" s="333"/>
      <c r="S390" s="333"/>
      <c r="T390" s="333"/>
      <c r="U390" s="333"/>
      <c r="V390" s="333"/>
      <c r="W390" s="333"/>
      <c r="X390" s="333"/>
      <c r="Y390" s="333"/>
      <c r="Z390" s="333"/>
    </row>
    <row r="391" spans="1:26">
      <c r="A391" s="348"/>
      <c r="B391" s="333"/>
      <c r="C391" s="333"/>
      <c r="D391" s="333"/>
      <c r="E391" s="333"/>
      <c r="F391" s="333"/>
      <c r="G391" s="333"/>
      <c r="H391" s="333"/>
      <c r="I391" s="333"/>
      <c r="J391" s="333"/>
      <c r="K391" s="333"/>
      <c r="L391" s="333"/>
      <c r="M391" s="333"/>
      <c r="N391" s="333"/>
      <c r="O391" s="333"/>
      <c r="P391" s="333"/>
      <c r="Q391" s="333"/>
      <c r="R391" s="333"/>
      <c r="S391" s="333"/>
      <c r="T391" s="333"/>
      <c r="U391" s="333"/>
      <c r="V391" s="333"/>
      <c r="W391" s="333"/>
      <c r="X391" s="333"/>
      <c r="Y391" s="333"/>
      <c r="Z391" s="333"/>
    </row>
    <row r="392" spans="1:26">
      <c r="A392" s="348"/>
      <c r="B392" s="333"/>
      <c r="C392" s="333"/>
      <c r="D392" s="333"/>
      <c r="E392" s="333"/>
      <c r="F392" s="333"/>
      <c r="G392" s="333"/>
      <c r="H392" s="333"/>
      <c r="I392" s="333"/>
      <c r="J392" s="333"/>
      <c r="K392" s="333"/>
      <c r="L392" s="333"/>
      <c r="M392" s="333"/>
      <c r="N392" s="333"/>
      <c r="O392" s="333"/>
      <c r="P392" s="333"/>
      <c r="Q392" s="333"/>
      <c r="R392" s="333"/>
      <c r="S392" s="333"/>
      <c r="T392" s="333"/>
      <c r="U392" s="333"/>
      <c r="V392" s="333"/>
      <c r="W392" s="333"/>
      <c r="X392" s="333"/>
      <c r="Y392" s="333"/>
      <c r="Z392" s="333"/>
    </row>
    <row r="393" spans="1:26">
      <c r="A393" s="348"/>
      <c r="B393" s="333"/>
      <c r="C393" s="333"/>
      <c r="D393" s="333"/>
      <c r="E393" s="333"/>
      <c r="F393" s="333"/>
      <c r="G393" s="333"/>
      <c r="H393" s="333"/>
      <c r="I393" s="333"/>
      <c r="J393" s="333"/>
      <c r="K393" s="333"/>
      <c r="L393" s="333"/>
      <c r="M393" s="333"/>
      <c r="N393" s="333"/>
      <c r="O393" s="333"/>
      <c r="P393" s="333"/>
      <c r="Q393" s="333"/>
      <c r="R393" s="333"/>
      <c r="S393" s="333"/>
      <c r="T393" s="333"/>
      <c r="U393" s="333"/>
      <c r="V393" s="333"/>
      <c r="W393" s="333"/>
      <c r="X393" s="333"/>
      <c r="Y393" s="333"/>
      <c r="Z393" s="333"/>
    </row>
    <row r="394" spans="1:26">
      <c r="A394" s="348"/>
      <c r="B394" s="333"/>
      <c r="C394" s="333"/>
      <c r="D394" s="333"/>
      <c r="E394" s="333"/>
      <c r="F394" s="333"/>
      <c r="G394" s="333"/>
      <c r="H394" s="333"/>
      <c r="I394" s="333"/>
      <c r="J394" s="333"/>
      <c r="K394" s="333"/>
      <c r="L394" s="333"/>
      <c r="M394" s="333"/>
      <c r="N394" s="333"/>
      <c r="O394" s="333"/>
      <c r="P394" s="333"/>
      <c r="Q394" s="333"/>
      <c r="R394" s="333"/>
      <c r="S394" s="333"/>
      <c r="T394" s="333"/>
      <c r="U394" s="333"/>
      <c r="V394" s="333"/>
      <c r="W394" s="333"/>
      <c r="X394" s="333"/>
      <c r="Y394" s="333"/>
      <c r="Z394" s="333"/>
    </row>
    <row r="395" spans="1:26">
      <c r="A395" s="348"/>
      <c r="B395" s="333"/>
      <c r="C395" s="333"/>
      <c r="D395" s="333"/>
      <c r="E395" s="333"/>
      <c r="F395" s="333"/>
      <c r="G395" s="333"/>
      <c r="H395" s="333"/>
      <c r="I395" s="333"/>
      <c r="J395" s="333"/>
      <c r="K395" s="333"/>
      <c r="L395" s="333"/>
      <c r="M395" s="333"/>
      <c r="N395" s="333"/>
      <c r="O395" s="333"/>
      <c r="P395" s="333"/>
      <c r="Q395" s="333"/>
      <c r="R395" s="333"/>
      <c r="S395" s="333"/>
      <c r="T395" s="333"/>
      <c r="U395" s="333"/>
      <c r="V395" s="333"/>
      <c r="W395" s="333"/>
      <c r="X395" s="333"/>
      <c r="Y395" s="333"/>
      <c r="Z395" s="333"/>
    </row>
    <row r="396" spans="1:26">
      <c r="A396" s="348"/>
      <c r="B396" s="333"/>
      <c r="C396" s="333"/>
      <c r="D396" s="333"/>
      <c r="E396" s="333"/>
      <c r="F396" s="333"/>
      <c r="G396" s="333"/>
      <c r="H396" s="333"/>
      <c r="I396" s="333"/>
      <c r="J396" s="333"/>
      <c r="K396" s="333"/>
      <c r="L396" s="333"/>
      <c r="M396" s="333"/>
      <c r="N396" s="333"/>
      <c r="O396" s="333"/>
      <c r="P396" s="333"/>
      <c r="Q396" s="333"/>
      <c r="R396" s="333"/>
      <c r="S396" s="333"/>
      <c r="T396" s="333"/>
      <c r="U396" s="333"/>
      <c r="V396" s="333"/>
      <c r="W396" s="333"/>
      <c r="X396" s="333"/>
      <c r="Y396" s="333"/>
      <c r="Z396" s="333"/>
    </row>
    <row r="397" spans="1:26">
      <c r="A397" s="348"/>
      <c r="B397" s="333"/>
      <c r="C397" s="333"/>
      <c r="D397" s="333"/>
      <c r="E397" s="333"/>
      <c r="F397" s="333"/>
      <c r="G397" s="333"/>
      <c r="H397" s="333"/>
      <c r="I397" s="333"/>
      <c r="J397" s="333"/>
      <c r="K397" s="333"/>
      <c r="L397" s="333"/>
      <c r="M397" s="333"/>
      <c r="N397" s="333"/>
      <c r="O397" s="333"/>
      <c r="P397" s="333"/>
      <c r="Q397" s="333"/>
      <c r="R397" s="333"/>
      <c r="S397" s="333"/>
      <c r="T397" s="333"/>
      <c r="U397" s="333"/>
      <c r="V397" s="333"/>
      <c r="W397" s="333"/>
      <c r="X397" s="333"/>
      <c r="Y397" s="333"/>
      <c r="Z397" s="333"/>
    </row>
    <row r="398" spans="1:26">
      <c r="A398" s="348"/>
      <c r="B398" s="333"/>
      <c r="C398" s="333"/>
      <c r="D398" s="333"/>
      <c r="E398" s="333"/>
      <c r="F398" s="333"/>
      <c r="G398" s="333"/>
      <c r="H398" s="333"/>
      <c r="I398" s="333"/>
      <c r="J398" s="333"/>
      <c r="K398" s="333"/>
      <c r="L398" s="333"/>
      <c r="M398" s="333"/>
      <c r="N398" s="333"/>
      <c r="O398" s="333"/>
      <c r="P398" s="333"/>
      <c r="Q398" s="333"/>
      <c r="R398" s="333"/>
      <c r="S398" s="333"/>
      <c r="T398" s="333"/>
      <c r="U398" s="333"/>
      <c r="V398" s="333"/>
      <c r="W398" s="333"/>
      <c r="X398" s="333"/>
      <c r="Y398" s="333"/>
      <c r="Z398" s="333"/>
    </row>
    <row r="399" spans="1:26">
      <c r="A399" s="348"/>
      <c r="B399" s="333"/>
      <c r="C399" s="333"/>
      <c r="D399" s="333"/>
      <c r="E399" s="333"/>
      <c r="F399" s="333"/>
      <c r="G399" s="333"/>
      <c r="H399" s="333"/>
      <c r="I399" s="333"/>
      <c r="J399" s="333"/>
      <c r="K399" s="333"/>
      <c r="L399" s="333"/>
      <c r="M399" s="333"/>
      <c r="N399" s="333"/>
      <c r="O399" s="333"/>
      <c r="P399" s="333"/>
      <c r="Q399" s="333"/>
      <c r="R399" s="333"/>
      <c r="S399" s="333"/>
      <c r="T399" s="333"/>
      <c r="U399" s="333"/>
      <c r="V399" s="333"/>
      <c r="W399" s="333"/>
      <c r="X399" s="333"/>
      <c r="Y399" s="333"/>
      <c r="Z399" s="333"/>
    </row>
    <row r="400" spans="1:26">
      <c r="A400" s="348"/>
      <c r="B400" s="333"/>
      <c r="C400" s="333"/>
      <c r="D400" s="333"/>
      <c r="E400" s="333"/>
      <c r="F400" s="333"/>
      <c r="G400" s="333"/>
      <c r="H400" s="333"/>
      <c r="I400" s="333"/>
      <c r="J400" s="333"/>
      <c r="K400" s="333"/>
      <c r="L400" s="333"/>
      <c r="M400" s="333"/>
      <c r="N400" s="333"/>
      <c r="O400" s="333"/>
      <c r="P400" s="333"/>
      <c r="Q400" s="333"/>
      <c r="R400" s="333"/>
      <c r="S400" s="333"/>
      <c r="T400" s="333"/>
      <c r="U400" s="333"/>
      <c r="V400" s="333"/>
      <c r="W400" s="333"/>
      <c r="X400" s="333"/>
      <c r="Y400" s="333"/>
      <c r="Z400" s="333"/>
    </row>
    <row r="401" spans="1:26">
      <c r="A401" s="348"/>
      <c r="B401" s="333"/>
      <c r="C401" s="333"/>
      <c r="D401" s="333"/>
      <c r="E401" s="333"/>
      <c r="F401" s="333"/>
      <c r="G401" s="333"/>
      <c r="H401" s="333"/>
      <c r="I401" s="333"/>
      <c r="J401" s="333"/>
      <c r="K401" s="333"/>
      <c r="L401" s="333"/>
      <c r="M401" s="333"/>
      <c r="N401" s="333"/>
      <c r="O401" s="333"/>
      <c r="P401" s="333"/>
      <c r="Q401" s="333"/>
      <c r="R401" s="333"/>
      <c r="S401" s="333"/>
      <c r="T401" s="333"/>
      <c r="U401" s="333"/>
      <c r="V401" s="333"/>
      <c r="W401" s="333"/>
      <c r="X401" s="333"/>
      <c r="Y401" s="333"/>
      <c r="Z401" s="333"/>
    </row>
    <row r="402" spans="1:26">
      <c r="A402" s="348"/>
      <c r="B402" s="333"/>
      <c r="C402" s="333"/>
      <c r="D402" s="333"/>
      <c r="E402" s="333"/>
      <c r="F402" s="333"/>
      <c r="G402" s="333"/>
      <c r="H402" s="333"/>
      <c r="I402" s="333"/>
      <c r="J402" s="333"/>
      <c r="K402" s="333"/>
      <c r="L402" s="333"/>
      <c r="M402" s="333"/>
      <c r="N402" s="333"/>
      <c r="O402" s="333"/>
      <c r="P402" s="333"/>
      <c r="Q402" s="333"/>
      <c r="R402" s="333"/>
      <c r="S402" s="333"/>
      <c r="T402" s="333"/>
      <c r="U402" s="333"/>
      <c r="V402" s="333"/>
      <c r="W402" s="333"/>
      <c r="X402" s="333"/>
      <c r="Y402" s="333"/>
      <c r="Z402" s="333"/>
    </row>
    <row r="403" spans="1:26">
      <c r="A403" s="348"/>
      <c r="B403" s="333"/>
      <c r="C403" s="333"/>
      <c r="D403" s="333"/>
      <c r="E403" s="333"/>
      <c r="F403" s="333"/>
      <c r="G403" s="333"/>
      <c r="H403" s="333"/>
      <c r="I403" s="333"/>
      <c r="J403" s="333"/>
      <c r="K403" s="333"/>
      <c r="L403" s="333"/>
      <c r="M403" s="333"/>
      <c r="N403" s="333"/>
      <c r="O403" s="333"/>
      <c r="P403" s="333"/>
      <c r="Q403" s="333"/>
      <c r="R403" s="333"/>
      <c r="S403" s="333"/>
      <c r="T403" s="333"/>
      <c r="U403" s="333"/>
      <c r="V403" s="333"/>
      <c r="W403" s="333"/>
      <c r="X403" s="333"/>
      <c r="Y403" s="333"/>
      <c r="Z403" s="333"/>
    </row>
    <row r="404" spans="1:26">
      <c r="A404" s="348"/>
      <c r="B404" s="333"/>
      <c r="C404" s="333"/>
      <c r="D404" s="333"/>
      <c r="E404" s="333"/>
      <c r="F404" s="333"/>
      <c r="G404" s="333"/>
      <c r="H404" s="333"/>
      <c r="I404" s="333"/>
      <c r="J404" s="333"/>
      <c r="K404" s="333"/>
      <c r="L404" s="333"/>
      <c r="M404" s="333"/>
      <c r="N404" s="333"/>
      <c r="O404" s="333"/>
      <c r="P404" s="333"/>
      <c r="Q404" s="333"/>
      <c r="R404" s="333"/>
      <c r="S404" s="333"/>
      <c r="T404" s="333"/>
      <c r="U404" s="333"/>
      <c r="V404" s="333"/>
      <c r="W404" s="333"/>
      <c r="X404" s="333"/>
      <c r="Y404" s="333"/>
      <c r="Z404" s="333"/>
    </row>
    <row r="405" spans="1:26">
      <c r="A405" s="348"/>
      <c r="B405" s="333"/>
      <c r="C405" s="333"/>
      <c r="D405" s="333"/>
      <c r="E405" s="333"/>
      <c r="F405" s="333"/>
      <c r="G405" s="333"/>
      <c r="H405" s="333"/>
      <c r="I405" s="333"/>
      <c r="J405" s="333"/>
      <c r="K405" s="333"/>
      <c r="L405" s="333"/>
      <c r="M405" s="333"/>
      <c r="N405" s="333"/>
      <c r="O405" s="333"/>
      <c r="P405" s="333"/>
      <c r="Q405" s="333"/>
      <c r="R405" s="333"/>
      <c r="S405" s="333"/>
      <c r="T405" s="333"/>
      <c r="U405" s="333"/>
      <c r="V405" s="333"/>
      <c r="W405" s="333"/>
      <c r="X405" s="333"/>
      <c r="Y405" s="333"/>
      <c r="Z405" s="333"/>
    </row>
    <row r="406" spans="1:26">
      <c r="A406" s="348"/>
      <c r="B406" s="333"/>
      <c r="C406" s="333"/>
      <c r="D406" s="333"/>
      <c r="E406" s="333"/>
      <c r="F406" s="333"/>
      <c r="G406" s="333"/>
      <c r="H406" s="333"/>
      <c r="I406" s="333"/>
      <c r="J406" s="333"/>
      <c r="K406" s="333"/>
      <c r="L406" s="333"/>
      <c r="M406" s="333"/>
      <c r="N406" s="333"/>
      <c r="O406" s="333"/>
      <c r="P406" s="333"/>
      <c r="Q406" s="333"/>
      <c r="R406" s="333"/>
      <c r="S406" s="333"/>
      <c r="T406" s="333"/>
      <c r="U406" s="333"/>
      <c r="V406" s="333"/>
      <c r="W406" s="333"/>
      <c r="X406" s="333"/>
      <c r="Y406" s="333"/>
      <c r="Z406" s="333"/>
    </row>
    <row r="407" spans="1:26">
      <c r="A407" s="348"/>
      <c r="B407" s="333"/>
      <c r="C407" s="333"/>
      <c r="D407" s="333"/>
      <c r="E407" s="333"/>
      <c r="F407" s="333"/>
      <c r="G407" s="333"/>
      <c r="H407" s="333"/>
      <c r="I407" s="333"/>
      <c r="J407" s="333"/>
      <c r="K407" s="333"/>
      <c r="L407" s="333"/>
      <c r="M407" s="333"/>
      <c r="N407" s="333"/>
      <c r="O407" s="333"/>
      <c r="P407" s="333"/>
      <c r="Q407" s="333"/>
      <c r="R407" s="333"/>
      <c r="S407" s="333"/>
      <c r="T407" s="333"/>
      <c r="U407" s="333"/>
      <c r="V407" s="333"/>
      <c r="W407" s="333"/>
      <c r="X407" s="333"/>
      <c r="Y407" s="333"/>
      <c r="Z407" s="333"/>
    </row>
    <row r="408" spans="1:26">
      <c r="A408" s="348"/>
      <c r="B408" s="333"/>
      <c r="C408" s="333"/>
      <c r="D408" s="333"/>
      <c r="E408" s="333"/>
      <c r="F408" s="333"/>
      <c r="G408" s="333"/>
      <c r="H408" s="333"/>
      <c r="I408" s="333"/>
      <c r="J408" s="333"/>
      <c r="K408" s="333"/>
      <c r="L408" s="333"/>
      <c r="M408" s="333"/>
      <c r="N408" s="333"/>
      <c r="O408" s="333"/>
      <c r="P408" s="333"/>
      <c r="Q408" s="333"/>
      <c r="R408" s="333"/>
      <c r="S408" s="333"/>
      <c r="T408" s="333"/>
      <c r="U408" s="333"/>
      <c r="V408" s="333"/>
      <c r="W408" s="333"/>
      <c r="X408" s="333"/>
      <c r="Y408" s="333"/>
      <c r="Z408" s="333"/>
    </row>
    <row r="409" spans="1:26">
      <c r="A409" s="348"/>
      <c r="B409" s="333"/>
      <c r="C409" s="333"/>
      <c r="D409" s="333"/>
      <c r="E409" s="333"/>
      <c r="F409" s="333"/>
      <c r="G409" s="333"/>
      <c r="H409" s="333"/>
      <c r="I409" s="333"/>
      <c r="J409" s="333"/>
      <c r="K409" s="333"/>
      <c r="L409" s="333"/>
      <c r="M409" s="333"/>
      <c r="N409" s="333"/>
      <c r="O409" s="333"/>
      <c r="P409" s="333"/>
      <c r="Q409" s="333"/>
      <c r="R409" s="333"/>
      <c r="S409" s="333"/>
      <c r="T409" s="333"/>
      <c r="U409" s="333"/>
      <c r="V409" s="333"/>
      <c r="W409" s="333"/>
      <c r="X409" s="333"/>
      <c r="Y409" s="333"/>
      <c r="Z409" s="333"/>
    </row>
    <row r="410" spans="1:26">
      <c r="A410" s="348"/>
      <c r="B410" s="333"/>
      <c r="C410" s="333"/>
      <c r="D410" s="333"/>
      <c r="E410" s="333"/>
      <c r="F410" s="333"/>
      <c r="G410" s="333"/>
      <c r="H410" s="333"/>
      <c r="I410" s="333"/>
      <c r="J410" s="333"/>
      <c r="K410" s="333"/>
      <c r="L410" s="333"/>
      <c r="M410" s="333"/>
      <c r="N410" s="333"/>
      <c r="O410" s="333"/>
      <c r="P410" s="333"/>
      <c r="Q410" s="333"/>
      <c r="R410" s="333"/>
      <c r="S410" s="333"/>
      <c r="T410" s="333"/>
      <c r="U410" s="333"/>
      <c r="V410" s="333"/>
      <c r="W410" s="333"/>
      <c r="X410" s="333"/>
      <c r="Y410" s="333"/>
      <c r="Z410" s="333"/>
    </row>
    <row r="411" spans="1:26">
      <c r="A411" s="348"/>
      <c r="B411" s="333"/>
      <c r="C411" s="333"/>
      <c r="D411" s="333"/>
      <c r="E411" s="333"/>
      <c r="F411" s="333"/>
      <c r="G411" s="333"/>
      <c r="H411" s="333"/>
      <c r="I411" s="333"/>
      <c r="J411" s="333"/>
      <c r="K411" s="333"/>
      <c r="L411" s="333"/>
      <c r="M411" s="333"/>
      <c r="N411" s="333"/>
      <c r="O411" s="333"/>
      <c r="P411" s="333"/>
      <c r="Q411" s="333"/>
      <c r="R411" s="333"/>
      <c r="S411" s="333"/>
      <c r="T411" s="333"/>
      <c r="U411" s="333"/>
      <c r="V411" s="333"/>
      <c r="W411" s="333"/>
      <c r="X411" s="333"/>
      <c r="Y411" s="333"/>
      <c r="Z411" s="333"/>
    </row>
    <row r="412" spans="1:26">
      <c r="A412" s="348"/>
      <c r="B412" s="333"/>
      <c r="C412" s="333"/>
      <c r="D412" s="333"/>
      <c r="E412" s="333"/>
      <c r="F412" s="333"/>
      <c r="G412" s="333"/>
      <c r="H412" s="333"/>
      <c r="I412" s="333"/>
      <c r="J412" s="333"/>
      <c r="K412" s="333"/>
      <c r="L412" s="333"/>
      <c r="M412" s="333"/>
      <c r="N412" s="333"/>
      <c r="O412" s="333"/>
      <c r="P412" s="333"/>
      <c r="Q412" s="333"/>
      <c r="R412" s="333"/>
      <c r="S412" s="333"/>
      <c r="T412" s="333"/>
      <c r="U412" s="333"/>
      <c r="V412" s="333"/>
      <c r="W412" s="333"/>
      <c r="X412" s="333"/>
      <c r="Y412" s="333"/>
      <c r="Z412" s="333"/>
    </row>
    <row r="413" spans="1:26">
      <c r="A413" s="348"/>
      <c r="B413" s="333"/>
      <c r="C413" s="333"/>
      <c r="D413" s="333"/>
      <c r="E413" s="333"/>
      <c r="F413" s="333"/>
      <c r="G413" s="333"/>
      <c r="H413" s="333"/>
      <c r="I413" s="333"/>
      <c r="J413" s="333"/>
      <c r="K413" s="333"/>
      <c r="L413" s="333"/>
      <c r="M413" s="333"/>
      <c r="N413" s="333"/>
      <c r="O413" s="333"/>
      <c r="P413" s="333"/>
      <c r="Q413" s="333"/>
      <c r="R413" s="333"/>
      <c r="S413" s="333"/>
      <c r="T413" s="333"/>
      <c r="U413" s="333"/>
      <c r="V413" s="333"/>
      <c r="W413" s="333"/>
      <c r="X413" s="333"/>
      <c r="Y413" s="333"/>
      <c r="Z413" s="333"/>
    </row>
    <row r="414" spans="1:26">
      <c r="A414" s="348"/>
      <c r="B414" s="333"/>
      <c r="C414" s="333"/>
      <c r="D414" s="333"/>
      <c r="E414" s="333"/>
      <c r="F414" s="333"/>
      <c r="G414" s="333"/>
      <c r="H414" s="333"/>
      <c r="I414" s="333"/>
      <c r="J414" s="333"/>
      <c r="K414" s="333"/>
      <c r="L414" s="333"/>
      <c r="M414" s="333"/>
      <c r="N414" s="333"/>
      <c r="O414" s="333"/>
      <c r="P414" s="333"/>
      <c r="Q414" s="333"/>
      <c r="R414" s="333"/>
      <c r="S414" s="333"/>
      <c r="T414" s="333"/>
      <c r="U414" s="333"/>
      <c r="V414" s="333"/>
      <c r="W414" s="333"/>
      <c r="X414" s="333"/>
      <c r="Y414" s="333"/>
      <c r="Z414" s="333"/>
    </row>
    <row r="415" spans="1:26">
      <c r="A415" s="348"/>
      <c r="B415" s="333"/>
      <c r="C415" s="333"/>
      <c r="D415" s="333"/>
      <c r="E415" s="333"/>
      <c r="F415" s="333"/>
      <c r="G415" s="333"/>
      <c r="H415" s="333"/>
      <c r="I415" s="333"/>
      <c r="J415" s="333"/>
      <c r="K415" s="333"/>
      <c r="L415" s="333"/>
      <c r="M415" s="333"/>
      <c r="N415" s="333"/>
      <c r="O415" s="333"/>
      <c r="P415" s="333"/>
      <c r="Q415" s="333"/>
      <c r="R415" s="333"/>
      <c r="S415" s="333"/>
      <c r="T415" s="333"/>
      <c r="U415" s="333"/>
      <c r="V415" s="333"/>
      <c r="W415" s="333"/>
      <c r="X415" s="333"/>
      <c r="Y415" s="333"/>
      <c r="Z415" s="333"/>
    </row>
    <row r="416" spans="1:26">
      <c r="A416" s="348"/>
      <c r="B416" s="333"/>
      <c r="C416" s="333"/>
      <c r="D416" s="333"/>
      <c r="E416" s="333"/>
      <c r="F416" s="333"/>
      <c r="G416" s="333"/>
      <c r="H416" s="333"/>
      <c r="I416" s="333"/>
      <c r="J416" s="333"/>
      <c r="K416" s="333"/>
      <c r="L416" s="333"/>
      <c r="M416" s="333"/>
      <c r="N416" s="333"/>
      <c r="O416" s="333"/>
      <c r="P416" s="333"/>
      <c r="Q416" s="333"/>
      <c r="R416" s="333"/>
      <c r="S416" s="333"/>
      <c r="T416" s="333"/>
      <c r="U416" s="333"/>
      <c r="V416" s="333"/>
      <c r="W416" s="333"/>
      <c r="X416" s="333"/>
      <c r="Y416" s="333"/>
      <c r="Z416" s="333"/>
    </row>
    <row r="417" spans="1:26">
      <c r="A417" s="348"/>
      <c r="B417" s="333"/>
      <c r="C417" s="333"/>
      <c r="D417" s="333"/>
      <c r="E417" s="333"/>
      <c r="F417" s="333"/>
      <c r="G417" s="333"/>
      <c r="H417" s="333"/>
      <c r="I417" s="333"/>
      <c r="J417" s="333"/>
      <c r="K417" s="333"/>
      <c r="L417" s="333"/>
      <c r="M417" s="333"/>
      <c r="N417" s="333"/>
      <c r="O417" s="333"/>
      <c r="P417" s="333"/>
      <c r="Q417" s="333"/>
      <c r="R417" s="333"/>
      <c r="S417" s="333"/>
      <c r="T417" s="333"/>
      <c r="U417" s="333"/>
      <c r="V417" s="333"/>
      <c r="W417" s="333"/>
      <c r="X417" s="333"/>
      <c r="Y417" s="333"/>
      <c r="Z417" s="333"/>
    </row>
    <row r="418" spans="1:26">
      <c r="A418" s="348"/>
      <c r="B418" s="333"/>
      <c r="C418" s="333"/>
      <c r="D418" s="333"/>
      <c r="E418" s="333"/>
      <c r="F418" s="333"/>
      <c r="G418" s="333"/>
      <c r="H418" s="333"/>
      <c r="I418" s="333"/>
      <c r="J418" s="333"/>
      <c r="K418" s="333"/>
      <c r="L418" s="333"/>
      <c r="M418" s="333"/>
      <c r="N418" s="333"/>
      <c r="O418" s="333"/>
      <c r="P418" s="333"/>
      <c r="Q418" s="333"/>
      <c r="R418" s="333"/>
      <c r="S418" s="333"/>
      <c r="T418" s="333"/>
      <c r="U418" s="333"/>
      <c r="V418" s="333"/>
      <c r="W418" s="333"/>
      <c r="X418" s="333"/>
      <c r="Y418" s="333"/>
      <c r="Z418" s="333"/>
    </row>
    <row r="419" spans="1:26">
      <c r="A419" s="348"/>
      <c r="B419" s="333"/>
      <c r="C419" s="333"/>
      <c r="D419" s="333"/>
      <c r="E419" s="333"/>
      <c r="F419" s="333"/>
      <c r="G419" s="333"/>
      <c r="H419" s="333"/>
      <c r="I419" s="333"/>
      <c r="J419" s="333"/>
      <c r="K419" s="333"/>
      <c r="L419" s="333"/>
      <c r="M419" s="333"/>
      <c r="N419" s="333"/>
      <c r="O419" s="333"/>
      <c r="P419" s="333"/>
      <c r="Q419" s="333"/>
      <c r="R419" s="333"/>
      <c r="S419" s="333"/>
      <c r="T419" s="333"/>
      <c r="U419" s="333"/>
      <c r="V419" s="333"/>
      <c r="W419" s="333"/>
      <c r="X419" s="333"/>
      <c r="Y419" s="333"/>
      <c r="Z419" s="333"/>
    </row>
    <row r="420" spans="1:26">
      <c r="A420" s="348"/>
      <c r="B420" s="333"/>
      <c r="C420" s="333"/>
      <c r="D420" s="333"/>
      <c r="E420" s="333"/>
      <c r="F420" s="333"/>
      <c r="G420" s="333"/>
      <c r="H420" s="333"/>
      <c r="I420" s="333"/>
      <c r="J420" s="333"/>
      <c r="K420" s="333"/>
      <c r="L420" s="333"/>
      <c r="M420" s="333"/>
      <c r="N420" s="333"/>
      <c r="O420" s="333"/>
      <c r="P420" s="333"/>
      <c r="Q420" s="333"/>
      <c r="R420" s="333"/>
      <c r="S420" s="333"/>
      <c r="T420" s="333"/>
      <c r="U420" s="333"/>
      <c r="V420" s="333"/>
      <c r="W420" s="333"/>
      <c r="X420" s="333"/>
      <c r="Y420" s="333"/>
      <c r="Z420" s="333"/>
    </row>
    <row r="421" spans="1:26">
      <c r="A421" s="348"/>
      <c r="B421" s="333"/>
      <c r="C421" s="333"/>
      <c r="D421" s="333"/>
      <c r="E421" s="333"/>
      <c r="F421" s="333"/>
      <c r="G421" s="333"/>
      <c r="H421" s="333"/>
      <c r="I421" s="333"/>
      <c r="J421" s="333"/>
      <c r="K421" s="333"/>
      <c r="L421" s="333"/>
      <c r="M421" s="333"/>
      <c r="N421" s="333"/>
      <c r="O421" s="333"/>
      <c r="P421" s="333"/>
      <c r="Q421" s="333"/>
      <c r="R421" s="333"/>
      <c r="S421" s="333"/>
      <c r="T421" s="333"/>
      <c r="U421" s="333"/>
      <c r="V421" s="333"/>
      <c r="W421" s="333"/>
      <c r="X421" s="333"/>
      <c r="Y421" s="333"/>
      <c r="Z421" s="333"/>
    </row>
    <row r="422" spans="1:26">
      <c r="A422" s="348"/>
      <c r="B422" s="333"/>
      <c r="C422" s="333"/>
      <c r="D422" s="333"/>
      <c r="E422" s="333"/>
      <c r="F422" s="333"/>
      <c r="G422" s="333"/>
      <c r="H422" s="333"/>
      <c r="I422" s="333"/>
      <c r="J422" s="333"/>
      <c r="K422" s="333"/>
      <c r="L422" s="333"/>
      <c r="M422" s="333"/>
      <c r="N422" s="333"/>
      <c r="O422" s="333"/>
      <c r="P422" s="333"/>
      <c r="Q422" s="333"/>
      <c r="R422" s="333"/>
      <c r="S422" s="333"/>
      <c r="T422" s="333"/>
      <c r="U422" s="333"/>
      <c r="V422" s="333"/>
      <c r="W422" s="333"/>
      <c r="X422" s="333"/>
      <c r="Y422" s="333"/>
      <c r="Z422" s="333"/>
    </row>
    <row r="423" spans="1:26">
      <c r="A423" s="348"/>
      <c r="B423" s="333"/>
      <c r="C423" s="333"/>
      <c r="D423" s="333"/>
      <c r="E423" s="333"/>
      <c r="F423" s="333"/>
      <c r="G423" s="333"/>
      <c r="H423" s="333"/>
      <c r="I423" s="333"/>
      <c r="J423" s="333"/>
      <c r="K423" s="333"/>
      <c r="L423" s="333"/>
      <c r="M423" s="333"/>
      <c r="N423" s="333"/>
      <c r="O423" s="333"/>
      <c r="P423" s="333"/>
      <c r="Q423" s="333"/>
      <c r="R423" s="333"/>
      <c r="S423" s="333"/>
      <c r="T423" s="333"/>
      <c r="U423" s="333"/>
      <c r="V423" s="333"/>
      <c r="W423" s="333"/>
      <c r="X423" s="333"/>
      <c r="Y423" s="333"/>
      <c r="Z423" s="333"/>
    </row>
    <row r="424" spans="1:26">
      <c r="A424" s="348"/>
      <c r="B424" s="333"/>
      <c r="C424" s="333"/>
      <c r="D424" s="333"/>
      <c r="E424" s="333"/>
      <c r="F424" s="333"/>
      <c r="G424" s="333"/>
      <c r="H424" s="333"/>
      <c r="I424" s="333"/>
      <c r="J424" s="333"/>
      <c r="K424" s="333"/>
      <c r="L424" s="333"/>
      <c r="M424" s="333"/>
      <c r="N424" s="333"/>
      <c r="O424" s="333"/>
      <c r="P424" s="333"/>
      <c r="Q424" s="333"/>
      <c r="R424" s="333"/>
      <c r="S424" s="333"/>
      <c r="T424" s="333"/>
      <c r="U424" s="333"/>
      <c r="V424" s="333"/>
      <c r="W424" s="333"/>
      <c r="X424" s="333"/>
      <c r="Y424" s="333"/>
      <c r="Z424" s="333"/>
    </row>
    <row r="425" spans="1:26">
      <c r="A425" s="348"/>
      <c r="B425" s="333"/>
      <c r="C425" s="333"/>
      <c r="D425" s="333"/>
      <c r="E425" s="333"/>
      <c r="F425" s="333"/>
      <c r="G425" s="333"/>
      <c r="H425" s="333"/>
      <c r="I425" s="333"/>
      <c r="J425" s="333"/>
      <c r="K425" s="333"/>
      <c r="L425" s="333"/>
      <c r="M425" s="333"/>
      <c r="N425" s="333"/>
      <c r="O425" s="333"/>
      <c r="P425" s="333"/>
      <c r="Q425" s="333"/>
      <c r="R425" s="333"/>
      <c r="S425" s="333"/>
      <c r="T425" s="333"/>
      <c r="U425" s="333"/>
      <c r="V425" s="333"/>
      <c r="W425" s="333"/>
      <c r="X425" s="333"/>
      <c r="Y425" s="333"/>
      <c r="Z425" s="333"/>
    </row>
    <row r="426" spans="1:26">
      <c r="A426" s="348"/>
      <c r="B426" s="333"/>
      <c r="C426" s="333"/>
      <c r="D426" s="333"/>
      <c r="E426" s="333"/>
      <c r="F426" s="333"/>
      <c r="G426" s="333"/>
      <c r="H426" s="333"/>
      <c r="I426" s="333"/>
      <c r="J426" s="333"/>
      <c r="K426" s="333"/>
      <c r="L426" s="333"/>
      <c r="M426" s="333"/>
      <c r="N426" s="333"/>
      <c r="O426" s="333"/>
      <c r="P426" s="333"/>
      <c r="Q426" s="333"/>
      <c r="R426" s="333"/>
      <c r="S426" s="333"/>
      <c r="T426" s="333"/>
      <c r="U426" s="333"/>
      <c r="V426" s="333"/>
      <c r="W426" s="333"/>
      <c r="X426" s="333"/>
      <c r="Y426" s="333"/>
      <c r="Z426" s="333"/>
    </row>
    <row r="427" spans="1:26">
      <c r="A427" s="348"/>
      <c r="B427" s="333"/>
      <c r="C427" s="333"/>
      <c r="D427" s="333"/>
      <c r="E427" s="333"/>
      <c r="F427" s="333"/>
      <c r="G427" s="333"/>
      <c r="H427" s="333"/>
      <c r="I427" s="333"/>
      <c r="J427" s="333"/>
      <c r="K427" s="333"/>
      <c r="L427" s="333"/>
      <c r="M427" s="333"/>
      <c r="N427" s="333"/>
      <c r="O427" s="333"/>
      <c r="P427" s="333"/>
      <c r="Q427" s="333"/>
      <c r="R427" s="333"/>
      <c r="S427" s="333"/>
      <c r="T427" s="333"/>
      <c r="U427" s="333"/>
      <c r="V427" s="333"/>
      <c r="W427" s="333"/>
      <c r="X427" s="333"/>
      <c r="Y427" s="333"/>
      <c r="Z427" s="333"/>
    </row>
    <row r="428" spans="1:26">
      <c r="A428" s="348"/>
      <c r="B428" s="333"/>
      <c r="C428" s="333"/>
      <c r="D428" s="333"/>
      <c r="E428" s="333"/>
      <c r="F428" s="333"/>
      <c r="G428" s="333"/>
      <c r="H428" s="333"/>
      <c r="I428" s="333"/>
      <c r="J428" s="333"/>
      <c r="K428" s="333"/>
      <c r="L428" s="333"/>
      <c r="M428" s="333"/>
      <c r="N428" s="333"/>
      <c r="O428" s="333"/>
      <c r="P428" s="333"/>
      <c r="Q428" s="333"/>
      <c r="R428" s="333"/>
      <c r="S428" s="333"/>
      <c r="T428" s="333"/>
      <c r="U428" s="333"/>
      <c r="V428" s="333"/>
      <c r="W428" s="333"/>
      <c r="X428" s="333"/>
      <c r="Y428" s="333"/>
      <c r="Z428" s="333"/>
    </row>
    <row r="429" spans="1:26">
      <c r="A429" s="348"/>
      <c r="B429" s="333"/>
      <c r="C429" s="333"/>
      <c r="D429" s="333"/>
      <c r="E429" s="333"/>
      <c r="F429" s="333"/>
      <c r="G429" s="333"/>
      <c r="H429" s="333"/>
      <c r="I429" s="333"/>
      <c r="J429" s="333"/>
      <c r="K429" s="333"/>
      <c r="L429" s="333"/>
      <c r="M429" s="333"/>
      <c r="N429" s="333"/>
      <c r="O429" s="333"/>
      <c r="P429" s="333"/>
      <c r="Q429" s="333"/>
      <c r="R429" s="333"/>
      <c r="S429" s="333"/>
      <c r="T429" s="333"/>
      <c r="U429" s="333"/>
      <c r="V429" s="333"/>
      <c r="W429" s="333"/>
      <c r="X429" s="333"/>
      <c r="Y429" s="333"/>
      <c r="Z429" s="333"/>
    </row>
    <row r="430" spans="1:26">
      <c r="A430" s="348"/>
      <c r="B430" s="333"/>
      <c r="C430" s="333"/>
      <c r="D430" s="333"/>
      <c r="E430" s="333"/>
      <c r="F430" s="333"/>
      <c r="G430" s="333"/>
      <c r="H430" s="333"/>
      <c r="I430" s="333"/>
      <c r="J430" s="333"/>
      <c r="K430" s="333"/>
      <c r="L430" s="333"/>
      <c r="M430" s="333"/>
      <c r="N430" s="333"/>
      <c r="O430" s="333"/>
      <c r="P430" s="333"/>
      <c r="Q430" s="333"/>
      <c r="R430" s="333"/>
      <c r="S430" s="333"/>
      <c r="T430" s="333"/>
      <c r="U430" s="333"/>
      <c r="V430" s="333"/>
      <c r="W430" s="333"/>
      <c r="X430" s="333"/>
      <c r="Y430" s="333"/>
      <c r="Z430" s="333"/>
    </row>
    <row r="431" spans="1:26">
      <c r="A431" s="348"/>
      <c r="B431" s="333"/>
      <c r="C431" s="333"/>
      <c r="D431" s="333"/>
      <c r="E431" s="333"/>
      <c r="F431" s="333"/>
      <c r="G431" s="333"/>
      <c r="H431" s="333"/>
      <c r="I431" s="333"/>
      <c r="J431" s="333"/>
      <c r="K431" s="333"/>
      <c r="L431" s="333"/>
      <c r="M431" s="333"/>
      <c r="N431" s="333"/>
      <c r="O431" s="333"/>
      <c r="P431" s="333"/>
      <c r="Q431" s="333"/>
      <c r="R431" s="333"/>
      <c r="S431" s="333"/>
      <c r="T431" s="333"/>
      <c r="U431" s="333"/>
      <c r="V431" s="333"/>
      <c r="W431" s="333"/>
      <c r="X431" s="333"/>
      <c r="Y431" s="333"/>
      <c r="Z431" s="333"/>
    </row>
    <row r="432" spans="1:26">
      <c r="A432" s="348"/>
      <c r="B432" s="333"/>
      <c r="C432" s="333"/>
      <c r="D432" s="333"/>
      <c r="E432" s="333"/>
      <c r="F432" s="333"/>
      <c r="G432" s="333"/>
      <c r="H432" s="333"/>
      <c r="I432" s="333"/>
      <c r="J432" s="333"/>
      <c r="K432" s="333"/>
      <c r="L432" s="333"/>
      <c r="M432" s="333"/>
      <c r="N432" s="333"/>
      <c r="O432" s="333"/>
      <c r="P432" s="333"/>
      <c r="Q432" s="333"/>
      <c r="R432" s="333"/>
      <c r="S432" s="333"/>
      <c r="T432" s="333"/>
      <c r="U432" s="333"/>
      <c r="V432" s="333"/>
      <c r="W432" s="333"/>
      <c r="X432" s="333"/>
      <c r="Y432" s="333"/>
      <c r="Z432" s="333"/>
    </row>
    <row r="433" spans="1:26">
      <c r="A433" s="348"/>
      <c r="B433" s="333"/>
      <c r="C433" s="333"/>
      <c r="D433" s="333"/>
      <c r="E433" s="333"/>
      <c r="F433" s="333"/>
      <c r="G433" s="333"/>
      <c r="H433" s="333"/>
      <c r="I433" s="333"/>
      <c r="J433" s="333"/>
      <c r="K433" s="333"/>
      <c r="L433" s="333"/>
      <c r="M433" s="333"/>
      <c r="N433" s="333"/>
      <c r="O433" s="333"/>
      <c r="P433" s="333"/>
      <c r="Q433" s="333"/>
      <c r="R433" s="333"/>
      <c r="S433" s="333"/>
      <c r="T433" s="333"/>
      <c r="U433" s="333"/>
      <c r="V433" s="333"/>
      <c r="W433" s="333"/>
      <c r="X433" s="333"/>
      <c r="Y433" s="333"/>
      <c r="Z433" s="333"/>
    </row>
    <row r="434" spans="1:26">
      <c r="A434" s="348"/>
      <c r="B434" s="333"/>
      <c r="C434" s="333"/>
      <c r="D434" s="333"/>
      <c r="E434" s="333"/>
      <c r="F434" s="333"/>
      <c r="G434" s="333"/>
      <c r="H434" s="333"/>
      <c r="I434" s="333"/>
      <c r="J434" s="333"/>
      <c r="K434" s="333"/>
      <c r="L434" s="333"/>
      <c r="M434" s="333"/>
      <c r="N434" s="333"/>
      <c r="O434" s="333"/>
      <c r="P434" s="333"/>
      <c r="Q434" s="333"/>
      <c r="R434" s="333"/>
      <c r="S434" s="333"/>
      <c r="T434" s="333"/>
      <c r="U434" s="333"/>
      <c r="V434" s="333"/>
      <c r="W434" s="333"/>
      <c r="X434" s="333"/>
      <c r="Y434" s="333"/>
      <c r="Z434" s="333"/>
    </row>
    <row r="435" spans="1:26">
      <c r="A435" s="348"/>
      <c r="B435" s="333"/>
      <c r="C435" s="333"/>
      <c r="D435" s="333"/>
      <c r="E435" s="333"/>
      <c r="F435" s="333"/>
      <c r="G435" s="333"/>
      <c r="H435" s="333"/>
      <c r="I435" s="333"/>
      <c r="J435" s="333"/>
      <c r="K435" s="333"/>
      <c r="L435" s="333"/>
      <c r="M435" s="333"/>
      <c r="N435" s="333"/>
      <c r="O435" s="333"/>
      <c r="P435" s="333"/>
      <c r="Q435" s="333"/>
      <c r="R435" s="333"/>
      <c r="S435" s="333"/>
      <c r="T435" s="333"/>
      <c r="U435" s="333"/>
      <c r="V435" s="333"/>
      <c r="W435" s="333"/>
      <c r="X435" s="333"/>
      <c r="Y435" s="333"/>
      <c r="Z435" s="333"/>
    </row>
    <row r="436" spans="1:26">
      <c r="A436" s="348"/>
      <c r="B436" s="333"/>
      <c r="C436" s="333"/>
      <c r="D436" s="333"/>
      <c r="E436" s="333"/>
      <c r="F436" s="333"/>
      <c r="G436" s="333"/>
      <c r="H436" s="333"/>
      <c r="I436" s="333"/>
      <c r="J436" s="333"/>
      <c r="K436" s="333"/>
      <c r="L436" s="333"/>
      <c r="M436" s="333"/>
      <c r="N436" s="333"/>
      <c r="O436" s="333"/>
      <c r="P436" s="333"/>
      <c r="Q436" s="333"/>
      <c r="R436" s="333"/>
      <c r="S436" s="333"/>
      <c r="T436" s="333"/>
      <c r="U436" s="333"/>
      <c r="V436" s="333"/>
      <c r="W436" s="333"/>
      <c r="X436" s="333"/>
      <c r="Y436" s="333"/>
      <c r="Z436" s="333"/>
    </row>
    <row r="437" spans="1:26">
      <c r="A437" s="348"/>
      <c r="B437" s="333"/>
      <c r="C437" s="333"/>
      <c r="D437" s="333"/>
      <c r="E437" s="333"/>
      <c r="F437" s="333"/>
      <c r="G437" s="333"/>
      <c r="H437" s="333"/>
      <c r="I437" s="333"/>
      <c r="J437" s="333"/>
      <c r="K437" s="333"/>
      <c r="L437" s="333"/>
      <c r="M437" s="333"/>
      <c r="N437" s="333"/>
      <c r="O437" s="333"/>
      <c r="P437" s="333"/>
      <c r="Q437" s="333"/>
      <c r="R437" s="333"/>
      <c r="S437" s="333"/>
      <c r="T437" s="333"/>
      <c r="U437" s="333"/>
      <c r="V437" s="333"/>
      <c r="W437" s="333"/>
      <c r="X437" s="333"/>
      <c r="Y437" s="333"/>
      <c r="Z437" s="333"/>
    </row>
    <row r="438" spans="1:26">
      <c r="A438" s="348"/>
      <c r="B438" s="333"/>
      <c r="C438" s="333"/>
      <c r="D438" s="333"/>
      <c r="E438" s="333"/>
      <c r="F438" s="333"/>
      <c r="G438" s="333"/>
      <c r="H438" s="333"/>
      <c r="I438" s="333"/>
      <c r="J438" s="333"/>
      <c r="K438" s="333"/>
      <c r="L438" s="333"/>
      <c r="M438" s="333"/>
      <c r="N438" s="333"/>
      <c r="O438" s="333"/>
      <c r="P438" s="333"/>
      <c r="Q438" s="333"/>
      <c r="R438" s="333"/>
      <c r="S438" s="333"/>
      <c r="T438" s="333"/>
      <c r="U438" s="333"/>
      <c r="V438" s="333"/>
      <c r="W438" s="333"/>
      <c r="X438" s="333"/>
      <c r="Y438" s="333"/>
      <c r="Z438" s="333"/>
    </row>
    <row r="439" spans="1:26">
      <c r="A439" s="348"/>
      <c r="B439" s="333"/>
      <c r="C439" s="333"/>
      <c r="D439" s="333"/>
      <c r="E439" s="333"/>
      <c r="F439" s="333"/>
      <c r="G439" s="333"/>
      <c r="H439" s="333"/>
      <c r="I439" s="333"/>
      <c r="J439" s="333"/>
      <c r="K439" s="333"/>
      <c r="L439" s="333"/>
      <c r="M439" s="333"/>
      <c r="N439" s="333"/>
      <c r="O439" s="333"/>
      <c r="P439" s="333"/>
      <c r="Q439" s="333"/>
      <c r="R439" s="333"/>
      <c r="S439" s="333"/>
      <c r="T439" s="333"/>
      <c r="U439" s="333"/>
      <c r="V439" s="333"/>
      <c r="W439" s="333"/>
      <c r="X439" s="333"/>
      <c r="Y439" s="333"/>
      <c r="Z439" s="333"/>
    </row>
    <row r="440" spans="1:26">
      <c r="A440" s="348"/>
      <c r="B440" s="333"/>
      <c r="C440" s="333"/>
      <c r="D440" s="333"/>
      <c r="E440" s="333"/>
      <c r="F440" s="333"/>
      <c r="G440" s="333"/>
      <c r="H440" s="333"/>
      <c r="I440" s="333"/>
      <c r="J440" s="333"/>
      <c r="K440" s="333"/>
      <c r="L440" s="333"/>
      <c r="M440" s="333"/>
      <c r="N440" s="333"/>
      <c r="O440" s="333"/>
      <c r="P440" s="333"/>
      <c r="Q440" s="333"/>
      <c r="R440" s="333"/>
      <c r="S440" s="333"/>
      <c r="T440" s="333"/>
      <c r="U440" s="333"/>
      <c r="V440" s="333"/>
      <c r="W440" s="333"/>
      <c r="X440" s="333"/>
      <c r="Y440" s="333"/>
      <c r="Z440" s="333"/>
    </row>
    <row r="441" spans="1:26">
      <c r="A441" s="348"/>
      <c r="B441" s="333"/>
      <c r="C441" s="333"/>
      <c r="D441" s="333"/>
      <c r="E441" s="333"/>
      <c r="F441" s="333"/>
      <c r="G441" s="333"/>
      <c r="H441" s="333"/>
      <c r="I441" s="333"/>
      <c r="J441" s="333"/>
      <c r="K441" s="333"/>
      <c r="L441" s="333"/>
      <c r="M441" s="333"/>
      <c r="N441" s="333"/>
      <c r="O441" s="333"/>
      <c r="P441" s="333"/>
      <c r="Q441" s="333"/>
      <c r="R441" s="333"/>
      <c r="S441" s="333"/>
      <c r="T441" s="333"/>
      <c r="U441" s="333"/>
      <c r="V441" s="333"/>
      <c r="W441" s="333"/>
      <c r="X441" s="333"/>
      <c r="Y441" s="333"/>
      <c r="Z441" s="333"/>
    </row>
    <row r="442" spans="1:26">
      <c r="A442" s="348"/>
      <c r="B442" s="333"/>
      <c r="C442" s="333"/>
      <c r="D442" s="333"/>
      <c r="E442" s="333"/>
      <c r="F442" s="333"/>
      <c r="G442" s="333"/>
      <c r="H442" s="333"/>
      <c r="I442" s="333"/>
      <c r="J442" s="333"/>
      <c r="K442" s="333"/>
      <c r="L442" s="333"/>
      <c r="M442" s="333"/>
      <c r="N442" s="333"/>
      <c r="O442" s="333"/>
      <c r="P442" s="333"/>
      <c r="Q442" s="333"/>
      <c r="R442" s="333"/>
      <c r="S442" s="333"/>
      <c r="T442" s="333"/>
      <c r="U442" s="333"/>
      <c r="V442" s="333"/>
      <c r="W442" s="333"/>
      <c r="X442" s="333"/>
      <c r="Y442" s="333"/>
      <c r="Z442" s="333"/>
    </row>
    <row r="443" spans="1:26">
      <c r="A443" s="348"/>
      <c r="B443" s="333"/>
      <c r="C443" s="333"/>
      <c r="D443" s="333"/>
      <c r="E443" s="333"/>
      <c r="F443" s="333"/>
      <c r="G443" s="333"/>
      <c r="H443" s="333"/>
      <c r="I443" s="333"/>
      <c r="J443" s="333"/>
      <c r="K443" s="333"/>
      <c r="L443" s="333"/>
      <c r="M443" s="333"/>
      <c r="N443" s="333"/>
      <c r="O443" s="333"/>
      <c r="P443" s="333"/>
      <c r="Q443" s="333"/>
      <c r="R443" s="333"/>
      <c r="S443" s="333"/>
      <c r="T443" s="333"/>
      <c r="U443" s="333"/>
      <c r="V443" s="333"/>
      <c r="W443" s="333"/>
      <c r="X443" s="333"/>
      <c r="Y443" s="333"/>
      <c r="Z443" s="333"/>
    </row>
    <row r="444" spans="1:26">
      <c r="A444" s="348"/>
      <c r="B444" s="333"/>
      <c r="C444" s="333"/>
      <c r="D444" s="333"/>
      <c r="E444" s="333"/>
      <c r="F444" s="333"/>
      <c r="G444" s="333"/>
      <c r="H444" s="333"/>
      <c r="I444" s="333"/>
      <c r="J444" s="333"/>
      <c r="K444" s="333"/>
      <c r="L444" s="333"/>
      <c r="M444" s="333"/>
      <c r="N444" s="333"/>
      <c r="O444" s="333"/>
      <c r="P444" s="333"/>
      <c r="Q444" s="333"/>
      <c r="R444" s="333"/>
      <c r="S444" s="333"/>
      <c r="T444" s="333"/>
      <c r="U444" s="333"/>
      <c r="V444" s="333"/>
      <c r="W444" s="333"/>
      <c r="X444" s="333"/>
      <c r="Y444" s="333"/>
      <c r="Z444" s="333"/>
    </row>
    <row r="445" spans="1:26">
      <c r="A445" s="348"/>
      <c r="B445" s="333"/>
      <c r="C445" s="333"/>
      <c r="D445" s="333"/>
      <c r="E445" s="333"/>
      <c r="F445" s="333"/>
      <c r="G445" s="333"/>
      <c r="H445" s="333"/>
      <c r="I445" s="333"/>
      <c r="J445" s="333"/>
      <c r="K445" s="333"/>
      <c r="L445" s="333"/>
      <c r="M445" s="333"/>
      <c r="N445" s="333"/>
      <c r="O445" s="333"/>
      <c r="P445" s="333"/>
      <c r="Q445" s="333"/>
      <c r="R445" s="333"/>
      <c r="S445" s="333"/>
      <c r="T445" s="333"/>
      <c r="U445" s="333"/>
      <c r="V445" s="333"/>
      <c r="W445" s="333"/>
      <c r="X445" s="333"/>
      <c r="Y445" s="333"/>
      <c r="Z445" s="333"/>
    </row>
    <row r="446" spans="1:26">
      <c r="A446" s="348"/>
      <c r="B446" s="333"/>
      <c r="C446" s="333"/>
      <c r="D446" s="333"/>
      <c r="E446" s="333"/>
      <c r="F446" s="333"/>
      <c r="G446" s="333"/>
      <c r="H446" s="333"/>
      <c r="I446" s="333"/>
      <c r="J446" s="333"/>
      <c r="K446" s="333"/>
      <c r="L446" s="333"/>
      <c r="M446" s="333"/>
      <c r="N446" s="333"/>
      <c r="O446" s="333"/>
      <c r="P446" s="333"/>
      <c r="Q446" s="333"/>
      <c r="R446" s="333"/>
      <c r="S446" s="333"/>
      <c r="T446" s="333"/>
      <c r="U446" s="333"/>
      <c r="V446" s="333"/>
      <c r="W446" s="333"/>
      <c r="X446" s="333"/>
      <c r="Y446" s="333"/>
      <c r="Z446" s="333"/>
    </row>
    <row r="447" spans="1:26">
      <c r="A447" s="348"/>
      <c r="B447" s="333"/>
      <c r="C447" s="333"/>
      <c r="D447" s="333"/>
      <c r="E447" s="333"/>
      <c r="F447" s="333"/>
      <c r="G447" s="333"/>
      <c r="H447" s="333"/>
      <c r="I447" s="333"/>
      <c r="J447" s="333"/>
      <c r="K447" s="333"/>
      <c r="L447" s="333"/>
      <c r="M447" s="333"/>
      <c r="N447" s="333"/>
      <c r="O447" s="333"/>
      <c r="P447" s="333"/>
      <c r="Q447" s="333"/>
      <c r="R447" s="333"/>
      <c r="S447" s="333"/>
      <c r="T447" s="333"/>
      <c r="U447" s="333"/>
      <c r="V447" s="333"/>
      <c r="W447" s="333"/>
      <c r="X447" s="333"/>
      <c r="Y447" s="333"/>
      <c r="Z447" s="333"/>
    </row>
    <row r="448" spans="1:26">
      <c r="A448" s="348"/>
      <c r="B448" s="333"/>
      <c r="C448" s="333"/>
      <c r="D448" s="333"/>
      <c r="E448" s="333"/>
      <c r="F448" s="333"/>
      <c r="G448" s="333"/>
      <c r="H448" s="333"/>
      <c r="I448" s="333"/>
      <c r="J448" s="333"/>
      <c r="K448" s="333"/>
      <c r="L448" s="333"/>
      <c r="M448" s="333"/>
      <c r="N448" s="333"/>
      <c r="O448" s="333"/>
      <c r="P448" s="333"/>
      <c r="Q448" s="333"/>
      <c r="R448" s="333"/>
      <c r="S448" s="333"/>
      <c r="T448" s="333"/>
      <c r="U448" s="333"/>
      <c r="V448" s="333"/>
      <c r="W448" s="333"/>
      <c r="X448" s="333"/>
      <c r="Y448" s="333"/>
      <c r="Z448" s="333"/>
    </row>
    <row r="449" spans="1:26">
      <c r="A449" s="348"/>
      <c r="B449" s="333"/>
      <c r="C449" s="333"/>
      <c r="D449" s="333"/>
      <c r="E449" s="333"/>
      <c r="F449" s="333"/>
      <c r="G449" s="333"/>
      <c r="H449" s="333"/>
      <c r="I449" s="333"/>
      <c r="J449" s="333"/>
      <c r="K449" s="333"/>
      <c r="L449" s="333"/>
      <c r="M449" s="333"/>
      <c r="N449" s="333"/>
      <c r="O449" s="333"/>
      <c r="P449" s="333"/>
      <c r="Q449" s="333"/>
      <c r="R449" s="333"/>
      <c r="S449" s="333"/>
      <c r="T449" s="333"/>
      <c r="U449" s="333"/>
      <c r="V449" s="333"/>
      <c r="W449" s="333"/>
      <c r="X449" s="333"/>
      <c r="Y449" s="333"/>
      <c r="Z449" s="333"/>
    </row>
    <row r="450" spans="1:26">
      <c r="A450" s="348"/>
      <c r="B450" s="333"/>
      <c r="C450" s="333"/>
      <c r="D450" s="333"/>
      <c r="E450" s="333"/>
      <c r="F450" s="333"/>
      <c r="G450" s="333"/>
      <c r="H450" s="333"/>
      <c r="I450" s="333"/>
      <c r="J450" s="333"/>
      <c r="K450" s="333"/>
      <c r="L450" s="333"/>
      <c r="M450" s="333"/>
      <c r="N450" s="333"/>
      <c r="O450" s="333"/>
      <c r="P450" s="333"/>
      <c r="Q450" s="333"/>
      <c r="R450" s="333"/>
      <c r="S450" s="333"/>
      <c r="T450" s="333"/>
      <c r="U450" s="333"/>
      <c r="V450" s="333"/>
      <c r="W450" s="333"/>
      <c r="X450" s="333"/>
      <c r="Y450" s="333"/>
      <c r="Z450" s="333"/>
    </row>
    <row r="451" spans="1:26">
      <c r="A451" s="348"/>
      <c r="B451" s="333"/>
      <c r="C451" s="333"/>
      <c r="D451" s="333"/>
      <c r="E451" s="333"/>
      <c r="F451" s="333"/>
      <c r="G451" s="333"/>
      <c r="H451" s="333"/>
      <c r="I451" s="333"/>
      <c r="J451" s="333"/>
      <c r="K451" s="333"/>
      <c r="L451" s="333"/>
      <c r="M451" s="333"/>
      <c r="N451" s="333"/>
      <c r="O451" s="333"/>
      <c r="P451" s="333"/>
      <c r="Q451" s="333"/>
      <c r="R451" s="333"/>
      <c r="S451" s="333"/>
      <c r="T451" s="333"/>
      <c r="U451" s="333"/>
      <c r="V451" s="333"/>
      <c r="W451" s="333"/>
      <c r="X451" s="333"/>
      <c r="Y451" s="333"/>
      <c r="Z451" s="333"/>
    </row>
    <row r="452" spans="1:26">
      <c r="A452" s="348"/>
      <c r="B452" s="333"/>
      <c r="C452" s="333"/>
      <c r="D452" s="333"/>
      <c r="E452" s="333"/>
      <c r="F452" s="333"/>
      <c r="G452" s="333"/>
      <c r="H452" s="333"/>
      <c r="I452" s="333"/>
      <c r="J452" s="333"/>
      <c r="K452" s="333"/>
      <c r="L452" s="333"/>
      <c r="M452" s="333"/>
      <c r="N452" s="333"/>
      <c r="O452" s="333"/>
      <c r="P452" s="333"/>
      <c r="Q452" s="333"/>
      <c r="R452" s="333"/>
      <c r="S452" s="333"/>
      <c r="T452" s="333"/>
      <c r="U452" s="333"/>
      <c r="V452" s="333"/>
      <c r="W452" s="333"/>
      <c r="X452" s="333"/>
      <c r="Y452" s="333"/>
      <c r="Z452" s="333"/>
    </row>
    <row r="453" spans="1:26">
      <c r="A453" s="348"/>
      <c r="B453" s="333"/>
      <c r="C453" s="333"/>
      <c r="D453" s="333"/>
      <c r="E453" s="333"/>
      <c r="F453" s="333"/>
      <c r="G453" s="333"/>
      <c r="H453" s="333"/>
      <c r="I453" s="333"/>
      <c r="J453" s="333"/>
      <c r="K453" s="333"/>
      <c r="L453" s="333"/>
      <c r="M453" s="333"/>
      <c r="N453" s="333"/>
      <c r="O453" s="333"/>
      <c r="P453" s="333"/>
      <c r="Q453" s="333"/>
      <c r="R453" s="333"/>
      <c r="S453" s="333"/>
      <c r="T453" s="333"/>
      <c r="U453" s="333"/>
      <c r="V453" s="333"/>
      <c r="W453" s="333"/>
      <c r="X453" s="333"/>
      <c r="Y453" s="333"/>
      <c r="Z453" s="333"/>
    </row>
    <row r="454" spans="1:26">
      <c r="A454" s="348"/>
      <c r="B454" s="333"/>
      <c r="C454" s="333"/>
      <c r="D454" s="333"/>
      <c r="E454" s="333"/>
      <c r="F454" s="333"/>
      <c r="G454" s="333"/>
      <c r="H454" s="333"/>
      <c r="I454" s="333"/>
      <c r="J454" s="333"/>
      <c r="K454" s="333"/>
      <c r="L454" s="333"/>
      <c r="M454" s="333"/>
      <c r="N454" s="333"/>
      <c r="O454" s="333"/>
      <c r="P454" s="333"/>
      <c r="Q454" s="333"/>
      <c r="R454" s="333"/>
      <c r="S454" s="333"/>
      <c r="T454" s="333"/>
      <c r="U454" s="333"/>
      <c r="V454" s="333"/>
      <c r="W454" s="333"/>
      <c r="X454" s="333"/>
      <c r="Y454" s="333"/>
      <c r="Z454" s="333"/>
    </row>
    <row r="455" spans="1:26">
      <c r="A455" s="348"/>
      <c r="B455" s="333"/>
      <c r="C455" s="333"/>
      <c r="D455" s="333"/>
      <c r="E455" s="333"/>
      <c r="F455" s="333"/>
      <c r="G455" s="333"/>
      <c r="H455" s="333"/>
      <c r="I455" s="333"/>
      <c r="J455" s="333"/>
      <c r="K455" s="333"/>
      <c r="L455" s="333"/>
      <c r="M455" s="333"/>
      <c r="N455" s="333"/>
      <c r="O455" s="333"/>
      <c r="P455" s="333"/>
      <c r="Q455" s="333"/>
      <c r="R455" s="333"/>
      <c r="S455" s="333"/>
      <c r="T455" s="333"/>
      <c r="U455" s="333"/>
      <c r="V455" s="333"/>
      <c r="W455" s="333"/>
      <c r="X455" s="333"/>
      <c r="Y455" s="333"/>
      <c r="Z455" s="333"/>
    </row>
    <row r="456" spans="1:26">
      <c r="A456" s="348"/>
      <c r="B456" s="333"/>
      <c r="C456" s="333"/>
      <c r="D456" s="333"/>
      <c r="E456" s="333"/>
      <c r="F456" s="333"/>
      <c r="G456" s="333"/>
      <c r="H456" s="333"/>
      <c r="I456" s="333"/>
      <c r="J456" s="333"/>
      <c r="K456" s="333"/>
      <c r="L456" s="333"/>
      <c r="M456" s="333"/>
      <c r="N456" s="333"/>
      <c r="O456" s="333"/>
      <c r="P456" s="333"/>
      <c r="Q456" s="333"/>
      <c r="R456" s="333"/>
      <c r="S456" s="333"/>
      <c r="T456" s="333"/>
      <c r="U456" s="333"/>
      <c r="V456" s="333"/>
      <c r="W456" s="333"/>
      <c r="X456" s="333"/>
      <c r="Y456" s="333"/>
      <c r="Z456" s="333"/>
    </row>
    <row r="457" spans="1:26">
      <c r="A457" s="348"/>
      <c r="B457" s="333"/>
      <c r="C457" s="333"/>
      <c r="D457" s="333"/>
      <c r="E457" s="333"/>
      <c r="F457" s="333"/>
      <c r="G457" s="333"/>
      <c r="H457" s="333"/>
      <c r="I457" s="333"/>
      <c r="J457" s="333"/>
      <c r="K457" s="333"/>
      <c r="L457" s="333"/>
      <c r="M457" s="333"/>
      <c r="N457" s="333"/>
      <c r="O457" s="333"/>
      <c r="P457" s="333"/>
      <c r="Q457" s="333"/>
      <c r="R457" s="333"/>
      <c r="S457" s="333"/>
      <c r="T457" s="333"/>
      <c r="U457" s="333"/>
      <c r="V457" s="333"/>
      <c r="W457" s="333"/>
      <c r="X457" s="333"/>
      <c r="Y457" s="333"/>
      <c r="Z457" s="333"/>
    </row>
    <row r="458" spans="1:26">
      <c r="A458" s="348"/>
      <c r="B458" s="333"/>
      <c r="C458" s="333"/>
      <c r="D458" s="333"/>
      <c r="E458" s="333"/>
      <c r="F458" s="333"/>
      <c r="G458" s="333"/>
      <c r="H458" s="333"/>
      <c r="I458" s="333"/>
      <c r="J458" s="333"/>
      <c r="K458" s="333"/>
      <c r="L458" s="333"/>
      <c r="M458" s="333"/>
      <c r="N458" s="333"/>
      <c r="O458" s="333"/>
      <c r="P458" s="333"/>
      <c r="Q458" s="333"/>
      <c r="R458" s="333"/>
      <c r="S458" s="333"/>
      <c r="T458" s="333"/>
      <c r="U458" s="333"/>
      <c r="V458" s="333"/>
      <c r="W458" s="333"/>
      <c r="X458" s="333"/>
      <c r="Y458" s="333"/>
      <c r="Z458" s="333"/>
    </row>
    <row r="459" spans="1:26">
      <c r="A459" s="348"/>
      <c r="B459" s="333"/>
      <c r="C459" s="333"/>
      <c r="D459" s="333"/>
      <c r="E459" s="333"/>
      <c r="F459" s="333"/>
      <c r="G459" s="333"/>
      <c r="H459" s="333"/>
      <c r="I459" s="333"/>
      <c r="J459" s="333"/>
      <c r="K459" s="333"/>
      <c r="L459" s="333"/>
      <c r="M459" s="333"/>
      <c r="N459" s="333"/>
      <c r="O459" s="333"/>
      <c r="P459" s="333"/>
      <c r="Q459" s="333"/>
      <c r="R459" s="333"/>
      <c r="S459" s="333"/>
      <c r="T459" s="333"/>
      <c r="U459" s="333"/>
      <c r="V459" s="333"/>
      <c r="W459" s="333"/>
      <c r="X459" s="333"/>
      <c r="Y459" s="333"/>
      <c r="Z459" s="333"/>
    </row>
    <row r="460" spans="1:26">
      <c r="A460" s="348"/>
      <c r="B460" s="333"/>
      <c r="C460" s="333"/>
      <c r="D460" s="333"/>
      <c r="E460" s="333"/>
      <c r="F460" s="333"/>
      <c r="G460" s="333"/>
      <c r="H460" s="333"/>
      <c r="I460" s="333"/>
      <c r="J460" s="333"/>
      <c r="K460" s="333"/>
      <c r="L460" s="333"/>
      <c r="M460" s="333"/>
      <c r="N460" s="333"/>
      <c r="O460" s="333"/>
      <c r="P460" s="333"/>
      <c r="Q460" s="333"/>
      <c r="R460" s="333"/>
      <c r="S460" s="333"/>
      <c r="T460" s="333"/>
      <c r="U460" s="333"/>
      <c r="V460" s="333"/>
      <c r="W460" s="333"/>
      <c r="X460" s="333"/>
      <c r="Y460" s="333"/>
      <c r="Z460" s="333"/>
    </row>
    <row r="461" spans="1:26">
      <c r="A461" s="348"/>
      <c r="B461" s="333"/>
      <c r="C461" s="333"/>
      <c r="D461" s="333"/>
      <c r="E461" s="333"/>
      <c r="F461" s="333"/>
      <c r="G461" s="333"/>
      <c r="H461" s="333"/>
      <c r="I461" s="333"/>
      <c r="J461" s="333"/>
      <c r="K461" s="333"/>
      <c r="L461" s="333"/>
      <c r="M461" s="333"/>
      <c r="N461" s="333"/>
      <c r="O461" s="333"/>
      <c r="P461" s="333"/>
      <c r="Q461" s="333"/>
      <c r="R461" s="333"/>
      <c r="S461" s="333"/>
      <c r="T461" s="333"/>
      <c r="U461" s="333"/>
      <c r="V461" s="333"/>
      <c r="W461" s="333"/>
      <c r="X461" s="333"/>
      <c r="Y461" s="333"/>
      <c r="Z461" s="333"/>
    </row>
    <row r="462" spans="1:26">
      <c r="A462" s="348"/>
      <c r="B462" s="333"/>
      <c r="C462" s="333"/>
      <c r="D462" s="333"/>
      <c r="E462" s="333"/>
      <c r="F462" s="333"/>
      <c r="G462" s="333"/>
      <c r="H462" s="333"/>
      <c r="I462" s="333"/>
      <c r="J462" s="333"/>
      <c r="K462" s="333"/>
      <c r="L462" s="333"/>
      <c r="M462" s="333"/>
      <c r="N462" s="333"/>
      <c r="O462" s="333"/>
      <c r="P462" s="333"/>
      <c r="Q462" s="333"/>
      <c r="R462" s="333"/>
      <c r="S462" s="333"/>
      <c r="T462" s="333"/>
      <c r="U462" s="333"/>
      <c r="V462" s="333"/>
      <c r="W462" s="333"/>
      <c r="X462" s="333"/>
      <c r="Y462" s="333"/>
      <c r="Z462" s="333"/>
    </row>
    <row r="463" spans="1:26">
      <c r="A463" s="348"/>
      <c r="B463" s="333"/>
      <c r="C463" s="333"/>
      <c r="D463" s="333"/>
      <c r="E463" s="333"/>
      <c r="F463" s="333"/>
      <c r="G463" s="333"/>
      <c r="H463" s="333"/>
      <c r="I463" s="333"/>
      <c r="J463" s="333"/>
      <c r="K463" s="333"/>
      <c r="L463" s="333"/>
      <c r="M463" s="333"/>
      <c r="N463" s="333"/>
      <c r="O463" s="333"/>
      <c r="P463" s="333"/>
      <c r="Q463" s="333"/>
      <c r="R463" s="333"/>
      <c r="S463" s="333"/>
      <c r="T463" s="333"/>
      <c r="U463" s="333"/>
      <c r="V463" s="333"/>
      <c r="W463" s="333"/>
      <c r="X463" s="333"/>
      <c r="Y463" s="333"/>
      <c r="Z463" s="333"/>
    </row>
    <row r="464" spans="1:26">
      <c r="A464" s="348"/>
      <c r="B464" s="333"/>
      <c r="C464" s="333"/>
      <c r="D464" s="333"/>
      <c r="E464" s="333"/>
      <c r="F464" s="333"/>
      <c r="G464" s="333"/>
      <c r="H464" s="333"/>
      <c r="I464" s="333"/>
      <c r="J464" s="333"/>
      <c r="K464" s="333"/>
      <c r="L464" s="333"/>
      <c r="M464" s="333"/>
      <c r="N464" s="333"/>
      <c r="O464" s="333"/>
      <c r="P464" s="333"/>
      <c r="Q464" s="333"/>
      <c r="R464" s="333"/>
      <c r="S464" s="333"/>
      <c r="T464" s="333"/>
      <c r="U464" s="333"/>
      <c r="V464" s="333"/>
      <c r="W464" s="333"/>
      <c r="X464" s="333"/>
      <c r="Y464" s="333"/>
      <c r="Z464" s="333"/>
    </row>
    <row r="465" spans="1:26">
      <c r="A465" s="348"/>
      <c r="B465" s="333"/>
      <c r="C465" s="333"/>
      <c r="D465" s="333"/>
      <c r="E465" s="333"/>
      <c r="F465" s="333"/>
      <c r="G465" s="333"/>
      <c r="H465" s="333"/>
      <c r="I465" s="333"/>
      <c r="J465" s="333"/>
      <c r="K465" s="333"/>
      <c r="L465" s="333"/>
      <c r="M465" s="333"/>
      <c r="N465" s="333"/>
      <c r="O465" s="333"/>
      <c r="P465" s="333"/>
      <c r="Q465" s="333"/>
      <c r="R465" s="333"/>
      <c r="S465" s="333"/>
      <c r="T465" s="333"/>
      <c r="U465" s="333"/>
      <c r="V465" s="333"/>
      <c r="W465" s="333"/>
      <c r="X465" s="333"/>
      <c r="Y465" s="333"/>
      <c r="Z465" s="333"/>
    </row>
    <row r="466" spans="1:26">
      <c r="A466" s="348"/>
      <c r="B466" s="333"/>
      <c r="C466" s="333"/>
      <c r="D466" s="333"/>
      <c r="E466" s="333"/>
      <c r="F466" s="333"/>
      <c r="G466" s="333"/>
      <c r="H466" s="333"/>
      <c r="I466" s="333"/>
      <c r="J466" s="333"/>
      <c r="K466" s="333"/>
      <c r="L466" s="333"/>
      <c r="M466" s="333"/>
      <c r="N466" s="333"/>
      <c r="O466" s="333"/>
      <c r="P466" s="333"/>
      <c r="Q466" s="333"/>
      <c r="R466" s="333"/>
      <c r="S466" s="333"/>
      <c r="T466" s="333"/>
      <c r="U466" s="333"/>
      <c r="V466" s="333"/>
      <c r="W466" s="333"/>
      <c r="X466" s="333"/>
      <c r="Y466" s="333"/>
      <c r="Z466" s="333"/>
    </row>
    <row r="467" spans="1:26">
      <c r="A467" s="348"/>
      <c r="B467" s="333"/>
      <c r="C467" s="333"/>
      <c r="D467" s="333"/>
      <c r="E467" s="333"/>
      <c r="F467" s="333"/>
      <c r="G467" s="333"/>
      <c r="H467" s="333"/>
      <c r="I467" s="333"/>
      <c r="J467" s="333"/>
      <c r="K467" s="333"/>
      <c r="L467" s="333"/>
      <c r="M467" s="333"/>
      <c r="N467" s="333"/>
      <c r="O467" s="333"/>
      <c r="P467" s="333"/>
      <c r="Q467" s="333"/>
      <c r="R467" s="333"/>
      <c r="S467" s="333"/>
      <c r="T467" s="333"/>
      <c r="U467" s="333"/>
      <c r="V467" s="333"/>
      <c r="W467" s="333"/>
      <c r="X467" s="333"/>
      <c r="Y467" s="333"/>
      <c r="Z467" s="333"/>
    </row>
    <row r="468" spans="1:26">
      <c r="A468" s="348"/>
      <c r="B468" s="333"/>
      <c r="C468" s="333"/>
      <c r="D468" s="333"/>
      <c r="E468" s="333"/>
      <c r="F468" s="333"/>
      <c r="G468" s="333"/>
      <c r="H468" s="333"/>
      <c r="I468" s="333"/>
      <c r="J468" s="333"/>
      <c r="K468" s="333"/>
      <c r="L468" s="333"/>
      <c r="M468" s="333"/>
      <c r="N468" s="333"/>
      <c r="O468" s="333"/>
      <c r="P468" s="333"/>
      <c r="Q468" s="333"/>
      <c r="R468" s="333"/>
      <c r="S468" s="333"/>
      <c r="T468" s="333"/>
      <c r="U468" s="333"/>
      <c r="V468" s="333"/>
      <c r="W468" s="333"/>
      <c r="X468" s="333"/>
      <c r="Y468" s="333"/>
      <c r="Z468" s="333"/>
    </row>
    <row r="469" spans="1:26">
      <c r="A469" s="348"/>
      <c r="B469" s="333"/>
      <c r="C469" s="333"/>
      <c r="D469" s="333"/>
      <c r="E469" s="333"/>
      <c r="F469" s="333"/>
      <c r="G469" s="333"/>
      <c r="H469" s="333"/>
      <c r="I469" s="333"/>
      <c r="J469" s="333"/>
      <c r="K469" s="333"/>
      <c r="L469" s="333"/>
      <c r="M469" s="333"/>
      <c r="N469" s="333"/>
      <c r="O469" s="333"/>
      <c r="P469" s="333"/>
      <c r="Q469" s="333"/>
      <c r="R469" s="333"/>
      <c r="S469" s="333"/>
      <c r="T469" s="333"/>
      <c r="U469" s="333"/>
      <c r="V469" s="333"/>
      <c r="W469" s="333"/>
      <c r="X469" s="333"/>
      <c r="Y469" s="333"/>
      <c r="Z469" s="333"/>
    </row>
    <row r="470" spans="1:26">
      <c r="A470" s="348"/>
      <c r="B470" s="333"/>
      <c r="C470" s="333"/>
      <c r="D470" s="333"/>
      <c r="E470" s="333"/>
      <c r="F470" s="333"/>
      <c r="G470" s="333"/>
      <c r="H470" s="333"/>
      <c r="I470" s="333"/>
      <c r="J470" s="333"/>
      <c r="K470" s="333"/>
      <c r="L470" s="333"/>
      <c r="M470" s="333"/>
      <c r="N470" s="333"/>
      <c r="O470" s="333"/>
      <c r="P470" s="333"/>
      <c r="Q470" s="333"/>
      <c r="R470" s="333"/>
      <c r="S470" s="333"/>
      <c r="T470" s="333"/>
      <c r="U470" s="333"/>
      <c r="V470" s="333"/>
      <c r="W470" s="333"/>
      <c r="X470" s="333"/>
      <c r="Y470" s="333"/>
      <c r="Z470" s="333"/>
    </row>
    <row r="471" spans="1:26">
      <c r="A471" s="348"/>
      <c r="B471" s="333"/>
      <c r="C471" s="333"/>
      <c r="D471" s="333"/>
      <c r="E471" s="333"/>
      <c r="F471" s="333"/>
      <c r="G471" s="333"/>
      <c r="H471" s="333"/>
      <c r="I471" s="333"/>
      <c r="J471" s="333"/>
      <c r="K471" s="333"/>
      <c r="L471" s="333"/>
      <c r="M471" s="333"/>
      <c r="N471" s="333"/>
      <c r="O471" s="333"/>
      <c r="P471" s="333"/>
      <c r="Q471" s="333"/>
      <c r="R471" s="333"/>
      <c r="S471" s="333"/>
      <c r="T471" s="333"/>
      <c r="U471" s="333"/>
      <c r="V471" s="333"/>
      <c r="W471" s="333"/>
      <c r="X471" s="333"/>
      <c r="Y471" s="333"/>
      <c r="Z471" s="333"/>
    </row>
    <row r="472" spans="1:26">
      <c r="A472" s="348"/>
      <c r="B472" s="333"/>
      <c r="C472" s="333"/>
      <c r="D472" s="333"/>
      <c r="E472" s="333"/>
      <c r="F472" s="333"/>
      <c r="G472" s="333"/>
      <c r="H472" s="333"/>
      <c r="I472" s="333"/>
      <c r="J472" s="333"/>
      <c r="K472" s="333"/>
      <c r="L472" s="333"/>
      <c r="M472" s="333"/>
      <c r="N472" s="333"/>
      <c r="O472" s="333"/>
      <c r="P472" s="333"/>
      <c r="Q472" s="333"/>
      <c r="R472" s="333"/>
      <c r="S472" s="333"/>
      <c r="T472" s="333"/>
      <c r="U472" s="333"/>
      <c r="V472" s="333"/>
      <c r="W472" s="333"/>
      <c r="X472" s="333"/>
      <c r="Y472" s="333"/>
      <c r="Z472" s="333"/>
    </row>
    <row r="473" spans="1:26">
      <c r="A473" s="348"/>
      <c r="B473" s="333"/>
      <c r="C473" s="333"/>
      <c r="D473" s="333"/>
      <c r="E473" s="333"/>
      <c r="F473" s="333"/>
      <c r="G473" s="333"/>
      <c r="H473" s="333"/>
      <c r="I473" s="333"/>
      <c r="J473" s="333"/>
      <c r="K473" s="333"/>
      <c r="L473" s="333"/>
      <c r="M473" s="333"/>
      <c r="N473" s="333"/>
      <c r="O473" s="333"/>
      <c r="P473" s="333"/>
      <c r="Q473" s="333"/>
      <c r="R473" s="333"/>
      <c r="S473" s="333"/>
      <c r="T473" s="333"/>
      <c r="U473" s="333"/>
      <c r="V473" s="333"/>
      <c r="W473" s="333"/>
      <c r="X473" s="333"/>
      <c r="Y473" s="333"/>
      <c r="Z473" s="333"/>
    </row>
    <row r="474" spans="1:26">
      <c r="A474" s="348"/>
      <c r="B474" s="333"/>
      <c r="C474" s="333"/>
      <c r="D474" s="333"/>
      <c r="E474" s="333"/>
      <c r="F474" s="333"/>
      <c r="G474" s="333"/>
      <c r="H474" s="333"/>
      <c r="I474" s="333"/>
      <c r="J474" s="333"/>
      <c r="K474" s="333"/>
      <c r="L474" s="333"/>
      <c r="M474" s="333"/>
      <c r="N474" s="333"/>
      <c r="O474" s="333"/>
      <c r="P474" s="333"/>
      <c r="Q474" s="333"/>
      <c r="R474" s="333"/>
      <c r="S474" s="333"/>
      <c r="T474" s="333"/>
      <c r="U474" s="333"/>
      <c r="V474" s="333"/>
      <c r="W474" s="333"/>
      <c r="X474" s="333"/>
      <c r="Y474" s="333"/>
      <c r="Z474" s="333"/>
    </row>
    <row r="475" spans="1:26">
      <c r="A475" s="348"/>
      <c r="B475" s="333"/>
      <c r="C475" s="333"/>
      <c r="D475" s="333"/>
      <c r="E475" s="333"/>
      <c r="F475" s="333"/>
      <c r="G475" s="333"/>
      <c r="H475" s="333"/>
      <c r="I475" s="333"/>
      <c r="J475" s="333"/>
      <c r="K475" s="333"/>
      <c r="L475" s="333"/>
      <c r="M475" s="333"/>
      <c r="N475" s="333"/>
      <c r="O475" s="333"/>
      <c r="P475" s="333"/>
      <c r="Q475" s="333"/>
      <c r="R475" s="333"/>
      <c r="S475" s="333"/>
      <c r="T475" s="333"/>
      <c r="U475" s="333"/>
      <c r="V475" s="333"/>
      <c r="W475" s="333"/>
      <c r="X475" s="333"/>
      <c r="Y475" s="333"/>
      <c r="Z475" s="333"/>
    </row>
    <row r="476" spans="1:26">
      <c r="A476" s="348"/>
      <c r="B476" s="333"/>
      <c r="C476" s="333"/>
      <c r="D476" s="333"/>
      <c r="E476" s="333"/>
      <c r="F476" s="333"/>
      <c r="G476" s="333"/>
      <c r="H476" s="333"/>
      <c r="I476" s="333"/>
      <c r="J476" s="333"/>
      <c r="K476" s="333"/>
      <c r="L476" s="333"/>
      <c r="M476" s="333"/>
      <c r="N476" s="333"/>
      <c r="O476" s="333"/>
      <c r="P476" s="333"/>
      <c r="Q476" s="333"/>
      <c r="R476" s="333"/>
      <c r="S476" s="333"/>
      <c r="T476" s="333"/>
      <c r="U476" s="333"/>
      <c r="V476" s="333"/>
      <c r="W476" s="333"/>
      <c r="X476" s="333"/>
      <c r="Y476" s="333"/>
      <c r="Z476" s="333"/>
    </row>
    <row r="477" spans="1:26">
      <c r="A477" s="348"/>
      <c r="B477" s="333"/>
      <c r="C477" s="333"/>
      <c r="D477" s="333"/>
      <c r="E477" s="333"/>
      <c r="F477" s="333"/>
      <c r="G477" s="333"/>
      <c r="H477" s="333"/>
      <c r="I477" s="333"/>
      <c r="J477" s="333"/>
      <c r="K477" s="333"/>
      <c r="L477" s="333"/>
      <c r="M477" s="333"/>
      <c r="N477" s="333"/>
      <c r="O477" s="333"/>
      <c r="P477" s="333"/>
      <c r="Q477" s="333"/>
      <c r="R477" s="333"/>
      <c r="S477" s="333"/>
      <c r="T477" s="333"/>
      <c r="U477" s="333"/>
      <c r="V477" s="333"/>
      <c r="W477" s="333"/>
      <c r="X477" s="333"/>
      <c r="Y477" s="333"/>
      <c r="Z477" s="333"/>
    </row>
    <row r="478" spans="1:26">
      <c r="A478" s="348"/>
      <c r="B478" s="333"/>
      <c r="C478" s="333"/>
      <c r="D478" s="333"/>
      <c r="E478" s="333"/>
      <c r="F478" s="333"/>
      <c r="G478" s="333"/>
      <c r="H478" s="333"/>
      <c r="I478" s="333"/>
      <c r="J478" s="333"/>
      <c r="K478" s="333"/>
      <c r="L478" s="333"/>
      <c r="M478" s="333"/>
      <c r="N478" s="333"/>
      <c r="O478" s="333"/>
      <c r="P478" s="333"/>
      <c r="Q478" s="333"/>
      <c r="R478" s="333"/>
      <c r="S478" s="333"/>
      <c r="T478" s="333"/>
      <c r="U478" s="333"/>
      <c r="V478" s="333"/>
      <c r="W478" s="333"/>
      <c r="X478" s="333"/>
      <c r="Y478" s="333"/>
      <c r="Z478" s="333"/>
    </row>
    <row r="479" spans="1:26">
      <c r="A479" s="348"/>
      <c r="B479" s="333"/>
      <c r="C479" s="333"/>
      <c r="D479" s="333"/>
      <c r="E479" s="333"/>
      <c r="F479" s="333"/>
      <c r="G479" s="333"/>
      <c r="H479" s="333"/>
      <c r="I479" s="333"/>
      <c r="J479" s="333"/>
      <c r="K479" s="333"/>
      <c r="L479" s="333"/>
      <c r="M479" s="333"/>
      <c r="N479" s="333"/>
      <c r="O479" s="333"/>
      <c r="P479" s="333"/>
      <c r="Q479" s="333"/>
      <c r="R479" s="333"/>
      <c r="S479" s="333"/>
      <c r="T479" s="333"/>
      <c r="U479" s="333"/>
      <c r="V479" s="333"/>
      <c r="W479" s="333"/>
      <c r="X479" s="333"/>
      <c r="Y479" s="333"/>
      <c r="Z479" s="333"/>
    </row>
    <row r="480" spans="1:26">
      <c r="A480" s="348"/>
      <c r="B480" s="333"/>
      <c r="C480" s="333"/>
      <c r="D480" s="333"/>
      <c r="E480" s="333"/>
      <c r="F480" s="333"/>
      <c r="G480" s="333"/>
      <c r="H480" s="333"/>
      <c r="I480" s="333"/>
      <c r="J480" s="333"/>
      <c r="K480" s="333"/>
      <c r="L480" s="333"/>
      <c r="M480" s="333"/>
      <c r="N480" s="333"/>
      <c r="O480" s="333"/>
      <c r="P480" s="333"/>
      <c r="Q480" s="333"/>
      <c r="R480" s="333"/>
      <c r="S480" s="333"/>
      <c r="T480" s="333"/>
      <c r="U480" s="333"/>
      <c r="V480" s="333"/>
      <c r="W480" s="333"/>
      <c r="X480" s="333"/>
      <c r="Y480" s="333"/>
      <c r="Z480" s="333"/>
    </row>
    <row r="481" spans="1:26">
      <c r="A481" s="348"/>
      <c r="B481" s="333"/>
      <c r="C481" s="333"/>
      <c r="D481" s="333"/>
      <c r="E481" s="333"/>
      <c r="F481" s="333"/>
      <c r="G481" s="333"/>
      <c r="H481" s="333"/>
      <c r="I481" s="333"/>
      <c r="J481" s="333"/>
      <c r="K481" s="333"/>
      <c r="L481" s="333"/>
      <c r="M481" s="333"/>
      <c r="N481" s="333"/>
      <c r="O481" s="333"/>
      <c r="P481" s="333"/>
      <c r="Q481" s="333"/>
      <c r="R481" s="333"/>
      <c r="S481" s="333"/>
      <c r="T481" s="333"/>
      <c r="U481" s="333"/>
      <c r="V481" s="333"/>
      <c r="W481" s="333"/>
      <c r="X481" s="333"/>
      <c r="Y481" s="333"/>
      <c r="Z481" s="333"/>
    </row>
    <row r="482" spans="1:26">
      <c r="A482" s="348"/>
      <c r="B482" s="333"/>
      <c r="C482" s="333"/>
      <c r="D482" s="333"/>
      <c r="E482" s="333"/>
      <c r="F482" s="333"/>
      <c r="G482" s="333"/>
      <c r="H482" s="333"/>
      <c r="I482" s="333"/>
      <c r="J482" s="333"/>
      <c r="K482" s="333"/>
      <c r="L482" s="333"/>
      <c r="M482" s="333"/>
      <c r="N482" s="333"/>
      <c r="O482" s="333"/>
      <c r="P482" s="333"/>
      <c r="Q482" s="333"/>
      <c r="R482" s="333"/>
      <c r="S482" s="333"/>
      <c r="T482" s="333"/>
      <c r="U482" s="333"/>
      <c r="V482" s="333"/>
      <c r="W482" s="333"/>
      <c r="X482" s="333"/>
      <c r="Y482" s="333"/>
      <c r="Z482" s="333"/>
    </row>
    <row r="483" spans="1:26">
      <c r="A483" s="348"/>
      <c r="B483" s="333"/>
      <c r="C483" s="333"/>
      <c r="D483" s="333"/>
      <c r="E483" s="333"/>
      <c r="F483" s="333"/>
      <c r="G483" s="333"/>
      <c r="H483" s="333"/>
      <c r="I483" s="333"/>
      <c r="J483" s="333"/>
      <c r="K483" s="333"/>
      <c r="L483" s="333"/>
      <c r="M483" s="333"/>
      <c r="N483" s="333"/>
      <c r="O483" s="333"/>
      <c r="P483" s="333"/>
      <c r="Q483" s="333"/>
      <c r="R483" s="333"/>
      <c r="S483" s="333"/>
      <c r="T483" s="333"/>
      <c r="U483" s="333"/>
      <c r="V483" s="333"/>
      <c r="W483" s="333"/>
      <c r="X483" s="333"/>
      <c r="Y483" s="333"/>
      <c r="Z483" s="333"/>
    </row>
    <row r="484" spans="1:26">
      <c r="A484" s="348"/>
      <c r="B484" s="333"/>
      <c r="C484" s="333"/>
      <c r="D484" s="333"/>
      <c r="E484" s="333"/>
      <c r="F484" s="333"/>
      <c r="G484" s="333"/>
      <c r="H484" s="333"/>
      <c r="I484" s="333"/>
      <c r="J484" s="333"/>
      <c r="K484" s="333"/>
      <c r="L484" s="333"/>
      <c r="M484" s="333"/>
      <c r="N484" s="333"/>
      <c r="O484" s="333"/>
      <c r="P484" s="333"/>
      <c r="Q484" s="333"/>
      <c r="R484" s="333"/>
      <c r="S484" s="333"/>
      <c r="T484" s="333"/>
      <c r="U484" s="333"/>
      <c r="V484" s="333"/>
      <c r="W484" s="333"/>
      <c r="X484" s="333"/>
      <c r="Y484" s="333"/>
      <c r="Z484" s="333"/>
    </row>
    <row r="485" spans="1:26">
      <c r="A485" s="348"/>
      <c r="B485" s="333"/>
      <c r="C485" s="333"/>
      <c r="D485" s="333"/>
      <c r="E485" s="333"/>
      <c r="F485" s="333"/>
      <c r="G485" s="333"/>
      <c r="H485" s="333"/>
      <c r="I485" s="333"/>
      <c r="J485" s="333"/>
      <c r="K485" s="333"/>
      <c r="L485" s="333"/>
      <c r="M485" s="333"/>
      <c r="N485" s="333"/>
      <c r="O485" s="333"/>
      <c r="P485" s="333"/>
      <c r="Q485" s="333"/>
      <c r="R485" s="333"/>
      <c r="S485" s="333"/>
      <c r="T485" s="333"/>
      <c r="U485" s="333"/>
      <c r="V485" s="333"/>
      <c r="W485" s="333"/>
      <c r="X485" s="333"/>
      <c r="Y485" s="333"/>
      <c r="Z485" s="333"/>
    </row>
    <row r="486" spans="1:26">
      <c r="A486" s="348"/>
      <c r="B486" s="333"/>
      <c r="C486" s="333"/>
      <c r="D486" s="333"/>
      <c r="E486" s="333"/>
      <c r="F486" s="333"/>
      <c r="G486" s="333"/>
      <c r="H486" s="333"/>
      <c r="I486" s="333"/>
      <c r="J486" s="333"/>
      <c r="K486" s="333"/>
      <c r="L486" s="333"/>
      <c r="M486" s="333"/>
      <c r="N486" s="333"/>
      <c r="O486" s="333"/>
      <c r="P486" s="333"/>
      <c r="Q486" s="333"/>
      <c r="R486" s="333"/>
      <c r="S486" s="333"/>
      <c r="T486" s="333"/>
      <c r="U486" s="333"/>
      <c r="V486" s="333"/>
      <c r="W486" s="333"/>
      <c r="X486" s="333"/>
      <c r="Y486" s="333"/>
      <c r="Z486" s="333"/>
    </row>
    <row r="487" spans="1:26">
      <c r="A487" s="348"/>
      <c r="B487" s="333"/>
      <c r="C487" s="333"/>
      <c r="D487" s="333"/>
      <c r="E487" s="333"/>
      <c r="F487" s="333"/>
      <c r="G487" s="333"/>
      <c r="H487" s="333"/>
      <c r="I487" s="333"/>
      <c r="J487" s="333"/>
      <c r="K487" s="333"/>
      <c r="L487" s="333"/>
      <c r="M487" s="333"/>
      <c r="N487" s="333"/>
      <c r="O487" s="333"/>
      <c r="P487" s="333"/>
      <c r="Q487" s="333"/>
      <c r="R487" s="333"/>
      <c r="S487" s="333"/>
      <c r="T487" s="333"/>
      <c r="U487" s="333"/>
      <c r="V487" s="333"/>
      <c r="W487" s="333"/>
      <c r="X487" s="333"/>
      <c r="Y487" s="333"/>
      <c r="Z487" s="333"/>
    </row>
    <row r="488" spans="1:26">
      <c r="A488" s="348"/>
      <c r="B488" s="333"/>
      <c r="C488" s="333"/>
      <c r="D488" s="333"/>
      <c r="E488" s="333"/>
      <c r="F488" s="333"/>
      <c r="G488" s="333"/>
      <c r="H488" s="333"/>
      <c r="I488" s="333"/>
      <c r="J488" s="333"/>
      <c r="K488" s="333"/>
      <c r="L488" s="333"/>
      <c r="M488" s="333"/>
      <c r="N488" s="333"/>
      <c r="O488" s="333"/>
      <c r="P488" s="333"/>
      <c r="Q488" s="333"/>
      <c r="R488" s="333"/>
      <c r="S488" s="333"/>
      <c r="T488" s="333"/>
      <c r="U488" s="333"/>
      <c r="V488" s="333"/>
      <c r="W488" s="333"/>
      <c r="X488" s="333"/>
      <c r="Y488" s="333"/>
      <c r="Z488" s="333"/>
    </row>
    <row r="489" spans="1:26">
      <c r="A489" s="348"/>
      <c r="B489" s="333"/>
      <c r="C489" s="333"/>
      <c r="D489" s="333"/>
      <c r="E489" s="333"/>
      <c r="F489" s="333"/>
      <c r="G489" s="333"/>
      <c r="H489" s="333"/>
      <c r="I489" s="333"/>
      <c r="J489" s="333"/>
      <c r="K489" s="333"/>
      <c r="L489" s="333"/>
      <c r="M489" s="333"/>
      <c r="N489" s="333"/>
      <c r="O489" s="333"/>
      <c r="P489" s="333"/>
      <c r="Q489" s="333"/>
      <c r="R489" s="333"/>
      <c r="S489" s="333"/>
      <c r="T489" s="333"/>
      <c r="U489" s="333"/>
      <c r="V489" s="333"/>
      <c r="W489" s="333"/>
      <c r="X489" s="333"/>
      <c r="Y489" s="333"/>
      <c r="Z489" s="333"/>
    </row>
    <row r="490" spans="1:26">
      <c r="A490" s="348"/>
      <c r="B490" s="333"/>
      <c r="C490" s="333"/>
      <c r="D490" s="333"/>
      <c r="E490" s="333"/>
      <c r="F490" s="333"/>
      <c r="G490" s="333"/>
      <c r="H490" s="333"/>
      <c r="I490" s="333"/>
      <c r="J490" s="333"/>
      <c r="K490" s="333"/>
      <c r="L490" s="333"/>
      <c r="M490" s="333"/>
      <c r="N490" s="333"/>
      <c r="O490" s="333"/>
      <c r="P490" s="333"/>
      <c r="Q490" s="333"/>
      <c r="R490" s="333"/>
      <c r="S490" s="333"/>
      <c r="T490" s="333"/>
      <c r="U490" s="333"/>
      <c r="V490" s="333"/>
      <c r="W490" s="333"/>
      <c r="X490" s="333"/>
      <c r="Y490" s="333"/>
      <c r="Z490" s="333"/>
    </row>
    <row r="491" spans="1:26">
      <c r="A491" s="348"/>
      <c r="B491" s="333"/>
      <c r="C491" s="333"/>
      <c r="D491" s="333"/>
      <c r="E491" s="333"/>
      <c r="F491" s="333"/>
      <c r="G491" s="333"/>
      <c r="H491" s="333"/>
      <c r="I491" s="333"/>
      <c r="J491" s="333"/>
      <c r="K491" s="333"/>
      <c r="L491" s="333"/>
      <c r="M491" s="333"/>
      <c r="N491" s="333"/>
      <c r="O491" s="333"/>
      <c r="P491" s="333"/>
      <c r="Q491" s="333"/>
      <c r="R491" s="333"/>
      <c r="S491" s="333"/>
      <c r="T491" s="333"/>
      <c r="U491" s="333"/>
      <c r="V491" s="333"/>
      <c r="W491" s="333"/>
      <c r="X491" s="333"/>
      <c r="Y491" s="333"/>
      <c r="Z491" s="333"/>
    </row>
    <row r="492" spans="1:26">
      <c r="A492" s="348"/>
      <c r="B492" s="333"/>
      <c r="C492" s="333"/>
      <c r="D492" s="333"/>
      <c r="E492" s="333"/>
      <c r="F492" s="333"/>
      <c r="G492" s="333"/>
      <c r="H492" s="333"/>
      <c r="I492" s="333"/>
      <c r="J492" s="333"/>
      <c r="K492" s="333"/>
      <c r="L492" s="333"/>
      <c r="M492" s="333"/>
      <c r="N492" s="333"/>
      <c r="O492" s="333"/>
      <c r="P492" s="333"/>
      <c r="Q492" s="333"/>
      <c r="R492" s="333"/>
      <c r="S492" s="333"/>
      <c r="T492" s="333"/>
      <c r="U492" s="333"/>
      <c r="V492" s="333"/>
      <c r="W492" s="333"/>
      <c r="X492" s="333"/>
      <c r="Y492" s="333"/>
      <c r="Z492" s="333"/>
    </row>
    <row r="493" spans="1:26">
      <c r="A493" s="348"/>
      <c r="B493" s="333"/>
      <c r="C493" s="333"/>
      <c r="D493" s="333"/>
      <c r="E493" s="333"/>
      <c r="F493" s="333"/>
      <c r="G493" s="333"/>
      <c r="H493" s="333"/>
      <c r="I493" s="333"/>
      <c r="J493" s="333"/>
      <c r="K493" s="333"/>
      <c r="L493" s="333"/>
      <c r="M493" s="333"/>
      <c r="N493" s="333"/>
      <c r="O493" s="333"/>
      <c r="P493" s="333"/>
      <c r="Q493" s="333"/>
      <c r="R493" s="333"/>
      <c r="S493" s="333"/>
      <c r="T493" s="333"/>
      <c r="U493" s="333"/>
      <c r="V493" s="333"/>
      <c r="W493" s="333"/>
      <c r="X493" s="333"/>
      <c r="Y493" s="333"/>
      <c r="Z493" s="333"/>
    </row>
    <row r="494" spans="1:26">
      <c r="A494" s="348"/>
      <c r="B494" s="333"/>
      <c r="C494" s="333"/>
      <c r="D494" s="333"/>
      <c r="E494" s="333"/>
      <c r="F494" s="333"/>
      <c r="G494" s="333"/>
      <c r="H494" s="333"/>
      <c r="I494" s="333"/>
      <c r="J494" s="333"/>
      <c r="K494" s="333"/>
      <c r="L494" s="333"/>
      <c r="M494" s="333"/>
      <c r="N494" s="333"/>
      <c r="O494" s="333"/>
      <c r="P494" s="333"/>
      <c r="Q494" s="333"/>
      <c r="R494" s="333"/>
      <c r="S494" s="333"/>
      <c r="T494" s="333"/>
      <c r="U494" s="333"/>
      <c r="V494" s="333"/>
      <c r="W494" s="333"/>
      <c r="X494" s="333"/>
      <c r="Y494" s="333"/>
      <c r="Z494" s="333"/>
    </row>
    <row r="495" spans="1:26">
      <c r="A495" s="348"/>
      <c r="B495" s="333"/>
      <c r="C495" s="333"/>
      <c r="D495" s="333"/>
      <c r="E495" s="333"/>
      <c r="F495" s="333"/>
      <c r="G495" s="333"/>
      <c r="H495" s="333"/>
      <c r="I495" s="333"/>
      <c r="J495" s="333"/>
      <c r="K495" s="333"/>
      <c r="L495" s="333"/>
      <c r="M495" s="333"/>
      <c r="N495" s="333"/>
      <c r="O495" s="333"/>
      <c r="P495" s="333"/>
      <c r="Q495" s="333"/>
      <c r="R495" s="333"/>
      <c r="S495" s="333"/>
      <c r="T495" s="333"/>
      <c r="U495" s="333"/>
      <c r="V495" s="333"/>
      <c r="W495" s="333"/>
      <c r="X495" s="333"/>
      <c r="Y495" s="333"/>
      <c r="Z495" s="333"/>
    </row>
    <row r="496" spans="1:26">
      <c r="A496" s="348"/>
      <c r="B496" s="333"/>
      <c r="C496" s="333"/>
      <c r="D496" s="333"/>
      <c r="E496" s="333"/>
      <c r="F496" s="333"/>
      <c r="G496" s="333"/>
      <c r="H496" s="333"/>
      <c r="I496" s="333"/>
      <c r="J496" s="333"/>
      <c r="K496" s="333"/>
      <c r="L496" s="333"/>
      <c r="M496" s="333"/>
      <c r="N496" s="333"/>
      <c r="O496" s="333"/>
      <c r="P496" s="333"/>
      <c r="Q496" s="333"/>
      <c r="R496" s="333"/>
      <c r="S496" s="333"/>
      <c r="T496" s="333"/>
      <c r="U496" s="333"/>
      <c r="V496" s="333"/>
      <c r="W496" s="333"/>
      <c r="X496" s="333"/>
      <c r="Y496" s="333"/>
      <c r="Z496" s="333"/>
    </row>
    <row r="497" spans="1:26">
      <c r="A497" s="348"/>
      <c r="B497" s="333"/>
      <c r="C497" s="333"/>
      <c r="D497" s="333"/>
      <c r="E497" s="333"/>
      <c r="F497" s="333"/>
      <c r="G497" s="333"/>
      <c r="H497" s="333"/>
      <c r="I497" s="333"/>
      <c r="J497" s="333"/>
      <c r="K497" s="333"/>
      <c r="L497" s="333"/>
      <c r="M497" s="333"/>
      <c r="N497" s="333"/>
      <c r="O497" s="333"/>
      <c r="P497" s="333"/>
      <c r="Q497" s="333"/>
      <c r="R497" s="333"/>
      <c r="S497" s="333"/>
      <c r="T497" s="333"/>
      <c r="U497" s="333"/>
      <c r="V497" s="333"/>
      <c r="W497" s="333"/>
      <c r="X497" s="333"/>
      <c r="Y497" s="333"/>
      <c r="Z497" s="333"/>
    </row>
    <row r="498" spans="1:26">
      <c r="A498" s="348"/>
      <c r="B498" s="333"/>
      <c r="C498" s="333"/>
      <c r="D498" s="333"/>
      <c r="E498" s="333"/>
      <c r="F498" s="333"/>
      <c r="G498" s="333"/>
      <c r="H498" s="333"/>
      <c r="I498" s="333"/>
      <c r="J498" s="333"/>
      <c r="K498" s="333"/>
      <c r="L498" s="333"/>
      <c r="M498" s="333"/>
      <c r="N498" s="333"/>
      <c r="O498" s="333"/>
      <c r="P498" s="333"/>
      <c r="Q498" s="333"/>
      <c r="R498" s="333"/>
      <c r="S498" s="333"/>
      <c r="T498" s="333"/>
      <c r="U498" s="333"/>
      <c r="V498" s="333"/>
      <c r="W498" s="333"/>
      <c r="X498" s="333"/>
      <c r="Y498" s="333"/>
      <c r="Z498" s="333"/>
    </row>
    <row r="499" spans="1:26">
      <c r="A499" s="348"/>
      <c r="B499" s="333"/>
      <c r="C499" s="333"/>
      <c r="D499" s="333"/>
      <c r="E499" s="333"/>
      <c r="F499" s="333"/>
      <c r="G499" s="333"/>
      <c r="H499" s="333"/>
      <c r="I499" s="333"/>
      <c r="J499" s="333"/>
      <c r="K499" s="333"/>
      <c r="L499" s="333"/>
      <c r="M499" s="333"/>
      <c r="N499" s="333"/>
      <c r="O499" s="333"/>
      <c r="P499" s="333"/>
      <c r="Q499" s="333"/>
      <c r="R499" s="333"/>
      <c r="S499" s="333"/>
      <c r="T499" s="333"/>
      <c r="U499" s="333"/>
      <c r="V499" s="333"/>
      <c r="W499" s="333"/>
      <c r="X499" s="333"/>
      <c r="Y499" s="333"/>
      <c r="Z499" s="333"/>
    </row>
    <row r="500" spans="1:26">
      <c r="A500" s="348"/>
      <c r="B500" s="333"/>
      <c r="C500" s="333"/>
      <c r="D500" s="333"/>
      <c r="E500" s="333"/>
      <c r="F500" s="333"/>
      <c r="G500" s="333"/>
      <c r="H500" s="333"/>
      <c r="I500" s="333"/>
      <c r="J500" s="333"/>
      <c r="K500" s="333"/>
      <c r="L500" s="333"/>
      <c r="M500" s="333"/>
      <c r="N500" s="333"/>
      <c r="O500" s="333"/>
      <c r="P500" s="333"/>
      <c r="Q500" s="333"/>
      <c r="R500" s="333"/>
      <c r="S500" s="333"/>
      <c r="T500" s="333"/>
      <c r="U500" s="333"/>
      <c r="V500" s="333"/>
      <c r="W500" s="333"/>
      <c r="X500" s="333"/>
      <c r="Y500" s="333"/>
      <c r="Z500" s="333"/>
    </row>
    <row r="501" spans="1:26">
      <c r="A501" s="348"/>
      <c r="B501" s="333"/>
      <c r="C501" s="333"/>
      <c r="D501" s="333"/>
      <c r="E501" s="333"/>
      <c r="F501" s="333"/>
      <c r="G501" s="333"/>
      <c r="H501" s="333"/>
      <c r="I501" s="333"/>
      <c r="J501" s="333"/>
      <c r="K501" s="333"/>
      <c r="L501" s="333"/>
      <c r="M501" s="333"/>
      <c r="N501" s="333"/>
      <c r="O501" s="333"/>
      <c r="P501" s="333"/>
      <c r="Q501" s="333"/>
      <c r="R501" s="333"/>
      <c r="S501" s="333"/>
      <c r="T501" s="333"/>
      <c r="U501" s="333"/>
      <c r="V501" s="333"/>
      <c r="W501" s="333"/>
      <c r="X501" s="333"/>
      <c r="Y501" s="333"/>
      <c r="Z501" s="333"/>
    </row>
    <row r="502" spans="1:26">
      <c r="A502" s="348"/>
      <c r="B502" s="333"/>
      <c r="C502" s="333"/>
      <c r="D502" s="333"/>
      <c r="E502" s="333"/>
      <c r="F502" s="333"/>
      <c r="G502" s="333"/>
      <c r="H502" s="333"/>
      <c r="I502" s="333"/>
      <c r="J502" s="333"/>
      <c r="K502" s="333"/>
      <c r="L502" s="333"/>
      <c r="M502" s="333"/>
      <c r="N502" s="333"/>
      <c r="O502" s="333"/>
      <c r="P502" s="333"/>
      <c r="Q502" s="333"/>
      <c r="R502" s="333"/>
      <c r="S502" s="333"/>
      <c r="T502" s="333"/>
      <c r="U502" s="333"/>
      <c r="V502" s="333"/>
      <c r="W502" s="333"/>
      <c r="X502" s="333"/>
      <c r="Y502" s="333"/>
      <c r="Z502" s="333"/>
    </row>
    <row r="503" spans="1:26">
      <c r="A503" s="348"/>
      <c r="B503" s="333"/>
      <c r="C503" s="333"/>
      <c r="D503" s="333"/>
      <c r="E503" s="333"/>
      <c r="F503" s="333"/>
      <c r="G503" s="333"/>
      <c r="H503" s="333"/>
      <c r="I503" s="333"/>
      <c r="J503" s="333"/>
      <c r="K503" s="333"/>
      <c r="L503" s="333"/>
      <c r="M503" s="333"/>
      <c r="N503" s="333"/>
      <c r="O503" s="333"/>
      <c r="P503" s="333"/>
      <c r="Q503" s="333"/>
      <c r="R503" s="333"/>
      <c r="S503" s="333"/>
      <c r="T503" s="333"/>
      <c r="U503" s="333"/>
      <c r="V503" s="333"/>
      <c r="W503" s="333"/>
      <c r="X503" s="333"/>
      <c r="Y503" s="333"/>
      <c r="Z503" s="333"/>
    </row>
    <row r="504" spans="1:26">
      <c r="A504" s="348"/>
      <c r="B504" s="333"/>
      <c r="C504" s="333"/>
      <c r="D504" s="333"/>
      <c r="E504" s="333"/>
      <c r="F504" s="333"/>
      <c r="G504" s="333"/>
      <c r="H504" s="333"/>
      <c r="I504" s="333"/>
      <c r="J504" s="333"/>
      <c r="K504" s="333"/>
      <c r="L504" s="333"/>
      <c r="M504" s="333"/>
      <c r="N504" s="333"/>
      <c r="O504" s="333"/>
      <c r="P504" s="333"/>
      <c r="Q504" s="333"/>
      <c r="R504" s="333"/>
      <c r="S504" s="333"/>
      <c r="T504" s="333"/>
      <c r="U504" s="333"/>
      <c r="V504" s="333"/>
      <c r="W504" s="333"/>
      <c r="X504" s="333"/>
      <c r="Y504" s="333"/>
      <c r="Z504" s="333"/>
    </row>
    <row r="505" spans="1:26">
      <c r="A505" s="348"/>
      <c r="B505" s="333"/>
      <c r="C505" s="333"/>
      <c r="D505" s="333"/>
      <c r="E505" s="333"/>
      <c r="F505" s="333"/>
      <c r="G505" s="333"/>
      <c r="H505" s="333"/>
      <c r="I505" s="333"/>
      <c r="J505" s="333"/>
      <c r="K505" s="333"/>
      <c r="L505" s="333"/>
      <c r="M505" s="333"/>
      <c r="N505" s="333"/>
      <c r="O505" s="333"/>
      <c r="P505" s="333"/>
      <c r="Q505" s="333"/>
      <c r="R505" s="333"/>
      <c r="S505" s="333"/>
      <c r="T505" s="333"/>
      <c r="U505" s="333"/>
      <c r="V505" s="333"/>
      <c r="W505" s="333"/>
      <c r="X505" s="333"/>
      <c r="Y505" s="333"/>
      <c r="Z505" s="333"/>
    </row>
    <row r="506" spans="1:26">
      <c r="A506" s="348"/>
      <c r="B506" s="333"/>
      <c r="C506" s="333"/>
      <c r="D506" s="333"/>
      <c r="E506" s="333"/>
      <c r="F506" s="333"/>
      <c r="G506" s="333"/>
      <c r="H506" s="333"/>
      <c r="I506" s="333"/>
      <c r="J506" s="333"/>
      <c r="K506" s="333"/>
      <c r="L506" s="333"/>
      <c r="M506" s="333"/>
      <c r="N506" s="333"/>
      <c r="O506" s="333"/>
      <c r="P506" s="333"/>
      <c r="Q506" s="333"/>
      <c r="R506" s="333"/>
      <c r="S506" s="333"/>
      <c r="T506" s="333"/>
      <c r="U506" s="333"/>
      <c r="V506" s="333"/>
      <c r="W506" s="333"/>
      <c r="X506" s="333"/>
      <c r="Y506" s="333"/>
      <c r="Z506" s="333"/>
    </row>
    <row r="507" spans="1:26">
      <c r="A507" s="348"/>
      <c r="B507" s="333"/>
      <c r="C507" s="333"/>
      <c r="D507" s="333"/>
      <c r="E507" s="333"/>
      <c r="F507" s="333"/>
      <c r="G507" s="333"/>
      <c r="H507" s="333"/>
      <c r="I507" s="333"/>
      <c r="J507" s="333"/>
      <c r="K507" s="333"/>
      <c r="L507" s="333"/>
      <c r="M507" s="333"/>
      <c r="N507" s="333"/>
      <c r="O507" s="333"/>
      <c r="P507" s="333"/>
      <c r="Q507" s="333"/>
      <c r="R507" s="333"/>
      <c r="S507" s="333"/>
      <c r="T507" s="333"/>
      <c r="U507" s="333"/>
      <c r="V507" s="333"/>
      <c r="W507" s="333"/>
      <c r="X507" s="333"/>
      <c r="Y507" s="333"/>
      <c r="Z507" s="333"/>
    </row>
    <row r="508" spans="1:26">
      <c r="A508" s="348"/>
      <c r="B508" s="333"/>
      <c r="C508" s="333"/>
      <c r="D508" s="333"/>
      <c r="E508" s="333"/>
      <c r="F508" s="333"/>
      <c r="G508" s="333"/>
      <c r="H508" s="333"/>
      <c r="I508" s="333"/>
      <c r="J508" s="333"/>
      <c r="K508" s="333"/>
      <c r="L508" s="333"/>
      <c r="M508" s="333"/>
      <c r="N508" s="333"/>
      <c r="O508" s="333"/>
      <c r="P508" s="333"/>
      <c r="Q508" s="333"/>
      <c r="R508" s="333"/>
      <c r="S508" s="333"/>
      <c r="T508" s="333"/>
      <c r="U508" s="333"/>
      <c r="V508" s="333"/>
      <c r="W508" s="333"/>
      <c r="X508" s="333"/>
      <c r="Y508" s="333"/>
      <c r="Z508" s="333"/>
    </row>
    <row r="509" spans="1:26">
      <c r="A509" s="348"/>
      <c r="B509" s="333"/>
      <c r="C509" s="333"/>
      <c r="D509" s="333"/>
      <c r="E509" s="333"/>
      <c r="F509" s="333"/>
      <c r="G509" s="333"/>
      <c r="H509" s="333"/>
      <c r="I509" s="333"/>
      <c r="J509" s="333"/>
      <c r="K509" s="333"/>
      <c r="L509" s="333"/>
      <c r="M509" s="333"/>
      <c r="N509" s="333"/>
      <c r="O509" s="333"/>
      <c r="P509" s="333"/>
      <c r="Q509" s="333"/>
      <c r="R509" s="333"/>
      <c r="S509" s="333"/>
      <c r="T509" s="333"/>
      <c r="U509" s="333"/>
      <c r="V509" s="333"/>
      <c r="W509" s="333"/>
      <c r="X509" s="333"/>
      <c r="Y509" s="333"/>
      <c r="Z509" s="333"/>
    </row>
    <row r="510" spans="1:26">
      <c r="A510" s="348"/>
      <c r="B510" s="333"/>
      <c r="C510" s="333"/>
      <c r="D510" s="333"/>
      <c r="E510" s="333"/>
      <c r="F510" s="333"/>
      <c r="G510" s="333"/>
      <c r="H510" s="333"/>
      <c r="I510" s="333"/>
      <c r="J510" s="333"/>
      <c r="K510" s="333"/>
      <c r="L510" s="333"/>
      <c r="M510" s="333"/>
      <c r="N510" s="333"/>
      <c r="O510" s="333"/>
      <c r="P510" s="333"/>
      <c r="Q510" s="333"/>
      <c r="R510" s="333"/>
      <c r="S510" s="333"/>
      <c r="T510" s="333"/>
      <c r="U510" s="333"/>
      <c r="V510" s="333"/>
      <c r="W510" s="333"/>
      <c r="X510" s="333"/>
      <c r="Y510" s="333"/>
      <c r="Z510" s="333"/>
    </row>
    <row r="511" spans="1:26">
      <c r="A511" s="348"/>
      <c r="B511" s="333"/>
      <c r="C511" s="333"/>
      <c r="D511" s="333"/>
      <c r="E511" s="333"/>
      <c r="F511" s="333"/>
      <c r="G511" s="333"/>
      <c r="H511" s="333"/>
      <c r="I511" s="333"/>
      <c r="J511" s="333"/>
      <c r="K511" s="333"/>
      <c r="L511" s="333"/>
      <c r="M511" s="333"/>
      <c r="N511" s="333"/>
      <c r="O511" s="333"/>
      <c r="P511" s="333"/>
      <c r="Q511" s="333"/>
      <c r="R511" s="333"/>
      <c r="S511" s="333"/>
      <c r="T511" s="333"/>
      <c r="U511" s="333"/>
      <c r="V511" s="333"/>
      <c r="W511" s="333"/>
      <c r="X511" s="333"/>
      <c r="Y511" s="333"/>
      <c r="Z511" s="333"/>
    </row>
    <row r="512" spans="1:26">
      <c r="A512" s="348"/>
      <c r="B512" s="333"/>
      <c r="C512" s="333"/>
      <c r="D512" s="333"/>
      <c r="E512" s="333"/>
      <c r="F512" s="333"/>
      <c r="G512" s="333"/>
      <c r="H512" s="333"/>
      <c r="I512" s="333"/>
      <c r="J512" s="333"/>
      <c r="K512" s="333"/>
      <c r="L512" s="333"/>
      <c r="M512" s="333"/>
      <c r="N512" s="333"/>
      <c r="O512" s="333"/>
      <c r="P512" s="333"/>
      <c r="Q512" s="333"/>
      <c r="R512" s="333"/>
      <c r="S512" s="333"/>
      <c r="T512" s="333"/>
      <c r="U512" s="333"/>
      <c r="V512" s="333"/>
      <c r="W512" s="333"/>
      <c r="X512" s="333"/>
      <c r="Y512" s="333"/>
      <c r="Z512" s="333"/>
    </row>
    <row r="513" spans="1:26">
      <c r="A513" s="348"/>
      <c r="B513" s="333"/>
      <c r="C513" s="333"/>
      <c r="D513" s="333"/>
      <c r="E513" s="333"/>
      <c r="F513" s="333"/>
      <c r="G513" s="333"/>
      <c r="H513" s="333"/>
      <c r="I513" s="333"/>
      <c r="J513" s="333"/>
      <c r="K513" s="333"/>
      <c r="L513" s="333"/>
      <c r="M513" s="333"/>
      <c r="N513" s="333"/>
      <c r="O513" s="333"/>
      <c r="P513" s="333"/>
      <c r="Q513" s="333"/>
      <c r="R513" s="333"/>
      <c r="S513" s="333"/>
      <c r="T513" s="333"/>
      <c r="U513" s="333"/>
      <c r="V513" s="333"/>
      <c r="W513" s="333"/>
      <c r="X513" s="333"/>
      <c r="Y513" s="333"/>
      <c r="Z513" s="333"/>
    </row>
    <row r="514" spans="1:26">
      <c r="A514" s="348"/>
      <c r="B514" s="333"/>
      <c r="C514" s="333"/>
      <c r="D514" s="333"/>
      <c r="E514" s="333"/>
      <c r="F514" s="333"/>
      <c r="G514" s="333"/>
      <c r="H514" s="333"/>
      <c r="I514" s="333"/>
      <c r="J514" s="333"/>
      <c r="K514" s="333"/>
      <c r="L514" s="333"/>
      <c r="M514" s="333"/>
      <c r="N514" s="333"/>
      <c r="O514" s="333"/>
      <c r="P514" s="333"/>
      <c r="Q514" s="333"/>
      <c r="R514" s="333"/>
      <c r="S514" s="333"/>
      <c r="T514" s="333"/>
      <c r="U514" s="333"/>
      <c r="V514" s="333"/>
      <c r="W514" s="333"/>
      <c r="X514" s="333"/>
      <c r="Y514" s="333"/>
      <c r="Z514" s="333"/>
    </row>
    <row r="515" spans="1:26">
      <c r="A515" s="348"/>
      <c r="B515" s="333"/>
      <c r="C515" s="333"/>
      <c r="D515" s="333"/>
      <c r="E515" s="333"/>
      <c r="F515" s="333"/>
      <c r="G515" s="333"/>
      <c r="H515" s="333"/>
      <c r="I515" s="333"/>
      <c r="J515" s="333"/>
      <c r="K515" s="333"/>
      <c r="L515" s="333"/>
      <c r="M515" s="333"/>
      <c r="N515" s="333"/>
      <c r="O515" s="333"/>
      <c r="P515" s="333"/>
      <c r="Q515" s="333"/>
      <c r="R515" s="333"/>
      <c r="S515" s="333"/>
      <c r="T515" s="333"/>
      <c r="U515" s="333"/>
      <c r="V515" s="333"/>
      <c r="W515" s="333"/>
      <c r="X515" s="333"/>
      <c r="Y515" s="333"/>
      <c r="Z515" s="333"/>
    </row>
    <row r="516" spans="1:26">
      <c r="A516" s="348"/>
      <c r="B516" s="333"/>
      <c r="C516" s="333"/>
      <c r="D516" s="333"/>
      <c r="E516" s="333"/>
      <c r="F516" s="333"/>
      <c r="G516" s="333"/>
      <c r="H516" s="333"/>
      <c r="I516" s="333"/>
      <c r="J516" s="333"/>
      <c r="K516" s="333"/>
      <c r="L516" s="333"/>
      <c r="M516" s="333"/>
      <c r="N516" s="333"/>
      <c r="O516" s="333"/>
      <c r="P516" s="333"/>
      <c r="Q516" s="333"/>
      <c r="R516" s="333"/>
      <c r="S516" s="333"/>
      <c r="T516" s="333"/>
      <c r="U516" s="333"/>
      <c r="V516" s="333"/>
      <c r="W516" s="333"/>
      <c r="X516" s="333"/>
      <c r="Y516" s="333"/>
      <c r="Z516" s="333"/>
    </row>
    <row r="517" spans="1:26">
      <c r="A517" s="348"/>
      <c r="B517" s="333"/>
      <c r="C517" s="333"/>
      <c r="D517" s="333"/>
      <c r="E517" s="333"/>
      <c r="F517" s="333"/>
      <c r="G517" s="333"/>
      <c r="H517" s="333"/>
      <c r="I517" s="333"/>
      <c r="J517" s="333"/>
      <c r="K517" s="333"/>
      <c r="L517" s="333"/>
      <c r="M517" s="333"/>
      <c r="N517" s="333"/>
      <c r="O517" s="333"/>
      <c r="P517" s="333"/>
      <c r="Q517" s="333"/>
      <c r="R517" s="333"/>
      <c r="S517" s="333"/>
      <c r="T517" s="333"/>
      <c r="U517" s="333"/>
      <c r="V517" s="333"/>
      <c r="W517" s="333"/>
      <c r="X517" s="333"/>
      <c r="Y517" s="333"/>
      <c r="Z517" s="333"/>
    </row>
    <row r="518" spans="1:26">
      <c r="A518" s="348"/>
      <c r="B518" s="333"/>
      <c r="C518" s="333"/>
      <c r="D518" s="333"/>
      <c r="E518" s="333"/>
      <c r="F518" s="333"/>
      <c r="G518" s="333"/>
      <c r="H518" s="333"/>
      <c r="I518" s="333"/>
      <c r="J518" s="333"/>
      <c r="K518" s="333"/>
      <c r="L518" s="333"/>
      <c r="M518" s="333"/>
      <c r="N518" s="333"/>
      <c r="O518" s="333"/>
      <c r="P518" s="333"/>
      <c r="Q518" s="333"/>
      <c r="R518" s="333"/>
      <c r="S518" s="333"/>
      <c r="T518" s="333"/>
      <c r="U518" s="333"/>
      <c r="V518" s="333"/>
      <c r="W518" s="333"/>
      <c r="X518" s="333"/>
      <c r="Y518" s="333"/>
      <c r="Z518" s="333"/>
    </row>
    <row r="519" spans="1:26">
      <c r="A519" s="348"/>
      <c r="B519" s="333"/>
      <c r="C519" s="333"/>
      <c r="D519" s="333"/>
      <c r="E519" s="333"/>
      <c r="F519" s="333"/>
      <c r="G519" s="333"/>
      <c r="H519" s="333"/>
      <c r="I519" s="333"/>
      <c r="J519" s="333"/>
      <c r="K519" s="333"/>
      <c r="L519" s="333"/>
      <c r="M519" s="333"/>
      <c r="N519" s="333"/>
      <c r="O519" s="333"/>
      <c r="P519" s="333"/>
      <c r="Q519" s="333"/>
      <c r="R519" s="333"/>
      <c r="S519" s="333"/>
      <c r="T519" s="333"/>
      <c r="U519" s="333"/>
      <c r="V519" s="333"/>
      <c r="W519" s="333"/>
      <c r="X519" s="333"/>
      <c r="Y519" s="333"/>
      <c r="Z519" s="333"/>
    </row>
    <row r="520" spans="1:26">
      <c r="A520" s="348"/>
      <c r="B520" s="333"/>
      <c r="C520" s="333"/>
      <c r="D520" s="333"/>
      <c r="E520" s="333"/>
      <c r="F520" s="333"/>
      <c r="G520" s="333"/>
      <c r="H520" s="333"/>
      <c r="I520" s="333"/>
      <c r="J520" s="333"/>
      <c r="K520" s="333"/>
      <c r="L520" s="333"/>
      <c r="M520" s="333"/>
      <c r="N520" s="333"/>
      <c r="O520" s="333"/>
      <c r="P520" s="333"/>
      <c r="Q520" s="333"/>
      <c r="R520" s="333"/>
      <c r="S520" s="333"/>
      <c r="T520" s="333"/>
      <c r="U520" s="333"/>
      <c r="V520" s="333"/>
      <c r="W520" s="333"/>
      <c r="X520" s="333"/>
      <c r="Y520" s="333"/>
      <c r="Z520" s="333"/>
    </row>
    <row r="521" spans="1:26">
      <c r="A521" s="348"/>
      <c r="B521" s="333"/>
      <c r="C521" s="333"/>
      <c r="D521" s="333"/>
      <c r="E521" s="333"/>
      <c r="F521" s="333"/>
      <c r="G521" s="333"/>
      <c r="H521" s="333"/>
      <c r="I521" s="333"/>
      <c r="J521" s="333"/>
      <c r="K521" s="333"/>
      <c r="L521" s="333"/>
      <c r="M521" s="333"/>
      <c r="N521" s="333"/>
      <c r="O521" s="333"/>
      <c r="P521" s="333"/>
      <c r="Q521" s="333"/>
      <c r="R521" s="333"/>
      <c r="S521" s="333"/>
      <c r="T521" s="333"/>
      <c r="U521" s="333"/>
      <c r="V521" s="333"/>
      <c r="W521" s="333"/>
      <c r="X521" s="333"/>
      <c r="Y521" s="333"/>
      <c r="Z521" s="333"/>
    </row>
    <row r="522" spans="1:26">
      <c r="A522" s="348"/>
      <c r="B522" s="333"/>
      <c r="C522" s="333"/>
      <c r="D522" s="333"/>
      <c r="E522" s="333"/>
      <c r="F522" s="333"/>
      <c r="G522" s="333"/>
      <c r="H522" s="333"/>
      <c r="I522" s="333"/>
      <c r="J522" s="333"/>
      <c r="K522" s="333"/>
      <c r="L522" s="333"/>
      <c r="M522" s="333"/>
      <c r="N522" s="333"/>
      <c r="O522" s="333"/>
      <c r="P522" s="333"/>
      <c r="Q522" s="333"/>
      <c r="R522" s="333"/>
      <c r="S522" s="333"/>
      <c r="T522" s="333"/>
      <c r="U522" s="333"/>
      <c r="V522" s="333"/>
      <c r="W522" s="333"/>
      <c r="X522" s="333"/>
      <c r="Y522" s="333"/>
      <c r="Z522" s="333"/>
    </row>
    <row r="523" spans="1:26">
      <c r="A523" s="348"/>
      <c r="B523" s="333"/>
      <c r="C523" s="333"/>
      <c r="D523" s="333"/>
      <c r="E523" s="333"/>
      <c r="F523" s="333"/>
      <c r="G523" s="333"/>
      <c r="H523" s="333"/>
      <c r="I523" s="333"/>
      <c r="J523" s="333"/>
      <c r="K523" s="333"/>
      <c r="L523" s="333"/>
      <c r="M523" s="333"/>
      <c r="N523" s="333"/>
      <c r="O523" s="333"/>
      <c r="P523" s="333"/>
      <c r="Q523" s="333"/>
      <c r="R523" s="333"/>
      <c r="S523" s="333"/>
      <c r="T523" s="333"/>
      <c r="U523" s="333"/>
      <c r="V523" s="333"/>
      <c r="W523" s="333"/>
      <c r="X523" s="333"/>
      <c r="Y523" s="333"/>
      <c r="Z523" s="333"/>
    </row>
    <row r="524" spans="1:26">
      <c r="A524" s="348"/>
      <c r="B524" s="333"/>
      <c r="C524" s="333"/>
      <c r="D524" s="333"/>
      <c r="E524" s="333"/>
      <c r="F524" s="333"/>
      <c r="G524" s="333"/>
      <c r="H524" s="333"/>
      <c r="I524" s="333"/>
      <c r="J524" s="333"/>
      <c r="K524" s="333"/>
      <c r="L524" s="333"/>
      <c r="M524" s="333"/>
      <c r="N524" s="333"/>
      <c r="O524" s="333"/>
      <c r="P524" s="333"/>
      <c r="Q524" s="333"/>
      <c r="R524" s="333"/>
      <c r="S524" s="333"/>
      <c r="T524" s="333"/>
      <c r="U524" s="333"/>
      <c r="V524" s="333"/>
      <c r="W524" s="333"/>
      <c r="X524" s="333"/>
      <c r="Y524" s="333"/>
      <c r="Z524" s="333"/>
    </row>
    <row r="525" spans="1:26">
      <c r="A525" s="348"/>
      <c r="B525" s="333"/>
      <c r="C525" s="333"/>
      <c r="D525" s="333"/>
      <c r="E525" s="333"/>
      <c r="F525" s="333"/>
      <c r="G525" s="333"/>
      <c r="H525" s="333"/>
      <c r="I525" s="333"/>
      <c r="J525" s="333"/>
      <c r="K525" s="333"/>
      <c r="L525" s="333"/>
      <c r="M525" s="333"/>
      <c r="N525" s="333"/>
      <c r="O525" s="333"/>
      <c r="P525" s="333"/>
      <c r="Q525" s="333"/>
      <c r="R525" s="333"/>
      <c r="S525" s="333"/>
      <c r="T525" s="333"/>
      <c r="U525" s="333"/>
      <c r="V525" s="333"/>
      <c r="W525" s="333"/>
      <c r="X525" s="333"/>
      <c r="Y525" s="333"/>
      <c r="Z525" s="333"/>
    </row>
    <row r="526" spans="1:26">
      <c r="A526" s="348"/>
      <c r="B526" s="333"/>
      <c r="C526" s="333"/>
      <c r="D526" s="333"/>
      <c r="E526" s="333"/>
      <c r="F526" s="333"/>
      <c r="G526" s="333"/>
      <c r="H526" s="333"/>
      <c r="I526" s="333"/>
      <c r="J526" s="333"/>
      <c r="K526" s="333"/>
      <c r="L526" s="333"/>
      <c r="M526" s="333"/>
      <c r="N526" s="333"/>
      <c r="O526" s="333"/>
      <c r="P526" s="333"/>
      <c r="Q526" s="333"/>
      <c r="R526" s="333"/>
      <c r="S526" s="333"/>
      <c r="T526" s="333"/>
      <c r="U526" s="333"/>
      <c r="V526" s="333"/>
      <c r="W526" s="333"/>
      <c r="X526" s="333"/>
      <c r="Y526" s="333"/>
      <c r="Z526" s="333"/>
    </row>
    <row r="527" spans="1:26">
      <c r="A527" s="348"/>
      <c r="B527" s="333"/>
      <c r="C527" s="333"/>
      <c r="D527" s="333"/>
      <c r="E527" s="333"/>
      <c r="F527" s="333"/>
      <c r="G527" s="333"/>
      <c r="H527" s="333"/>
      <c r="I527" s="333"/>
      <c r="J527" s="333"/>
      <c r="K527" s="333"/>
      <c r="L527" s="333"/>
      <c r="M527" s="333"/>
      <c r="N527" s="333"/>
      <c r="O527" s="333"/>
      <c r="P527" s="333"/>
      <c r="Q527" s="333"/>
      <c r="R527" s="333"/>
      <c r="S527" s="333"/>
      <c r="T527" s="333"/>
      <c r="U527" s="333"/>
      <c r="V527" s="333"/>
      <c r="W527" s="333"/>
      <c r="X527" s="333"/>
      <c r="Y527" s="333"/>
      <c r="Z527" s="333"/>
    </row>
    <row r="528" spans="1:26">
      <c r="A528" s="348"/>
      <c r="B528" s="333"/>
      <c r="C528" s="333"/>
      <c r="D528" s="333"/>
      <c r="E528" s="333"/>
      <c r="F528" s="333"/>
      <c r="G528" s="333"/>
      <c r="H528" s="333"/>
      <c r="I528" s="333"/>
      <c r="J528" s="333"/>
      <c r="K528" s="333"/>
      <c r="L528" s="333"/>
      <c r="M528" s="333"/>
      <c r="N528" s="333"/>
      <c r="O528" s="333"/>
      <c r="P528" s="333"/>
      <c r="Q528" s="333"/>
      <c r="R528" s="333"/>
      <c r="S528" s="333"/>
      <c r="T528" s="333"/>
      <c r="U528" s="333"/>
      <c r="V528" s="333"/>
      <c r="W528" s="333"/>
      <c r="X528" s="333"/>
      <c r="Y528" s="333"/>
      <c r="Z528" s="333"/>
    </row>
    <row r="529" spans="1:26">
      <c r="A529" s="348"/>
      <c r="B529" s="333"/>
      <c r="C529" s="333"/>
      <c r="D529" s="333"/>
      <c r="E529" s="333"/>
      <c r="F529" s="333"/>
      <c r="G529" s="333"/>
      <c r="H529" s="333"/>
      <c r="I529" s="333"/>
      <c r="J529" s="333"/>
      <c r="K529" s="333"/>
      <c r="L529" s="333"/>
      <c r="M529" s="333"/>
      <c r="N529" s="333"/>
      <c r="O529" s="333"/>
      <c r="P529" s="333"/>
      <c r="Q529" s="333"/>
      <c r="R529" s="333"/>
      <c r="S529" s="333"/>
      <c r="T529" s="333"/>
      <c r="U529" s="333"/>
      <c r="V529" s="333"/>
      <c r="W529" s="333"/>
      <c r="X529" s="333"/>
      <c r="Y529" s="333"/>
      <c r="Z529" s="333"/>
    </row>
    <row r="530" spans="1:26">
      <c r="A530" s="348"/>
      <c r="B530" s="333"/>
      <c r="C530" s="333"/>
      <c r="D530" s="333"/>
      <c r="E530" s="333"/>
      <c r="F530" s="333"/>
      <c r="G530" s="333"/>
      <c r="H530" s="333"/>
      <c r="I530" s="333"/>
      <c r="J530" s="333"/>
      <c r="K530" s="333"/>
      <c r="L530" s="333"/>
      <c r="M530" s="333"/>
      <c r="N530" s="333"/>
      <c r="O530" s="333"/>
      <c r="P530" s="333"/>
      <c r="Q530" s="333"/>
      <c r="R530" s="333"/>
      <c r="S530" s="333"/>
      <c r="T530" s="333"/>
      <c r="U530" s="333"/>
      <c r="V530" s="333"/>
      <c r="W530" s="333"/>
      <c r="X530" s="333"/>
      <c r="Y530" s="333"/>
      <c r="Z530" s="333"/>
    </row>
    <row r="531" spans="1:26">
      <c r="A531" s="348"/>
      <c r="B531" s="333"/>
      <c r="C531" s="333"/>
      <c r="D531" s="333"/>
      <c r="E531" s="333"/>
      <c r="F531" s="333"/>
      <c r="G531" s="333"/>
      <c r="H531" s="333"/>
      <c r="I531" s="333"/>
      <c r="J531" s="333"/>
      <c r="K531" s="333"/>
      <c r="L531" s="333"/>
      <c r="M531" s="333"/>
      <c r="N531" s="333"/>
      <c r="O531" s="333"/>
      <c r="P531" s="333"/>
      <c r="Q531" s="333"/>
      <c r="R531" s="333"/>
      <c r="S531" s="333"/>
      <c r="T531" s="333"/>
      <c r="U531" s="333"/>
      <c r="V531" s="333"/>
      <c r="W531" s="333"/>
      <c r="X531" s="333"/>
      <c r="Y531" s="333"/>
      <c r="Z531" s="333"/>
    </row>
    <row r="532" spans="1:26">
      <c r="A532" s="348"/>
      <c r="B532" s="333"/>
      <c r="C532" s="333"/>
      <c r="D532" s="333"/>
      <c r="E532" s="333"/>
      <c r="F532" s="333"/>
      <c r="G532" s="333"/>
      <c r="H532" s="333"/>
      <c r="I532" s="333"/>
      <c r="J532" s="333"/>
      <c r="K532" s="333"/>
      <c r="L532" s="333"/>
      <c r="M532" s="333"/>
      <c r="N532" s="333"/>
      <c r="O532" s="333"/>
      <c r="P532" s="333"/>
      <c r="Q532" s="333"/>
      <c r="R532" s="333"/>
      <c r="S532" s="333"/>
      <c r="T532" s="333"/>
      <c r="U532" s="333"/>
      <c r="V532" s="333"/>
      <c r="W532" s="333"/>
      <c r="X532" s="333"/>
      <c r="Y532" s="333"/>
      <c r="Z532" s="333"/>
    </row>
    <row r="533" spans="1:26">
      <c r="A533" s="348"/>
      <c r="B533" s="333"/>
      <c r="C533" s="333"/>
      <c r="D533" s="333"/>
      <c r="E533" s="333"/>
      <c r="F533" s="333"/>
      <c r="G533" s="333"/>
      <c r="H533" s="333"/>
      <c r="I533" s="333"/>
      <c r="J533" s="333"/>
      <c r="K533" s="333"/>
      <c r="L533" s="333"/>
      <c r="M533" s="333"/>
      <c r="N533" s="333"/>
      <c r="O533" s="333"/>
      <c r="P533" s="333"/>
      <c r="Q533" s="333"/>
      <c r="R533" s="333"/>
      <c r="S533" s="333"/>
      <c r="T533" s="333"/>
      <c r="U533" s="333"/>
      <c r="V533" s="333"/>
      <c r="W533" s="333"/>
      <c r="X533" s="333"/>
      <c r="Y533" s="333"/>
      <c r="Z533" s="333"/>
    </row>
    <row r="534" spans="1:26">
      <c r="A534" s="348"/>
      <c r="B534" s="333"/>
      <c r="C534" s="333"/>
      <c r="D534" s="333"/>
      <c r="E534" s="333"/>
      <c r="F534" s="333"/>
      <c r="G534" s="333"/>
      <c r="H534" s="333"/>
      <c r="I534" s="333"/>
      <c r="J534" s="333"/>
      <c r="K534" s="333"/>
      <c r="L534" s="333"/>
      <c r="M534" s="333"/>
      <c r="N534" s="333"/>
      <c r="O534" s="333"/>
      <c r="P534" s="333"/>
      <c r="Q534" s="333"/>
      <c r="R534" s="333"/>
      <c r="S534" s="333"/>
      <c r="T534" s="333"/>
      <c r="U534" s="333"/>
      <c r="V534" s="333"/>
      <c r="W534" s="333"/>
      <c r="X534" s="333"/>
      <c r="Y534" s="333"/>
      <c r="Z534" s="333"/>
    </row>
    <row r="535" spans="1:26">
      <c r="A535" s="348"/>
      <c r="B535" s="333"/>
      <c r="C535" s="333"/>
      <c r="D535" s="333"/>
      <c r="E535" s="333"/>
      <c r="F535" s="333"/>
      <c r="G535" s="333"/>
      <c r="H535" s="333"/>
      <c r="I535" s="333"/>
      <c r="J535" s="333"/>
      <c r="K535" s="333"/>
      <c r="L535" s="333"/>
      <c r="M535" s="333"/>
      <c r="N535" s="333"/>
      <c r="O535" s="333"/>
      <c r="P535" s="333"/>
      <c r="Q535" s="333"/>
      <c r="R535" s="333"/>
      <c r="S535" s="333"/>
      <c r="T535" s="333"/>
      <c r="U535" s="333"/>
      <c r="V535" s="333"/>
      <c r="W535" s="333"/>
      <c r="X535" s="333"/>
      <c r="Y535" s="333"/>
      <c r="Z535" s="333"/>
    </row>
    <row r="536" spans="1:26">
      <c r="A536" s="348"/>
      <c r="B536" s="333"/>
      <c r="C536" s="333"/>
      <c r="D536" s="333"/>
      <c r="E536" s="333"/>
      <c r="F536" s="333"/>
      <c r="G536" s="333"/>
      <c r="H536" s="333"/>
      <c r="I536" s="333"/>
      <c r="J536" s="333"/>
      <c r="K536" s="333"/>
      <c r="L536" s="333"/>
      <c r="M536" s="333"/>
      <c r="N536" s="333"/>
      <c r="O536" s="333"/>
      <c r="P536" s="333"/>
      <c r="Q536" s="333"/>
      <c r="R536" s="333"/>
      <c r="S536" s="333"/>
      <c r="T536" s="333"/>
      <c r="U536" s="333"/>
      <c r="V536" s="333"/>
      <c r="W536" s="333"/>
      <c r="X536" s="333"/>
      <c r="Y536" s="333"/>
      <c r="Z536" s="333"/>
    </row>
    <row r="537" spans="1:26">
      <c r="A537" s="348"/>
      <c r="B537" s="333"/>
      <c r="C537" s="333"/>
      <c r="D537" s="333"/>
      <c r="E537" s="333"/>
      <c r="F537" s="333"/>
      <c r="G537" s="333"/>
      <c r="H537" s="333"/>
      <c r="I537" s="333"/>
      <c r="J537" s="333"/>
      <c r="K537" s="333"/>
      <c r="L537" s="333"/>
      <c r="M537" s="333"/>
      <c r="N537" s="333"/>
      <c r="O537" s="333"/>
      <c r="P537" s="333"/>
      <c r="Q537" s="333"/>
      <c r="R537" s="333"/>
      <c r="S537" s="333"/>
      <c r="T537" s="333"/>
      <c r="U537" s="333"/>
      <c r="V537" s="333"/>
      <c r="W537" s="333"/>
      <c r="X537" s="333"/>
      <c r="Y537" s="333"/>
      <c r="Z537" s="333"/>
    </row>
    <row r="538" spans="1:26">
      <c r="A538" s="348"/>
      <c r="B538" s="333"/>
      <c r="C538" s="333"/>
      <c r="D538" s="333"/>
      <c r="E538" s="333"/>
      <c r="F538" s="333"/>
      <c r="G538" s="333"/>
      <c r="H538" s="333"/>
      <c r="I538" s="333"/>
      <c r="J538" s="333"/>
      <c r="K538" s="333"/>
      <c r="L538" s="333"/>
      <c r="M538" s="333"/>
      <c r="N538" s="333"/>
      <c r="O538" s="333"/>
      <c r="P538" s="333"/>
      <c r="Q538" s="333"/>
      <c r="R538" s="333"/>
      <c r="S538" s="333"/>
      <c r="T538" s="333"/>
      <c r="U538" s="333"/>
      <c r="V538" s="333"/>
      <c r="W538" s="333"/>
      <c r="X538" s="333"/>
      <c r="Y538" s="333"/>
      <c r="Z538" s="333"/>
    </row>
    <row r="539" spans="1:26">
      <c r="A539" s="348"/>
      <c r="B539" s="333"/>
      <c r="C539" s="333"/>
      <c r="D539" s="333"/>
      <c r="E539" s="333"/>
      <c r="F539" s="333"/>
      <c r="G539" s="333"/>
      <c r="H539" s="333"/>
      <c r="I539" s="333"/>
      <c r="J539" s="333"/>
      <c r="K539" s="333"/>
      <c r="L539" s="333"/>
      <c r="M539" s="333"/>
      <c r="N539" s="333"/>
      <c r="O539" s="333"/>
      <c r="P539" s="333"/>
      <c r="Q539" s="333"/>
      <c r="R539" s="333"/>
      <c r="S539" s="333"/>
      <c r="T539" s="333"/>
      <c r="U539" s="333"/>
      <c r="V539" s="333"/>
      <c r="W539" s="333"/>
      <c r="X539" s="333"/>
      <c r="Y539" s="333"/>
      <c r="Z539" s="333"/>
    </row>
    <row r="540" spans="1:26">
      <c r="A540" s="348"/>
      <c r="B540" s="333"/>
      <c r="C540" s="333"/>
      <c r="D540" s="333"/>
      <c r="E540" s="333"/>
      <c r="F540" s="333"/>
      <c r="G540" s="333"/>
      <c r="H540" s="333"/>
      <c r="I540" s="333"/>
      <c r="J540" s="333"/>
      <c r="K540" s="333"/>
      <c r="L540" s="333"/>
      <c r="M540" s="333"/>
      <c r="N540" s="333"/>
      <c r="O540" s="333"/>
      <c r="P540" s="333"/>
      <c r="Q540" s="333"/>
      <c r="R540" s="333"/>
      <c r="S540" s="333"/>
      <c r="T540" s="333"/>
      <c r="U540" s="333"/>
      <c r="V540" s="333"/>
      <c r="W540" s="333"/>
      <c r="X540" s="333"/>
      <c r="Y540" s="333"/>
      <c r="Z540" s="333"/>
    </row>
    <row r="541" spans="1:26">
      <c r="A541" s="348"/>
      <c r="B541" s="333"/>
      <c r="C541" s="333"/>
      <c r="D541" s="333"/>
      <c r="E541" s="333"/>
      <c r="F541" s="333"/>
      <c r="G541" s="333"/>
      <c r="H541" s="333"/>
      <c r="I541" s="333"/>
      <c r="J541" s="333"/>
      <c r="K541" s="333"/>
      <c r="L541" s="333"/>
      <c r="M541" s="333"/>
      <c r="N541" s="333"/>
      <c r="O541" s="333"/>
      <c r="P541" s="333"/>
      <c r="Q541" s="333"/>
      <c r="R541" s="333"/>
      <c r="S541" s="333"/>
      <c r="T541" s="333"/>
      <c r="U541" s="333"/>
      <c r="V541" s="333"/>
      <c r="W541" s="333"/>
      <c r="X541" s="333"/>
      <c r="Y541" s="333"/>
      <c r="Z541" s="333"/>
    </row>
    <row r="542" spans="1:26">
      <c r="A542" s="348"/>
      <c r="B542" s="333"/>
      <c r="C542" s="333"/>
      <c r="D542" s="333"/>
      <c r="E542" s="333"/>
      <c r="F542" s="333"/>
      <c r="G542" s="333"/>
      <c r="H542" s="333"/>
      <c r="I542" s="333"/>
      <c r="J542" s="333"/>
      <c r="K542" s="333"/>
      <c r="L542" s="333"/>
      <c r="M542" s="333"/>
      <c r="N542" s="333"/>
      <c r="O542" s="333"/>
      <c r="P542" s="333"/>
      <c r="Q542" s="333"/>
      <c r="R542" s="333"/>
      <c r="S542" s="333"/>
      <c r="T542" s="333"/>
      <c r="U542" s="333"/>
      <c r="V542" s="333"/>
      <c r="W542" s="333"/>
      <c r="X542" s="333"/>
      <c r="Y542" s="333"/>
      <c r="Z542" s="333"/>
    </row>
    <row r="543" spans="1:26">
      <c r="A543" s="348"/>
      <c r="B543" s="333"/>
      <c r="C543" s="333"/>
      <c r="D543" s="333"/>
      <c r="E543" s="333"/>
      <c r="F543" s="333"/>
      <c r="G543" s="333"/>
      <c r="H543" s="333"/>
      <c r="I543" s="333"/>
      <c r="J543" s="333"/>
      <c r="K543" s="333"/>
      <c r="L543" s="333"/>
      <c r="M543" s="333"/>
      <c r="N543" s="333"/>
      <c r="O543" s="333"/>
      <c r="P543" s="333"/>
      <c r="Q543" s="333"/>
      <c r="R543" s="333"/>
      <c r="S543" s="333"/>
      <c r="T543" s="333"/>
      <c r="U543" s="333"/>
      <c r="V543" s="333"/>
      <c r="W543" s="333"/>
      <c r="X543" s="333"/>
      <c r="Y543" s="333"/>
      <c r="Z543" s="333"/>
    </row>
    <row r="544" spans="1:26">
      <c r="A544" s="348"/>
      <c r="B544" s="333"/>
      <c r="C544" s="333"/>
      <c r="D544" s="333"/>
      <c r="E544" s="333"/>
      <c r="F544" s="333"/>
      <c r="G544" s="333"/>
      <c r="H544" s="333"/>
      <c r="I544" s="333"/>
      <c r="J544" s="333"/>
      <c r="K544" s="333"/>
      <c r="L544" s="333"/>
      <c r="M544" s="333"/>
      <c r="N544" s="333"/>
      <c r="O544" s="333"/>
      <c r="P544" s="333"/>
      <c r="Q544" s="333"/>
      <c r="R544" s="333"/>
      <c r="S544" s="333"/>
      <c r="T544" s="333"/>
      <c r="U544" s="333"/>
      <c r="V544" s="333"/>
      <c r="W544" s="333"/>
      <c r="X544" s="333"/>
      <c r="Y544" s="333"/>
      <c r="Z544" s="333"/>
    </row>
    <row r="545" spans="1:26">
      <c r="A545" s="348"/>
      <c r="B545" s="333"/>
      <c r="C545" s="333"/>
      <c r="D545" s="333"/>
      <c r="E545" s="333"/>
      <c r="F545" s="333"/>
      <c r="G545" s="333"/>
      <c r="H545" s="333"/>
      <c r="I545" s="333"/>
      <c r="J545" s="333"/>
      <c r="K545" s="333"/>
      <c r="L545" s="333"/>
      <c r="M545" s="333"/>
      <c r="N545" s="333"/>
      <c r="O545" s="333"/>
      <c r="P545" s="333"/>
      <c r="Q545" s="333"/>
      <c r="R545" s="333"/>
      <c r="S545" s="333"/>
      <c r="T545" s="333"/>
      <c r="U545" s="333"/>
      <c r="V545" s="333"/>
      <c r="W545" s="333"/>
      <c r="X545" s="333"/>
      <c r="Y545" s="333"/>
      <c r="Z545" s="333"/>
    </row>
    <row r="546" spans="1:26">
      <c r="A546" s="348"/>
      <c r="B546" s="333"/>
      <c r="C546" s="333"/>
      <c r="D546" s="333"/>
      <c r="E546" s="333"/>
      <c r="F546" s="333"/>
      <c r="G546" s="333"/>
      <c r="H546" s="333"/>
      <c r="I546" s="333"/>
      <c r="J546" s="333"/>
      <c r="K546" s="333"/>
      <c r="L546" s="333"/>
      <c r="M546" s="333"/>
      <c r="N546" s="333"/>
      <c r="O546" s="333"/>
      <c r="P546" s="333"/>
      <c r="Q546" s="333"/>
      <c r="R546" s="333"/>
      <c r="S546" s="333"/>
      <c r="T546" s="333"/>
      <c r="U546" s="333"/>
      <c r="V546" s="333"/>
      <c r="W546" s="333"/>
      <c r="X546" s="333"/>
      <c r="Y546" s="333"/>
      <c r="Z546" s="333"/>
    </row>
    <row r="547" spans="1:26">
      <c r="A547" s="348"/>
      <c r="B547" s="333"/>
      <c r="C547" s="333"/>
      <c r="D547" s="333"/>
      <c r="E547" s="333"/>
      <c r="F547" s="333"/>
      <c r="G547" s="333"/>
      <c r="H547" s="333"/>
      <c r="I547" s="333"/>
      <c r="J547" s="333"/>
      <c r="K547" s="333"/>
      <c r="L547" s="333"/>
      <c r="M547" s="333"/>
      <c r="N547" s="333"/>
      <c r="O547" s="333"/>
      <c r="P547" s="333"/>
      <c r="Q547" s="333"/>
      <c r="R547" s="333"/>
      <c r="S547" s="333"/>
      <c r="T547" s="333"/>
      <c r="U547" s="333"/>
      <c r="V547" s="333"/>
      <c r="W547" s="333"/>
      <c r="X547" s="333"/>
      <c r="Y547" s="333"/>
      <c r="Z547" s="333"/>
    </row>
    <row r="548" spans="1:26">
      <c r="A548" s="348"/>
      <c r="B548" s="333"/>
      <c r="C548" s="333"/>
      <c r="D548" s="333"/>
      <c r="E548" s="333"/>
      <c r="F548" s="333"/>
      <c r="G548" s="333"/>
      <c r="H548" s="333"/>
      <c r="I548" s="333"/>
      <c r="J548" s="333"/>
      <c r="K548" s="333"/>
      <c r="L548" s="333"/>
      <c r="M548" s="333"/>
      <c r="N548" s="333"/>
      <c r="O548" s="333"/>
      <c r="P548" s="333"/>
      <c r="Q548" s="333"/>
      <c r="R548" s="333"/>
      <c r="S548" s="333"/>
      <c r="T548" s="333"/>
      <c r="U548" s="333"/>
      <c r="V548" s="333"/>
      <c r="W548" s="333"/>
      <c r="X548" s="333"/>
      <c r="Y548" s="333"/>
      <c r="Z548" s="333"/>
    </row>
    <row r="549" spans="1:26">
      <c r="A549" s="348"/>
      <c r="B549" s="333"/>
      <c r="C549" s="333"/>
      <c r="D549" s="333"/>
      <c r="E549" s="333"/>
      <c r="F549" s="333"/>
      <c r="G549" s="333"/>
      <c r="H549" s="333"/>
      <c r="I549" s="333"/>
      <c r="J549" s="333"/>
      <c r="K549" s="333"/>
      <c r="L549" s="333"/>
      <c r="M549" s="333"/>
      <c r="N549" s="333"/>
      <c r="O549" s="333"/>
      <c r="P549" s="333"/>
      <c r="Q549" s="333"/>
      <c r="R549" s="333"/>
      <c r="S549" s="333"/>
      <c r="T549" s="333"/>
      <c r="U549" s="333"/>
      <c r="V549" s="333"/>
      <c r="W549" s="333"/>
      <c r="X549" s="333"/>
      <c r="Y549" s="333"/>
      <c r="Z549" s="333"/>
    </row>
    <row r="550" spans="1:26">
      <c r="A550" s="348"/>
      <c r="B550" s="333"/>
      <c r="C550" s="333"/>
      <c r="D550" s="333"/>
      <c r="E550" s="333"/>
      <c r="F550" s="333"/>
      <c r="G550" s="333"/>
      <c r="H550" s="333"/>
      <c r="I550" s="333"/>
      <c r="J550" s="333"/>
      <c r="K550" s="333"/>
      <c r="L550" s="333"/>
      <c r="M550" s="333"/>
      <c r="N550" s="333"/>
      <c r="O550" s="333"/>
      <c r="P550" s="333"/>
      <c r="Q550" s="333"/>
      <c r="R550" s="333"/>
      <c r="S550" s="333"/>
      <c r="T550" s="333"/>
      <c r="U550" s="333"/>
      <c r="V550" s="333"/>
      <c r="W550" s="333"/>
      <c r="X550" s="333"/>
      <c r="Y550" s="333"/>
      <c r="Z550" s="333"/>
    </row>
    <row r="551" spans="1:26">
      <c r="A551" s="348"/>
      <c r="B551" s="333"/>
      <c r="C551" s="333"/>
      <c r="D551" s="333"/>
      <c r="E551" s="333"/>
      <c r="F551" s="333"/>
      <c r="G551" s="333"/>
      <c r="H551" s="333"/>
      <c r="I551" s="333"/>
      <c r="J551" s="333"/>
      <c r="K551" s="333"/>
      <c r="L551" s="333"/>
      <c r="M551" s="333"/>
      <c r="N551" s="333"/>
      <c r="O551" s="333"/>
      <c r="P551" s="333"/>
      <c r="Q551" s="333"/>
      <c r="R551" s="333"/>
      <c r="S551" s="333"/>
      <c r="T551" s="333"/>
      <c r="U551" s="333"/>
      <c r="V551" s="333"/>
      <c r="W551" s="333"/>
      <c r="X551" s="333"/>
      <c r="Y551" s="333"/>
      <c r="Z551" s="333"/>
    </row>
    <row r="552" spans="1:26">
      <c r="A552" s="348"/>
      <c r="B552" s="333"/>
      <c r="C552" s="333"/>
      <c r="D552" s="333"/>
      <c r="E552" s="333"/>
      <c r="F552" s="333"/>
      <c r="G552" s="333"/>
      <c r="H552" s="333"/>
      <c r="I552" s="333"/>
      <c r="J552" s="333"/>
      <c r="K552" s="333"/>
      <c r="L552" s="333"/>
      <c r="M552" s="333"/>
      <c r="N552" s="333"/>
      <c r="O552" s="333"/>
      <c r="P552" s="333"/>
      <c r="Q552" s="333"/>
      <c r="R552" s="333"/>
      <c r="S552" s="333"/>
      <c r="T552" s="333"/>
      <c r="U552" s="333"/>
      <c r="V552" s="333"/>
      <c r="W552" s="333"/>
      <c r="X552" s="333"/>
      <c r="Y552" s="333"/>
      <c r="Z552" s="333"/>
    </row>
    <row r="553" spans="1:26">
      <c r="A553" s="348"/>
      <c r="B553" s="333"/>
      <c r="C553" s="333"/>
      <c r="D553" s="333"/>
      <c r="E553" s="333"/>
      <c r="F553" s="333"/>
      <c r="G553" s="333"/>
      <c r="H553" s="333"/>
      <c r="I553" s="333"/>
      <c r="J553" s="333"/>
      <c r="K553" s="333"/>
      <c r="L553" s="333"/>
      <c r="M553" s="333"/>
      <c r="N553" s="333"/>
      <c r="O553" s="333"/>
      <c r="P553" s="333"/>
      <c r="Q553" s="333"/>
      <c r="R553" s="333"/>
      <c r="S553" s="333"/>
      <c r="T553" s="333"/>
      <c r="U553" s="333"/>
      <c r="V553" s="333"/>
      <c r="W553" s="333"/>
      <c r="X553" s="333"/>
      <c r="Y553" s="333"/>
      <c r="Z553" s="333"/>
    </row>
    <row r="554" spans="1:26">
      <c r="A554" s="348"/>
      <c r="B554" s="333"/>
      <c r="C554" s="333"/>
      <c r="D554" s="333"/>
      <c r="E554" s="333"/>
      <c r="F554" s="333"/>
      <c r="G554" s="333"/>
      <c r="H554" s="333"/>
      <c r="I554" s="333"/>
      <c r="J554" s="333"/>
      <c r="K554" s="333"/>
      <c r="L554" s="333"/>
      <c r="M554" s="333"/>
      <c r="N554" s="333"/>
      <c r="O554" s="333"/>
      <c r="P554" s="333"/>
      <c r="Q554" s="333"/>
      <c r="R554" s="333"/>
      <c r="S554" s="333"/>
      <c r="T554" s="333"/>
      <c r="U554" s="333"/>
      <c r="V554" s="333"/>
      <c r="W554" s="333"/>
      <c r="X554" s="333"/>
      <c r="Y554" s="333"/>
      <c r="Z554" s="333"/>
    </row>
    <row r="555" spans="1:26">
      <c r="A555" s="348"/>
      <c r="B555" s="333"/>
      <c r="C555" s="333"/>
      <c r="D555" s="333"/>
      <c r="E555" s="333"/>
      <c r="F555" s="333"/>
      <c r="G555" s="333"/>
      <c r="H555" s="333"/>
      <c r="I555" s="333"/>
      <c r="J555" s="333"/>
      <c r="K555" s="333"/>
      <c r="L555" s="333"/>
      <c r="M555" s="333"/>
      <c r="N555" s="333"/>
      <c r="O555" s="333"/>
      <c r="P555" s="333"/>
      <c r="Q555" s="333"/>
      <c r="R555" s="333"/>
      <c r="S555" s="333"/>
      <c r="T555" s="333"/>
      <c r="U555" s="333"/>
      <c r="V555" s="333"/>
      <c r="W555" s="333"/>
      <c r="X555" s="333"/>
      <c r="Y555" s="333"/>
      <c r="Z555" s="333"/>
    </row>
    <row r="556" spans="1:26">
      <c r="A556" s="348"/>
      <c r="B556" s="333"/>
      <c r="C556" s="333"/>
      <c r="D556" s="333"/>
      <c r="E556" s="333"/>
      <c r="F556" s="333"/>
      <c r="G556" s="333"/>
      <c r="H556" s="333"/>
      <c r="I556" s="333"/>
      <c r="J556" s="333"/>
      <c r="K556" s="333"/>
      <c r="L556" s="333"/>
      <c r="M556" s="333"/>
      <c r="N556" s="333"/>
      <c r="O556" s="333"/>
      <c r="P556" s="333"/>
      <c r="Q556" s="333"/>
      <c r="R556" s="333"/>
      <c r="S556" s="333"/>
      <c r="T556" s="333"/>
      <c r="U556" s="333"/>
      <c r="V556" s="333"/>
      <c r="W556" s="333"/>
      <c r="X556" s="333"/>
      <c r="Y556" s="333"/>
      <c r="Z556" s="333"/>
    </row>
    <row r="557" spans="1:26">
      <c r="A557" s="348"/>
      <c r="B557" s="333"/>
      <c r="C557" s="333"/>
      <c r="D557" s="333"/>
      <c r="E557" s="333"/>
      <c r="F557" s="333"/>
      <c r="G557" s="333"/>
      <c r="H557" s="333"/>
      <c r="I557" s="333"/>
      <c r="J557" s="333"/>
      <c r="K557" s="333"/>
      <c r="L557" s="333"/>
      <c r="M557" s="333"/>
      <c r="N557" s="333"/>
      <c r="O557" s="333"/>
      <c r="P557" s="333"/>
      <c r="Q557" s="333"/>
      <c r="R557" s="333"/>
      <c r="S557" s="333"/>
      <c r="T557" s="333"/>
      <c r="U557" s="333"/>
      <c r="V557" s="333"/>
      <c r="W557" s="333"/>
      <c r="X557" s="333"/>
      <c r="Y557" s="333"/>
      <c r="Z557" s="333"/>
    </row>
    <row r="558" spans="1:26">
      <c r="A558" s="348"/>
      <c r="B558" s="333"/>
      <c r="C558" s="333"/>
      <c r="D558" s="333"/>
      <c r="E558" s="333"/>
      <c r="F558" s="333"/>
      <c r="G558" s="333"/>
      <c r="H558" s="333"/>
      <c r="I558" s="333"/>
      <c r="J558" s="333"/>
      <c r="K558" s="333"/>
      <c r="L558" s="333"/>
      <c r="M558" s="333"/>
      <c r="N558" s="333"/>
      <c r="O558" s="333"/>
      <c r="P558" s="333"/>
      <c r="Q558" s="333"/>
      <c r="R558" s="333"/>
      <c r="S558" s="333"/>
      <c r="T558" s="333"/>
      <c r="U558" s="333"/>
      <c r="V558" s="333"/>
      <c r="W558" s="333"/>
      <c r="X558" s="333"/>
      <c r="Y558" s="333"/>
      <c r="Z558" s="333"/>
    </row>
    <row r="559" spans="1:26">
      <c r="A559" s="348"/>
      <c r="B559" s="333"/>
      <c r="C559" s="333"/>
      <c r="D559" s="333"/>
      <c r="E559" s="333"/>
      <c r="F559" s="333"/>
      <c r="G559" s="333"/>
      <c r="H559" s="333"/>
      <c r="I559" s="333"/>
      <c r="J559" s="333"/>
      <c r="K559" s="333"/>
      <c r="L559" s="333"/>
      <c r="M559" s="333"/>
      <c r="N559" s="333"/>
      <c r="O559" s="333"/>
      <c r="P559" s="333"/>
      <c r="Q559" s="333"/>
      <c r="R559" s="333"/>
      <c r="S559" s="333"/>
      <c r="T559" s="333"/>
      <c r="U559" s="333"/>
      <c r="V559" s="333"/>
      <c r="W559" s="333"/>
      <c r="X559" s="333"/>
      <c r="Y559" s="333"/>
      <c r="Z559" s="333"/>
    </row>
    <row r="560" spans="1:26">
      <c r="A560" s="348"/>
      <c r="B560" s="333"/>
      <c r="C560" s="333"/>
      <c r="D560" s="333"/>
      <c r="E560" s="333"/>
      <c r="F560" s="333"/>
      <c r="G560" s="333"/>
      <c r="H560" s="333"/>
      <c r="I560" s="333"/>
      <c r="J560" s="333"/>
      <c r="K560" s="333"/>
      <c r="L560" s="333"/>
      <c r="M560" s="333"/>
      <c r="N560" s="333"/>
      <c r="O560" s="333"/>
      <c r="P560" s="333"/>
      <c r="Q560" s="333"/>
      <c r="R560" s="333"/>
      <c r="S560" s="333"/>
      <c r="T560" s="333"/>
      <c r="U560" s="333"/>
      <c r="V560" s="333"/>
      <c r="W560" s="333"/>
      <c r="X560" s="333"/>
      <c r="Y560" s="333"/>
      <c r="Z560" s="333"/>
    </row>
    <row r="561" spans="1:26">
      <c r="A561" s="348"/>
      <c r="B561" s="333"/>
      <c r="C561" s="333"/>
      <c r="D561" s="333"/>
      <c r="E561" s="333"/>
      <c r="F561" s="333"/>
      <c r="G561" s="333"/>
      <c r="H561" s="333"/>
      <c r="I561" s="333"/>
      <c r="J561" s="333"/>
      <c r="K561" s="333"/>
      <c r="L561" s="333"/>
      <c r="M561" s="333"/>
      <c r="N561" s="333"/>
      <c r="O561" s="333"/>
      <c r="P561" s="333"/>
      <c r="Q561" s="333"/>
      <c r="R561" s="333"/>
      <c r="S561" s="333"/>
      <c r="T561" s="333"/>
      <c r="U561" s="333"/>
      <c r="V561" s="333"/>
      <c r="W561" s="333"/>
      <c r="X561" s="333"/>
      <c r="Y561" s="333"/>
      <c r="Z561" s="333"/>
    </row>
    <row r="562" spans="1:26">
      <c r="A562" s="348"/>
      <c r="B562" s="333"/>
      <c r="C562" s="333"/>
      <c r="D562" s="333"/>
      <c r="E562" s="333"/>
      <c r="F562" s="333"/>
      <c r="G562" s="333"/>
      <c r="H562" s="333"/>
      <c r="I562" s="333"/>
      <c r="J562" s="333"/>
      <c r="K562" s="333"/>
      <c r="L562" s="333"/>
      <c r="M562" s="333"/>
      <c r="N562" s="333"/>
      <c r="O562" s="333"/>
      <c r="P562" s="333"/>
      <c r="Q562" s="333"/>
      <c r="R562" s="333"/>
      <c r="S562" s="333"/>
      <c r="T562" s="333"/>
      <c r="U562" s="333"/>
      <c r="V562" s="333"/>
      <c r="W562" s="333"/>
      <c r="X562" s="333"/>
      <c r="Y562" s="333"/>
      <c r="Z562" s="333"/>
    </row>
    <row r="563" spans="1:26">
      <c r="A563" s="348"/>
      <c r="B563" s="333"/>
      <c r="C563" s="333"/>
      <c r="D563" s="333"/>
      <c r="E563" s="333"/>
      <c r="F563" s="333"/>
      <c r="G563" s="333"/>
      <c r="H563" s="333"/>
      <c r="I563" s="333"/>
      <c r="J563" s="333"/>
      <c r="K563" s="333"/>
      <c r="L563" s="333"/>
      <c r="M563" s="333"/>
      <c r="N563" s="333"/>
      <c r="O563" s="333"/>
      <c r="P563" s="333"/>
      <c r="Q563" s="333"/>
      <c r="R563" s="333"/>
      <c r="S563" s="333"/>
      <c r="T563" s="333"/>
      <c r="U563" s="333"/>
      <c r="V563" s="333"/>
      <c r="W563" s="333"/>
      <c r="X563" s="333"/>
      <c r="Y563" s="333"/>
      <c r="Z563" s="333"/>
    </row>
    <row r="564" spans="1:26">
      <c r="A564" s="348"/>
      <c r="B564" s="333"/>
      <c r="C564" s="333"/>
      <c r="D564" s="333"/>
      <c r="E564" s="333"/>
      <c r="F564" s="333"/>
      <c r="G564" s="333"/>
      <c r="H564" s="333"/>
      <c r="I564" s="333"/>
      <c r="J564" s="333"/>
      <c r="K564" s="333"/>
      <c r="L564" s="333"/>
      <c r="M564" s="333"/>
      <c r="N564" s="333"/>
      <c r="O564" s="333"/>
      <c r="P564" s="333"/>
      <c r="Q564" s="333"/>
      <c r="R564" s="333"/>
      <c r="S564" s="333"/>
      <c r="T564" s="333"/>
      <c r="U564" s="333"/>
      <c r="V564" s="333"/>
      <c r="W564" s="333"/>
      <c r="X564" s="333"/>
      <c r="Y564" s="333"/>
      <c r="Z564" s="333"/>
    </row>
    <row r="565" spans="1:26">
      <c r="A565" s="348"/>
      <c r="B565" s="333"/>
      <c r="C565" s="333"/>
      <c r="D565" s="333"/>
      <c r="E565" s="333"/>
      <c r="F565" s="333"/>
      <c r="G565" s="333"/>
      <c r="H565" s="333"/>
      <c r="I565" s="333"/>
      <c r="J565" s="333"/>
      <c r="K565" s="333"/>
      <c r="L565" s="333"/>
      <c r="M565" s="333"/>
      <c r="N565" s="333"/>
      <c r="O565" s="333"/>
      <c r="P565" s="333"/>
      <c r="Q565" s="333"/>
      <c r="R565" s="333"/>
      <c r="S565" s="333"/>
      <c r="T565" s="333"/>
      <c r="U565" s="333"/>
      <c r="V565" s="333"/>
      <c r="W565" s="333"/>
      <c r="X565" s="333"/>
      <c r="Y565" s="333"/>
      <c r="Z565" s="333"/>
    </row>
    <row r="566" spans="1:26">
      <c r="A566" s="348"/>
      <c r="B566" s="333"/>
      <c r="C566" s="333"/>
      <c r="D566" s="333"/>
      <c r="E566" s="333"/>
      <c r="F566" s="333"/>
      <c r="G566" s="333"/>
      <c r="H566" s="333"/>
      <c r="I566" s="333"/>
      <c r="J566" s="333"/>
      <c r="K566" s="333"/>
      <c r="L566" s="333"/>
      <c r="M566" s="333"/>
      <c r="N566" s="333"/>
      <c r="O566" s="333"/>
      <c r="P566" s="333"/>
      <c r="Q566" s="333"/>
      <c r="R566" s="333"/>
      <c r="S566" s="333"/>
      <c r="T566" s="333"/>
      <c r="U566" s="333"/>
      <c r="V566" s="333"/>
      <c r="W566" s="333"/>
      <c r="X566" s="333"/>
      <c r="Y566" s="333"/>
      <c r="Z566" s="333"/>
    </row>
    <row r="567" spans="1:26">
      <c r="A567" s="348"/>
      <c r="B567" s="333"/>
      <c r="C567" s="333"/>
      <c r="D567" s="333"/>
      <c r="E567" s="333"/>
      <c r="F567" s="333"/>
      <c r="G567" s="333"/>
      <c r="H567" s="333"/>
      <c r="I567" s="333"/>
      <c r="J567" s="333"/>
      <c r="K567" s="333"/>
      <c r="L567" s="333"/>
      <c r="M567" s="333"/>
      <c r="N567" s="333"/>
      <c r="O567" s="333"/>
      <c r="P567" s="333"/>
      <c r="Q567" s="333"/>
      <c r="R567" s="333"/>
      <c r="S567" s="333"/>
      <c r="T567" s="333"/>
      <c r="U567" s="333"/>
      <c r="V567" s="333"/>
      <c r="W567" s="333"/>
      <c r="X567" s="333"/>
      <c r="Y567" s="333"/>
      <c r="Z567" s="333"/>
    </row>
    <row r="568" spans="1:26">
      <c r="A568" s="348"/>
      <c r="B568" s="333"/>
      <c r="C568" s="333"/>
      <c r="D568" s="333"/>
      <c r="E568" s="333"/>
      <c r="F568" s="333"/>
      <c r="G568" s="333"/>
      <c r="H568" s="333"/>
      <c r="I568" s="333"/>
      <c r="J568" s="333"/>
      <c r="K568" s="333"/>
      <c r="L568" s="333"/>
      <c r="M568" s="333"/>
      <c r="N568" s="333"/>
      <c r="O568" s="333"/>
      <c r="P568" s="333"/>
      <c r="Q568" s="333"/>
      <c r="R568" s="333"/>
      <c r="S568" s="333"/>
      <c r="T568" s="333"/>
      <c r="U568" s="333"/>
      <c r="V568" s="333"/>
      <c r="W568" s="333"/>
      <c r="X568" s="333"/>
      <c r="Y568" s="333"/>
      <c r="Z568" s="333"/>
    </row>
    <row r="569" spans="1:26">
      <c r="A569" s="348"/>
      <c r="B569" s="333"/>
      <c r="C569" s="333"/>
      <c r="D569" s="333"/>
      <c r="E569" s="333"/>
      <c r="F569" s="333"/>
      <c r="G569" s="333"/>
      <c r="H569" s="333"/>
      <c r="I569" s="333"/>
      <c r="J569" s="333"/>
      <c r="K569" s="333"/>
      <c r="L569" s="333"/>
      <c r="M569" s="333"/>
      <c r="N569" s="333"/>
      <c r="O569" s="333"/>
      <c r="P569" s="333"/>
      <c r="Q569" s="333"/>
      <c r="R569" s="333"/>
      <c r="S569" s="333"/>
      <c r="T569" s="333"/>
      <c r="U569" s="333"/>
      <c r="V569" s="333"/>
      <c r="W569" s="333"/>
      <c r="X569" s="333"/>
      <c r="Y569" s="333"/>
      <c r="Z569" s="333"/>
    </row>
    <row r="570" spans="1:26">
      <c r="A570" s="348"/>
      <c r="B570" s="333"/>
      <c r="C570" s="333"/>
      <c r="D570" s="333"/>
      <c r="E570" s="333"/>
      <c r="F570" s="333"/>
      <c r="G570" s="333"/>
      <c r="H570" s="333"/>
      <c r="I570" s="333"/>
      <c r="J570" s="333"/>
      <c r="K570" s="333"/>
      <c r="L570" s="333"/>
      <c r="M570" s="333"/>
      <c r="N570" s="333"/>
      <c r="O570" s="333"/>
      <c r="P570" s="333"/>
      <c r="Q570" s="333"/>
      <c r="R570" s="333"/>
      <c r="S570" s="333"/>
      <c r="T570" s="333"/>
      <c r="U570" s="333"/>
      <c r="V570" s="333"/>
      <c r="W570" s="333"/>
      <c r="X570" s="333"/>
      <c r="Y570" s="333"/>
      <c r="Z570" s="333"/>
    </row>
    <row r="571" spans="1:26">
      <c r="A571" s="348"/>
      <c r="B571" s="333"/>
      <c r="C571" s="333"/>
      <c r="D571" s="333"/>
      <c r="E571" s="333"/>
      <c r="F571" s="333"/>
      <c r="G571" s="333"/>
      <c r="H571" s="333"/>
      <c r="I571" s="333"/>
      <c r="J571" s="333"/>
      <c r="K571" s="333"/>
      <c r="L571" s="333"/>
      <c r="M571" s="333"/>
      <c r="N571" s="333"/>
      <c r="O571" s="333"/>
      <c r="P571" s="333"/>
      <c r="Q571" s="333"/>
      <c r="R571" s="333"/>
      <c r="S571" s="333"/>
      <c r="T571" s="333"/>
      <c r="U571" s="333"/>
      <c r="V571" s="333"/>
      <c r="W571" s="333"/>
      <c r="X571" s="333"/>
      <c r="Y571" s="333"/>
      <c r="Z571" s="333"/>
    </row>
    <row r="572" spans="1:26">
      <c r="A572" s="348"/>
      <c r="B572" s="333"/>
      <c r="C572" s="333"/>
      <c r="D572" s="333"/>
      <c r="E572" s="333"/>
      <c r="F572" s="333"/>
      <c r="G572" s="333"/>
      <c r="H572" s="333"/>
      <c r="I572" s="333"/>
      <c r="J572" s="333"/>
      <c r="K572" s="333"/>
      <c r="L572" s="333"/>
      <c r="M572" s="333"/>
      <c r="N572" s="333"/>
      <c r="O572" s="333"/>
      <c r="P572" s="333"/>
      <c r="Q572" s="333"/>
      <c r="R572" s="333"/>
      <c r="S572" s="333"/>
      <c r="T572" s="333"/>
      <c r="U572" s="333"/>
      <c r="V572" s="333"/>
      <c r="W572" s="333"/>
      <c r="X572" s="333"/>
      <c r="Y572" s="333"/>
      <c r="Z572" s="333"/>
    </row>
    <row r="573" spans="1:26">
      <c r="A573" s="348"/>
      <c r="B573" s="333"/>
      <c r="C573" s="333"/>
      <c r="D573" s="333"/>
      <c r="E573" s="333"/>
      <c r="F573" s="333"/>
      <c r="G573" s="333"/>
      <c r="H573" s="333"/>
      <c r="I573" s="333"/>
      <c r="J573" s="333"/>
      <c r="K573" s="333"/>
      <c r="L573" s="333"/>
      <c r="M573" s="333"/>
      <c r="N573" s="333"/>
      <c r="O573" s="333"/>
      <c r="P573" s="333"/>
      <c r="Q573" s="333"/>
      <c r="R573" s="333"/>
      <c r="S573" s="333"/>
      <c r="T573" s="333"/>
      <c r="U573" s="333"/>
      <c r="V573" s="333"/>
      <c r="W573" s="333"/>
      <c r="X573" s="333"/>
      <c r="Y573" s="333"/>
      <c r="Z573" s="333"/>
    </row>
    <row r="574" spans="1:26">
      <c r="A574" s="348"/>
      <c r="B574" s="333"/>
      <c r="C574" s="333"/>
      <c r="D574" s="333"/>
      <c r="E574" s="333"/>
      <c r="F574" s="333"/>
      <c r="G574" s="333"/>
      <c r="H574" s="333"/>
      <c r="I574" s="333"/>
      <c r="J574" s="333"/>
      <c r="K574" s="333"/>
      <c r="L574" s="333"/>
      <c r="M574" s="333"/>
      <c r="N574" s="333"/>
      <c r="O574" s="333"/>
      <c r="P574" s="333"/>
      <c r="Q574" s="333"/>
      <c r="R574" s="333"/>
      <c r="S574" s="333"/>
      <c r="T574" s="333"/>
      <c r="U574" s="333"/>
      <c r="V574" s="333"/>
      <c r="W574" s="333"/>
      <c r="X574" s="333"/>
      <c r="Y574" s="333"/>
      <c r="Z574" s="333"/>
    </row>
    <row r="575" spans="1:26">
      <c r="A575" s="348"/>
      <c r="B575" s="333"/>
      <c r="C575" s="333"/>
      <c r="D575" s="333"/>
      <c r="E575" s="333"/>
      <c r="F575" s="333"/>
      <c r="G575" s="333"/>
      <c r="H575" s="333"/>
      <c r="I575" s="333"/>
      <c r="J575" s="333"/>
      <c r="K575" s="333"/>
      <c r="L575" s="333"/>
      <c r="M575" s="333"/>
      <c r="N575" s="333"/>
      <c r="O575" s="333"/>
      <c r="P575" s="333"/>
      <c r="Q575" s="333"/>
      <c r="R575" s="333"/>
      <c r="S575" s="333"/>
      <c r="T575" s="333"/>
      <c r="U575" s="333"/>
      <c r="V575" s="333"/>
      <c r="W575" s="333"/>
      <c r="X575" s="333"/>
      <c r="Y575" s="333"/>
      <c r="Z575" s="333"/>
    </row>
    <row r="576" spans="1:26">
      <c r="A576" s="348"/>
      <c r="B576" s="333"/>
      <c r="C576" s="333"/>
      <c r="D576" s="333"/>
      <c r="E576" s="333"/>
      <c r="F576" s="333"/>
      <c r="G576" s="333"/>
      <c r="H576" s="333"/>
      <c r="I576" s="333"/>
      <c r="J576" s="333"/>
      <c r="K576" s="333"/>
      <c r="L576" s="333"/>
      <c r="M576" s="333"/>
      <c r="N576" s="333"/>
      <c r="O576" s="333"/>
      <c r="P576" s="333"/>
      <c r="Q576" s="333"/>
      <c r="R576" s="333"/>
      <c r="S576" s="333"/>
      <c r="T576" s="333"/>
      <c r="U576" s="333"/>
      <c r="V576" s="333"/>
      <c r="W576" s="333"/>
      <c r="X576" s="333"/>
      <c r="Y576" s="333"/>
      <c r="Z576" s="333"/>
    </row>
    <row r="577" spans="1:26">
      <c r="A577" s="348"/>
      <c r="B577" s="333"/>
      <c r="C577" s="333"/>
      <c r="D577" s="333"/>
      <c r="E577" s="333"/>
      <c r="F577" s="333"/>
      <c r="G577" s="333"/>
      <c r="H577" s="333"/>
      <c r="I577" s="333"/>
      <c r="J577" s="333"/>
      <c r="K577" s="333"/>
      <c r="L577" s="333"/>
      <c r="M577" s="333"/>
      <c r="N577" s="333"/>
      <c r="O577" s="333"/>
      <c r="P577" s="333"/>
      <c r="Q577" s="333"/>
      <c r="R577" s="333"/>
      <c r="S577" s="333"/>
      <c r="T577" s="333"/>
      <c r="U577" s="333"/>
      <c r="V577" s="333"/>
      <c r="W577" s="333"/>
      <c r="X577" s="333"/>
      <c r="Y577" s="333"/>
      <c r="Z577" s="333"/>
    </row>
    <row r="578" spans="1:26">
      <c r="A578" s="348"/>
      <c r="B578" s="333"/>
      <c r="C578" s="333"/>
      <c r="D578" s="333"/>
      <c r="E578" s="333"/>
      <c r="F578" s="333"/>
      <c r="G578" s="333"/>
      <c r="H578" s="333"/>
      <c r="I578" s="333"/>
      <c r="J578" s="333"/>
      <c r="K578" s="333"/>
      <c r="L578" s="333"/>
      <c r="M578" s="333"/>
      <c r="N578" s="333"/>
      <c r="O578" s="333"/>
      <c r="P578" s="333"/>
      <c r="Q578" s="333"/>
      <c r="R578" s="333"/>
      <c r="S578" s="333"/>
      <c r="T578" s="333"/>
      <c r="U578" s="333"/>
      <c r="V578" s="333"/>
      <c r="W578" s="333"/>
      <c r="X578" s="333"/>
      <c r="Y578" s="333"/>
      <c r="Z578" s="333"/>
    </row>
    <row r="579" spans="1:26">
      <c r="A579" s="348"/>
      <c r="B579" s="333"/>
      <c r="C579" s="333"/>
      <c r="D579" s="333"/>
      <c r="E579" s="333"/>
      <c r="F579" s="333"/>
      <c r="G579" s="333"/>
      <c r="H579" s="333"/>
      <c r="I579" s="333"/>
      <c r="J579" s="333"/>
      <c r="K579" s="333"/>
      <c r="L579" s="333"/>
      <c r="M579" s="333"/>
      <c r="N579" s="333"/>
      <c r="O579" s="333"/>
      <c r="P579" s="333"/>
      <c r="Q579" s="333"/>
      <c r="R579" s="333"/>
      <c r="S579" s="333"/>
      <c r="T579" s="333"/>
      <c r="U579" s="333"/>
      <c r="V579" s="333"/>
      <c r="W579" s="333"/>
      <c r="X579" s="333"/>
      <c r="Y579" s="333"/>
      <c r="Z579" s="333"/>
    </row>
    <row r="580" spans="1:26">
      <c r="A580" s="348"/>
      <c r="B580" s="333"/>
      <c r="C580" s="333"/>
      <c r="D580" s="333"/>
      <c r="E580" s="333"/>
      <c r="F580" s="333"/>
      <c r="G580" s="333"/>
      <c r="H580" s="333"/>
      <c r="I580" s="333"/>
      <c r="J580" s="333"/>
      <c r="K580" s="333"/>
      <c r="L580" s="333"/>
      <c r="M580" s="333"/>
      <c r="N580" s="333"/>
      <c r="O580" s="333"/>
      <c r="P580" s="333"/>
      <c r="Q580" s="333"/>
      <c r="R580" s="333"/>
      <c r="S580" s="333"/>
      <c r="T580" s="333"/>
      <c r="U580" s="333"/>
      <c r="V580" s="333"/>
      <c r="W580" s="333"/>
      <c r="X580" s="333"/>
      <c r="Y580" s="333"/>
      <c r="Z580" s="333"/>
    </row>
    <row r="581" spans="1:26">
      <c r="A581" s="348"/>
      <c r="B581" s="333"/>
      <c r="C581" s="333"/>
      <c r="D581" s="333"/>
      <c r="E581" s="333"/>
      <c r="F581" s="333"/>
      <c r="G581" s="333"/>
      <c r="H581" s="333"/>
      <c r="I581" s="333"/>
      <c r="J581" s="333"/>
      <c r="K581" s="333"/>
      <c r="L581" s="333"/>
      <c r="M581" s="333"/>
      <c r="N581" s="333"/>
      <c r="O581" s="333"/>
      <c r="P581" s="333"/>
      <c r="Q581" s="333"/>
      <c r="R581" s="333"/>
      <c r="S581" s="333"/>
      <c r="T581" s="333"/>
      <c r="U581" s="333"/>
      <c r="V581" s="333"/>
      <c r="W581" s="333"/>
      <c r="X581" s="333"/>
      <c r="Y581" s="333"/>
      <c r="Z581" s="333"/>
    </row>
    <row r="582" spans="1:26">
      <c r="A582" s="348"/>
      <c r="B582" s="333"/>
      <c r="C582" s="333"/>
      <c r="D582" s="333"/>
      <c r="E582" s="333"/>
      <c r="F582" s="333"/>
      <c r="G582" s="333"/>
      <c r="H582" s="333"/>
      <c r="I582" s="333"/>
      <c r="J582" s="333"/>
      <c r="K582" s="333"/>
      <c r="L582" s="333"/>
      <c r="M582" s="333"/>
      <c r="N582" s="333"/>
      <c r="O582" s="333"/>
      <c r="P582" s="333"/>
      <c r="Q582" s="333"/>
      <c r="R582" s="333"/>
      <c r="S582" s="333"/>
      <c r="T582" s="333"/>
      <c r="U582" s="333"/>
      <c r="V582" s="333"/>
      <c r="W582" s="333"/>
      <c r="X582" s="333"/>
      <c r="Y582" s="333"/>
      <c r="Z582" s="333"/>
    </row>
    <row r="583" spans="1:26">
      <c r="A583" s="348"/>
      <c r="B583" s="333"/>
      <c r="C583" s="333"/>
      <c r="D583" s="333"/>
      <c r="E583" s="333"/>
      <c r="F583" s="333"/>
      <c r="G583" s="333"/>
      <c r="H583" s="333"/>
      <c r="I583" s="333"/>
      <c r="J583" s="333"/>
      <c r="K583" s="333"/>
      <c r="L583" s="333"/>
      <c r="M583" s="333"/>
      <c r="N583" s="333"/>
      <c r="O583" s="333"/>
      <c r="P583" s="333"/>
      <c r="Q583" s="333"/>
      <c r="R583" s="333"/>
      <c r="S583" s="333"/>
      <c r="T583" s="333"/>
      <c r="U583" s="333"/>
      <c r="V583" s="333"/>
      <c r="W583" s="333"/>
      <c r="X583" s="333"/>
      <c r="Y583" s="333"/>
      <c r="Z583" s="333"/>
    </row>
    <row r="584" spans="1:26">
      <c r="A584" s="348"/>
      <c r="B584" s="333"/>
      <c r="C584" s="333"/>
      <c r="D584" s="333"/>
      <c r="E584" s="333"/>
      <c r="F584" s="333"/>
      <c r="G584" s="333"/>
      <c r="H584" s="333"/>
      <c r="I584" s="333"/>
      <c r="J584" s="333"/>
      <c r="K584" s="333"/>
      <c r="L584" s="333"/>
      <c r="M584" s="333"/>
      <c r="N584" s="333"/>
      <c r="O584" s="333"/>
      <c r="P584" s="333"/>
      <c r="Q584" s="333"/>
      <c r="R584" s="333"/>
      <c r="S584" s="333"/>
      <c r="T584" s="333"/>
      <c r="U584" s="333"/>
      <c r="V584" s="333"/>
      <c r="W584" s="333"/>
      <c r="X584" s="333"/>
      <c r="Y584" s="333"/>
      <c r="Z584" s="333"/>
    </row>
    <row r="585" spans="1:26">
      <c r="A585" s="348"/>
      <c r="B585" s="333"/>
      <c r="C585" s="333"/>
      <c r="D585" s="333"/>
      <c r="E585" s="333"/>
      <c r="F585" s="333"/>
      <c r="G585" s="333"/>
      <c r="H585" s="333"/>
      <c r="I585" s="333"/>
      <c r="J585" s="333"/>
      <c r="K585" s="333"/>
      <c r="L585" s="333"/>
      <c r="M585" s="333"/>
      <c r="N585" s="333"/>
      <c r="O585" s="333"/>
      <c r="P585" s="333"/>
      <c r="Q585" s="333"/>
      <c r="R585" s="333"/>
      <c r="S585" s="333"/>
      <c r="T585" s="333"/>
      <c r="U585" s="333"/>
      <c r="V585" s="333"/>
      <c r="W585" s="333"/>
      <c r="X585" s="333"/>
      <c r="Y585" s="333"/>
      <c r="Z585" s="333"/>
    </row>
    <row r="586" spans="1:26">
      <c r="A586" s="348"/>
      <c r="B586" s="333"/>
      <c r="C586" s="333"/>
      <c r="D586" s="333"/>
      <c r="E586" s="333"/>
      <c r="F586" s="333"/>
      <c r="G586" s="333"/>
      <c r="H586" s="333"/>
      <c r="I586" s="333"/>
      <c r="J586" s="333"/>
      <c r="K586" s="333"/>
      <c r="L586" s="333"/>
      <c r="M586" s="333"/>
      <c r="N586" s="333"/>
      <c r="O586" s="333"/>
      <c r="P586" s="333"/>
      <c r="Q586" s="333"/>
      <c r="R586" s="333"/>
      <c r="S586" s="333"/>
      <c r="T586" s="333"/>
      <c r="U586" s="333"/>
      <c r="V586" s="333"/>
      <c r="W586" s="333"/>
      <c r="X586" s="333"/>
      <c r="Y586" s="333"/>
      <c r="Z586" s="333"/>
    </row>
    <row r="587" spans="1:26">
      <c r="A587" s="348"/>
      <c r="B587" s="333"/>
      <c r="C587" s="333"/>
      <c r="D587" s="333"/>
      <c r="E587" s="333"/>
      <c r="F587" s="333"/>
      <c r="G587" s="333"/>
      <c r="H587" s="333"/>
      <c r="I587" s="333"/>
      <c r="J587" s="333"/>
      <c r="K587" s="333"/>
      <c r="L587" s="333"/>
      <c r="M587" s="333"/>
      <c r="N587" s="333"/>
      <c r="O587" s="333"/>
      <c r="P587" s="333"/>
      <c r="Q587" s="333"/>
      <c r="R587" s="333"/>
      <c r="S587" s="333"/>
      <c r="T587" s="333"/>
      <c r="U587" s="333"/>
      <c r="V587" s="333"/>
      <c r="W587" s="333"/>
      <c r="X587" s="333"/>
      <c r="Y587" s="333"/>
      <c r="Z587" s="333"/>
    </row>
    <row r="588" spans="1:26">
      <c r="A588" s="348"/>
      <c r="B588" s="333"/>
      <c r="C588" s="333"/>
      <c r="D588" s="333"/>
      <c r="E588" s="333"/>
      <c r="F588" s="333"/>
      <c r="G588" s="333"/>
      <c r="H588" s="333"/>
      <c r="I588" s="333"/>
      <c r="J588" s="333"/>
      <c r="K588" s="333"/>
      <c r="L588" s="333"/>
      <c r="M588" s="333"/>
      <c r="N588" s="333"/>
      <c r="O588" s="333"/>
      <c r="P588" s="333"/>
      <c r="Q588" s="333"/>
      <c r="R588" s="333"/>
      <c r="S588" s="333"/>
      <c r="T588" s="333"/>
      <c r="U588" s="333"/>
      <c r="V588" s="333"/>
      <c r="W588" s="333"/>
      <c r="X588" s="333"/>
      <c r="Y588" s="333"/>
      <c r="Z588" s="333"/>
    </row>
    <row r="589" spans="1:26">
      <c r="A589" s="348"/>
      <c r="B589" s="333"/>
      <c r="C589" s="333"/>
      <c r="D589" s="333"/>
      <c r="E589" s="333"/>
      <c r="F589" s="333"/>
      <c r="G589" s="333"/>
      <c r="H589" s="333"/>
      <c r="I589" s="333"/>
      <c r="J589" s="333"/>
      <c r="K589" s="333"/>
      <c r="L589" s="333"/>
      <c r="M589" s="333"/>
      <c r="N589" s="333"/>
      <c r="O589" s="333"/>
      <c r="P589" s="333"/>
      <c r="Q589" s="333"/>
      <c r="R589" s="333"/>
      <c r="S589" s="333"/>
      <c r="T589" s="333"/>
      <c r="U589" s="333"/>
      <c r="V589" s="333"/>
      <c r="W589" s="333"/>
      <c r="X589" s="333"/>
      <c r="Y589" s="333"/>
      <c r="Z589" s="333"/>
    </row>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sheetData>
  <mergeCells count="46">
    <mergeCell ref="A1:Z1"/>
    <mergeCell ref="A2:Z2"/>
    <mergeCell ref="A3:Z3"/>
    <mergeCell ref="A4:Z4"/>
    <mergeCell ref="A5:A8"/>
    <mergeCell ref="B5:B8"/>
    <mergeCell ref="C5:C8"/>
    <mergeCell ref="L5:M5"/>
    <mergeCell ref="E6:E8"/>
    <mergeCell ref="F6:G6"/>
    <mergeCell ref="H6:H8"/>
    <mergeCell ref="I6:K6"/>
    <mergeCell ref="L6:L8"/>
    <mergeCell ref="M6:M8"/>
    <mergeCell ref="F7:F8"/>
    <mergeCell ref="G7:G8"/>
    <mergeCell ref="N6:O7"/>
    <mergeCell ref="P6:Q7"/>
    <mergeCell ref="I7:I8"/>
    <mergeCell ref="N5:U5"/>
    <mergeCell ref="V5:Y5"/>
    <mergeCell ref="J7:K7"/>
    <mergeCell ref="W7:W8"/>
    <mergeCell ref="AC7:AC8"/>
    <mergeCell ref="Z66:Z73"/>
    <mergeCell ref="Z85:Z87"/>
    <mergeCell ref="Z92:Z97"/>
    <mergeCell ref="AD7:AE7"/>
    <mergeCell ref="Z5:Z8"/>
    <mergeCell ref="AC5:AE6"/>
    <mergeCell ref="Z117:Z123"/>
    <mergeCell ref="Z129:Z131"/>
    <mergeCell ref="Z134:Z135"/>
    <mergeCell ref="B254:I254"/>
    <mergeCell ref="R6:S7"/>
    <mergeCell ref="T6:U7"/>
    <mergeCell ref="V6:V8"/>
    <mergeCell ref="W6:Y6"/>
    <mergeCell ref="Z110:Z112"/>
    <mergeCell ref="Z35:Z44"/>
    <mergeCell ref="Z46:Z47"/>
    <mergeCell ref="Z56:Z61"/>
    <mergeCell ref="X7:Y7"/>
    <mergeCell ref="D5:D8"/>
    <mergeCell ref="E5:G5"/>
    <mergeCell ref="H5:K5"/>
  </mergeCells>
  <phoneticPr fontId="13" type="noConversion"/>
  <pageMargins left="0.51181102362204722" right="0.23622047244094491" top="0.74803149606299213" bottom="0.23622047244094491" header="0.59055118110236227" footer="0"/>
  <pageSetup paperSize="9" scale="4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5"/>
  <sheetViews>
    <sheetView view="pageBreakPreview" zoomScaleNormal="100" workbookViewId="0">
      <selection activeCell="A3" sqref="A3:Q3"/>
    </sheetView>
  </sheetViews>
  <sheetFormatPr defaultRowHeight="15.75"/>
  <cols>
    <col min="1" max="1" width="6.42578125" style="227" customWidth="1"/>
    <col min="2" max="2" width="45.85546875" style="104" customWidth="1"/>
    <col min="3" max="3" width="19" style="104" customWidth="1"/>
    <col min="4" max="4" width="19" style="104" hidden="1" customWidth="1"/>
    <col min="5" max="5" width="17.85546875" style="182" hidden="1" customWidth="1"/>
    <col min="6" max="6" width="19.42578125" style="182" hidden="1" customWidth="1"/>
    <col min="7" max="7" width="17.7109375" style="182" customWidth="1"/>
    <col min="8" max="8" width="17.85546875" style="182" customWidth="1"/>
    <col min="9" max="9" width="6.85546875" style="104" customWidth="1"/>
    <col min="10" max="11" width="9.140625" style="104" hidden="1" customWidth="1"/>
    <col min="12" max="12" width="19.85546875" style="182" hidden="1" customWidth="1"/>
    <col min="13" max="13" width="6.85546875" style="182" hidden="1" customWidth="1"/>
    <col min="14" max="14" width="7.42578125" style="182" customWidth="1"/>
    <col min="15" max="15" width="7.7109375" style="182" customWidth="1"/>
    <col min="16" max="16" width="7.85546875" style="228" hidden="1" customWidth="1"/>
    <col min="17" max="17" width="8.140625" style="182" hidden="1" customWidth="1"/>
    <col min="18" max="18" width="10.140625" style="104" hidden="1" customWidth="1"/>
    <col min="19" max="19" width="0" style="104" hidden="1" customWidth="1"/>
    <col min="20" max="20" width="18.7109375" style="182" hidden="1" customWidth="1"/>
    <col min="21" max="21" width="21.140625" style="182" hidden="1" customWidth="1"/>
    <col min="22" max="22" width="0" style="104" hidden="1" customWidth="1"/>
    <col min="23" max="23" width="19.42578125" style="104" hidden="1" customWidth="1"/>
    <col min="24" max="92" width="0" style="104" hidden="1" customWidth="1"/>
    <col min="93" max="93" width="20.7109375" style="104" hidden="1" customWidth="1"/>
    <col min="94" max="94" width="0" style="104" hidden="1" customWidth="1"/>
    <col min="95" max="95" width="18.5703125" style="182" hidden="1" customWidth="1"/>
    <col min="96" max="96" width="18.7109375" style="104" hidden="1" customWidth="1"/>
    <col min="97" max="97" width="0" style="104" hidden="1" customWidth="1"/>
    <col min="98" max="98" width="18.42578125" style="182" hidden="1" customWidth="1"/>
    <col min="99" max="99" width="0" style="104" hidden="1" customWidth="1"/>
    <col min="100" max="100" width="19.140625" style="104" hidden="1" customWidth="1"/>
    <col min="101" max="16384" width="9.140625" style="104"/>
  </cols>
  <sheetData>
    <row r="1" spans="1:100" s="27" customFormat="1" ht="18.75">
      <c r="A1" s="1141" t="s">
        <v>484</v>
      </c>
      <c r="B1" s="1141"/>
      <c r="C1" s="1141"/>
      <c r="D1" s="1141"/>
      <c r="E1" s="1141"/>
      <c r="F1" s="1141"/>
      <c r="G1" s="1141"/>
      <c r="H1" s="1141"/>
      <c r="I1" s="1141"/>
      <c r="J1" s="1141"/>
      <c r="K1" s="1141"/>
      <c r="L1" s="1141"/>
      <c r="M1" s="1141"/>
      <c r="N1" s="1141"/>
      <c r="O1" s="1141"/>
      <c r="P1" s="1141"/>
      <c r="Q1" s="1141"/>
      <c r="R1" s="171"/>
      <c r="S1" s="171"/>
      <c r="T1" s="172"/>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3"/>
      <c r="AU1" s="174"/>
      <c r="CQ1" s="62"/>
      <c r="CT1" s="62"/>
    </row>
    <row r="2" spans="1:100" s="27" customFormat="1" ht="31.5" customHeight="1">
      <c r="A2" s="1142" t="s">
        <v>485</v>
      </c>
      <c r="B2" s="1142"/>
      <c r="C2" s="1142"/>
      <c r="D2" s="1142"/>
      <c r="E2" s="1142"/>
      <c r="F2" s="1142"/>
      <c r="G2" s="1142"/>
      <c r="H2" s="1142"/>
      <c r="I2" s="1142"/>
      <c r="J2" s="1142"/>
      <c r="K2" s="1142"/>
      <c r="L2" s="1142"/>
      <c r="M2" s="1142"/>
      <c r="N2" s="1142"/>
      <c r="O2" s="1142"/>
      <c r="P2" s="1142"/>
      <c r="Q2" s="1142"/>
      <c r="R2" s="171"/>
      <c r="S2" s="171"/>
      <c r="T2" s="172"/>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3"/>
      <c r="AU2" s="174" t="e">
        <f>#REF!</f>
        <v>#REF!</v>
      </c>
      <c r="CQ2" s="62"/>
      <c r="CT2" s="62"/>
    </row>
    <row r="3" spans="1:100" s="27" customFormat="1" ht="35.25" customHeight="1">
      <c r="A3" s="1146" t="s">
        <v>486</v>
      </c>
      <c r="B3" s="1146"/>
      <c r="C3" s="1146"/>
      <c r="D3" s="1146"/>
      <c r="E3" s="1146"/>
      <c r="F3" s="1146"/>
      <c r="G3" s="1146"/>
      <c r="H3" s="1146"/>
      <c r="I3" s="1146"/>
      <c r="J3" s="1146"/>
      <c r="K3" s="1146"/>
      <c r="L3" s="1146"/>
      <c r="M3" s="1146"/>
      <c r="N3" s="1146"/>
      <c r="O3" s="1146"/>
      <c r="P3" s="1146"/>
      <c r="Q3" s="1146"/>
      <c r="R3" s="175"/>
      <c r="S3" s="175"/>
      <c r="T3" s="176"/>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7" t="e">
        <f>'[1]THU T6'!G7-#REF!</f>
        <v>#REF!</v>
      </c>
      <c r="AU3" s="174" t="e">
        <f>E5-AU2</f>
        <v>#VALUE!</v>
      </c>
      <c r="CQ3" s="178"/>
      <c r="CT3" s="93">
        <v>228046155525</v>
      </c>
      <c r="CV3" s="331">
        <f>G6-CT3</f>
        <v>0</v>
      </c>
    </row>
    <row r="4" spans="1:100" s="27" customFormat="1" ht="35.25" customHeight="1">
      <c r="A4" s="1145" t="s">
        <v>797</v>
      </c>
      <c r="B4" s="1145"/>
      <c r="C4" s="1145"/>
      <c r="D4" s="1145"/>
      <c r="E4" s="1145"/>
      <c r="F4" s="1145"/>
      <c r="G4" s="1145"/>
      <c r="H4" s="1145"/>
      <c r="I4" s="1145"/>
      <c r="J4" s="1145"/>
      <c r="K4" s="1145"/>
      <c r="L4" s="1145"/>
      <c r="M4" s="1145"/>
      <c r="N4" s="1145"/>
      <c r="O4" s="1145"/>
      <c r="P4" s="1145"/>
      <c r="Q4" s="1145"/>
      <c r="R4" s="179"/>
      <c r="S4" s="179"/>
      <c r="T4" s="180"/>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3"/>
      <c r="AU4" s="174"/>
      <c r="BH4" s="62">
        <v>165893728657</v>
      </c>
      <c r="CQ4" s="62"/>
      <c r="CT4" s="62"/>
    </row>
    <row r="5" spans="1:100" ht="114" customHeight="1">
      <c r="A5" s="108" t="s">
        <v>246</v>
      </c>
      <c r="B5" s="108" t="s">
        <v>243</v>
      </c>
      <c r="C5" s="28" t="s">
        <v>487</v>
      </c>
      <c r="D5" s="28" t="s">
        <v>488</v>
      </c>
      <c r="E5" s="28" t="s">
        <v>489</v>
      </c>
      <c r="F5" s="28" t="s">
        <v>729</v>
      </c>
      <c r="G5" s="28" t="s">
        <v>729</v>
      </c>
      <c r="H5" s="28" t="s">
        <v>490</v>
      </c>
      <c r="I5" s="229" t="s">
        <v>491</v>
      </c>
      <c r="J5" s="230"/>
      <c r="K5" s="230"/>
      <c r="L5" s="229" t="s">
        <v>492</v>
      </c>
      <c r="M5" s="229" t="s">
        <v>493</v>
      </c>
      <c r="N5" s="229" t="s">
        <v>419</v>
      </c>
      <c r="O5" s="229" t="s">
        <v>730</v>
      </c>
      <c r="P5" s="161" t="s">
        <v>494</v>
      </c>
      <c r="Q5" s="161" t="s">
        <v>495</v>
      </c>
      <c r="R5" s="181" t="s">
        <v>495</v>
      </c>
      <c r="T5" s="182">
        <v>165893728657</v>
      </c>
      <c r="U5" s="182" t="s">
        <v>496</v>
      </c>
      <c r="CO5" s="182">
        <f>'[1]THU T6'!G7</f>
        <v>508050800712</v>
      </c>
      <c r="CR5" s="183">
        <f>H6-'[1]THU T6'!G6</f>
        <v>22357271827</v>
      </c>
    </row>
    <row r="6" spans="1:100" s="105" customFormat="1" ht="22.5" customHeight="1">
      <c r="A6" s="165"/>
      <c r="B6" s="32" t="s">
        <v>801</v>
      </c>
      <c r="C6" s="32">
        <f t="shared" ref="C6:H6" si="0">C7+C50+C75</f>
        <v>458153000000</v>
      </c>
      <c r="D6" s="32">
        <f t="shared" si="0"/>
        <v>18418000000</v>
      </c>
      <c r="E6" s="184">
        <f t="shared" si="0"/>
        <v>73104783262</v>
      </c>
      <c r="F6" s="184">
        <f>F7+F50+F75</f>
        <v>183336439522</v>
      </c>
      <c r="G6" s="184">
        <f>G7+G50+G75</f>
        <v>228046155525</v>
      </c>
      <c r="H6" s="184">
        <f t="shared" si="0"/>
        <v>531228072539</v>
      </c>
      <c r="I6" s="185">
        <f>G6/C6</f>
        <v>0.49775109084738067</v>
      </c>
      <c r="J6" s="111"/>
      <c r="K6" s="111"/>
      <c r="L6" s="184" t="e">
        <f>L7+L50+L75</f>
        <v>#REF!</v>
      </c>
      <c r="M6" s="186">
        <f>F6/T6</f>
        <v>1.1051438834138472</v>
      </c>
      <c r="N6" s="186">
        <f>G6/CT6</f>
        <v>1.3746520581046535</v>
      </c>
      <c r="O6" s="186">
        <f>H6/C6</f>
        <v>1.1594992776190487</v>
      </c>
      <c r="P6" s="186">
        <f>F6/CQ6</f>
        <v>1.1051438834138472</v>
      </c>
      <c r="Q6" s="186">
        <f t="shared" ref="Q6:Q69" si="1">H6/C6</f>
        <v>1.1594992776190487</v>
      </c>
      <c r="R6" s="105">
        <f>458153-397857</f>
        <v>60296</v>
      </c>
      <c r="T6" s="182">
        <v>165893728657</v>
      </c>
      <c r="U6" s="187">
        <v>117723668584</v>
      </c>
      <c r="CQ6" s="187">
        <v>165893728657</v>
      </c>
      <c r="CT6" s="187">
        <v>165893728657</v>
      </c>
    </row>
    <row r="7" spans="1:100" s="105" customFormat="1" ht="22.5" customHeight="1">
      <c r="A7" s="165" t="s">
        <v>218</v>
      </c>
      <c r="B7" s="188" t="s">
        <v>802</v>
      </c>
      <c r="C7" s="32">
        <f>C8+C10</f>
        <v>372871000000</v>
      </c>
      <c r="D7" s="32"/>
      <c r="E7" s="184">
        <f>E8+E10</f>
        <v>54612359562</v>
      </c>
      <c r="F7" s="184">
        <f>F8+F10</f>
        <v>161949864819</v>
      </c>
      <c r="G7" s="184">
        <f>G8+G10</f>
        <v>188868374222</v>
      </c>
      <c r="H7" s="184">
        <f>H8+H10</f>
        <v>429398152453</v>
      </c>
      <c r="I7" s="185">
        <f t="shared" ref="I7:I70" si="2">G7/C7</f>
        <v>0.5065247075315592</v>
      </c>
      <c r="J7" s="111"/>
      <c r="K7" s="111"/>
      <c r="L7" s="184" t="e">
        <f>L8+L10</f>
        <v>#REF!</v>
      </c>
      <c r="M7" s="186">
        <f>F7/T7</f>
        <v>1.0058780416672743</v>
      </c>
      <c r="N7" s="186">
        <f t="shared" ref="N7:N49" si="3">G7/CT7</f>
        <v>1.1730701387595042</v>
      </c>
      <c r="O7" s="186">
        <f t="shared" ref="O7:O70" si="4">H7/C7</f>
        <v>1.1515997555535293</v>
      </c>
      <c r="P7" s="186">
        <f>F7/CQ7</f>
        <v>1.0058780416672743</v>
      </c>
      <c r="Q7" s="186">
        <f t="shared" si="1"/>
        <v>1.1515997555535293</v>
      </c>
      <c r="T7" s="187">
        <v>161003479657</v>
      </c>
      <c r="U7" s="187">
        <v>107056211784</v>
      </c>
      <c r="CO7" s="189">
        <f>CO5-H6</f>
        <v>-23177271827</v>
      </c>
      <c r="CQ7" s="187">
        <v>161003479657</v>
      </c>
      <c r="CT7" s="187">
        <v>161003479657</v>
      </c>
    </row>
    <row r="8" spans="1:100" s="192" customFormat="1" ht="22.5" customHeight="1">
      <c r="A8" s="165" t="s">
        <v>220</v>
      </c>
      <c r="B8" s="32" t="s">
        <v>803</v>
      </c>
      <c r="C8" s="32">
        <f t="shared" ref="C8:H8" si="5">SUM(C9:C9)</f>
        <v>500000000</v>
      </c>
      <c r="D8" s="32">
        <f t="shared" si="5"/>
        <v>0</v>
      </c>
      <c r="E8" s="32">
        <f t="shared" si="5"/>
        <v>0</v>
      </c>
      <c r="F8" s="32">
        <f t="shared" si="5"/>
        <v>0</v>
      </c>
      <c r="G8" s="32">
        <f t="shared" si="5"/>
        <v>0</v>
      </c>
      <c r="H8" s="32">
        <f t="shared" si="5"/>
        <v>500000000</v>
      </c>
      <c r="I8" s="185">
        <f t="shared" si="2"/>
        <v>0</v>
      </c>
      <c r="J8" s="191"/>
      <c r="K8" s="191"/>
      <c r="L8" s="184"/>
      <c r="M8" s="186"/>
      <c r="N8" s="186"/>
      <c r="O8" s="186">
        <f t="shared" si="4"/>
        <v>1</v>
      </c>
      <c r="P8" s="186"/>
      <c r="Q8" s="186">
        <f t="shared" si="1"/>
        <v>1</v>
      </c>
      <c r="T8" s="187"/>
      <c r="U8" s="187"/>
      <c r="W8" s="192">
        <f>F6-86057898775</f>
        <v>97278540747</v>
      </c>
      <c r="CQ8" s="187"/>
      <c r="CT8" s="187"/>
    </row>
    <row r="9" spans="1:100" s="192" customFormat="1" ht="22.5" customHeight="1">
      <c r="A9" s="165"/>
      <c r="B9" s="38" t="s">
        <v>497</v>
      </c>
      <c r="C9" s="38">
        <v>500000000</v>
      </c>
      <c r="D9" s="38"/>
      <c r="E9" s="184"/>
      <c r="F9" s="184"/>
      <c r="G9" s="184"/>
      <c r="H9" s="112">
        <v>500000000</v>
      </c>
      <c r="I9" s="185">
        <f t="shared" si="2"/>
        <v>0</v>
      </c>
      <c r="J9" s="191"/>
      <c r="K9" s="191"/>
      <c r="L9" s="184"/>
      <c r="M9" s="186"/>
      <c r="N9" s="186"/>
      <c r="O9" s="186">
        <f t="shared" si="4"/>
        <v>1</v>
      </c>
      <c r="P9" s="186"/>
      <c r="Q9" s="193">
        <f t="shared" si="1"/>
        <v>1</v>
      </c>
      <c r="T9" s="187"/>
      <c r="U9" s="187"/>
      <c r="CQ9" s="187"/>
      <c r="CT9" s="187"/>
    </row>
    <row r="10" spans="1:100" s="106" customFormat="1" ht="22.5" customHeight="1">
      <c r="A10" s="165" t="s">
        <v>223</v>
      </c>
      <c r="B10" s="194" t="s">
        <v>804</v>
      </c>
      <c r="C10" s="165">
        <f t="shared" ref="C10:H10" si="6">C11+C24+C25+C28+C29+C30+C31+C32+C33+C34+C40+C43+C44+C45+C46+C47+C48+C49</f>
        <v>372371000000</v>
      </c>
      <c r="D10" s="165">
        <f t="shared" si="6"/>
        <v>0</v>
      </c>
      <c r="E10" s="165">
        <f t="shared" si="6"/>
        <v>54612359562</v>
      </c>
      <c r="F10" s="165">
        <f t="shared" si="6"/>
        <v>161949864819</v>
      </c>
      <c r="G10" s="165">
        <f t="shared" si="6"/>
        <v>188868374222</v>
      </c>
      <c r="H10" s="165">
        <f t="shared" si="6"/>
        <v>428898152453</v>
      </c>
      <c r="I10" s="185">
        <f t="shared" si="2"/>
        <v>0.50720484200434512</v>
      </c>
      <c r="J10" s="195"/>
      <c r="K10" s="195"/>
      <c r="L10" s="184" t="e">
        <f>L11+L24+L25+L28+L29+L30+L31+L32+#REF!+L33+L34+L40+L43+L44+L45+L46+#REF!+L47+L48+L49</f>
        <v>#REF!</v>
      </c>
      <c r="M10" s="186">
        <f t="shared" ref="M10:M15" si="7">F10/T10</f>
        <v>1.0058780416672743</v>
      </c>
      <c r="N10" s="186">
        <f t="shared" si="3"/>
        <v>1.1730701387595042</v>
      </c>
      <c r="O10" s="186">
        <f t="shared" si="4"/>
        <v>1.1518033156529375</v>
      </c>
      <c r="P10" s="186">
        <f t="shared" ref="P10:P15" si="8">F10/CQ10</f>
        <v>1.0058780416672743</v>
      </c>
      <c r="Q10" s="186">
        <f t="shared" si="1"/>
        <v>1.1518033156529375</v>
      </c>
      <c r="T10" s="182">
        <v>161003479657</v>
      </c>
      <c r="U10" s="182">
        <v>107056211784</v>
      </c>
      <c r="CQ10" s="182">
        <v>161003479657</v>
      </c>
      <c r="CT10" s="182">
        <v>161003479657</v>
      </c>
    </row>
    <row r="11" spans="1:100" s="106" customFormat="1" ht="22.5" customHeight="1">
      <c r="A11" s="196">
        <v>1</v>
      </c>
      <c r="B11" s="191" t="s">
        <v>498</v>
      </c>
      <c r="C11" s="165">
        <f>C12+C17+C18+C19</f>
        <v>16435000000</v>
      </c>
      <c r="D11" s="165"/>
      <c r="E11" s="184">
        <f>E12+E17+E18+E19</f>
        <v>1071007845</v>
      </c>
      <c r="F11" s="184">
        <f>F12+F17+F18+F19</f>
        <v>3682339797</v>
      </c>
      <c r="G11" s="184">
        <f>G12+G17+G18+G19</f>
        <v>4483072866</v>
      </c>
      <c r="H11" s="184">
        <f>H12+H17+H18+H19</f>
        <v>31164982560</v>
      </c>
      <c r="I11" s="185">
        <f t="shared" si="2"/>
        <v>0.27277595777304531</v>
      </c>
      <c r="J11" s="195"/>
      <c r="K11" s="195"/>
      <c r="L11" s="184">
        <f>L12+L17+L18+L19</f>
        <v>30567047</v>
      </c>
      <c r="M11" s="186">
        <f t="shared" si="7"/>
        <v>0.68952623760457343</v>
      </c>
      <c r="N11" s="186">
        <f t="shared" si="3"/>
        <v>0.83946526844658054</v>
      </c>
      <c r="O11" s="186">
        <f t="shared" si="4"/>
        <v>1.8962569248554912</v>
      </c>
      <c r="P11" s="186">
        <f t="shared" si="8"/>
        <v>0.68952623760457343</v>
      </c>
      <c r="Q11" s="186">
        <f t="shared" si="1"/>
        <v>1.8962569248554912</v>
      </c>
      <c r="T11" s="182">
        <v>5340391121</v>
      </c>
      <c r="U11" s="182">
        <v>2330038479</v>
      </c>
      <c r="CQ11" s="182">
        <v>5340391121</v>
      </c>
      <c r="CT11" s="182">
        <v>5340391121</v>
      </c>
    </row>
    <row r="12" spans="1:100" s="106" customFormat="1" ht="22.5" customHeight="1">
      <c r="A12" s="165" t="s">
        <v>499</v>
      </c>
      <c r="B12" s="191" t="s">
        <v>500</v>
      </c>
      <c r="C12" s="165">
        <f>C13+C14+C15+C16</f>
        <v>10553000000</v>
      </c>
      <c r="D12" s="165"/>
      <c r="E12" s="197">
        <f>E13+E14+E15+E16</f>
        <v>1025842955</v>
      </c>
      <c r="F12" s="197">
        <f>F13+F14+F15+F16</f>
        <v>2103664936</v>
      </c>
      <c r="G12" s="197">
        <f>G13+G14+G15+G16</f>
        <v>2686748336</v>
      </c>
      <c r="H12" s="197">
        <f>H13+H14+H15+H16</f>
        <v>12617982560</v>
      </c>
      <c r="I12" s="185">
        <f t="shared" si="2"/>
        <v>0.25459569184118258</v>
      </c>
      <c r="J12" s="195"/>
      <c r="K12" s="195"/>
      <c r="L12" s="184">
        <f>L13+L14+L15+L16</f>
        <v>729999</v>
      </c>
      <c r="M12" s="186">
        <f t="shared" si="7"/>
        <v>0.75343850664954537</v>
      </c>
      <c r="N12" s="186">
        <f t="shared" si="3"/>
        <v>0.96227285028959142</v>
      </c>
      <c r="O12" s="186">
        <f t="shared" si="4"/>
        <v>1.1956773012413531</v>
      </c>
      <c r="P12" s="186">
        <f t="shared" si="8"/>
        <v>0.75343850664954537</v>
      </c>
      <c r="Q12" s="193">
        <f t="shared" si="1"/>
        <v>1.1956773012413531</v>
      </c>
      <c r="T12" s="182">
        <v>2792085774</v>
      </c>
      <c r="U12" s="182">
        <v>1077821981</v>
      </c>
      <c r="CQ12" s="182">
        <v>2792085774</v>
      </c>
      <c r="CT12" s="182">
        <v>2792085774</v>
      </c>
    </row>
    <row r="13" spans="1:100" s="106" customFormat="1" ht="22.5" customHeight="1">
      <c r="A13" s="109"/>
      <c r="B13" s="195" t="s">
        <v>501</v>
      </c>
      <c r="C13" s="109">
        <v>2088000000</v>
      </c>
      <c r="D13" s="109"/>
      <c r="E13" s="198">
        <f>F13-U13</f>
        <v>317410197</v>
      </c>
      <c r="F13" s="198">
        <v>1027341178</v>
      </c>
      <c r="G13" s="198">
        <v>1036693997</v>
      </c>
      <c r="H13" s="198">
        <v>2200000000</v>
      </c>
      <c r="I13" s="190">
        <f t="shared" si="2"/>
        <v>0.49650095641762454</v>
      </c>
      <c r="J13" s="195"/>
      <c r="K13" s="195"/>
      <c r="L13" s="112">
        <v>729999</v>
      </c>
      <c r="M13" s="193">
        <f t="shared" si="7"/>
        <v>0.94768487705756133</v>
      </c>
      <c r="N13" s="193">
        <f t="shared" si="3"/>
        <v>0.9563125124662889</v>
      </c>
      <c r="O13" s="193">
        <f t="shared" si="4"/>
        <v>1.053639846743295</v>
      </c>
      <c r="P13" s="193">
        <f t="shared" si="8"/>
        <v>0.94768487705756133</v>
      </c>
      <c r="Q13" s="193">
        <f t="shared" si="1"/>
        <v>1.053639846743295</v>
      </c>
      <c r="R13" s="182"/>
      <c r="T13" s="182">
        <v>1084053574</v>
      </c>
      <c r="U13" s="182">
        <v>709930981</v>
      </c>
      <c r="CQ13" s="182">
        <v>1084053574</v>
      </c>
      <c r="CR13" s="182">
        <f t="shared" ref="CR13:CR76" si="9">G13-F13</f>
        <v>9352819</v>
      </c>
      <c r="CT13" s="182">
        <v>1084053574</v>
      </c>
    </row>
    <row r="14" spans="1:100" s="106" customFormat="1" ht="22.5" customHeight="1">
      <c r="A14" s="109"/>
      <c r="B14" s="195" t="s">
        <v>502</v>
      </c>
      <c r="C14" s="109">
        <v>4400000000</v>
      </c>
      <c r="D14" s="109"/>
      <c r="E14" s="198">
        <f>F14-L14</f>
        <v>682653258</v>
      </c>
      <c r="F14" s="198">
        <v>682653258</v>
      </c>
      <c r="G14" s="198">
        <v>853490258</v>
      </c>
      <c r="H14" s="198">
        <v>6377982560</v>
      </c>
      <c r="I14" s="190">
        <f t="shared" si="2"/>
        <v>0.19397505863636363</v>
      </c>
      <c r="J14" s="195"/>
      <c r="K14" s="195"/>
      <c r="L14" s="112"/>
      <c r="M14" s="193">
        <f t="shared" si="7"/>
        <v>0.50111045958946798</v>
      </c>
      <c r="N14" s="193">
        <f t="shared" si="3"/>
        <v>0.62651557057611462</v>
      </c>
      <c r="O14" s="193">
        <f t="shared" si="4"/>
        <v>1.4495414909090909</v>
      </c>
      <c r="P14" s="193">
        <f t="shared" si="8"/>
        <v>0.50111045958946798</v>
      </c>
      <c r="Q14" s="193">
        <f t="shared" si="1"/>
        <v>1.4495414909090909</v>
      </c>
      <c r="T14" s="182">
        <v>1362281000</v>
      </c>
      <c r="U14" s="182"/>
      <c r="CQ14" s="182">
        <v>1362281000</v>
      </c>
      <c r="CR14" s="182">
        <f t="shared" si="9"/>
        <v>170837000</v>
      </c>
      <c r="CT14" s="182">
        <v>1362281000</v>
      </c>
    </row>
    <row r="15" spans="1:100" s="106" customFormat="1" ht="22.5" customHeight="1">
      <c r="A15" s="109"/>
      <c r="B15" s="195" t="s">
        <v>739</v>
      </c>
      <c r="C15" s="109">
        <v>695000000</v>
      </c>
      <c r="D15" s="109"/>
      <c r="E15" s="198">
        <f>F15-U15</f>
        <v>25779500</v>
      </c>
      <c r="F15" s="198">
        <v>393670500</v>
      </c>
      <c r="G15" s="198">
        <v>393670500</v>
      </c>
      <c r="H15" s="198">
        <v>670000000</v>
      </c>
      <c r="I15" s="190">
        <f t="shared" si="2"/>
        <v>0.56643237410071945</v>
      </c>
      <c r="J15" s="195"/>
      <c r="K15" s="195"/>
      <c r="L15" s="112"/>
      <c r="M15" s="193">
        <f t="shared" si="7"/>
        <v>1.1385947467427444</v>
      </c>
      <c r="N15" s="193">
        <f t="shared" si="3"/>
        <v>1.6019067251757062</v>
      </c>
      <c r="O15" s="193">
        <f t="shared" si="4"/>
        <v>0.96402877697841727</v>
      </c>
      <c r="P15" s="193">
        <f t="shared" si="8"/>
        <v>1.1385947467427444</v>
      </c>
      <c r="Q15" s="193">
        <f t="shared" si="1"/>
        <v>0.96402877697841727</v>
      </c>
      <c r="R15" s="106">
        <v>364033000</v>
      </c>
      <c r="T15" s="182">
        <v>345751200</v>
      </c>
      <c r="U15" s="182">
        <v>367891000</v>
      </c>
      <c r="CQ15" s="182">
        <v>345751200</v>
      </c>
      <c r="CR15" s="182">
        <f t="shared" si="9"/>
        <v>0</v>
      </c>
      <c r="CT15" s="182">
        <v>245751200</v>
      </c>
    </row>
    <row r="16" spans="1:100" s="106" customFormat="1" ht="22.5" customHeight="1">
      <c r="A16" s="109"/>
      <c r="B16" s="195" t="s">
        <v>503</v>
      </c>
      <c r="C16" s="109">
        <v>3370000000</v>
      </c>
      <c r="D16" s="109"/>
      <c r="E16" s="198">
        <f>F16-L16</f>
        <v>0</v>
      </c>
      <c r="F16" s="198"/>
      <c r="G16" s="198">
        <v>402893581</v>
      </c>
      <c r="H16" s="198">
        <v>3370000000</v>
      </c>
      <c r="I16" s="190">
        <f t="shared" si="2"/>
        <v>0.11955299139465875</v>
      </c>
      <c r="J16" s="195"/>
      <c r="K16" s="195"/>
      <c r="L16" s="112"/>
      <c r="M16" s="193"/>
      <c r="N16" s="193"/>
      <c r="O16" s="193">
        <f t="shared" si="4"/>
        <v>1</v>
      </c>
      <c r="P16" s="193"/>
      <c r="Q16" s="193">
        <f t="shared" si="1"/>
        <v>1</v>
      </c>
      <c r="R16" s="106">
        <v>90102000</v>
      </c>
      <c r="T16" s="182"/>
      <c r="U16" s="182"/>
      <c r="CQ16" s="182">
        <v>0</v>
      </c>
      <c r="CR16" s="182">
        <f t="shared" si="9"/>
        <v>402893581</v>
      </c>
      <c r="CT16" s="182">
        <v>0</v>
      </c>
    </row>
    <row r="17" spans="1:98" s="106" customFormat="1" ht="22.5" customHeight="1">
      <c r="A17" s="165" t="s">
        <v>504</v>
      </c>
      <c r="B17" s="191" t="s">
        <v>241</v>
      </c>
      <c r="C17" s="165">
        <v>250000000</v>
      </c>
      <c r="D17" s="165"/>
      <c r="E17" s="197">
        <f>F17-U17</f>
        <v>0</v>
      </c>
      <c r="F17" s="197">
        <v>63000000</v>
      </c>
      <c r="G17" s="197">
        <v>63000000</v>
      </c>
      <c r="H17" s="197">
        <v>7850000000</v>
      </c>
      <c r="I17" s="185">
        <f t="shared" si="2"/>
        <v>0.252</v>
      </c>
      <c r="J17" s="195"/>
      <c r="K17" s="195"/>
      <c r="L17" s="184"/>
      <c r="M17" s="186">
        <f t="shared" ref="M17:M44" si="10">F17/T17</f>
        <v>8.2977386686475876E-2</v>
      </c>
      <c r="N17" s="186">
        <f t="shared" si="3"/>
        <v>8.2977386686475876E-2</v>
      </c>
      <c r="O17" s="186">
        <f t="shared" si="4"/>
        <v>31.4</v>
      </c>
      <c r="P17" s="186">
        <f t="shared" ref="P17:P44" si="11">F17/CQ17</f>
        <v>8.2977386686475876E-2</v>
      </c>
      <c r="Q17" s="186">
        <f t="shared" si="1"/>
        <v>31.4</v>
      </c>
      <c r="R17" s="106">
        <v>1651996000</v>
      </c>
      <c r="T17" s="182">
        <v>759243000</v>
      </c>
      <c r="U17" s="182">
        <v>63000000</v>
      </c>
      <c r="CQ17" s="182">
        <v>759243000</v>
      </c>
      <c r="CR17" s="182">
        <f t="shared" si="9"/>
        <v>0</v>
      </c>
      <c r="CT17" s="182">
        <v>759243000</v>
      </c>
    </row>
    <row r="18" spans="1:98" s="106" customFormat="1" ht="22.5" customHeight="1">
      <c r="A18" s="165" t="s">
        <v>505</v>
      </c>
      <c r="B18" s="191" t="s">
        <v>811</v>
      </c>
      <c r="C18" s="165">
        <v>3038000000</v>
      </c>
      <c r="D18" s="165"/>
      <c r="E18" s="197"/>
      <c r="F18" s="197">
        <v>125500000</v>
      </c>
      <c r="G18" s="197">
        <v>242968000</v>
      </c>
      <c r="H18" s="197">
        <v>6870000000</v>
      </c>
      <c r="I18" s="185">
        <f t="shared" si="2"/>
        <v>7.9976300197498351E-2</v>
      </c>
      <c r="J18" s="195"/>
      <c r="K18" s="195"/>
      <c r="L18" s="184"/>
      <c r="M18" s="186">
        <f t="shared" si="10"/>
        <v>0.44385656536362639</v>
      </c>
      <c r="N18" s="186">
        <f t="shared" si="3"/>
        <v>0.85930631054398066</v>
      </c>
      <c r="O18" s="186">
        <f t="shared" si="4"/>
        <v>2.2613561553653718</v>
      </c>
      <c r="P18" s="186">
        <f t="shared" si="11"/>
        <v>0.44385656536362639</v>
      </c>
      <c r="Q18" s="186">
        <f t="shared" si="1"/>
        <v>2.2613561553653718</v>
      </c>
      <c r="R18" s="106">
        <v>403000000</v>
      </c>
      <c r="T18" s="182">
        <v>282749000</v>
      </c>
      <c r="U18" s="182"/>
      <c r="CQ18" s="182">
        <v>282749000</v>
      </c>
      <c r="CR18" s="182">
        <f t="shared" si="9"/>
        <v>117468000</v>
      </c>
      <c r="CT18" s="182">
        <v>282749000</v>
      </c>
    </row>
    <row r="19" spans="1:98" s="106" customFormat="1" ht="22.5" customHeight="1">
      <c r="A19" s="165" t="s">
        <v>506</v>
      </c>
      <c r="B19" s="191" t="s">
        <v>813</v>
      </c>
      <c r="C19" s="165">
        <v>2594000000</v>
      </c>
      <c r="D19" s="165"/>
      <c r="E19" s="197">
        <f>SUM(E20:E23)</f>
        <v>45164890</v>
      </c>
      <c r="F19" s="197">
        <v>1390174861</v>
      </c>
      <c r="G19" s="197">
        <v>1490356530</v>
      </c>
      <c r="H19" s="197">
        <f>3827000000</f>
        <v>3827000000</v>
      </c>
      <c r="I19" s="185">
        <f t="shared" si="2"/>
        <v>0.5745399113338473</v>
      </c>
      <c r="J19" s="195"/>
      <c r="K19" s="195"/>
      <c r="L19" s="184">
        <f>SUM(L20:L23)</f>
        <v>29837048</v>
      </c>
      <c r="M19" s="186">
        <f t="shared" si="10"/>
        <v>0.92289885352785095</v>
      </c>
      <c r="N19" s="186">
        <f t="shared" si="3"/>
        <v>0.98940670808515385</v>
      </c>
      <c r="O19" s="186">
        <f t="shared" si="4"/>
        <v>1.4753276792598304</v>
      </c>
      <c r="P19" s="186">
        <f t="shared" si="11"/>
        <v>0.92289885352785095</v>
      </c>
      <c r="Q19" s="186">
        <f t="shared" si="1"/>
        <v>1.4753276792598304</v>
      </c>
      <c r="R19" s="106">
        <v>1000000000</v>
      </c>
      <c r="T19" s="182">
        <v>1506313347</v>
      </c>
      <c r="U19" s="182">
        <v>1189216498</v>
      </c>
      <c r="CQ19" s="182">
        <v>1506313347</v>
      </c>
      <c r="CR19" s="182">
        <f t="shared" si="9"/>
        <v>100181669</v>
      </c>
      <c r="CT19" s="182">
        <v>1506313347</v>
      </c>
    </row>
    <row r="20" spans="1:98" s="106" customFormat="1" ht="25.5" hidden="1" customHeight="1">
      <c r="A20" s="165"/>
      <c r="B20" s="195" t="s">
        <v>507</v>
      </c>
      <c r="C20" s="109"/>
      <c r="D20" s="109"/>
      <c r="E20" s="198">
        <f t="shared" ref="E20:E29" si="12">F20-U20</f>
        <v>0</v>
      </c>
      <c r="F20" s="198">
        <v>791147181</v>
      </c>
      <c r="G20" s="198"/>
      <c r="H20" s="198"/>
      <c r="I20" s="185" t="e">
        <f t="shared" si="2"/>
        <v>#DIV/0!</v>
      </c>
      <c r="J20" s="195"/>
      <c r="K20" s="195"/>
      <c r="L20" s="112">
        <v>25075263</v>
      </c>
      <c r="M20" s="186" t="e">
        <f t="shared" si="10"/>
        <v>#DIV/0!</v>
      </c>
      <c r="N20" s="186" t="e">
        <f t="shared" si="3"/>
        <v>#DIV/0!</v>
      </c>
      <c r="O20" s="186" t="e">
        <f t="shared" si="4"/>
        <v>#DIV/0!</v>
      </c>
      <c r="P20" s="186" t="e">
        <f t="shared" si="11"/>
        <v>#DIV/0!</v>
      </c>
      <c r="Q20" s="186" t="e">
        <f t="shared" si="1"/>
        <v>#DIV/0!</v>
      </c>
      <c r="R20" s="106">
        <v>2683486000</v>
      </c>
      <c r="T20" s="182"/>
      <c r="U20" s="182">
        <v>791147181</v>
      </c>
      <c r="CQ20" s="182"/>
      <c r="CR20" s="182">
        <f t="shared" si="9"/>
        <v>-791147181</v>
      </c>
      <c r="CT20" s="182"/>
    </row>
    <row r="21" spans="1:98" s="106" customFormat="1" ht="25.5" hidden="1" customHeight="1">
      <c r="A21" s="165"/>
      <c r="B21" s="195" t="s">
        <v>508</v>
      </c>
      <c r="C21" s="109"/>
      <c r="D21" s="109"/>
      <c r="E21" s="198">
        <f t="shared" si="12"/>
        <v>28612890</v>
      </c>
      <c r="F21" s="198">
        <v>272340080</v>
      </c>
      <c r="G21" s="198"/>
      <c r="H21" s="198"/>
      <c r="I21" s="185" t="e">
        <f t="shared" si="2"/>
        <v>#DIV/0!</v>
      </c>
      <c r="J21" s="195"/>
      <c r="K21" s="195"/>
      <c r="L21" s="112"/>
      <c r="M21" s="186" t="e">
        <f t="shared" si="10"/>
        <v>#DIV/0!</v>
      </c>
      <c r="N21" s="186" t="e">
        <f t="shared" si="3"/>
        <v>#DIV/0!</v>
      </c>
      <c r="O21" s="186" t="e">
        <f t="shared" si="4"/>
        <v>#DIV/0!</v>
      </c>
      <c r="P21" s="186" t="e">
        <f t="shared" si="11"/>
        <v>#DIV/0!</v>
      </c>
      <c r="Q21" s="186" t="e">
        <f t="shared" si="1"/>
        <v>#DIV/0!</v>
      </c>
      <c r="R21" s="106">
        <v>1025165205</v>
      </c>
      <c r="T21" s="182"/>
      <c r="U21" s="182">
        <v>243727190</v>
      </c>
      <c r="CQ21" s="182"/>
      <c r="CR21" s="182">
        <f t="shared" si="9"/>
        <v>-272340080</v>
      </c>
      <c r="CT21" s="182"/>
    </row>
    <row r="22" spans="1:98" s="106" customFormat="1" ht="25.5" hidden="1" customHeight="1">
      <c r="A22" s="165"/>
      <c r="B22" s="195" t="s">
        <v>509</v>
      </c>
      <c r="C22" s="109"/>
      <c r="D22" s="109"/>
      <c r="E22" s="198">
        <f t="shared" si="12"/>
        <v>16552000</v>
      </c>
      <c r="F22" s="198">
        <v>102576865</v>
      </c>
      <c r="G22" s="198"/>
      <c r="H22" s="198"/>
      <c r="I22" s="185" t="e">
        <f t="shared" si="2"/>
        <v>#DIV/0!</v>
      </c>
      <c r="J22" s="195"/>
      <c r="K22" s="195"/>
      <c r="L22" s="112">
        <v>4761785</v>
      </c>
      <c r="M22" s="186" t="e">
        <f t="shared" si="10"/>
        <v>#DIV/0!</v>
      </c>
      <c r="N22" s="186" t="e">
        <f t="shared" si="3"/>
        <v>#DIV/0!</v>
      </c>
      <c r="O22" s="186" t="e">
        <f t="shared" si="4"/>
        <v>#DIV/0!</v>
      </c>
      <c r="P22" s="186" t="e">
        <f t="shared" si="11"/>
        <v>#DIV/0!</v>
      </c>
      <c r="Q22" s="186" t="e">
        <f t="shared" si="1"/>
        <v>#DIV/0!</v>
      </c>
      <c r="R22" s="106">
        <f>SUM(R15:R21)</f>
        <v>7217782205</v>
      </c>
      <c r="T22" s="182"/>
      <c r="U22" s="182">
        <v>86024865</v>
      </c>
      <c r="CQ22" s="182"/>
      <c r="CR22" s="182">
        <f t="shared" si="9"/>
        <v>-102576865</v>
      </c>
      <c r="CT22" s="182"/>
    </row>
    <row r="23" spans="1:98" s="106" customFormat="1" ht="25.5" hidden="1" customHeight="1">
      <c r="A23" s="165"/>
      <c r="B23" s="195" t="s">
        <v>510</v>
      </c>
      <c r="C23" s="109"/>
      <c r="D23" s="109"/>
      <c r="E23" s="198">
        <f t="shared" si="12"/>
        <v>0</v>
      </c>
      <c r="F23" s="198">
        <v>68317262</v>
      </c>
      <c r="G23" s="198"/>
      <c r="H23" s="198"/>
      <c r="I23" s="185" t="e">
        <f t="shared" si="2"/>
        <v>#DIV/0!</v>
      </c>
      <c r="J23" s="195"/>
      <c r="K23" s="195"/>
      <c r="L23" s="112"/>
      <c r="M23" s="186" t="e">
        <f t="shared" si="10"/>
        <v>#DIV/0!</v>
      </c>
      <c r="N23" s="186" t="e">
        <f t="shared" si="3"/>
        <v>#DIV/0!</v>
      </c>
      <c r="O23" s="186" t="e">
        <f t="shared" si="4"/>
        <v>#DIV/0!</v>
      </c>
      <c r="P23" s="186" t="e">
        <f t="shared" si="11"/>
        <v>#DIV/0!</v>
      </c>
      <c r="Q23" s="186" t="e">
        <f t="shared" si="1"/>
        <v>#DIV/0!</v>
      </c>
      <c r="T23" s="182"/>
      <c r="U23" s="182">
        <v>68317262</v>
      </c>
      <c r="CQ23" s="182"/>
      <c r="CR23" s="182">
        <f t="shared" si="9"/>
        <v>-68317262</v>
      </c>
      <c r="CT23" s="182"/>
    </row>
    <row r="24" spans="1:98" s="106" customFormat="1" ht="22.5" customHeight="1">
      <c r="A24" s="196">
        <v>2</v>
      </c>
      <c r="B24" s="199" t="s">
        <v>511</v>
      </c>
      <c r="C24" s="165">
        <v>214137000000</v>
      </c>
      <c r="D24" s="165"/>
      <c r="E24" s="197">
        <f t="shared" si="12"/>
        <v>34691295381</v>
      </c>
      <c r="F24" s="197">
        <v>102822556998</v>
      </c>
      <c r="G24" s="197">
        <f>116171056496+9999999970</f>
        <v>126171056466</v>
      </c>
      <c r="H24" s="197">
        <v>239542000000</v>
      </c>
      <c r="I24" s="185">
        <f t="shared" si="2"/>
        <v>0.58920717328626071</v>
      </c>
      <c r="J24" s="195"/>
      <c r="K24" s="195"/>
      <c r="L24" s="184">
        <v>27074858</v>
      </c>
      <c r="M24" s="186">
        <f t="shared" si="10"/>
        <v>0.95845175427793927</v>
      </c>
      <c r="N24" s="186">
        <f t="shared" si="3"/>
        <v>1.176092814063074</v>
      </c>
      <c r="O24" s="186">
        <f t="shared" si="4"/>
        <v>1.1186390021341477</v>
      </c>
      <c r="P24" s="186">
        <f t="shared" si="11"/>
        <v>0.95845175427793927</v>
      </c>
      <c r="Q24" s="186">
        <f t="shared" si="1"/>
        <v>1.1186390021341477</v>
      </c>
      <c r="T24" s="182">
        <v>107279846418</v>
      </c>
      <c r="U24" s="182">
        <v>68131261617</v>
      </c>
      <c r="CQ24" s="182">
        <v>107279846418</v>
      </c>
      <c r="CR24" s="182">
        <f t="shared" si="9"/>
        <v>23348499468</v>
      </c>
      <c r="CT24" s="182">
        <v>107279846418</v>
      </c>
    </row>
    <row r="25" spans="1:98" s="106" customFormat="1" ht="22.5" customHeight="1">
      <c r="A25" s="196">
        <v>3</v>
      </c>
      <c r="B25" s="191" t="s">
        <v>512</v>
      </c>
      <c r="C25" s="165">
        <v>3277000000</v>
      </c>
      <c r="D25" s="165"/>
      <c r="E25" s="197">
        <f t="shared" si="12"/>
        <v>412732819</v>
      </c>
      <c r="F25" s="197">
        <v>1086955998</v>
      </c>
      <c r="G25" s="197">
        <v>1169925125</v>
      </c>
      <c r="H25" s="197">
        <v>5479000000</v>
      </c>
      <c r="I25" s="185">
        <f t="shared" si="2"/>
        <v>0.35701102380225819</v>
      </c>
      <c r="J25" s="195"/>
      <c r="K25" s="195"/>
      <c r="L25" s="184"/>
      <c r="M25" s="186">
        <f t="shared" si="10"/>
        <v>1.056760567497292</v>
      </c>
      <c r="N25" s="186">
        <f t="shared" si="3"/>
        <v>1.1374248279591721</v>
      </c>
      <c r="O25" s="186">
        <f t="shared" si="4"/>
        <v>1.6719560573695453</v>
      </c>
      <c r="P25" s="186">
        <f t="shared" si="11"/>
        <v>1.056760567497292</v>
      </c>
      <c r="Q25" s="186">
        <f t="shared" si="1"/>
        <v>1.6719560573695453</v>
      </c>
      <c r="R25" s="182">
        <v>34849615198</v>
      </c>
      <c r="T25" s="182">
        <v>1028573578</v>
      </c>
      <c r="U25" s="182">
        <v>674223179</v>
      </c>
      <c r="CQ25" s="182">
        <v>1028573578</v>
      </c>
      <c r="CR25" s="182">
        <f t="shared" si="9"/>
        <v>82969127</v>
      </c>
      <c r="CT25" s="182">
        <v>1028573578</v>
      </c>
    </row>
    <row r="26" spans="1:98" s="206" customFormat="1" ht="22.5" hidden="1" customHeight="1">
      <c r="A26" s="200"/>
      <c r="B26" s="201" t="s">
        <v>513</v>
      </c>
      <c r="C26" s="202"/>
      <c r="D26" s="202"/>
      <c r="E26" s="203">
        <f t="shared" si="12"/>
        <v>130240000</v>
      </c>
      <c r="F26" s="203">
        <v>569615387</v>
      </c>
      <c r="G26" s="203"/>
      <c r="H26" s="203"/>
      <c r="I26" s="185" t="e">
        <f t="shared" si="2"/>
        <v>#DIV/0!</v>
      </c>
      <c r="J26" s="201"/>
      <c r="K26" s="201"/>
      <c r="L26" s="204"/>
      <c r="M26" s="186">
        <f t="shared" si="10"/>
        <v>21.207617074351241</v>
      </c>
      <c r="N26" s="186" t="e">
        <f t="shared" si="3"/>
        <v>#DIV/0!</v>
      </c>
      <c r="O26" s="186" t="e">
        <f t="shared" si="4"/>
        <v>#DIV/0!</v>
      </c>
      <c r="P26" s="186" t="e">
        <f t="shared" si="11"/>
        <v>#DIV/0!</v>
      </c>
      <c r="Q26" s="186" t="e">
        <f t="shared" si="1"/>
        <v>#DIV/0!</v>
      </c>
      <c r="R26" s="205"/>
      <c r="T26" s="205">
        <v>26859000</v>
      </c>
      <c r="U26" s="205">
        <v>439375387</v>
      </c>
      <c r="CQ26" s="205"/>
      <c r="CR26" s="182">
        <f t="shared" si="9"/>
        <v>-569615387</v>
      </c>
      <c r="CT26" s="205"/>
    </row>
    <row r="27" spans="1:98" s="206" customFormat="1" ht="22.5" hidden="1" customHeight="1">
      <c r="A27" s="200"/>
      <c r="B27" s="201" t="s">
        <v>514</v>
      </c>
      <c r="C27" s="202"/>
      <c r="D27" s="202"/>
      <c r="E27" s="203">
        <f t="shared" si="12"/>
        <v>49542500</v>
      </c>
      <c r="F27" s="203">
        <v>284390292</v>
      </c>
      <c r="G27" s="203"/>
      <c r="H27" s="203"/>
      <c r="I27" s="185" t="e">
        <f t="shared" si="2"/>
        <v>#DIV/0!</v>
      </c>
      <c r="J27" s="201"/>
      <c r="K27" s="201"/>
      <c r="L27" s="204"/>
      <c r="M27" s="186">
        <f t="shared" si="10"/>
        <v>0.10630574261245188</v>
      </c>
      <c r="N27" s="186" t="e">
        <f t="shared" si="3"/>
        <v>#DIV/0!</v>
      </c>
      <c r="O27" s="186" t="e">
        <f t="shared" si="4"/>
        <v>#DIV/0!</v>
      </c>
      <c r="P27" s="186" t="e">
        <f t="shared" si="11"/>
        <v>#DIV/0!</v>
      </c>
      <c r="Q27" s="186" t="e">
        <f t="shared" si="1"/>
        <v>#DIV/0!</v>
      </c>
      <c r="R27" s="205"/>
      <c r="T27" s="205">
        <v>2675211000</v>
      </c>
      <c r="U27" s="205">
        <v>234847792</v>
      </c>
      <c r="CQ27" s="205"/>
      <c r="CR27" s="182">
        <f t="shared" si="9"/>
        <v>-284390292</v>
      </c>
      <c r="CT27" s="205"/>
    </row>
    <row r="28" spans="1:98" ht="22.5" customHeight="1">
      <c r="A28" s="196">
        <v>4</v>
      </c>
      <c r="B28" s="191" t="s">
        <v>515</v>
      </c>
      <c r="C28" s="165">
        <v>1690000000</v>
      </c>
      <c r="D28" s="165"/>
      <c r="E28" s="197">
        <f t="shared" si="12"/>
        <v>150643250</v>
      </c>
      <c r="F28" s="197">
        <v>574364443</v>
      </c>
      <c r="G28" s="197">
        <v>681554677</v>
      </c>
      <c r="H28" s="197">
        <v>1790000000</v>
      </c>
      <c r="I28" s="185">
        <f t="shared" si="2"/>
        <v>0.40328679112426036</v>
      </c>
      <c r="J28" s="113"/>
      <c r="K28" s="113"/>
      <c r="L28" s="184">
        <v>1929286</v>
      </c>
      <c r="M28" s="186">
        <f t="shared" si="10"/>
        <v>0.92650922924924817</v>
      </c>
      <c r="N28" s="186">
        <f t="shared" si="3"/>
        <v>1.0994181589310017</v>
      </c>
      <c r="O28" s="186">
        <f t="shared" si="4"/>
        <v>1.0591715976331362</v>
      </c>
      <c r="P28" s="186">
        <f t="shared" si="11"/>
        <v>0.92650922924924817</v>
      </c>
      <c r="Q28" s="186">
        <f t="shared" si="1"/>
        <v>1.0591715976331362</v>
      </c>
      <c r="T28" s="182">
        <v>619923067</v>
      </c>
      <c r="U28" s="182">
        <v>423721193</v>
      </c>
      <c r="CQ28" s="182">
        <v>619923067</v>
      </c>
      <c r="CR28" s="182">
        <f t="shared" si="9"/>
        <v>107190234</v>
      </c>
      <c r="CT28" s="182">
        <v>619923067</v>
      </c>
    </row>
    <row r="29" spans="1:98" ht="22.5" customHeight="1">
      <c r="A29" s="196">
        <v>4.5384615384615401</v>
      </c>
      <c r="B29" s="191" t="s">
        <v>516</v>
      </c>
      <c r="C29" s="165">
        <v>736000000</v>
      </c>
      <c r="D29" s="165"/>
      <c r="E29" s="197">
        <f t="shared" si="12"/>
        <v>94984790</v>
      </c>
      <c r="F29" s="197">
        <v>258952725</v>
      </c>
      <c r="G29" s="197">
        <v>340442725</v>
      </c>
      <c r="H29" s="197">
        <v>836000000</v>
      </c>
      <c r="I29" s="185">
        <f t="shared" si="2"/>
        <v>0.46255805027173913</v>
      </c>
      <c r="J29" s="113"/>
      <c r="K29" s="113"/>
      <c r="L29" s="184"/>
      <c r="M29" s="186">
        <f t="shared" si="10"/>
        <v>1.1432928283008845</v>
      </c>
      <c r="N29" s="186">
        <f t="shared" si="3"/>
        <v>1.5030763856210057</v>
      </c>
      <c r="O29" s="186">
        <f t="shared" si="4"/>
        <v>1.1358695652173914</v>
      </c>
      <c r="P29" s="186">
        <f t="shared" si="11"/>
        <v>1.1432928283008845</v>
      </c>
      <c r="Q29" s="186">
        <f t="shared" si="1"/>
        <v>1.1358695652173914</v>
      </c>
      <c r="T29" s="182">
        <v>226497288</v>
      </c>
      <c r="U29" s="182">
        <v>163967935</v>
      </c>
      <c r="CQ29" s="182">
        <v>226497288</v>
      </c>
      <c r="CR29" s="182">
        <f t="shared" si="9"/>
        <v>81490000</v>
      </c>
      <c r="CT29" s="182">
        <v>226497288</v>
      </c>
    </row>
    <row r="30" spans="1:98" ht="22.5" customHeight="1">
      <c r="A30" s="196">
        <v>6</v>
      </c>
      <c r="B30" s="191" t="s">
        <v>822</v>
      </c>
      <c r="C30" s="165">
        <v>300000000</v>
      </c>
      <c r="D30" s="165"/>
      <c r="E30" s="197">
        <f>F30-L30</f>
        <v>0</v>
      </c>
      <c r="F30" s="197"/>
      <c r="G30" s="197"/>
      <c r="H30" s="197">
        <v>800000000</v>
      </c>
      <c r="I30" s="185">
        <f t="shared" si="2"/>
        <v>0</v>
      </c>
      <c r="J30" s="113"/>
      <c r="K30" s="113"/>
      <c r="L30" s="184"/>
      <c r="M30" s="186">
        <f t="shared" si="10"/>
        <v>0</v>
      </c>
      <c r="N30" s="186">
        <f t="shared" si="3"/>
        <v>0</v>
      </c>
      <c r="O30" s="186">
        <f t="shared" si="4"/>
        <v>2.6666666666666665</v>
      </c>
      <c r="P30" s="186">
        <f t="shared" si="11"/>
        <v>0</v>
      </c>
      <c r="Q30" s="186">
        <f t="shared" si="1"/>
        <v>2.6666666666666665</v>
      </c>
      <c r="R30" s="207"/>
      <c r="T30" s="182">
        <v>16580000</v>
      </c>
      <c r="CQ30" s="182">
        <v>16580000</v>
      </c>
      <c r="CR30" s="182">
        <f t="shared" si="9"/>
        <v>0</v>
      </c>
      <c r="CT30" s="182">
        <v>16580000</v>
      </c>
    </row>
    <row r="31" spans="1:98" ht="22.5" customHeight="1">
      <c r="A31" s="200">
        <v>7</v>
      </c>
      <c r="B31" s="191" t="s">
        <v>517</v>
      </c>
      <c r="C31" s="165">
        <v>88000000</v>
      </c>
      <c r="D31" s="165"/>
      <c r="E31" s="197">
        <f>F31-U31</f>
        <v>8557000</v>
      </c>
      <c r="F31" s="197">
        <v>27737000</v>
      </c>
      <c r="G31" s="197">
        <v>28950000</v>
      </c>
      <c r="H31" s="197">
        <v>95000000</v>
      </c>
      <c r="I31" s="185">
        <f t="shared" si="2"/>
        <v>0.32897727272727273</v>
      </c>
      <c r="J31" s="113"/>
      <c r="K31" s="113"/>
      <c r="L31" s="184"/>
      <c r="M31" s="186">
        <f t="shared" si="10"/>
        <v>1.032689228936297</v>
      </c>
      <c r="N31" s="186">
        <f t="shared" si="3"/>
        <v>1.0778509996649168</v>
      </c>
      <c r="O31" s="186">
        <f t="shared" si="4"/>
        <v>1.0795454545454546</v>
      </c>
      <c r="P31" s="186">
        <f t="shared" si="11"/>
        <v>1.032689228936297</v>
      </c>
      <c r="Q31" s="186">
        <f t="shared" si="1"/>
        <v>1.0795454545454546</v>
      </c>
      <c r="R31" s="208">
        <v>5776331699</v>
      </c>
      <c r="T31" s="182">
        <v>26859000</v>
      </c>
      <c r="U31" s="182">
        <v>19180000</v>
      </c>
      <c r="CQ31" s="182">
        <v>26859000</v>
      </c>
      <c r="CR31" s="182">
        <f t="shared" si="9"/>
        <v>1213000</v>
      </c>
      <c r="CT31" s="182">
        <v>26859000</v>
      </c>
    </row>
    <row r="32" spans="1:98" ht="22.5" customHeight="1">
      <c r="A32" s="200">
        <v>8</v>
      </c>
      <c r="B32" s="191" t="s">
        <v>826</v>
      </c>
      <c r="C32" s="165">
        <v>10309000000</v>
      </c>
      <c r="D32" s="165"/>
      <c r="E32" s="197">
        <f>F32-U32</f>
        <v>595295000</v>
      </c>
      <c r="F32" s="197">
        <v>3118585500</v>
      </c>
      <c r="G32" s="197">
        <v>3707235000</v>
      </c>
      <c r="H32" s="197">
        <v>10870400000</v>
      </c>
      <c r="I32" s="185">
        <f t="shared" si="2"/>
        <v>0.35961150451062179</v>
      </c>
      <c r="J32" s="113"/>
      <c r="K32" s="113"/>
      <c r="L32" s="184"/>
      <c r="M32" s="186">
        <f t="shared" si="10"/>
        <v>1.1657344037535731</v>
      </c>
      <c r="N32" s="186">
        <f t="shared" si="3"/>
        <v>1.385772935293702</v>
      </c>
      <c r="O32" s="186">
        <f t="shared" si="4"/>
        <v>1.0544572703462993</v>
      </c>
      <c r="P32" s="186">
        <f t="shared" si="11"/>
        <v>1.1657344037535731</v>
      </c>
      <c r="Q32" s="186">
        <f t="shared" si="1"/>
        <v>1.0544572703462993</v>
      </c>
      <c r="R32" s="207"/>
      <c r="T32" s="182">
        <v>2675211000</v>
      </c>
      <c r="U32" s="182">
        <v>2523290500</v>
      </c>
      <c r="CQ32" s="182">
        <v>2675211000</v>
      </c>
      <c r="CR32" s="182">
        <f t="shared" si="9"/>
        <v>588649500</v>
      </c>
      <c r="CT32" s="182">
        <v>2675211000</v>
      </c>
    </row>
    <row r="33" spans="1:98" ht="22.5" customHeight="1">
      <c r="A33" s="196">
        <v>9</v>
      </c>
      <c r="B33" s="191" t="s">
        <v>518</v>
      </c>
      <c r="C33" s="165">
        <v>1959000000</v>
      </c>
      <c r="D33" s="165"/>
      <c r="E33" s="197">
        <f>F33-U33</f>
        <v>193070163</v>
      </c>
      <c r="F33" s="197">
        <v>590625026</v>
      </c>
      <c r="G33" s="197">
        <v>613809562</v>
      </c>
      <c r="H33" s="197">
        <v>2100000000</v>
      </c>
      <c r="I33" s="185">
        <f t="shared" si="2"/>
        <v>0.3133280051046452</v>
      </c>
      <c r="J33" s="113"/>
      <c r="K33" s="113"/>
      <c r="L33" s="184">
        <v>4868717</v>
      </c>
      <c r="M33" s="186">
        <f t="shared" si="10"/>
        <v>0.95943654201869633</v>
      </c>
      <c r="N33" s="186">
        <f t="shared" si="3"/>
        <v>0.99709849345816681</v>
      </c>
      <c r="O33" s="186">
        <f t="shared" si="4"/>
        <v>1.0719754977029097</v>
      </c>
      <c r="P33" s="186">
        <f t="shared" si="11"/>
        <v>0.95943654201869633</v>
      </c>
      <c r="Q33" s="186">
        <f t="shared" si="1"/>
        <v>1.0719754977029097</v>
      </c>
      <c r="R33" s="207">
        <v>126987452</v>
      </c>
      <c r="T33" s="182">
        <v>615595717</v>
      </c>
      <c r="U33" s="182">
        <v>397554863</v>
      </c>
      <c r="CQ33" s="182">
        <v>615595717</v>
      </c>
      <c r="CR33" s="182">
        <f t="shared" si="9"/>
        <v>23184536</v>
      </c>
      <c r="CT33" s="182">
        <v>615595717</v>
      </c>
    </row>
    <row r="34" spans="1:98" ht="22.5" customHeight="1">
      <c r="A34" s="196">
        <v>10</v>
      </c>
      <c r="B34" s="191" t="s">
        <v>835</v>
      </c>
      <c r="C34" s="165">
        <v>30882000000</v>
      </c>
      <c r="D34" s="165"/>
      <c r="E34" s="197">
        <f>E35+E36+E39</f>
        <v>3635701314</v>
      </c>
      <c r="F34" s="197">
        <f>F35+F36+F39</f>
        <v>11255893127</v>
      </c>
      <c r="G34" s="197">
        <f>G35+G36+G39</f>
        <v>12027526196</v>
      </c>
      <c r="H34" s="197">
        <f>H35+H36+H39</f>
        <v>35310000000</v>
      </c>
      <c r="I34" s="185">
        <f t="shared" si="2"/>
        <v>0.38946720406709412</v>
      </c>
      <c r="J34" s="113"/>
      <c r="K34" s="113"/>
      <c r="L34" s="184">
        <f>L35+L36+L39</f>
        <v>118100038</v>
      </c>
      <c r="M34" s="186">
        <f t="shared" si="10"/>
        <v>0.84005386440399787</v>
      </c>
      <c r="N34" s="186">
        <f t="shared" si="3"/>
        <v>0.89764266115265123</v>
      </c>
      <c r="O34" s="186">
        <f t="shared" si="4"/>
        <v>1.1433844958228094</v>
      </c>
      <c r="P34" s="186">
        <f t="shared" si="11"/>
        <v>0.84005386440399787</v>
      </c>
      <c r="Q34" s="186">
        <f t="shared" si="1"/>
        <v>1.1433844958228094</v>
      </c>
      <c r="R34" s="207">
        <v>65469615</v>
      </c>
      <c r="T34" s="182">
        <v>13399013568</v>
      </c>
      <c r="U34" s="182">
        <v>7620191813</v>
      </c>
      <c r="CQ34" s="182">
        <v>13399013568</v>
      </c>
      <c r="CR34" s="182">
        <f t="shared" si="9"/>
        <v>771633069</v>
      </c>
      <c r="CT34" s="182">
        <v>13399013568</v>
      </c>
    </row>
    <row r="35" spans="1:98" ht="22.5" customHeight="1">
      <c r="A35" s="109" t="s">
        <v>414</v>
      </c>
      <c r="B35" s="195" t="s">
        <v>837</v>
      </c>
      <c r="C35" s="109">
        <v>20153000000</v>
      </c>
      <c r="D35" s="109"/>
      <c r="E35" s="198">
        <f>F35-U35</f>
        <v>2125303366</v>
      </c>
      <c r="F35" s="209">
        <v>6385314768</v>
      </c>
      <c r="G35" s="209">
        <f>7076066329+28950000</f>
        <v>7105016329</v>
      </c>
      <c r="H35" s="209">
        <f>50872000000-27640000000</f>
        <v>23232000000</v>
      </c>
      <c r="I35" s="190">
        <f t="shared" si="2"/>
        <v>0.35255378003274945</v>
      </c>
      <c r="J35" s="113"/>
      <c r="K35" s="113"/>
      <c r="L35" s="112">
        <v>12800038</v>
      </c>
      <c r="M35" s="193">
        <f t="shared" si="10"/>
        <v>0.80270478703038795</v>
      </c>
      <c r="N35" s="193">
        <f t="shared" si="3"/>
        <v>0.89317924431840223</v>
      </c>
      <c r="O35" s="193">
        <f t="shared" si="4"/>
        <v>1.1527812236391604</v>
      </c>
      <c r="P35" s="193">
        <f t="shared" si="11"/>
        <v>0.80270478703038795</v>
      </c>
      <c r="Q35" s="193">
        <f t="shared" si="1"/>
        <v>1.1527812236391604</v>
      </c>
      <c r="R35" s="207">
        <v>80045168</v>
      </c>
      <c r="T35" s="182">
        <v>7954748584</v>
      </c>
      <c r="U35" s="182">
        <v>4260011402</v>
      </c>
      <c r="CQ35" s="182">
        <v>7954748584</v>
      </c>
      <c r="CR35" s="182">
        <f t="shared" si="9"/>
        <v>719701561</v>
      </c>
      <c r="CT35" s="182">
        <v>7954748584</v>
      </c>
    </row>
    <row r="36" spans="1:98" ht="22.5" customHeight="1">
      <c r="A36" s="109" t="s">
        <v>414</v>
      </c>
      <c r="B36" s="195" t="s">
        <v>843</v>
      </c>
      <c r="C36" s="109">
        <v>7105000000</v>
      </c>
      <c r="D36" s="109"/>
      <c r="E36" s="198">
        <f>F36-U36</f>
        <v>942498000</v>
      </c>
      <c r="F36" s="198">
        <v>3386178000</v>
      </c>
      <c r="G36" s="198">
        <v>3386178000</v>
      </c>
      <c r="H36" s="198">
        <f>15888000000-8238000000</f>
        <v>7650000000</v>
      </c>
      <c r="I36" s="190">
        <f t="shared" si="2"/>
        <v>0.476590851513019</v>
      </c>
      <c r="J36" s="113"/>
      <c r="K36" s="113"/>
      <c r="L36" s="112">
        <v>105300000</v>
      </c>
      <c r="M36" s="193">
        <f t="shared" si="10"/>
        <v>0.94307690936577093</v>
      </c>
      <c r="N36" s="193">
        <f t="shared" si="3"/>
        <v>0.94307690936577093</v>
      </c>
      <c r="O36" s="193">
        <f t="shared" si="4"/>
        <v>1.0767065446868402</v>
      </c>
      <c r="P36" s="193">
        <f t="shared" si="11"/>
        <v>0.94307690936577093</v>
      </c>
      <c r="Q36" s="193">
        <f t="shared" si="1"/>
        <v>1.0767065446868402</v>
      </c>
      <c r="R36" s="207">
        <v>80123821</v>
      </c>
      <c r="T36" s="182">
        <v>3590564000</v>
      </c>
      <c r="U36" s="182">
        <v>2443680000</v>
      </c>
      <c r="CQ36" s="182">
        <v>3590564000</v>
      </c>
      <c r="CR36" s="182">
        <f t="shared" si="9"/>
        <v>0</v>
      </c>
      <c r="CT36" s="182">
        <v>3590564000</v>
      </c>
    </row>
    <row r="37" spans="1:98" s="215" customFormat="1" ht="25.5" hidden="1" customHeight="1">
      <c r="A37" s="109" t="s">
        <v>414</v>
      </c>
      <c r="B37" s="210" t="s">
        <v>12</v>
      </c>
      <c r="C37" s="211">
        <v>6405000000</v>
      </c>
      <c r="D37" s="211"/>
      <c r="E37" s="212"/>
      <c r="F37" s="212">
        <v>2710568500</v>
      </c>
      <c r="G37" s="212"/>
      <c r="H37" s="212"/>
      <c r="I37" s="190">
        <f t="shared" si="2"/>
        <v>0</v>
      </c>
      <c r="J37" s="213"/>
      <c r="K37" s="213"/>
      <c r="L37" s="214"/>
      <c r="M37" s="193" t="e">
        <f t="shared" si="10"/>
        <v>#DIV/0!</v>
      </c>
      <c r="N37" s="193" t="e">
        <f t="shared" si="3"/>
        <v>#DIV/0!</v>
      </c>
      <c r="O37" s="193">
        <f t="shared" si="4"/>
        <v>0</v>
      </c>
      <c r="P37" s="193" t="e">
        <f t="shared" si="11"/>
        <v>#DIV/0!</v>
      </c>
      <c r="Q37" s="193">
        <f t="shared" si="1"/>
        <v>0</v>
      </c>
      <c r="T37" s="216"/>
      <c r="U37" s="216">
        <v>2261180000</v>
      </c>
      <c r="CQ37" s="216"/>
      <c r="CR37" s="182">
        <f t="shared" si="9"/>
        <v>-2710568500</v>
      </c>
      <c r="CT37" s="216"/>
    </row>
    <row r="38" spans="1:98" s="215" customFormat="1" ht="25.5" hidden="1" customHeight="1">
      <c r="A38" s="109" t="s">
        <v>414</v>
      </c>
      <c r="B38" s="210" t="s">
        <v>519</v>
      </c>
      <c r="C38" s="211">
        <v>700000000</v>
      </c>
      <c r="D38" s="211"/>
      <c r="E38" s="212"/>
      <c r="F38" s="212">
        <v>182500000</v>
      </c>
      <c r="G38" s="212"/>
      <c r="H38" s="212"/>
      <c r="I38" s="190">
        <f t="shared" si="2"/>
        <v>0</v>
      </c>
      <c r="J38" s="213"/>
      <c r="K38" s="213"/>
      <c r="L38" s="214"/>
      <c r="M38" s="193" t="e">
        <f t="shared" si="10"/>
        <v>#DIV/0!</v>
      </c>
      <c r="N38" s="193" t="e">
        <f t="shared" si="3"/>
        <v>#DIV/0!</v>
      </c>
      <c r="O38" s="193">
        <f t="shared" si="4"/>
        <v>0</v>
      </c>
      <c r="P38" s="193" t="e">
        <f t="shared" si="11"/>
        <v>#DIV/0!</v>
      </c>
      <c r="Q38" s="193">
        <f t="shared" si="1"/>
        <v>0</v>
      </c>
      <c r="T38" s="216"/>
      <c r="U38" s="216">
        <v>182500000</v>
      </c>
      <c r="CQ38" s="216"/>
      <c r="CR38" s="182">
        <f t="shared" si="9"/>
        <v>-182500000</v>
      </c>
      <c r="CT38" s="216"/>
    </row>
    <row r="39" spans="1:98" ht="22.5" customHeight="1">
      <c r="A39" s="109" t="s">
        <v>414</v>
      </c>
      <c r="B39" s="195" t="s">
        <v>520</v>
      </c>
      <c r="C39" s="109">
        <v>3624000000</v>
      </c>
      <c r="D39" s="109"/>
      <c r="E39" s="198">
        <f>F39-U39</f>
        <v>567899948</v>
      </c>
      <c r="F39" s="198">
        <v>1484400359</v>
      </c>
      <c r="G39" s="198">
        <v>1536331867</v>
      </c>
      <c r="H39" s="198">
        <f>18328000000-13900000000</f>
        <v>4428000000</v>
      </c>
      <c r="I39" s="190">
        <f t="shared" si="2"/>
        <v>0.42393263438189843</v>
      </c>
      <c r="J39" s="113"/>
      <c r="K39" s="113"/>
      <c r="L39" s="112"/>
      <c r="M39" s="193">
        <f t="shared" si="10"/>
        <v>0.8007765933192168</v>
      </c>
      <c r="N39" s="193">
        <f t="shared" si="3"/>
        <v>0.82879163374280218</v>
      </c>
      <c r="O39" s="193">
        <f t="shared" si="4"/>
        <v>1.2218543046357615</v>
      </c>
      <c r="P39" s="193">
        <f t="shared" si="11"/>
        <v>0.8007765933192168</v>
      </c>
      <c r="Q39" s="193">
        <f t="shared" si="1"/>
        <v>1.2218543046357615</v>
      </c>
      <c r="R39" s="207">
        <v>53655409</v>
      </c>
      <c r="T39" s="182">
        <v>1853700984</v>
      </c>
      <c r="U39" s="182">
        <v>916500411</v>
      </c>
      <c r="CQ39" s="182">
        <v>1853700984</v>
      </c>
      <c r="CR39" s="182">
        <f t="shared" si="9"/>
        <v>51931508</v>
      </c>
      <c r="CT39" s="182">
        <v>1853700984</v>
      </c>
    </row>
    <row r="40" spans="1:98" ht="22.5" customHeight="1">
      <c r="A40" s="196">
        <v>11</v>
      </c>
      <c r="B40" s="191" t="s">
        <v>521</v>
      </c>
      <c r="C40" s="165">
        <v>3500000000</v>
      </c>
      <c r="D40" s="165"/>
      <c r="E40" s="197">
        <f>E41+E42</f>
        <v>0</v>
      </c>
      <c r="F40" s="197">
        <f>F41+F42</f>
        <v>1820000000</v>
      </c>
      <c r="G40" s="197">
        <f>G41+G42</f>
        <v>2078600000</v>
      </c>
      <c r="H40" s="197">
        <f>H41+H42</f>
        <v>3500000000</v>
      </c>
      <c r="I40" s="185">
        <f t="shared" si="2"/>
        <v>0.59388571428571424</v>
      </c>
      <c r="J40" s="113"/>
      <c r="K40" s="113"/>
      <c r="L40" s="184">
        <f>L41+L42</f>
        <v>1247100000</v>
      </c>
      <c r="M40" s="186">
        <f t="shared" si="10"/>
        <v>1.0243243258454475</v>
      </c>
      <c r="N40" s="186">
        <f t="shared" si="3"/>
        <v>1.1698684306056852</v>
      </c>
      <c r="O40" s="186">
        <f t="shared" si="4"/>
        <v>1</v>
      </c>
      <c r="P40" s="186">
        <f t="shared" si="11"/>
        <v>1.0243243258454475</v>
      </c>
      <c r="Q40" s="186">
        <f t="shared" si="1"/>
        <v>1</v>
      </c>
      <c r="R40" s="207">
        <v>8320000</v>
      </c>
      <c r="T40" s="182">
        <v>1776781000</v>
      </c>
      <c r="U40" s="182">
        <v>1820000000</v>
      </c>
      <c r="CQ40" s="182">
        <v>1776781000</v>
      </c>
      <c r="CR40" s="182">
        <f t="shared" si="9"/>
        <v>258600000</v>
      </c>
      <c r="CT40" s="182">
        <v>1776781000</v>
      </c>
    </row>
    <row r="41" spans="1:98" ht="22.5" customHeight="1">
      <c r="A41" s="217" t="s">
        <v>414</v>
      </c>
      <c r="B41" s="195" t="s">
        <v>854</v>
      </c>
      <c r="C41" s="109">
        <v>1200000000</v>
      </c>
      <c r="D41" s="211"/>
      <c r="E41" s="198">
        <f>F41-L41</f>
        <v>0</v>
      </c>
      <c r="F41" s="198">
        <v>352000000</v>
      </c>
      <c r="G41" s="198">
        <v>352000000</v>
      </c>
      <c r="H41" s="198">
        <v>1200000000</v>
      </c>
      <c r="I41" s="190">
        <f t="shared" si="2"/>
        <v>0.29333333333333333</v>
      </c>
      <c r="J41" s="113"/>
      <c r="K41" s="113"/>
      <c r="L41" s="112">
        <v>352000000</v>
      </c>
      <c r="M41" s="193">
        <f t="shared" si="10"/>
        <v>1.0057142857142858</v>
      </c>
      <c r="N41" s="193">
        <f t="shared" si="3"/>
        <v>1.0057142857142858</v>
      </c>
      <c r="O41" s="193">
        <f t="shared" si="4"/>
        <v>1</v>
      </c>
      <c r="P41" s="193">
        <f t="shared" si="11"/>
        <v>1.0057142857142858</v>
      </c>
      <c r="Q41" s="193">
        <f t="shared" si="1"/>
        <v>1</v>
      </c>
      <c r="R41" s="207">
        <f>R33+R34+R35+R36+R39+R40</f>
        <v>414601465</v>
      </c>
      <c r="T41" s="182">
        <v>350000000</v>
      </c>
      <c r="U41" s="182">
        <v>352000000</v>
      </c>
      <c r="CQ41" s="182">
        <v>350000000</v>
      </c>
      <c r="CR41" s="182">
        <f t="shared" si="9"/>
        <v>0</v>
      </c>
      <c r="CT41" s="182">
        <v>350000000</v>
      </c>
    </row>
    <row r="42" spans="1:98" ht="22.5" customHeight="1">
      <c r="A42" s="217" t="s">
        <v>414</v>
      </c>
      <c r="B42" s="195" t="s">
        <v>855</v>
      </c>
      <c r="C42" s="109">
        <v>2300000000</v>
      </c>
      <c r="D42" s="211"/>
      <c r="E42" s="198">
        <v>0</v>
      </c>
      <c r="F42" s="198">
        <v>1468000000</v>
      </c>
      <c r="G42" s="198">
        <v>1726600000</v>
      </c>
      <c r="H42" s="198">
        <v>2300000000</v>
      </c>
      <c r="I42" s="190">
        <f t="shared" si="2"/>
        <v>0.7506956521739131</v>
      </c>
      <c r="J42" s="113"/>
      <c r="K42" s="113"/>
      <c r="L42" s="112">
        <v>895100000</v>
      </c>
      <c r="M42" s="193">
        <f t="shared" si="10"/>
        <v>1.028889507219398</v>
      </c>
      <c r="N42" s="193">
        <f t="shared" si="3"/>
        <v>1.2101366642813438</v>
      </c>
      <c r="O42" s="193">
        <f t="shared" si="4"/>
        <v>1</v>
      </c>
      <c r="P42" s="193">
        <f t="shared" si="11"/>
        <v>1.028889507219398</v>
      </c>
      <c r="Q42" s="193">
        <f t="shared" si="1"/>
        <v>1</v>
      </c>
      <c r="T42" s="182">
        <v>1426781000</v>
      </c>
      <c r="U42" s="182">
        <v>1468000000</v>
      </c>
      <c r="CQ42" s="182">
        <v>1426781000</v>
      </c>
      <c r="CR42" s="182">
        <f t="shared" si="9"/>
        <v>258600000</v>
      </c>
      <c r="CT42" s="182">
        <v>1426781000</v>
      </c>
    </row>
    <row r="43" spans="1:98" ht="30" customHeight="1">
      <c r="A43" s="196">
        <v>12</v>
      </c>
      <c r="B43" s="191" t="s">
        <v>522</v>
      </c>
      <c r="C43" s="165">
        <v>20046000000</v>
      </c>
      <c r="D43" s="165"/>
      <c r="E43" s="197">
        <f>F43-U43</f>
        <v>0</v>
      </c>
      <c r="F43" s="197">
        <v>7217782205</v>
      </c>
      <c r="G43" s="197">
        <v>7217782205</v>
      </c>
      <c r="H43" s="197">
        <v>20046000000</v>
      </c>
      <c r="I43" s="185">
        <f t="shared" si="2"/>
        <v>0.36006097001895643</v>
      </c>
      <c r="J43" s="113"/>
      <c r="K43" s="113"/>
      <c r="L43" s="112"/>
      <c r="M43" s="186">
        <f t="shared" si="10"/>
        <v>4.8612941649912944</v>
      </c>
      <c r="N43" s="186">
        <f t="shared" si="3"/>
        <v>4.8612941649912944</v>
      </c>
      <c r="O43" s="186">
        <f t="shared" si="4"/>
        <v>1</v>
      </c>
      <c r="P43" s="186">
        <f t="shared" si="11"/>
        <v>4.8612941649912944</v>
      </c>
      <c r="Q43" s="186">
        <f t="shared" si="1"/>
        <v>1</v>
      </c>
      <c r="R43" s="218">
        <f>F43-R20-R21</f>
        <v>3509131000</v>
      </c>
      <c r="T43" s="182">
        <v>1484745000</v>
      </c>
      <c r="U43" s="182">
        <v>7217782205</v>
      </c>
      <c r="CQ43" s="182">
        <v>1484745000</v>
      </c>
      <c r="CR43" s="182">
        <f t="shared" si="9"/>
        <v>0</v>
      </c>
      <c r="CT43" s="182">
        <v>1484745000</v>
      </c>
    </row>
    <row r="44" spans="1:98" ht="30" customHeight="1">
      <c r="A44" s="196">
        <v>13</v>
      </c>
      <c r="B44" s="191" t="s">
        <v>523</v>
      </c>
      <c r="C44" s="165">
        <v>200000000</v>
      </c>
      <c r="D44" s="165"/>
      <c r="E44" s="197"/>
      <c r="F44" s="197">
        <v>200000000</v>
      </c>
      <c r="G44" s="197">
        <v>200000000</v>
      </c>
      <c r="H44" s="197">
        <v>200000000</v>
      </c>
      <c r="I44" s="185">
        <f t="shared" si="2"/>
        <v>1</v>
      </c>
      <c r="J44" s="113"/>
      <c r="K44" s="113"/>
      <c r="L44" s="112"/>
      <c r="M44" s="186">
        <f t="shared" si="10"/>
        <v>2</v>
      </c>
      <c r="N44" s="186">
        <f t="shared" si="3"/>
        <v>2</v>
      </c>
      <c r="O44" s="186">
        <f t="shared" si="4"/>
        <v>1</v>
      </c>
      <c r="P44" s="186">
        <f t="shared" si="11"/>
        <v>2</v>
      </c>
      <c r="Q44" s="186">
        <f t="shared" si="1"/>
        <v>1</v>
      </c>
      <c r="T44" s="182">
        <v>100000000</v>
      </c>
      <c r="U44" s="182">
        <v>200000000</v>
      </c>
      <c r="CQ44" s="182">
        <v>100000000</v>
      </c>
      <c r="CR44" s="182">
        <f t="shared" si="9"/>
        <v>0</v>
      </c>
      <c r="CT44" s="182">
        <v>100000000</v>
      </c>
    </row>
    <row r="45" spans="1:98" ht="30" customHeight="1">
      <c r="A45" s="196">
        <v>14</v>
      </c>
      <c r="B45" s="199" t="s">
        <v>524</v>
      </c>
      <c r="C45" s="165">
        <v>35000000</v>
      </c>
      <c r="D45" s="165"/>
      <c r="E45" s="197"/>
      <c r="F45" s="197"/>
      <c r="G45" s="197"/>
      <c r="H45" s="197">
        <v>35000000</v>
      </c>
      <c r="I45" s="185">
        <f t="shared" si="2"/>
        <v>0</v>
      </c>
      <c r="J45" s="113"/>
      <c r="K45" s="113"/>
      <c r="L45" s="112"/>
      <c r="M45" s="186"/>
      <c r="N45" s="186"/>
      <c r="O45" s="186">
        <f t="shared" si="4"/>
        <v>1</v>
      </c>
      <c r="P45" s="186"/>
      <c r="Q45" s="186">
        <f t="shared" si="1"/>
        <v>1</v>
      </c>
      <c r="R45" s="218">
        <f>6113476205-R20-R21-F12</f>
        <v>301160064</v>
      </c>
      <c r="T45" s="182">
        <v>0</v>
      </c>
      <c r="CR45" s="182">
        <f t="shared" si="9"/>
        <v>0</v>
      </c>
      <c r="CT45" s="182">
        <v>0</v>
      </c>
    </row>
    <row r="46" spans="1:98" ht="30" customHeight="1">
      <c r="A46" s="196">
        <v>15</v>
      </c>
      <c r="B46" s="194" t="s">
        <v>525</v>
      </c>
      <c r="C46" s="165">
        <v>1570000000</v>
      </c>
      <c r="D46" s="165"/>
      <c r="E46" s="197"/>
      <c r="F46" s="197"/>
      <c r="G46" s="197">
        <v>1570000000</v>
      </c>
      <c r="H46" s="197">
        <v>1570000000</v>
      </c>
      <c r="I46" s="185">
        <f t="shared" si="2"/>
        <v>1</v>
      </c>
      <c r="J46" s="113"/>
      <c r="K46" s="113"/>
      <c r="L46" s="112"/>
      <c r="M46" s="186">
        <f>F46/T46</f>
        <v>0</v>
      </c>
      <c r="N46" s="186">
        <f t="shared" si="3"/>
        <v>0.37150970184571697</v>
      </c>
      <c r="O46" s="186">
        <f t="shared" si="4"/>
        <v>1</v>
      </c>
      <c r="P46" s="186">
        <f>F46/CQ46</f>
        <v>0</v>
      </c>
      <c r="Q46" s="186">
        <f t="shared" si="1"/>
        <v>1</v>
      </c>
      <c r="T46" s="182">
        <v>4226000000</v>
      </c>
      <c r="CQ46" s="182">
        <v>4226000000</v>
      </c>
      <c r="CR46" s="182">
        <f t="shared" si="9"/>
        <v>1570000000</v>
      </c>
      <c r="CT46" s="182">
        <v>4226000000</v>
      </c>
    </row>
    <row r="47" spans="1:98" ht="30" customHeight="1">
      <c r="A47" s="196">
        <v>16</v>
      </c>
      <c r="B47" s="194" t="s">
        <v>66</v>
      </c>
      <c r="C47" s="165">
        <v>6271000000</v>
      </c>
      <c r="D47" s="165"/>
      <c r="E47" s="197"/>
      <c r="F47" s="197"/>
      <c r="G47" s="197">
        <v>1254000000</v>
      </c>
      <c r="H47" s="197">
        <v>6271000000</v>
      </c>
      <c r="I47" s="185">
        <f t="shared" si="2"/>
        <v>0.19996810715994259</v>
      </c>
      <c r="J47" s="113"/>
      <c r="K47" s="113"/>
      <c r="L47" s="112"/>
      <c r="M47" s="186">
        <f>F47/T47</f>
        <v>0</v>
      </c>
      <c r="N47" s="186">
        <f t="shared" si="3"/>
        <v>0.40189048772647601</v>
      </c>
      <c r="O47" s="186">
        <f t="shared" si="4"/>
        <v>1</v>
      </c>
      <c r="P47" s="186">
        <f>F47/CQ47</f>
        <v>0</v>
      </c>
      <c r="Q47" s="186">
        <f t="shared" si="1"/>
        <v>1</v>
      </c>
      <c r="T47" s="182">
        <v>3120000000</v>
      </c>
      <c r="CQ47" s="182">
        <v>6142000000</v>
      </c>
      <c r="CR47" s="182">
        <f t="shared" si="9"/>
        <v>1254000000</v>
      </c>
      <c r="CT47" s="182">
        <v>3120253000</v>
      </c>
    </row>
    <row r="48" spans="1:98" ht="30" customHeight="1">
      <c r="A48" s="196">
        <v>17</v>
      </c>
      <c r="B48" s="121" t="s">
        <v>0</v>
      </c>
      <c r="C48" s="184">
        <v>640000000</v>
      </c>
      <c r="D48" s="184"/>
      <c r="E48" s="197"/>
      <c r="F48" s="197"/>
      <c r="G48" s="197"/>
      <c r="H48" s="197">
        <v>640000000</v>
      </c>
      <c r="I48" s="185">
        <f t="shared" si="2"/>
        <v>0</v>
      </c>
      <c r="J48" s="113"/>
      <c r="K48" s="113"/>
      <c r="L48" s="112"/>
      <c r="M48" s="186"/>
      <c r="N48" s="186"/>
      <c r="O48" s="186">
        <f t="shared" si="4"/>
        <v>1</v>
      </c>
      <c r="P48" s="186"/>
      <c r="Q48" s="186">
        <f t="shared" si="1"/>
        <v>1</v>
      </c>
      <c r="R48" s="183">
        <f>56835438710-F6</f>
        <v>-126501000812</v>
      </c>
      <c r="CR48" s="182">
        <f t="shared" si="9"/>
        <v>0</v>
      </c>
    </row>
    <row r="49" spans="1:98" ht="30" customHeight="1">
      <c r="A49" s="196">
        <v>18</v>
      </c>
      <c r="B49" s="121" t="s">
        <v>526</v>
      </c>
      <c r="C49" s="184">
        <v>60296000000</v>
      </c>
      <c r="D49" s="184"/>
      <c r="E49" s="197">
        <f>F49-U49</f>
        <v>13759072000</v>
      </c>
      <c r="F49" s="197">
        <f>33809809000-1439214000-32231000-3044292000</f>
        <v>29294072000</v>
      </c>
      <c r="G49" s="197">
        <f>F49+3800000000+3044292000-8813944600</f>
        <v>27324419400</v>
      </c>
      <c r="H49" s="197">
        <f>94000000000-917292159-24433937948</f>
        <v>68648769893</v>
      </c>
      <c r="I49" s="185">
        <f t="shared" si="2"/>
        <v>0.45317134469948256</v>
      </c>
      <c r="J49" s="113"/>
      <c r="K49" s="113"/>
      <c r="L49" s="184">
        <v>500000000</v>
      </c>
      <c r="M49" s="186">
        <f>F49/T49</f>
        <v>1.1354291472868216</v>
      </c>
      <c r="N49" s="186">
        <f t="shared" si="3"/>
        <v>1.0590860232558139</v>
      </c>
      <c r="O49" s="186">
        <f t="shared" si="4"/>
        <v>1.1385294197459201</v>
      </c>
      <c r="P49" s="186">
        <f>F49/CQ49</f>
        <v>1.1354291472868216</v>
      </c>
      <c r="Q49" s="186">
        <f t="shared" si="1"/>
        <v>1.1385294197459201</v>
      </c>
      <c r="T49" s="182">
        <v>25800000000</v>
      </c>
      <c r="U49" s="182">
        <v>15535000000</v>
      </c>
      <c r="CQ49" s="182">
        <v>25800000000</v>
      </c>
      <c r="CR49" s="182">
        <f t="shared" si="9"/>
        <v>-1969652600</v>
      </c>
      <c r="CT49" s="182">
        <v>25800000000</v>
      </c>
    </row>
    <row r="50" spans="1:98" ht="24" customHeight="1">
      <c r="A50" s="165" t="s">
        <v>219</v>
      </c>
      <c r="B50" s="121" t="s">
        <v>1</v>
      </c>
      <c r="C50" s="184">
        <f t="shared" ref="C50:H50" si="13">C51+C68+C74</f>
        <v>69198000000</v>
      </c>
      <c r="D50" s="184">
        <f t="shared" si="13"/>
        <v>18418000000</v>
      </c>
      <c r="E50" s="184">
        <f t="shared" si="13"/>
        <v>18492423700</v>
      </c>
      <c r="F50" s="184">
        <f t="shared" si="13"/>
        <v>17260628885</v>
      </c>
      <c r="G50" s="184">
        <f t="shared" si="13"/>
        <v>24791882485</v>
      </c>
      <c r="H50" s="184">
        <f t="shared" si="13"/>
        <v>77819233052</v>
      </c>
      <c r="I50" s="185">
        <f t="shared" si="2"/>
        <v>0.35827455251596868</v>
      </c>
      <c r="J50" s="113"/>
      <c r="K50" s="113"/>
      <c r="L50" s="112"/>
      <c r="M50" s="186"/>
      <c r="N50" s="186"/>
      <c r="O50" s="186">
        <f t="shared" si="4"/>
        <v>1.124587893465129</v>
      </c>
      <c r="P50" s="186"/>
      <c r="Q50" s="186">
        <f t="shared" si="1"/>
        <v>1.124587893465129</v>
      </c>
      <c r="U50" s="182">
        <v>6773625800</v>
      </c>
      <c r="CR50" s="182">
        <f t="shared" si="9"/>
        <v>7531253600</v>
      </c>
      <c r="CT50" s="182">
        <v>6134629000</v>
      </c>
    </row>
    <row r="51" spans="1:98" ht="24" customHeight="1">
      <c r="A51" s="108">
        <v>1</v>
      </c>
      <c r="B51" s="111" t="s">
        <v>2</v>
      </c>
      <c r="C51" s="184">
        <f>C52+C57</f>
        <v>50780000000</v>
      </c>
      <c r="D51" s="184"/>
      <c r="E51" s="197">
        <f>E52+E57</f>
        <v>0</v>
      </c>
      <c r="F51" s="197">
        <f>F52+F57</f>
        <v>14402672000</v>
      </c>
      <c r="G51" s="197">
        <f>G52+G57</f>
        <v>20733925600</v>
      </c>
      <c r="H51" s="197">
        <f>H52+H57</f>
        <v>56719134752</v>
      </c>
      <c r="I51" s="185">
        <f t="shared" si="2"/>
        <v>0.40830889326506498</v>
      </c>
      <c r="J51" s="113"/>
      <c r="K51" s="113"/>
      <c r="L51" s="112"/>
      <c r="M51" s="186"/>
      <c r="N51" s="186"/>
      <c r="O51" s="186">
        <f t="shared" si="4"/>
        <v>1.1169581479322568</v>
      </c>
      <c r="P51" s="186"/>
      <c r="Q51" s="186">
        <f t="shared" si="1"/>
        <v>1.1169581479322568</v>
      </c>
      <c r="U51" s="182">
        <v>6432667000</v>
      </c>
      <c r="CR51" s="182">
        <f t="shared" si="9"/>
        <v>6331253600</v>
      </c>
    </row>
    <row r="52" spans="1:98" ht="22.5" customHeight="1">
      <c r="A52" s="108" t="s">
        <v>222</v>
      </c>
      <c r="B52" s="111" t="s">
        <v>527</v>
      </c>
      <c r="C52" s="184">
        <f>C53+C56</f>
        <v>33841000000</v>
      </c>
      <c r="D52" s="184"/>
      <c r="E52" s="197">
        <f>E53+E56</f>
        <v>0</v>
      </c>
      <c r="F52" s="197">
        <f>F53+F56</f>
        <v>14402672000</v>
      </c>
      <c r="G52" s="197">
        <f>G53+G56</f>
        <v>19433925600</v>
      </c>
      <c r="H52" s="197">
        <f>H53+H56</f>
        <v>39780134752</v>
      </c>
      <c r="I52" s="185">
        <f t="shared" si="2"/>
        <v>0.5742716113590024</v>
      </c>
      <c r="J52" s="113"/>
      <c r="K52" s="113"/>
      <c r="L52" s="112"/>
      <c r="M52" s="186"/>
      <c r="N52" s="186"/>
      <c r="O52" s="186">
        <f t="shared" si="4"/>
        <v>1.1755011598948022</v>
      </c>
      <c r="P52" s="186"/>
      <c r="Q52" s="186">
        <f t="shared" si="1"/>
        <v>1.1755011598948022</v>
      </c>
      <c r="U52" s="182">
        <v>6432667000</v>
      </c>
      <c r="CR52" s="182">
        <f t="shared" si="9"/>
        <v>5031253600</v>
      </c>
    </row>
    <row r="53" spans="1:98" ht="22.5" customHeight="1">
      <c r="A53" s="108" t="s">
        <v>528</v>
      </c>
      <c r="B53" s="111" t="s">
        <v>402</v>
      </c>
      <c r="C53" s="184">
        <f>C54+C55</f>
        <v>22930000000</v>
      </c>
      <c r="D53" s="184"/>
      <c r="E53" s="197">
        <f>E54+E55</f>
        <v>0</v>
      </c>
      <c r="F53" s="197">
        <f>F54+F55</f>
        <v>11358380000</v>
      </c>
      <c r="G53" s="197">
        <f>G54+G55</f>
        <v>13899925600</v>
      </c>
      <c r="H53" s="197">
        <f>H54+H55</f>
        <v>23985530000</v>
      </c>
      <c r="I53" s="185">
        <f t="shared" si="2"/>
        <v>0.60618951591801129</v>
      </c>
      <c r="J53" s="113"/>
      <c r="K53" s="113"/>
      <c r="L53" s="112"/>
      <c r="M53" s="186"/>
      <c r="N53" s="186"/>
      <c r="O53" s="186">
        <f t="shared" si="4"/>
        <v>1.0460327082424772</v>
      </c>
      <c r="P53" s="186"/>
      <c r="Q53" s="186">
        <f t="shared" si="1"/>
        <v>1.0460327082424772</v>
      </c>
      <c r="U53" s="182">
        <v>6432667000</v>
      </c>
      <c r="CR53" s="182">
        <f t="shared" si="9"/>
        <v>2541545600</v>
      </c>
      <c r="CT53" s="182">
        <f>C51-50780000000</f>
        <v>0</v>
      </c>
    </row>
    <row r="54" spans="1:98" ht="22.5" customHeight="1">
      <c r="A54" s="107"/>
      <c r="B54" s="113" t="s">
        <v>529</v>
      </c>
      <c r="C54" s="112">
        <v>20630000000</v>
      </c>
      <c r="D54" s="112"/>
      <c r="E54" s="198">
        <v>0</v>
      </c>
      <c r="F54" s="198">
        <v>11326149000</v>
      </c>
      <c r="G54" s="198">
        <v>13432732000</v>
      </c>
      <c r="H54" s="198">
        <v>21685530000</v>
      </c>
      <c r="I54" s="190">
        <f t="shared" si="2"/>
        <v>0.65112612699951522</v>
      </c>
      <c r="J54" s="113"/>
      <c r="K54" s="113"/>
      <c r="L54" s="112"/>
      <c r="M54" s="193"/>
      <c r="N54" s="193"/>
      <c r="O54" s="193">
        <f t="shared" si="4"/>
        <v>1.051164808531265</v>
      </c>
      <c r="P54" s="186"/>
      <c r="Q54" s="193">
        <f t="shared" si="1"/>
        <v>1.051164808531265</v>
      </c>
      <c r="U54" s="182">
        <v>6432667000</v>
      </c>
      <c r="CR54" s="182">
        <f t="shared" si="9"/>
        <v>2106583000</v>
      </c>
    </row>
    <row r="55" spans="1:98" ht="22.5" customHeight="1">
      <c r="A55" s="107"/>
      <c r="B55" s="113" t="s">
        <v>530</v>
      </c>
      <c r="C55" s="112">
        <v>2300000000</v>
      </c>
      <c r="D55" s="112"/>
      <c r="E55" s="198"/>
      <c r="F55" s="198">
        <v>32231000</v>
      </c>
      <c r="G55" s="198">
        <v>467193600</v>
      </c>
      <c r="H55" s="198">
        <v>2300000000</v>
      </c>
      <c r="I55" s="190">
        <f t="shared" si="2"/>
        <v>0.20312765217391304</v>
      </c>
      <c r="J55" s="113"/>
      <c r="K55" s="113"/>
      <c r="L55" s="112"/>
      <c r="M55" s="193"/>
      <c r="N55" s="193"/>
      <c r="O55" s="193">
        <f t="shared" si="4"/>
        <v>1</v>
      </c>
      <c r="P55" s="186"/>
      <c r="Q55" s="193">
        <f t="shared" si="1"/>
        <v>1</v>
      </c>
      <c r="CR55" s="182">
        <f t="shared" si="9"/>
        <v>434962600</v>
      </c>
    </row>
    <row r="56" spans="1:98" ht="22.5" customHeight="1">
      <c r="A56" s="108" t="s">
        <v>531</v>
      </c>
      <c r="B56" s="111" t="s">
        <v>8</v>
      </c>
      <c r="C56" s="184">
        <v>10911000000</v>
      </c>
      <c r="D56" s="184"/>
      <c r="E56" s="197"/>
      <c r="F56" s="197">
        <v>3044292000</v>
      </c>
      <c r="G56" s="197">
        <f>5534000000</f>
        <v>5534000000</v>
      </c>
      <c r="H56" s="197">
        <f>10911000000+4883604752</f>
        <v>15794604752</v>
      </c>
      <c r="I56" s="185">
        <f t="shared" si="2"/>
        <v>0.50719457428283388</v>
      </c>
      <c r="J56" s="113"/>
      <c r="K56" s="113"/>
      <c r="L56" s="112"/>
      <c r="M56" s="186"/>
      <c r="N56" s="186"/>
      <c r="O56" s="186">
        <f t="shared" si="4"/>
        <v>1.447585441481074</v>
      </c>
      <c r="P56" s="186"/>
      <c r="Q56" s="186">
        <f t="shared" si="1"/>
        <v>1.447585441481074</v>
      </c>
      <c r="CR56" s="182">
        <f t="shared" si="9"/>
        <v>2489708000</v>
      </c>
    </row>
    <row r="57" spans="1:98" ht="22.5" customHeight="1">
      <c r="A57" s="108" t="s">
        <v>237</v>
      </c>
      <c r="B57" s="111" t="s">
        <v>532</v>
      </c>
      <c r="C57" s="184">
        <f>C58+C62+C65+C66</f>
        <v>16939000000</v>
      </c>
      <c r="D57" s="184"/>
      <c r="E57" s="197">
        <f>E58+E62+E65+E66</f>
        <v>0</v>
      </c>
      <c r="F57" s="197">
        <f>F58+F62+F65+F66</f>
        <v>0</v>
      </c>
      <c r="G57" s="197">
        <f>G58+G62+G65+G66</f>
        <v>1300000000</v>
      </c>
      <c r="H57" s="197">
        <v>16939000000</v>
      </c>
      <c r="I57" s="185">
        <f t="shared" si="2"/>
        <v>7.6745970836531077E-2</v>
      </c>
      <c r="J57" s="113"/>
      <c r="K57" s="113"/>
      <c r="L57" s="112"/>
      <c r="M57" s="186"/>
      <c r="N57" s="186"/>
      <c r="O57" s="186">
        <f t="shared" si="4"/>
        <v>1</v>
      </c>
      <c r="P57" s="186"/>
      <c r="Q57" s="186">
        <f t="shared" si="1"/>
        <v>1</v>
      </c>
      <c r="U57" s="182">
        <v>0</v>
      </c>
      <c r="CR57" s="182">
        <f t="shared" si="9"/>
        <v>1300000000</v>
      </c>
    </row>
    <row r="58" spans="1:98" ht="22.5" customHeight="1">
      <c r="A58" s="108" t="s">
        <v>83</v>
      </c>
      <c r="B58" s="219" t="s">
        <v>533</v>
      </c>
      <c r="C58" s="184">
        <v>13389000000</v>
      </c>
      <c r="D58" s="184"/>
      <c r="E58" s="197">
        <f>E59+E60+E61</f>
        <v>0</v>
      </c>
      <c r="F58" s="197">
        <f>F59+F60+F61</f>
        <v>0</v>
      </c>
      <c r="G58" s="197">
        <f>G59+G60+G61</f>
        <v>0</v>
      </c>
      <c r="H58" s="197">
        <f>H59+H60+H61</f>
        <v>14343603145</v>
      </c>
      <c r="I58" s="185">
        <f t="shared" si="2"/>
        <v>0</v>
      </c>
      <c r="J58" s="113"/>
      <c r="K58" s="113"/>
      <c r="L58" s="112"/>
      <c r="M58" s="186"/>
      <c r="N58" s="186"/>
      <c r="O58" s="186">
        <f t="shared" si="4"/>
        <v>1.0712975685264023</v>
      </c>
      <c r="P58" s="186"/>
      <c r="Q58" s="186">
        <f t="shared" si="1"/>
        <v>1.0712975685264023</v>
      </c>
      <c r="U58" s="182">
        <v>0</v>
      </c>
      <c r="CR58" s="182">
        <f t="shared" si="9"/>
        <v>0</v>
      </c>
    </row>
    <row r="59" spans="1:98" ht="46.5" customHeight="1">
      <c r="A59" s="122"/>
      <c r="B59" s="220" t="s">
        <v>534</v>
      </c>
      <c r="C59" s="214">
        <v>1760000000</v>
      </c>
      <c r="D59" s="214"/>
      <c r="E59" s="198"/>
      <c r="F59" s="198"/>
      <c r="G59" s="198">
        <v>0</v>
      </c>
      <c r="H59" s="198">
        <v>2081281105</v>
      </c>
      <c r="I59" s="190">
        <f t="shared" si="2"/>
        <v>0</v>
      </c>
      <c r="J59" s="113"/>
      <c r="K59" s="113"/>
      <c r="L59" s="112"/>
      <c r="M59" s="193"/>
      <c r="N59" s="193"/>
      <c r="O59" s="193">
        <f t="shared" si="4"/>
        <v>1.1825460823863636</v>
      </c>
      <c r="P59" s="186"/>
      <c r="Q59" s="193">
        <f t="shared" si="1"/>
        <v>1.1825460823863636</v>
      </c>
      <c r="CR59" s="182">
        <f t="shared" si="9"/>
        <v>0</v>
      </c>
    </row>
    <row r="60" spans="1:98" ht="46.5" customHeight="1">
      <c r="A60" s="122"/>
      <c r="B60" s="220" t="s">
        <v>535</v>
      </c>
      <c r="C60" s="214">
        <v>11029000000</v>
      </c>
      <c r="D60" s="214"/>
      <c r="E60" s="198"/>
      <c r="F60" s="198"/>
      <c r="G60" s="198">
        <v>0</v>
      </c>
      <c r="H60" s="198">
        <f>9489498040+2172824000</f>
        <v>11662322040</v>
      </c>
      <c r="I60" s="190">
        <f t="shared" si="2"/>
        <v>0</v>
      </c>
      <c r="J60" s="113"/>
      <c r="K60" s="113"/>
      <c r="L60" s="112"/>
      <c r="M60" s="193"/>
      <c r="N60" s="193"/>
      <c r="O60" s="193">
        <f t="shared" si="4"/>
        <v>1.057423342098105</v>
      </c>
      <c r="P60" s="186"/>
      <c r="Q60" s="193">
        <f t="shared" si="1"/>
        <v>1.057423342098105</v>
      </c>
      <c r="CR60" s="182">
        <f t="shared" si="9"/>
        <v>0</v>
      </c>
    </row>
    <row r="61" spans="1:98" ht="46.5" customHeight="1">
      <c r="A61" s="122"/>
      <c r="B61" s="220" t="s">
        <v>536</v>
      </c>
      <c r="C61" s="214">
        <v>600000000</v>
      </c>
      <c r="D61" s="214"/>
      <c r="E61" s="198"/>
      <c r="F61" s="198"/>
      <c r="G61" s="198"/>
      <c r="H61" s="198">
        <v>600000000</v>
      </c>
      <c r="I61" s="190">
        <f t="shared" si="2"/>
        <v>0</v>
      </c>
      <c r="J61" s="113"/>
      <c r="K61" s="113"/>
      <c r="L61" s="112"/>
      <c r="M61" s="193"/>
      <c r="N61" s="193"/>
      <c r="O61" s="193">
        <f t="shared" si="4"/>
        <v>1</v>
      </c>
      <c r="P61" s="186"/>
      <c r="Q61" s="193">
        <f t="shared" si="1"/>
        <v>1</v>
      </c>
      <c r="CR61" s="182">
        <f t="shared" si="9"/>
        <v>0</v>
      </c>
    </row>
    <row r="62" spans="1:98" ht="30.75" customHeight="1">
      <c r="A62" s="108" t="s">
        <v>89</v>
      </c>
      <c r="B62" s="219" t="s">
        <v>607</v>
      </c>
      <c r="C62" s="184">
        <v>3442000000</v>
      </c>
      <c r="D62" s="184"/>
      <c r="E62" s="197"/>
      <c r="F62" s="197"/>
      <c r="G62" s="197">
        <v>1300000000</v>
      </c>
      <c r="H62" s="197">
        <v>3442000000</v>
      </c>
      <c r="I62" s="185">
        <f t="shared" si="2"/>
        <v>0.37768739105171412</v>
      </c>
      <c r="J62" s="113"/>
      <c r="K62" s="113"/>
      <c r="L62" s="112"/>
      <c r="M62" s="186"/>
      <c r="N62" s="186"/>
      <c r="O62" s="186">
        <f t="shared" si="4"/>
        <v>1</v>
      </c>
      <c r="P62" s="186"/>
      <c r="Q62" s="186">
        <f t="shared" si="1"/>
        <v>1</v>
      </c>
      <c r="CR62" s="182">
        <f t="shared" si="9"/>
        <v>1300000000</v>
      </c>
    </row>
    <row r="63" spans="1:98" ht="47.25" hidden="1">
      <c r="A63" s="108" t="s">
        <v>89</v>
      </c>
      <c r="B63" s="220" t="s">
        <v>608</v>
      </c>
      <c r="C63" s="214">
        <v>687000000</v>
      </c>
      <c r="D63" s="214"/>
      <c r="E63" s="197"/>
      <c r="F63" s="197"/>
      <c r="G63" s="197"/>
      <c r="H63" s="197"/>
      <c r="I63" s="185">
        <f t="shared" si="2"/>
        <v>0</v>
      </c>
      <c r="J63" s="113"/>
      <c r="K63" s="113"/>
      <c r="L63" s="112"/>
      <c r="M63" s="186" t="e">
        <f>F63/T63</f>
        <v>#DIV/0!</v>
      </c>
      <c r="N63" s="186"/>
      <c r="O63" s="186">
        <f t="shared" si="4"/>
        <v>0</v>
      </c>
      <c r="P63" s="186"/>
      <c r="Q63" s="186">
        <f t="shared" si="1"/>
        <v>0</v>
      </c>
      <c r="CR63" s="182">
        <f t="shared" si="9"/>
        <v>0</v>
      </c>
    </row>
    <row r="64" spans="1:98" ht="63" hidden="1">
      <c r="A64" s="108" t="s">
        <v>89</v>
      </c>
      <c r="B64" s="220" t="s">
        <v>609</v>
      </c>
      <c r="C64" s="214">
        <v>2755000000</v>
      </c>
      <c r="D64" s="214"/>
      <c r="E64" s="197"/>
      <c r="F64" s="197"/>
      <c r="G64" s="197"/>
      <c r="H64" s="197"/>
      <c r="I64" s="185">
        <f t="shared" si="2"/>
        <v>0</v>
      </c>
      <c r="J64" s="113"/>
      <c r="K64" s="113"/>
      <c r="L64" s="112"/>
      <c r="M64" s="186" t="e">
        <f>F64/T64</f>
        <v>#DIV/0!</v>
      </c>
      <c r="N64" s="186"/>
      <c r="O64" s="186">
        <f t="shared" si="4"/>
        <v>0</v>
      </c>
      <c r="P64" s="186"/>
      <c r="Q64" s="186">
        <f t="shared" si="1"/>
        <v>0</v>
      </c>
      <c r="CR64" s="182">
        <f t="shared" si="9"/>
        <v>0</v>
      </c>
    </row>
    <row r="65" spans="1:98" ht="34.5" customHeight="1">
      <c r="A65" s="108" t="s">
        <v>610</v>
      </c>
      <c r="B65" s="219" t="s">
        <v>611</v>
      </c>
      <c r="C65" s="184">
        <v>48000000</v>
      </c>
      <c r="D65" s="184"/>
      <c r="E65" s="197"/>
      <c r="F65" s="197"/>
      <c r="G65" s="197"/>
      <c r="H65" s="197">
        <v>48000000</v>
      </c>
      <c r="I65" s="185">
        <f t="shared" si="2"/>
        <v>0</v>
      </c>
      <c r="J65" s="113"/>
      <c r="K65" s="113"/>
      <c r="L65" s="112"/>
      <c r="M65" s="186"/>
      <c r="N65" s="186"/>
      <c r="O65" s="186">
        <f t="shared" si="4"/>
        <v>1</v>
      </c>
      <c r="P65" s="186"/>
      <c r="Q65" s="186">
        <f t="shared" si="1"/>
        <v>1</v>
      </c>
      <c r="CR65" s="182">
        <f t="shared" si="9"/>
        <v>0</v>
      </c>
    </row>
    <row r="66" spans="1:98" ht="31.5">
      <c r="A66" s="108" t="s">
        <v>612</v>
      </c>
      <c r="B66" s="219" t="s">
        <v>613</v>
      </c>
      <c r="C66" s="184">
        <v>60000000</v>
      </c>
      <c r="D66" s="184"/>
      <c r="E66" s="197"/>
      <c r="F66" s="197"/>
      <c r="G66" s="197"/>
      <c r="H66" s="197">
        <v>60000000</v>
      </c>
      <c r="I66" s="185">
        <f t="shared" si="2"/>
        <v>0</v>
      </c>
      <c r="J66" s="113"/>
      <c r="K66" s="113"/>
      <c r="L66" s="112"/>
      <c r="M66" s="186"/>
      <c r="N66" s="186"/>
      <c r="O66" s="186">
        <f t="shared" si="4"/>
        <v>1</v>
      </c>
      <c r="P66" s="186"/>
      <c r="Q66" s="186">
        <f t="shared" si="1"/>
        <v>1</v>
      </c>
      <c r="CR66" s="182">
        <f t="shared" si="9"/>
        <v>0</v>
      </c>
    </row>
    <row r="67" spans="1:98" hidden="1">
      <c r="A67" s="221"/>
      <c r="B67" s="220" t="s">
        <v>614</v>
      </c>
      <c r="C67" s="214">
        <v>60000000</v>
      </c>
      <c r="D67" s="214"/>
      <c r="E67" s="197"/>
      <c r="F67" s="197"/>
      <c r="G67" s="197"/>
      <c r="H67" s="197"/>
      <c r="I67" s="185">
        <f t="shared" si="2"/>
        <v>0</v>
      </c>
      <c r="J67" s="113"/>
      <c r="K67" s="113"/>
      <c r="L67" s="112"/>
      <c r="M67" s="186"/>
      <c r="N67" s="186"/>
      <c r="O67" s="186">
        <f t="shared" si="4"/>
        <v>0</v>
      </c>
      <c r="P67" s="186"/>
      <c r="Q67" s="186">
        <f t="shared" si="1"/>
        <v>0</v>
      </c>
      <c r="CR67" s="182">
        <f t="shared" si="9"/>
        <v>0</v>
      </c>
    </row>
    <row r="68" spans="1:98">
      <c r="A68" s="108">
        <v>2</v>
      </c>
      <c r="B68" s="111" t="s">
        <v>615</v>
      </c>
      <c r="C68" s="184">
        <v>18418000000</v>
      </c>
      <c r="D68" s="184">
        <v>18418000000</v>
      </c>
      <c r="E68" s="184">
        <v>18418000000</v>
      </c>
      <c r="F68" s="184">
        <f>F69+F70</f>
        <v>2442574385</v>
      </c>
      <c r="G68" s="184">
        <f>G69+G70</f>
        <v>3642574385</v>
      </c>
      <c r="H68" s="197">
        <f>H69+H70</f>
        <v>20684765800</v>
      </c>
      <c r="I68" s="185">
        <f t="shared" si="2"/>
        <v>0.19777252606146162</v>
      </c>
      <c r="J68" s="113"/>
      <c r="K68" s="113"/>
      <c r="L68" s="112"/>
      <c r="M68" s="186"/>
      <c r="N68" s="186"/>
      <c r="O68" s="186">
        <f t="shared" si="4"/>
        <v>1.1230733955912695</v>
      </c>
      <c r="P68" s="186"/>
      <c r="Q68" s="186">
        <f t="shared" si="1"/>
        <v>1.1230733955912695</v>
      </c>
      <c r="CR68" s="182">
        <f t="shared" si="9"/>
        <v>1200000000</v>
      </c>
    </row>
    <row r="69" spans="1:98">
      <c r="A69" s="107" t="s">
        <v>414</v>
      </c>
      <c r="B69" s="113" t="s">
        <v>616</v>
      </c>
      <c r="C69" s="112">
        <v>13800000000</v>
      </c>
      <c r="D69" s="112"/>
      <c r="E69" s="198"/>
      <c r="F69" s="198">
        <f>1003360385+1439214000</f>
        <v>2442574385</v>
      </c>
      <c r="G69" s="198">
        <f>1003360385+1439214000</f>
        <v>2442574385</v>
      </c>
      <c r="H69" s="198">
        <v>13903000000</v>
      </c>
      <c r="I69" s="185">
        <f t="shared" si="2"/>
        <v>0.17699814384057971</v>
      </c>
      <c r="J69" s="113"/>
      <c r="K69" s="113"/>
      <c r="L69" s="112"/>
      <c r="M69" s="193"/>
      <c r="N69" s="193"/>
      <c r="O69" s="186">
        <f t="shared" si="4"/>
        <v>1.007463768115942</v>
      </c>
      <c r="P69" s="186"/>
      <c r="Q69" s="193">
        <f t="shared" si="1"/>
        <v>1.007463768115942</v>
      </c>
      <c r="CR69" s="182">
        <f t="shared" si="9"/>
        <v>0</v>
      </c>
    </row>
    <row r="70" spans="1:98">
      <c r="A70" s="107" t="s">
        <v>414</v>
      </c>
      <c r="B70" s="113" t="s">
        <v>617</v>
      </c>
      <c r="C70" s="112">
        <v>4618000000</v>
      </c>
      <c r="D70" s="112"/>
      <c r="E70" s="198"/>
      <c r="F70" s="198"/>
      <c r="G70" s="198">
        <v>1200000000</v>
      </c>
      <c r="H70" s="198">
        <v>6781765800</v>
      </c>
      <c r="I70" s="185">
        <f t="shared" si="2"/>
        <v>0.25985275010827197</v>
      </c>
      <c r="J70" s="113"/>
      <c r="K70" s="113"/>
      <c r="L70" s="112"/>
      <c r="M70" s="193"/>
      <c r="N70" s="193"/>
      <c r="O70" s="186">
        <f t="shared" si="4"/>
        <v>1.4685504114335211</v>
      </c>
      <c r="P70" s="186"/>
      <c r="Q70" s="193">
        <f>H70/C70</f>
        <v>1.4685504114335211</v>
      </c>
      <c r="CR70" s="182">
        <f t="shared" si="9"/>
        <v>1200000000</v>
      </c>
    </row>
    <row r="71" spans="1:98" ht="126" hidden="1">
      <c r="A71" s="221"/>
      <c r="B71" s="222" t="s">
        <v>618</v>
      </c>
      <c r="C71" s="214">
        <v>3921000000</v>
      </c>
      <c r="D71" s="214"/>
      <c r="E71" s="197"/>
      <c r="F71" s="197"/>
      <c r="G71" s="197"/>
      <c r="H71" s="197"/>
      <c r="I71" s="185">
        <f t="shared" ref="I71:I88" si="14">G71/C71</f>
        <v>0</v>
      </c>
      <c r="J71" s="113"/>
      <c r="K71" s="113"/>
      <c r="L71" s="112"/>
      <c r="M71" s="186"/>
      <c r="N71" s="186"/>
      <c r="O71" s="186">
        <f t="shared" ref="O71:O88" si="15">H71/C71</f>
        <v>0</v>
      </c>
      <c r="P71" s="186"/>
      <c r="Q71" s="186">
        <f>H71/C71</f>
        <v>0</v>
      </c>
      <c r="CR71" s="182">
        <f t="shared" si="9"/>
        <v>0</v>
      </c>
    </row>
    <row r="72" spans="1:98" hidden="1">
      <c r="A72" s="221"/>
      <c r="B72" s="213" t="s">
        <v>619</v>
      </c>
      <c r="C72" s="214">
        <v>119000000</v>
      </c>
      <c r="D72" s="214"/>
      <c r="E72" s="197"/>
      <c r="F72" s="197"/>
      <c r="G72" s="197"/>
      <c r="H72" s="197"/>
      <c r="I72" s="185">
        <f t="shared" si="14"/>
        <v>0</v>
      </c>
      <c r="J72" s="113"/>
      <c r="K72" s="113"/>
      <c r="L72" s="112"/>
      <c r="M72" s="186"/>
      <c r="N72" s="186"/>
      <c r="O72" s="186">
        <f t="shared" si="15"/>
        <v>0</v>
      </c>
      <c r="P72" s="186"/>
      <c r="Q72" s="186">
        <f>H72/C72</f>
        <v>0</v>
      </c>
      <c r="CR72" s="182">
        <f t="shared" si="9"/>
        <v>0</v>
      </c>
    </row>
    <row r="73" spans="1:98" hidden="1">
      <c r="A73" s="221"/>
      <c r="B73" s="213" t="s">
        <v>620</v>
      </c>
      <c r="C73" s="214">
        <v>578000000</v>
      </c>
      <c r="D73" s="214"/>
      <c r="E73" s="197"/>
      <c r="F73" s="197"/>
      <c r="G73" s="197"/>
      <c r="H73" s="197"/>
      <c r="I73" s="185">
        <f t="shared" si="14"/>
        <v>0</v>
      </c>
      <c r="J73" s="113"/>
      <c r="K73" s="113"/>
      <c r="L73" s="112"/>
      <c r="M73" s="186"/>
      <c r="N73" s="186"/>
      <c r="O73" s="186">
        <f t="shared" si="15"/>
        <v>0</v>
      </c>
      <c r="P73" s="186"/>
      <c r="Q73" s="186">
        <f>H73/C73</f>
        <v>0</v>
      </c>
      <c r="CR73" s="182">
        <f t="shared" si="9"/>
        <v>0</v>
      </c>
    </row>
    <row r="74" spans="1:98" ht="31.5">
      <c r="A74" s="223">
        <v>3</v>
      </c>
      <c r="B74" s="59" t="s">
        <v>621</v>
      </c>
      <c r="C74" s="113"/>
      <c r="D74" s="224"/>
      <c r="E74" s="225">
        <f>F74-U74</f>
        <v>74423700</v>
      </c>
      <c r="F74" s="225">
        <v>415382500</v>
      </c>
      <c r="G74" s="225">
        <v>415382500</v>
      </c>
      <c r="H74" s="225">
        <v>415332500</v>
      </c>
      <c r="I74" s="185"/>
      <c r="J74" s="185"/>
      <c r="K74" s="185"/>
      <c r="L74" s="185"/>
      <c r="M74" s="185"/>
      <c r="N74" s="185"/>
      <c r="O74" s="186"/>
      <c r="P74" s="186"/>
      <c r="Q74" s="186"/>
      <c r="U74" s="182">
        <v>340958800</v>
      </c>
      <c r="CR74" s="182">
        <f t="shared" si="9"/>
        <v>0</v>
      </c>
    </row>
    <row r="75" spans="1:98" ht="31.5">
      <c r="A75" s="108" t="s">
        <v>238</v>
      </c>
      <c r="B75" s="59" t="s">
        <v>622</v>
      </c>
      <c r="C75" s="184">
        <f>C76+C78</f>
        <v>16084000000</v>
      </c>
      <c r="D75" s="184">
        <f>D76+D78</f>
        <v>0</v>
      </c>
      <c r="E75" s="184">
        <f>E76+E78</f>
        <v>0</v>
      </c>
      <c r="F75" s="184">
        <f>F76+F78</f>
        <v>4125945818</v>
      </c>
      <c r="G75" s="184">
        <f>G76+G78</f>
        <v>14385898818</v>
      </c>
      <c r="H75" s="184">
        <f>H76+H78+H90+H91</f>
        <v>24010687034</v>
      </c>
      <c r="I75" s="185">
        <f t="shared" si="14"/>
        <v>0.89442295560805773</v>
      </c>
      <c r="J75" s="113"/>
      <c r="K75" s="113"/>
      <c r="L75" s="112"/>
      <c r="M75" s="186">
        <f>F75/T75</f>
        <v>1.0926763289194916</v>
      </c>
      <c r="N75" s="186"/>
      <c r="O75" s="186">
        <f t="shared" si="15"/>
        <v>1.4928305790848049</v>
      </c>
      <c r="P75" s="186">
        <f>G75/CQ75</f>
        <v>2.9417518040492419</v>
      </c>
      <c r="Q75" s="186">
        <f t="shared" ref="Q75:Q89" si="16">H75/C75</f>
        <v>1.4928305790848049</v>
      </c>
      <c r="T75" s="182">
        <v>3776000000</v>
      </c>
      <c r="U75" s="182">
        <v>3893831000</v>
      </c>
      <c r="CQ75" s="182">
        <f>CQ76+CQ84</f>
        <v>4890249000</v>
      </c>
      <c r="CR75" s="182">
        <f t="shared" si="9"/>
        <v>10259953000</v>
      </c>
      <c r="CT75" s="182">
        <v>3767000000</v>
      </c>
    </row>
    <row r="76" spans="1:98" ht="47.25">
      <c r="A76" s="108">
        <v>1</v>
      </c>
      <c r="B76" s="59" t="s">
        <v>623</v>
      </c>
      <c r="C76" s="184">
        <v>5000000000</v>
      </c>
      <c r="D76" s="184"/>
      <c r="E76" s="224">
        <v>0</v>
      </c>
      <c r="F76" s="224">
        <v>4125945818</v>
      </c>
      <c r="G76" s="224">
        <v>4417898818</v>
      </c>
      <c r="H76" s="224">
        <v>7500000000</v>
      </c>
      <c r="I76" s="185">
        <f t="shared" si="14"/>
        <v>0.88357976360000001</v>
      </c>
      <c r="J76" s="113"/>
      <c r="K76" s="113"/>
      <c r="L76" s="112"/>
      <c r="M76" s="186">
        <f>F76/T76</f>
        <v>1.0926763289194916</v>
      </c>
      <c r="N76" s="193"/>
      <c r="O76" s="186">
        <f t="shared" si="15"/>
        <v>1.5</v>
      </c>
      <c r="P76" s="186">
        <f>F76/CQ76</f>
        <v>1.0952869174409345</v>
      </c>
      <c r="Q76" s="186">
        <f t="shared" si="16"/>
        <v>1.5</v>
      </c>
      <c r="T76" s="182">
        <v>3776000000</v>
      </c>
      <c r="U76" s="182">
        <v>3893831000</v>
      </c>
      <c r="CQ76" s="182">
        <v>3767000000</v>
      </c>
      <c r="CR76" s="182">
        <f t="shared" si="9"/>
        <v>291953000</v>
      </c>
      <c r="CT76" s="182">
        <v>3767000000</v>
      </c>
    </row>
    <row r="77" spans="1:98" ht="47.25" hidden="1">
      <c r="A77" s="107"/>
      <c r="B77" s="60" t="s">
        <v>624</v>
      </c>
      <c r="C77" s="112">
        <v>5000000000</v>
      </c>
      <c r="D77" s="112"/>
      <c r="E77" s="224"/>
      <c r="F77" s="224"/>
      <c r="G77" s="224"/>
      <c r="H77" s="224"/>
      <c r="I77" s="185">
        <f t="shared" si="14"/>
        <v>0</v>
      </c>
      <c r="J77" s="113"/>
      <c r="K77" s="113"/>
      <c r="L77" s="112"/>
      <c r="M77" s="186" t="e">
        <f>F77/T77</f>
        <v>#DIV/0!</v>
      </c>
      <c r="N77" s="186"/>
      <c r="O77" s="186">
        <f t="shared" si="15"/>
        <v>0</v>
      </c>
      <c r="P77" s="186" t="e">
        <f>F77/CQ77</f>
        <v>#DIV/0!</v>
      </c>
      <c r="Q77" s="186">
        <f t="shared" si="16"/>
        <v>0</v>
      </c>
      <c r="CR77" s="182">
        <f t="shared" ref="CR77:CR88" si="17">G77-F77</f>
        <v>0</v>
      </c>
    </row>
    <row r="78" spans="1:98">
      <c r="A78" s="108">
        <v>2</v>
      </c>
      <c r="B78" s="59" t="s">
        <v>625</v>
      </c>
      <c r="C78" s="184">
        <v>11084000000</v>
      </c>
      <c r="D78" s="184"/>
      <c r="E78" s="224">
        <f>E79+E82+E83+E84+E85</f>
        <v>0</v>
      </c>
      <c r="F78" s="224"/>
      <c r="G78" s="224">
        <f>G79+G82+G83+G84+G85</f>
        <v>9968000000</v>
      </c>
      <c r="H78" s="224">
        <f>H79+H82+H83+H84+H85</f>
        <v>12690687034</v>
      </c>
      <c r="I78" s="185">
        <f t="shared" si="14"/>
        <v>0.89931432695777702</v>
      </c>
      <c r="J78" s="113"/>
      <c r="K78" s="113"/>
      <c r="L78" s="112"/>
      <c r="M78" s="186"/>
      <c r="N78" s="186"/>
      <c r="O78" s="186">
        <f t="shared" si="15"/>
        <v>1.1449555245398773</v>
      </c>
      <c r="P78" s="186"/>
      <c r="Q78" s="186">
        <f t="shared" si="16"/>
        <v>1.1449555245398773</v>
      </c>
      <c r="CR78" s="182">
        <f t="shared" si="17"/>
        <v>9968000000</v>
      </c>
    </row>
    <row r="79" spans="1:98" ht="31.5">
      <c r="A79" s="107" t="s">
        <v>414</v>
      </c>
      <c r="B79" s="60" t="s">
        <v>470</v>
      </c>
      <c r="C79" s="112">
        <v>106000000</v>
      </c>
      <c r="D79" s="112"/>
      <c r="E79" s="112"/>
      <c r="F79" s="112"/>
      <c r="G79" s="112"/>
      <c r="H79" s="112">
        <v>106000000</v>
      </c>
      <c r="I79" s="185">
        <f t="shared" si="14"/>
        <v>0</v>
      </c>
      <c r="J79" s="113"/>
      <c r="K79" s="113"/>
      <c r="L79" s="112"/>
      <c r="M79" s="193"/>
      <c r="N79" s="193"/>
      <c r="O79" s="186">
        <f t="shared" si="15"/>
        <v>1</v>
      </c>
      <c r="P79" s="186"/>
      <c r="Q79" s="193">
        <f t="shared" si="16"/>
        <v>1</v>
      </c>
      <c r="CR79" s="182">
        <f t="shared" si="17"/>
        <v>0</v>
      </c>
    </row>
    <row r="80" spans="1:98" hidden="1">
      <c r="A80" s="107" t="s">
        <v>414</v>
      </c>
      <c r="B80" s="123" t="s">
        <v>626</v>
      </c>
      <c r="C80" s="214">
        <v>96000000</v>
      </c>
      <c r="D80" s="214"/>
      <c r="E80" s="112"/>
      <c r="F80" s="112"/>
      <c r="G80" s="112"/>
      <c r="H80" s="112"/>
      <c r="I80" s="185">
        <f t="shared" si="14"/>
        <v>0</v>
      </c>
      <c r="J80" s="113"/>
      <c r="K80" s="113"/>
      <c r="L80" s="112"/>
      <c r="M80" s="193"/>
      <c r="N80" s="193"/>
      <c r="O80" s="186">
        <f t="shared" si="15"/>
        <v>0</v>
      </c>
      <c r="P80" s="186"/>
      <c r="Q80" s="193">
        <f t="shared" si="16"/>
        <v>0</v>
      </c>
      <c r="CR80" s="182">
        <f t="shared" si="17"/>
        <v>0</v>
      </c>
    </row>
    <row r="81" spans="1:98" hidden="1">
      <c r="A81" s="107" t="s">
        <v>414</v>
      </c>
      <c r="B81" s="123" t="s">
        <v>727</v>
      </c>
      <c r="C81" s="214">
        <v>10000000</v>
      </c>
      <c r="D81" s="214"/>
      <c r="E81" s="112"/>
      <c r="F81" s="112"/>
      <c r="G81" s="112"/>
      <c r="H81" s="112"/>
      <c r="I81" s="185">
        <f t="shared" si="14"/>
        <v>0</v>
      </c>
      <c r="J81" s="113"/>
      <c r="K81" s="113"/>
      <c r="L81" s="112"/>
      <c r="M81" s="193"/>
      <c r="N81" s="193"/>
      <c r="O81" s="186">
        <f t="shared" si="15"/>
        <v>0</v>
      </c>
      <c r="P81" s="186"/>
      <c r="Q81" s="193">
        <f t="shared" si="16"/>
        <v>0</v>
      </c>
      <c r="CR81" s="182">
        <f t="shared" si="17"/>
        <v>0</v>
      </c>
    </row>
    <row r="82" spans="1:98" ht="31.5">
      <c r="A82" s="107" t="s">
        <v>414</v>
      </c>
      <c r="B82" s="60" t="s">
        <v>472</v>
      </c>
      <c r="C82" s="112">
        <v>30000000</v>
      </c>
      <c r="D82" s="112"/>
      <c r="E82" s="112"/>
      <c r="F82" s="112"/>
      <c r="G82" s="112"/>
      <c r="H82" s="112">
        <v>30000000</v>
      </c>
      <c r="I82" s="185">
        <f t="shared" si="14"/>
        <v>0</v>
      </c>
      <c r="J82" s="113"/>
      <c r="K82" s="113"/>
      <c r="L82" s="112"/>
      <c r="M82" s="193"/>
      <c r="N82" s="193"/>
      <c r="O82" s="186">
        <f t="shared" si="15"/>
        <v>1</v>
      </c>
      <c r="P82" s="186"/>
      <c r="Q82" s="193">
        <f t="shared" si="16"/>
        <v>1</v>
      </c>
      <c r="CR82" s="182">
        <f t="shared" si="17"/>
        <v>0</v>
      </c>
    </row>
    <row r="83" spans="1:98" ht="31.5">
      <c r="A83" s="107" t="s">
        <v>414</v>
      </c>
      <c r="B83" s="60" t="s">
        <v>473</v>
      </c>
      <c r="C83" s="112">
        <v>925000000</v>
      </c>
      <c r="D83" s="112"/>
      <c r="E83" s="112"/>
      <c r="F83" s="112"/>
      <c r="G83" s="112"/>
      <c r="H83" s="112">
        <v>2531687034</v>
      </c>
      <c r="I83" s="185">
        <f t="shared" si="14"/>
        <v>0</v>
      </c>
      <c r="J83" s="113"/>
      <c r="K83" s="113"/>
      <c r="L83" s="112"/>
      <c r="M83" s="193"/>
      <c r="N83" s="193"/>
      <c r="O83" s="186">
        <f t="shared" si="15"/>
        <v>2.7369589556756755</v>
      </c>
      <c r="P83" s="186"/>
      <c r="Q83" s="193">
        <f t="shared" si="16"/>
        <v>2.7369589556756755</v>
      </c>
      <c r="CR83" s="182">
        <f t="shared" si="17"/>
        <v>0</v>
      </c>
    </row>
    <row r="84" spans="1:98">
      <c r="A84" s="107" t="s">
        <v>414</v>
      </c>
      <c r="B84" s="60" t="s">
        <v>474</v>
      </c>
      <c r="C84" s="112">
        <v>9968000000</v>
      </c>
      <c r="D84" s="112"/>
      <c r="E84" s="112"/>
      <c r="F84" s="112"/>
      <c r="G84" s="112">
        <v>9968000000</v>
      </c>
      <c r="H84" s="112">
        <v>9968000000</v>
      </c>
      <c r="I84" s="185">
        <f t="shared" si="14"/>
        <v>1</v>
      </c>
      <c r="J84" s="113"/>
      <c r="K84" s="113"/>
      <c r="L84" s="112"/>
      <c r="M84" s="193"/>
      <c r="N84" s="193"/>
      <c r="O84" s="186">
        <f t="shared" si="15"/>
        <v>1</v>
      </c>
      <c r="P84" s="186"/>
      <c r="Q84" s="193">
        <f t="shared" si="16"/>
        <v>1</v>
      </c>
      <c r="CQ84" s="182">
        <v>1123249000</v>
      </c>
      <c r="CR84" s="182">
        <f t="shared" si="17"/>
        <v>9968000000</v>
      </c>
    </row>
    <row r="85" spans="1:98" ht="47.25">
      <c r="A85" s="107" t="s">
        <v>414</v>
      </c>
      <c r="B85" s="226" t="s">
        <v>475</v>
      </c>
      <c r="C85" s="112">
        <v>55000000</v>
      </c>
      <c r="D85" s="112"/>
      <c r="E85" s="112">
        <f>E86+E88</f>
        <v>0</v>
      </c>
      <c r="F85" s="112"/>
      <c r="G85" s="112"/>
      <c r="H85" s="112">
        <v>55000000</v>
      </c>
      <c r="I85" s="190">
        <f t="shared" si="14"/>
        <v>0</v>
      </c>
      <c r="J85" s="113"/>
      <c r="K85" s="113"/>
      <c r="L85" s="112"/>
      <c r="M85" s="193"/>
      <c r="N85" s="193"/>
      <c r="O85" s="193">
        <f t="shared" si="15"/>
        <v>1</v>
      </c>
      <c r="P85" s="186"/>
      <c r="Q85" s="193">
        <f t="shared" si="16"/>
        <v>1</v>
      </c>
      <c r="CR85" s="182">
        <f t="shared" si="17"/>
        <v>0</v>
      </c>
    </row>
    <row r="86" spans="1:98" ht="21.75" customHeight="1">
      <c r="A86" s="107" t="s">
        <v>728</v>
      </c>
      <c r="B86" s="60" t="s">
        <v>476</v>
      </c>
      <c r="C86" s="112">
        <v>35000000</v>
      </c>
      <c r="D86" s="112"/>
      <c r="E86" s="112"/>
      <c r="F86" s="112"/>
      <c r="G86" s="112"/>
      <c r="H86" s="112">
        <v>35000000</v>
      </c>
      <c r="I86" s="190">
        <f t="shared" si="14"/>
        <v>0</v>
      </c>
      <c r="J86" s="113"/>
      <c r="K86" s="113"/>
      <c r="L86" s="112"/>
      <c r="M86" s="193"/>
      <c r="N86" s="193"/>
      <c r="O86" s="193">
        <f t="shared" si="15"/>
        <v>1</v>
      </c>
      <c r="P86" s="186"/>
      <c r="Q86" s="193">
        <f t="shared" si="16"/>
        <v>1</v>
      </c>
      <c r="CR86" s="182">
        <f t="shared" si="17"/>
        <v>0</v>
      </c>
    </row>
    <row r="87" spans="1:98" hidden="1">
      <c r="A87" s="122"/>
      <c r="B87" s="124" t="s">
        <v>477</v>
      </c>
      <c r="C87" s="214">
        <v>35000000</v>
      </c>
      <c r="D87" s="214"/>
      <c r="E87" s="112"/>
      <c r="F87" s="112"/>
      <c r="G87" s="112"/>
      <c r="H87" s="112"/>
      <c r="I87" s="190">
        <f t="shared" si="14"/>
        <v>0</v>
      </c>
      <c r="J87" s="113"/>
      <c r="K87" s="113"/>
      <c r="L87" s="112"/>
      <c r="M87" s="193"/>
      <c r="N87" s="193"/>
      <c r="O87" s="193">
        <f t="shared" si="15"/>
        <v>0</v>
      </c>
      <c r="P87" s="186"/>
      <c r="Q87" s="193">
        <f t="shared" si="16"/>
        <v>0</v>
      </c>
      <c r="CR87" s="182">
        <f t="shared" si="17"/>
        <v>0</v>
      </c>
    </row>
    <row r="88" spans="1:98" ht="31.5">
      <c r="A88" s="107" t="s">
        <v>728</v>
      </c>
      <c r="B88" s="60" t="s">
        <v>478</v>
      </c>
      <c r="C88" s="112">
        <v>20000000</v>
      </c>
      <c r="D88" s="112"/>
      <c r="E88" s="112"/>
      <c r="F88" s="112"/>
      <c r="G88" s="112"/>
      <c r="H88" s="112">
        <v>20000000</v>
      </c>
      <c r="I88" s="190">
        <f t="shared" si="14"/>
        <v>0</v>
      </c>
      <c r="J88" s="113"/>
      <c r="K88" s="113"/>
      <c r="L88" s="112"/>
      <c r="M88" s="193"/>
      <c r="N88" s="193"/>
      <c r="O88" s="193">
        <f t="shared" si="15"/>
        <v>1</v>
      </c>
      <c r="P88" s="186"/>
      <c r="Q88" s="193">
        <f t="shared" si="16"/>
        <v>1</v>
      </c>
      <c r="CR88" s="182">
        <f t="shared" si="17"/>
        <v>0</v>
      </c>
    </row>
    <row r="89" spans="1:98" ht="31.5" hidden="1">
      <c r="A89" s="122"/>
      <c r="B89" s="123" t="s">
        <v>479</v>
      </c>
      <c r="C89" s="214">
        <v>20000000</v>
      </c>
      <c r="D89" s="214"/>
      <c r="E89" s="112"/>
      <c r="F89" s="112"/>
      <c r="G89" s="112"/>
      <c r="H89" s="112"/>
      <c r="I89" s="190"/>
      <c r="J89" s="113"/>
      <c r="K89" s="113"/>
      <c r="L89" s="112"/>
      <c r="M89" s="184" t="e">
        <f>F89/T89</f>
        <v>#DIV/0!</v>
      </c>
      <c r="N89" s="184"/>
      <c r="O89" s="186">
        <f>G89/C89</f>
        <v>0</v>
      </c>
      <c r="P89" s="186"/>
      <c r="Q89" s="186">
        <f t="shared" si="16"/>
        <v>0</v>
      </c>
    </row>
    <row r="90" spans="1:98" s="105" customFormat="1" hidden="1">
      <c r="A90" s="110">
        <v>3</v>
      </c>
      <c r="B90" s="111" t="s">
        <v>473</v>
      </c>
      <c r="C90" s="111"/>
      <c r="D90" s="111"/>
      <c r="E90" s="184"/>
      <c r="F90" s="184"/>
      <c r="G90" s="184"/>
      <c r="H90" s="184"/>
      <c r="I90" s="185"/>
      <c r="J90" s="111"/>
      <c r="K90" s="111"/>
      <c r="L90" s="184"/>
      <c r="M90" s="184"/>
      <c r="N90" s="184"/>
      <c r="O90" s="186" t="e">
        <f>G90/C90</f>
        <v>#DIV/0!</v>
      </c>
      <c r="P90" s="186"/>
      <c r="Q90" s="184"/>
      <c r="T90" s="187"/>
      <c r="U90" s="187"/>
      <c r="CQ90" s="187"/>
      <c r="CT90" s="187"/>
    </row>
    <row r="91" spans="1:98">
      <c r="A91" s="110">
        <v>3</v>
      </c>
      <c r="B91" s="111" t="s">
        <v>480</v>
      </c>
      <c r="C91" s="111"/>
      <c r="D91" s="111"/>
      <c r="E91" s="111"/>
      <c r="F91" s="111"/>
      <c r="G91" s="111"/>
      <c r="H91" s="184">
        <v>3820000000</v>
      </c>
      <c r="I91" s="111"/>
      <c r="J91" s="113"/>
      <c r="K91" s="113"/>
      <c r="L91" s="113"/>
      <c r="M91" s="113"/>
      <c r="N91" s="113"/>
      <c r="O91" s="113"/>
      <c r="Q91" s="104"/>
    </row>
    <row r="95" spans="1:98">
      <c r="C95" s="183"/>
    </row>
  </sheetData>
  <mergeCells count="4">
    <mergeCell ref="A1:Q1"/>
    <mergeCell ref="A2:Q2"/>
    <mergeCell ref="A3:Q3"/>
    <mergeCell ref="A4:Q4"/>
  </mergeCells>
  <phoneticPr fontId="13" type="noConversion"/>
  <pageMargins left="0.8" right="0.51" top="0.54" bottom="0.51" header="0.5" footer="0.5"/>
  <pageSetup paperSize="9" scale="7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46"/>
  <sheetViews>
    <sheetView view="pageBreakPreview" topLeftCell="J19" zoomScaleNormal="85" workbookViewId="0">
      <selection activeCell="AG7" sqref="AG7"/>
    </sheetView>
  </sheetViews>
  <sheetFormatPr defaultRowHeight="15.75"/>
  <cols>
    <col min="1" max="1" width="5.5703125" style="847" customWidth="1"/>
    <col min="2" max="2" width="44.140625" style="847" customWidth="1"/>
    <col min="3" max="3" width="10.140625" style="895" customWidth="1"/>
    <col min="4" max="4" width="8.85546875" style="895" customWidth="1"/>
    <col min="5" max="5" width="8.140625" style="895" customWidth="1"/>
    <col min="6" max="6" width="12.28515625" style="895" customWidth="1"/>
    <col min="7" max="7" width="10.85546875" style="847" customWidth="1"/>
    <col min="8" max="10" width="10.42578125" style="847" customWidth="1"/>
    <col min="11" max="11" width="12.140625" style="847" bestFit="1" customWidth="1"/>
    <col min="12" max="12" width="10.140625" style="847" customWidth="1"/>
    <col min="13" max="13" width="10.85546875" style="847" customWidth="1"/>
    <col min="14" max="14" width="10.42578125" style="847" customWidth="1"/>
    <col min="15" max="15" width="11" style="847" customWidth="1"/>
    <col min="16" max="16" width="10" style="847" customWidth="1"/>
    <col min="17" max="17" width="11" style="847" customWidth="1"/>
    <col min="18" max="18" width="10.85546875" style="847" customWidth="1"/>
    <col min="19" max="19" width="8.85546875" style="847" customWidth="1"/>
    <col min="20" max="20" width="10.42578125" style="847" customWidth="1"/>
    <col min="21" max="21" width="9.5703125" style="847" customWidth="1"/>
    <col min="22" max="22" width="10" style="896" customWidth="1"/>
    <col min="23" max="23" width="10.28515625" style="896" customWidth="1"/>
    <col min="24" max="24" width="10" style="896" customWidth="1"/>
    <col min="25" max="25" width="7.85546875" style="847" customWidth="1"/>
    <col min="26" max="32" width="0" style="844" hidden="1" customWidth="1"/>
    <col min="33" max="16384" width="9.140625" style="847"/>
  </cols>
  <sheetData>
    <row r="1" spans="1:32" s="843" customFormat="1">
      <c r="A1" s="1346" t="s">
        <v>184</v>
      </c>
      <c r="B1" s="1346"/>
      <c r="C1" s="1346"/>
      <c r="D1" s="1346"/>
      <c r="E1" s="1346"/>
      <c r="F1" s="1346"/>
      <c r="G1" s="1346"/>
      <c r="H1" s="1346"/>
      <c r="I1" s="1346"/>
      <c r="J1" s="1346"/>
      <c r="K1" s="1346"/>
      <c r="L1" s="1346"/>
      <c r="M1" s="1346"/>
      <c r="N1" s="1346"/>
      <c r="O1" s="1346"/>
      <c r="P1" s="1346"/>
      <c r="Q1" s="1346"/>
      <c r="R1" s="1346"/>
      <c r="S1" s="1346"/>
      <c r="T1" s="1346"/>
      <c r="U1" s="1346"/>
      <c r="V1" s="1346"/>
      <c r="W1" s="1346"/>
      <c r="X1" s="1346"/>
      <c r="Y1" s="1346"/>
      <c r="AA1" s="844"/>
      <c r="AB1" s="844"/>
      <c r="AC1" s="844"/>
      <c r="AD1" s="844"/>
      <c r="AE1" s="844"/>
      <c r="AF1" s="844"/>
    </row>
    <row r="2" spans="1:32" s="843" customFormat="1" ht="15.75" customHeight="1">
      <c r="A2" s="1347" t="s">
        <v>1072</v>
      </c>
      <c r="B2" s="1347"/>
      <c r="C2" s="1347"/>
      <c r="D2" s="1347"/>
      <c r="E2" s="1347"/>
      <c r="F2" s="1347"/>
      <c r="G2" s="1347"/>
      <c r="H2" s="1347"/>
      <c r="I2" s="1347"/>
      <c r="J2" s="1347"/>
      <c r="K2" s="1347"/>
      <c r="L2" s="1347"/>
      <c r="M2" s="1347"/>
      <c r="N2" s="1347"/>
      <c r="O2" s="1347"/>
      <c r="P2" s="1347"/>
      <c r="Q2" s="1347"/>
      <c r="R2" s="1347"/>
      <c r="S2" s="1347"/>
      <c r="T2" s="1347"/>
      <c r="U2" s="1347"/>
      <c r="V2" s="1347"/>
      <c r="W2" s="1347"/>
      <c r="X2" s="1347"/>
      <c r="Y2" s="1347"/>
      <c r="Z2" s="1347"/>
      <c r="AA2" s="844"/>
      <c r="AB2" s="844"/>
      <c r="AC2" s="844"/>
      <c r="AD2" s="844"/>
      <c r="AE2" s="844"/>
      <c r="AF2" s="844"/>
    </row>
    <row r="3" spans="1:32" s="843" customFormat="1" ht="15.75" customHeight="1">
      <c r="A3" s="1348" t="s">
        <v>1252</v>
      </c>
      <c r="B3" s="1348"/>
      <c r="C3" s="1348"/>
      <c r="D3" s="1348"/>
      <c r="E3" s="1348"/>
      <c r="F3" s="1348"/>
      <c r="G3" s="1348"/>
      <c r="H3" s="1348"/>
      <c r="I3" s="1348"/>
      <c r="J3" s="1348"/>
      <c r="K3" s="1348"/>
      <c r="L3" s="1348"/>
      <c r="M3" s="1348"/>
      <c r="N3" s="1348"/>
      <c r="O3" s="1348"/>
      <c r="P3" s="1348"/>
      <c r="Q3" s="1348"/>
      <c r="R3" s="1348"/>
      <c r="S3" s="1348"/>
      <c r="T3" s="1348"/>
      <c r="U3" s="1348"/>
      <c r="V3" s="1348"/>
      <c r="W3" s="1348"/>
      <c r="X3" s="1348"/>
      <c r="Y3" s="1348"/>
      <c r="AA3" s="844"/>
      <c r="AB3" s="844"/>
      <c r="AC3" s="844"/>
      <c r="AD3" s="844"/>
      <c r="AE3" s="844"/>
      <c r="AF3" s="844"/>
    </row>
    <row r="4" spans="1:32" ht="15.75" customHeight="1">
      <c r="A4" s="845"/>
      <c r="B4" s="845"/>
      <c r="C4" s="845"/>
      <c r="D4" s="845"/>
      <c r="E4" s="845"/>
      <c r="F4" s="845"/>
      <c r="G4" s="845"/>
      <c r="H4" s="845"/>
      <c r="I4" s="845"/>
      <c r="J4" s="845"/>
      <c r="K4" s="845"/>
      <c r="L4" s="845"/>
      <c r="M4" s="845"/>
      <c r="N4" s="845"/>
      <c r="O4" s="845"/>
      <c r="P4" s="845"/>
      <c r="Q4" s="845"/>
      <c r="R4" s="845"/>
      <c r="S4" s="845"/>
      <c r="T4" s="845"/>
      <c r="U4" s="845"/>
      <c r="V4" s="846"/>
      <c r="W4" s="1349" t="s">
        <v>395</v>
      </c>
      <c r="X4" s="1349"/>
      <c r="Y4" s="1349"/>
    </row>
    <row r="5" spans="1:32" ht="50.25" customHeight="1">
      <c r="A5" s="1350" t="s">
        <v>214</v>
      </c>
      <c r="B5" s="1354" t="s">
        <v>750</v>
      </c>
      <c r="C5" s="1351" t="s">
        <v>751</v>
      </c>
      <c r="D5" s="1351" t="s">
        <v>752</v>
      </c>
      <c r="E5" s="1351" t="s">
        <v>396</v>
      </c>
      <c r="F5" s="1359" t="s">
        <v>185</v>
      </c>
      <c r="G5" s="1359"/>
      <c r="H5" s="1359"/>
      <c r="I5" s="1343" t="s">
        <v>1078</v>
      </c>
      <c r="J5" s="1345"/>
      <c r="K5" s="1343" t="s">
        <v>606</v>
      </c>
      <c r="L5" s="1344"/>
      <c r="M5" s="1344"/>
      <c r="N5" s="1344"/>
      <c r="O5" s="1344"/>
      <c r="P5" s="1344"/>
      <c r="Q5" s="1355" t="s">
        <v>1074</v>
      </c>
      <c r="R5" s="1356"/>
      <c r="S5" s="1343" t="s">
        <v>1075</v>
      </c>
      <c r="T5" s="1344"/>
      <c r="U5" s="1345"/>
      <c r="V5" s="1343" t="s">
        <v>1076</v>
      </c>
      <c r="W5" s="1344"/>
      <c r="X5" s="1345"/>
      <c r="Y5" s="1354" t="s">
        <v>753</v>
      </c>
      <c r="AA5" s="848"/>
    </row>
    <row r="6" spans="1:32" ht="49.5" customHeight="1">
      <c r="A6" s="1350"/>
      <c r="B6" s="1354"/>
      <c r="C6" s="1351"/>
      <c r="D6" s="1351"/>
      <c r="E6" s="1351"/>
      <c r="F6" s="1351" t="s">
        <v>397</v>
      </c>
      <c r="G6" s="1351" t="s">
        <v>398</v>
      </c>
      <c r="H6" s="1351"/>
      <c r="I6" s="1352" t="s">
        <v>399</v>
      </c>
      <c r="J6" s="1352" t="s">
        <v>186</v>
      </c>
      <c r="K6" s="1351" t="s">
        <v>1073</v>
      </c>
      <c r="L6" s="1351"/>
      <c r="M6" s="1351" t="s">
        <v>1253</v>
      </c>
      <c r="N6" s="1351"/>
      <c r="O6" s="1351" t="s">
        <v>1079</v>
      </c>
      <c r="P6" s="1351"/>
      <c r="Q6" s="1357"/>
      <c r="R6" s="1358"/>
      <c r="S6" s="1339" t="s">
        <v>754</v>
      </c>
      <c r="T6" s="1341" t="s">
        <v>186</v>
      </c>
      <c r="U6" s="1342"/>
      <c r="V6" s="1339" t="s">
        <v>401</v>
      </c>
      <c r="W6" s="1341" t="s">
        <v>186</v>
      </c>
      <c r="X6" s="1342"/>
      <c r="Y6" s="1354"/>
      <c r="AA6" s="848"/>
    </row>
    <row r="7" spans="1:32" ht="81" customHeight="1">
      <c r="A7" s="1350"/>
      <c r="B7" s="1354"/>
      <c r="C7" s="1351"/>
      <c r="D7" s="1351"/>
      <c r="E7" s="1351"/>
      <c r="F7" s="1351"/>
      <c r="G7" s="849" t="s">
        <v>401</v>
      </c>
      <c r="H7" s="850" t="s">
        <v>186</v>
      </c>
      <c r="I7" s="1353"/>
      <c r="J7" s="1353"/>
      <c r="K7" s="849" t="s">
        <v>401</v>
      </c>
      <c r="L7" s="850" t="s">
        <v>186</v>
      </c>
      <c r="M7" s="849" t="s">
        <v>401</v>
      </c>
      <c r="N7" s="850" t="s">
        <v>186</v>
      </c>
      <c r="O7" s="849" t="s">
        <v>401</v>
      </c>
      <c r="P7" s="850" t="s">
        <v>186</v>
      </c>
      <c r="Q7" s="849" t="s">
        <v>401</v>
      </c>
      <c r="R7" s="850" t="s">
        <v>186</v>
      </c>
      <c r="S7" s="1340"/>
      <c r="T7" s="851" t="s">
        <v>187</v>
      </c>
      <c r="U7" s="851" t="s">
        <v>400</v>
      </c>
      <c r="V7" s="1340"/>
      <c r="W7" s="851" t="s">
        <v>187</v>
      </c>
      <c r="X7" s="851" t="s">
        <v>400</v>
      </c>
      <c r="Y7" s="1354"/>
    </row>
    <row r="8" spans="1:32" s="861" customFormat="1" ht="30" customHeight="1">
      <c r="A8" s="852"/>
      <c r="B8" s="853" t="s">
        <v>183</v>
      </c>
      <c r="C8" s="854"/>
      <c r="D8" s="855"/>
      <c r="E8" s="856"/>
      <c r="F8" s="857"/>
      <c r="G8" s="858">
        <f>SUM(G9:G46)</f>
        <v>97655.666398000001</v>
      </c>
      <c r="H8" s="858">
        <f t="shared" ref="H8:X8" si="0">SUM(H9:H46)</f>
        <v>97655.666398000001</v>
      </c>
      <c r="I8" s="858">
        <f t="shared" si="0"/>
        <v>13545.166397999999</v>
      </c>
      <c r="J8" s="858">
        <f t="shared" si="0"/>
        <v>13545.166397999999</v>
      </c>
      <c r="K8" s="858">
        <f t="shared" si="0"/>
        <v>38810.939999999995</v>
      </c>
      <c r="L8" s="858">
        <f t="shared" si="0"/>
        <v>38810.939999999995</v>
      </c>
      <c r="M8" s="858">
        <f t="shared" si="0"/>
        <v>5435.5633269999998</v>
      </c>
      <c r="N8" s="858">
        <f t="shared" si="0"/>
        <v>5435.5633269999998</v>
      </c>
      <c r="O8" s="858">
        <f t="shared" si="0"/>
        <v>17358.343999999997</v>
      </c>
      <c r="P8" s="858">
        <f t="shared" si="0"/>
        <v>17358.343999999997</v>
      </c>
      <c r="Q8" s="858">
        <f t="shared" si="0"/>
        <v>77227.110710999987</v>
      </c>
      <c r="R8" s="858">
        <f t="shared" si="0"/>
        <v>77227.110710999987</v>
      </c>
      <c r="S8" s="858">
        <f t="shared" si="0"/>
        <v>0</v>
      </c>
      <c r="T8" s="858">
        <f t="shared" si="0"/>
        <v>0</v>
      </c>
      <c r="U8" s="858">
        <f t="shared" si="0"/>
        <v>0</v>
      </c>
      <c r="V8" s="858">
        <f t="shared" si="0"/>
        <v>20645.844289000001</v>
      </c>
      <c r="W8" s="858">
        <f t="shared" si="0"/>
        <v>0</v>
      </c>
      <c r="X8" s="858">
        <f t="shared" si="0"/>
        <v>20645.844289000001</v>
      </c>
      <c r="Y8" s="859"/>
      <c r="Z8" s="860"/>
      <c r="AA8" s="860"/>
      <c r="AB8" s="860"/>
      <c r="AC8" s="860"/>
      <c r="AD8" s="860"/>
      <c r="AE8" s="860"/>
      <c r="AF8" s="860"/>
    </row>
    <row r="9" spans="1:32" s="861" customFormat="1" ht="31.5">
      <c r="A9" s="591">
        <v>1</v>
      </c>
      <c r="B9" s="862" t="s">
        <v>1254</v>
      </c>
      <c r="C9" s="863" t="s">
        <v>441</v>
      </c>
      <c r="D9" s="864" t="s">
        <v>1255</v>
      </c>
      <c r="E9" s="856"/>
      <c r="F9" s="865" t="s">
        <v>1256</v>
      </c>
      <c r="G9" s="866">
        <v>3500</v>
      </c>
      <c r="H9" s="866">
        <v>3500</v>
      </c>
      <c r="I9" s="858"/>
      <c r="J9" s="858"/>
      <c r="K9" s="858"/>
      <c r="L9" s="858"/>
      <c r="M9" s="858"/>
      <c r="N9" s="858"/>
      <c r="O9" s="858"/>
      <c r="P9" s="858"/>
      <c r="Q9" s="867">
        <v>2600</v>
      </c>
      <c r="R9" s="867">
        <v>2600</v>
      </c>
      <c r="S9" s="859"/>
      <c r="T9" s="859"/>
      <c r="U9" s="859"/>
      <c r="V9" s="867">
        <v>1900</v>
      </c>
      <c r="W9" s="858"/>
      <c r="X9" s="867">
        <v>1900</v>
      </c>
      <c r="Y9" s="859"/>
      <c r="Z9" s="860"/>
      <c r="AA9" s="860"/>
      <c r="AB9" s="860"/>
      <c r="AC9" s="860"/>
      <c r="AD9" s="860"/>
      <c r="AE9" s="860"/>
      <c r="AF9" s="860"/>
    </row>
    <row r="10" spans="1:32" s="861" customFormat="1" ht="47.25">
      <c r="A10" s="591">
        <v>2</v>
      </c>
      <c r="B10" s="862" t="s">
        <v>1257</v>
      </c>
      <c r="C10" s="863" t="s">
        <v>123</v>
      </c>
      <c r="D10" s="868" t="s">
        <v>440</v>
      </c>
      <c r="E10" s="856"/>
      <c r="F10" s="863" t="s">
        <v>1258</v>
      </c>
      <c r="G10" s="869">
        <v>1200</v>
      </c>
      <c r="H10" s="869">
        <v>1200</v>
      </c>
      <c r="I10" s="858"/>
      <c r="J10" s="858"/>
      <c r="K10" s="858"/>
      <c r="L10" s="858"/>
      <c r="M10" s="858"/>
      <c r="N10" s="858"/>
      <c r="O10" s="858"/>
      <c r="P10" s="858"/>
      <c r="Q10" s="867">
        <v>1158</v>
      </c>
      <c r="R10" s="867">
        <v>1158</v>
      </c>
      <c r="S10" s="859"/>
      <c r="T10" s="859"/>
      <c r="U10" s="859"/>
      <c r="V10" s="867">
        <v>39</v>
      </c>
      <c r="W10" s="867"/>
      <c r="X10" s="867">
        <v>39</v>
      </c>
      <c r="Y10" s="859"/>
      <c r="Z10" s="860"/>
      <c r="AA10" s="860"/>
      <c r="AB10" s="860"/>
      <c r="AC10" s="860"/>
      <c r="AD10" s="860"/>
      <c r="AE10" s="860"/>
      <c r="AF10" s="860"/>
    </row>
    <row r="11" spans="1:32" s="875" customFormat="1" ht="31.5">
      <c r="A11" s="591">
        <v>3</v>
      </c>
      <c r="B11" s="862" t="s">
        <v>537</v>
      </c>
      <c r="C11" s="870" t="s">
        <v>404</v>
      </c>
      <c r="D11" s="870" t="s">
        <v>442</v>
      </c>
      <c r="E11" s="870"/>
      <c r="F11" s="863" t="s">
        <v>1259</v>
      </c>
      <c r="G11" s="866">
        <v>7000</v>
      </c>
      <c r="H11" s="866">
        <v>7000</v>
      </c>
      <c r="I11" s="871">
        <v>2575</v>
      </c>
      <c r="J11" s="871">
        <v>2575</v>
      </c>
      <c r="K11" s="872">
        <v>3979</v>
      </c>
      <c r="L11" s="872">
        <v>3979</v>
      </c>
      <c r="M11" s="871"/>
      <c r="N11" s="871"/>
      <c r="O11" s="873">
        <v>1006</v>
      </c>
      <c r="P11" s="873">
        <v>1006</v>
      </c>
      <c r="Q11" s="874">
        <v>6979</v>
      </c>
      <c r="R11" s="874">
        <v>6979</v>
      </c>
      <c r="S11" s="874"/>
      <c r="T11" s="871"/>
      <c r="U11" s="874"/>
      <c r="V11" s="874"/>
      <c r="W11" s="874"/>
      <c r="X11" s="874"/>
      <c r="Y11" s="871"/>
      <c r="Z11" s="860"/>
      <c r="AA11" s="860"/>
      <c r="AB11" s="860"/>
      <c r="AC11" s="860"/>
      <c r="AD11" s="860"/>
      <c r="AE11" s="860"/>
      <c r="AF11" s="860"/>
    </row>
    <row r="12" spans="1:32" s="875" customFormat="1" ht="31.5">
      <c r="A12" s="591">
        <v>4</v>
      </c>
      <c r="B12" s="862" t="s">
        <v>190</v>
      </c>
      <c r="C12" s="870" t="s">
        <v>436</v>
      </c>
      <c r="D12" s="870" t="s">
        <v>442</v>
      </c>
      <c r="E12" s="870"/>
      <c r="F12" s="863" t="s">
        <v>1260</v>
      </c>
      <c r="G12" s="866">
        <v>7200</v>
      </c>
      <c r="H12" s="866">
        <v>7200</v>
      </c>
      <c r="I12" s="871">
        <v>2068</v>
      </c>
      <c r="J12" s="871">
        <v>2068</v>
      </c>
      <c r="K12" s="872">
        <v>2809.5</v>
      </c>
      <c r="L12" s="872">
        <v>2809.5</v>
      </c>
      <c r="M12" s="871"/>
      <c r="N12" s="871"/>
      <c r="O12" s="873">
        <v>2288</v>
      </c>
      <c r="P12" s="873">
        <v>2288</v>
      </c>
      <c r="Q12" s="871">
        <v>7166</v>
      </c>
      <c r="R12" s="871">
        <v>7166</v>
      </c>
      <c r="S12" s="874"/>
      <c r="T12" s="871"/>
      <c r="U12" s="874"/>
      <c r="V12" s="874"/>
      <c r="W12" s="874"/>
      <c r="X12" s="874"/>
      <c r="Y12" s="871"/>
      <c r="Z12" s="860"/>
      <c r="AA12" s="860"/>
      <c r="AB12" s="860"/>
      <c r="AC12" s="860"/>
      <c r="AD12" s="860"/>
      <c r="AE12" s="860"/>
      <c r="AF12" s="860"/>
    </row>
    <row r="13" spans="1:32" s="875" customFormat="1" ht="35.25" customHeight="1">
      <c r="A13" s="591">
        <v>5</v>
      </c>
      <c r="B13" s="862" t="s">
        <v>188</v>
      </c>
      <c r="C13" s="870" t="s">
        <v>433</v>
      </c>
      <c r="D13" s="870" t="s">
        <v>442</v>
      </c>
      <c r="E13" s="870"/>
      <c r="F13" s="863" t="s">
        <v>189</v>
      </c>
      <c r="G13" s="866">
        <v>2300</v>
      </c>
      <c r="H13" s="866">
        <v>2300</v>
      </c>
      <c r="I13" s="871"/>
      <c r="J13" s="871"/>
      <c r="K13" s="872">
        <v>299</v>
      </c>
      <c r="L13" s="872">
        <v>299</v>
      </c>
      <c r="M13" s="871"/>
      <c r="N13" s="871"/>
      <c r="O13" s="873">
        <v>196</v>
      </c>
      <c r="P13" s="873">
        <v>196</v>
      </c>
      <c r="Q13" s="871">
        <v>2299</v>
      </c>
      <c r="R13" s="871">
        <v>2299</v>
      </c>
      <c r="S13" s="874"/>
      <c r="T13" s="871"/>
      <c r="U13" s="874"/>
      <c r="V13" s="874"/>
      <c r="W13" s="874"/>
      <c r="X13" s="874"/>
      <c r="Y13" s="871"/>
      <c r="Z13" s="860"/>
      <c r="AA13" s="860"/>
      <c r="AB13" s="860"/>
      <c r="AC13" s="860"/>
      <c r="AD13" s="860"/>
      <c r="AE13" s="860"/>
      <c r="AF13" s="860"/>
    </row>
    <row r="14" spans="1:32" s="875" customFormat="1" ht="31.5">
      <c r="A14" s="591">
        <v>6</v>
      </c>
      <c r="B14" s="862" t="s">
        <v>538</v>
      </c>
      <c r="C14" s="870" t="s">
        <v>404</v>
      </c>
      <c r="D14" s="870" t="s">
        <v>442</v>
      </c>
      <c r="E14" s="870"/>
      <c r="F14" s="863" t="s">
        <v>1261</v>
      </c>
      <c r="G14" s="866">
        <v>4000</v>
      </c>
      <c r="H14" s="866">
        <v>4000</v>
      </c>
      <c r="I14" s="871">
        <v>1525</v>
      </c>
      <c r="J14" s="871">
        <v>1525</v>
      </c>
      <c r="K14" s="872">
        <v>425</v>
      </c>
      <c r="L14" s="872">
        <v>425</v>
      </c>
      <c r="M14" s="866">
        <v>20.220217999999999</v>
      </c>
      <c r="N14" s="866">
        <v>20.220217999999999</v>
      </c>
      <c r="O14" s="871"/>
      <c r="P14" s="871"/>
      <c r="Q14" s="871">
        <v>3925</v>
      </c>
      <c r="R14" s="871">
        <v>3925</v>
      </c>
      <c r="S14" s="874"/>
      <c r="T14" s="871"/>
      <c r="U14" s="874"/>
      <c r="V14" s="874"/>
      <c r="W14" s="874"/>
      <c r="X14" s="874"/>
      <c r="Y14" s="871"/>
      <c r="Z14" s="860"/>
      <c r="AA14" s="860"/>
      <c r="AB14" s="860"/>
      <c r="AC14" s="860"/>
      <c r="AD14" s="860"/>
      <c r="AE14" s="860"/>
      <c r="AF14" s="860"/>
    </row>
    <row r="15" spans="1:32" s="875" customFormat="1" ht="31.5">
      <c r="A15" s="591">
        <v>7</v>
      </c>
      <c r="B15" s="862" t="s">
        <v>541</v>
      </c>
      <c r="C15" s="870" t="s">
        <v>436</v>
      </c>
      <c r="D15" s="870" t="s">
        <v>442</v>
      </c>
      <c r="E15" s="870"/>
      <c r="F15" s="870" t="s">
        <v>1262</v>
      </c>
      <c r="G15" s="866">
        <v>2000</v>
      </c>
      <c r="H15" s="866">
        <v>2000</v>
      </c>
      <c r="I15" s="871">
        <v>1088</v>
      </c>
      <c r="J15" s="871">
        <v>1088</v>
      </c>
      <c r="K15" s="872">
        <v>800</v>
      </c>
      <c r="L15" s="872">
        <v>800</v>
      </c>
      <c r="M15" s="871"/>
      <c r="N15" s="871"/>
      <c r="O15" s="873">
        <v>800</v>
      </c>
      <c r="P15" s="873">
        <v>800</v>
      </c>
      <c r="Q15" s="871">
        <v>1888</v>
      </c>
      <c r="R15" s="871">
        <v>1888</v>
      </c>
      <c r="S15" s="874"/>
      <c r="T15" s="871"/>
      <c r="U15" s="874"/>
      <c r="V15" s="867">
        <v>25</v>
      </c>
      <c r="W15" s="867"/>
      <c r="X15" s="867">
        <v>25</v>
      </c>
      <c r="Y15" s="871"/>
      <c r="Z15" s="860"/>
      <c r="AA15" s="860"/>
      <c r="AB15" s="860"/>
      <c r="AC15" s="860"/>
      <c r="AD15" s="860"/>
      <c r="AE15" s="860"/>
      <c r="AF15" s="860"/>
    </row>
    <row r="16" spans="1:32" s="875" customFormat="1" ht="63">
      <c r="A16" s="591">
        <v>8</v>
      </c>
      <c r="B16" s="876" t="s">
        <v>539</v>
      </c>
      <c r="C16" s="870" t="s">
        <v>441</v>
      </c>
      <c r="D16" s="870" t="s">
        <v>442</v>
      </c>
      <c r="E16" s="870"/>
      <c r="F16" s="870" t="s">
        <v>1263</v>
      </c>
      <c r="G16" s="866">
        <v>1150</v>
      </c>
      <c r="H16" s="866">
        <v>1150</v>
      </c>
      <c r="I16" s="871">
        <v>200</v>
      </c>
      <c r="J16" s="871">
        <v>200</v>
      </c>
      <c r="K16" s="872">
        <v>515.6</v>
      </c>
      <c r="L16" s="872">
        <v>515.6</v>
      </c>
      <c r="M16" s="871"/>
      <c r="N16" s="871"/>
      <c r="O16" s="871"/>
      <c r="P16" s="871"/>
      <c r="Q16" s="874">
        <v>1047</v>
      </c>
      <c r="R16" s="874">
        <v>1047</v>
      </c>
      <c r="S16" s="874"/>
      <c r="T16" s="871"/>
      <c r="U16" s="874"/>
      <c r="V16" s="867">
        <v>31.343</v>
      </c>
      <c r="W16" s="867"/>
      <c r="X16" s="867">
        <v>31.343</v>
      </c>
      <c r="Y16" s="871"/>
      <c r="Z16" s="860"/>
      <c r="AA16" s="860"/>
      <c r="AB16" s="860"/>
      <c r="AC16" s="860"/>
      <c r="AD16" s="860"/>
      <c r="AE16" s="860"/>
      <c r="AF16" s="860"/>
    </row>
    <row r="17" spans="1:32" s="875" customFormat="1" ht="31.5">
      <c r="A17" s="591">
        <v>9</v>
      </c>
      <c r="B17" s="862" t="s">
        <v>540</v>
      </c>
      <c r="C17" s="870" t="s">
        <v>441</v>
      </c>
      <c r="D17" s="870" t="s">
        <v>442</v>
      </c>
      <c r="E17" s="870"/>
      <c r="F17" s="877" t="s">
        <v>1264</v>
      </c>
      <c r="G17" s="866">
        <v>445.4</v>
      </c>
      <c r="H17" s="866">
        <v>445.4</v>
      </c>
      <c r="I17" s="871"/>
      <c r="J17" s="871"/>
      <c r="K17" s="872">
        <v>345.44</v>
      </c>
      <c r="L17" s="872">
        <v>345.44</v>
      </c>
      <c r="M17" s="871"/>
      <c r="N17" s="871"/>
      <c r="O17" s="871"/>
      <c r="P17" s="871"/>
      <c r="Q17" s="874">
        <v>445</v>
      </c>
      <c r="R17" s="874">
        <v>445</v>
      </c>
      <c r="S17" s="874"/>
      <c r="T17" s="871"/>
      <c r="U17" s="874"/>
      <c r="V17" s="874"/>
      <c r="W17" s="874"/>
      <c r="X17" s="874"/>
      <c r="Y17" s="871"/>
      <c r="Z17" s="860"/>
      <c r="AA17" s="860"/>
      <c r="AB17" s="860"/>
      <c r="AC17" s="860"/>
      <c r="AD17" s="860"/>
      <c r="AE17" s="860"/>
      <c r="AF17" s="860"/>
    </row>
    <row r="18" spans="1:32" s="875" customFormat="1" ht="47.25">
      <c r="A18" s="591">
        <v>10</v>
      </c>
      <c r="B18" s="862" t="s">
        <v>550</v>
      </c>
      <c r="C18" s="870" t="s">
        <v>441</v>
      </c>
      <c r="D18" s="870" t="s">
        <v>560</v>
      </c>
      <c r="E18" s="870"/>
      <c r="F18" s="877" t="s">
        <v>1265</v>
      </c>
      <c r="G18" s="872">
        <v>650</v>
      </c>
      <c r="H18" s="872">
        <v>650</v>
      </c>
      <c r="I18" s="871"/>
      <c r="J18" s="871"/>
      <c r="K18" s="866">
        <v>272.39999999999998</v>
      </c>
      <c r="L18" s="866">
        <v>272.39999999999998</v>
      </c>
      <c r="M18" s="871"/>
      <c r="N18" s="871"/>
      <c r="O18" s="871"/>
      <c r="P18" s="871"/>
      <c r="Q18" s="874">
        <v>650</v>
      </c>
      <c r="R18" s="874">
        <v>650</v>
      </c>
      <c r="S18" s="874"/>
      <c r="T18" s="871"/>
      <c r="U18" s="874"/>
      <c r="V18" s="874"/>
      <c r="W18" s="874"/>
      <c r="X18" s="874"/>
      <c r="Y18" s="871"/>
      <c r="Z18" s="860"/>
      <c r="AA18" s="860"/>
      <c r="AB18" s="860"/>
      <c r="AC18" s="860"/>
      <c r="AD18" s="860"/>
      <c r="AE18" s="860"/>
      <c r="AF18" s="860"/>
    </row>
    <row r="19" spans="1:32" s="875" customFormat="1" ht="63">
      <c r="A19" s="591">
        <v>11</v>
      </c>
      <c r="B19" s="862" t="s">
        <v>551</v>
      </c>
      <c r="C19" s="870" t="s">
        <v>441</v>
      </c>
      <c r="D19" s="870" t="s">
        <v>560</v>
      </c>
      <c r="E19" s="870"/>
      <c r="F19" s="877" t="s">
        <v>1266</v>
      </c>
      <c r="G19" s="872">
        <v>850</v>
      </c>
      <c r="H19" s="872">
        <v>850</v>
      </c>
      <c r="I19" s="871"/>
      <c r="J19" s="871"/>
      <c r="K19" s="872">
        <v>510</v>
      </c>
      <c r="L19" s="872">
        <v>510</v>
      </c>
      <c r="M19" s="871"/>
      <c r="N19" s="871"/>
      <c r="O19" s="871"/>
      <c r="P19" s="871"/>
      <c r="Q19" s="874">
        <v>850</v>
      </c>
      <c r="R19" s="874">
        <v>850</v>
      </c>
      <c r="S19" s="874"/>
      <c r="T19" s="871"/>
      <c r="U19" s="874"/>
      <c r="V19" s="874"/>
      <c r="W19" s="874"/>
      <c r="X19" s="874"/>
      <c r="Y19" s="871"/>
      <c r="Z19" s="860"/>
      <c r="AA19" s="860"/>
      <c r="AB19" s="860"/>
      <c r="AC19" s="860"/>
      <c r="AD19" s="860"/>
      <c r="AE19" s="860"/>
      <c r="AF19" s="860"/>
    </row>
    <row r="20" spans="1:32" s="875" customFormat="1" ht="31.5">
      <c r="A20" s="591">
        <v>12</v>
      </c>
      <c r="B20" s="878" t="s">
        <v>1267</v>
      </c>
      <c r="C20" s="870" t="s">
        <v>406</v>
      </c>
      <c r="D20" s="870" t="s">
        <v>442</v>
      </c>
      <c r="E20" s="870"/>
      <c r="F20" s="877" t="s">
        <v>1268</v>
      </c>
      <c r="G20" s="872">
        <v>627</v>
      </c>
      <c r="H20" s="872">
        <v>627</v>
      </c>
      <c r="I20" s="871">
        <v>50</v>
      </c>
      <c r="J20" s="871">
        <v>50</v>
      </c>
      <c r="K20" s="866">
        <f>560+9.612</f>
        <v>569.61199999999997</v>
      </c>
      <c r="L20" s="866">
        <f>560+9.612</f>
        <v>569.61199999999997</v>
      </c>
      <c r="M20" s="871"/>
      <c r="N20" s="871"/>
      <c r="O20" s="871"/>
      <c r="P20" s="871"/>
      <c r="Q20" s="874">
        <f>+K20+50</f>
        <v>619.61199999999997</v>
      </c>
      <c r="R20" s="874">
        <f>+L20+50</f>
        <v>619.61199999999997</v>
      </c>
      <c r="S20" s="874"/>
      <c r="T20" s="871"/>
      <c r="U20" s="874"/>
      <c r="V20" s="874"/>
      <c r="W20" s="874"/>
      <c r="X20" s="874"/>
      <c r="Y20" s="871"/>
      <c r="Z20" s="860"/>
      <c r="AA20" s="860"/>
      <c r="AB20" s="860"/>
      <c r="AC20" s="860"/>
      <c r="AD20" s="860"/>
      <c r="AE20" s="860"/>
      <c r="AF20" s="860"/>
    </row>
    <row r="21" spans="1:32" s="875" customFormat="1" ht="31.5">
      <c r="A21" s="591">
        <v>13</v>
      </c>
      <c r="B21" s="862" t="s">
        <v>542</v>
      </c>
      <c r="C21" s="870" t="s">
        <v>441</v>
      </c>
      <c r="D21" s="870" t="s">
        <v>560</v>
      </c>
      <c r="E21" s="870"/>
      <c r="F21" s="877" t="s">
        <v>1269</v>
      </c>
      <c r="G21" s="872">
        <v>2150</v>
      </c>
      <c r="H21" s="872">
        <v>2150</v>
      </c>
      <c r="I21" s="871"/>
      <c r="J21" s="871"/>
      <c r="K21" s="866"/>
      <c r="L21" s="866"/>
      <c r="M21" s="872">
        <v>500</v>
      </c>
      <c r="N21" s="872">
        <v>500</v>
      </c>
      <c r="O21" s="879">
        <v>500</v>
      </c>
      <c r="P21" s="879">
        <v>500</v>
      </c>
      <c r="Q21" s="874">
        <v>850</v>
      </c>
      <c r="R21" s="874">
        <v>850</v>
      </c>
      <c r="S21" s="874"/>
      <c r="T21" s="871"/>
      <c r="U21" s="874"/>
      <c r="V21" s="874">
        <f>+X21</f>
        <v>1300</v>
      </c>
      <c r="W21" s="874"/>
      <c r="X21" s="874">
        <f>+G21-Q21</f>
        <v>1300</v>
      </c>
      <c r="Y21" s="871"/>
      <c r="Z21" s="860"/>
      <c r="AA21" s="860"/>
      <c r="AB21" s="860"/>
      <c r="AC21" s="860"/>
      <c r="AD21" s="860"/>
      <c r="AE21" s="860"/>
      <c r="AF21" s="860"/>
    </row>
    <row r="22" spans="1:32" s="875" customFormat="1" ht="47.25">
      <c r="A22" s="591">
        <v>14</v>
      </c>
      <c r="B22" s="862" t="s">
        <v>545</v>
      </c>
      <c r="C22" s="870" t="s">
        <v>429</v>
      </c>
      <c r="D22" s="870" t="s">
        <v>560</v>
      </c>
      <c r="E22" s="870"/>
      <c r="F22" s="877" t="s">
        <v>1270</v>
      </c>
      <c r="G22" s="872">
        <v>2990</v>
      </c>
      <c r="H22" s="872">
        <v>2990</v>
      </c>
      <c r="I22" s="871"/>
      <c r="J22" s="871"/>
      <c r="K22" s="872">
        <v>1837</v>
      </c>
      <c r="L22" s="872">
        <v>1837</v>
      </c>
      <c r="M22" s="871"/>
      <c r="N22" s="871"/>
      <c r="O22" s="879">
        <v>1658</v>
      </c>
      <c r="P22" s="879">
        <v>1658</v>
      </c>
      <c r="Q22" s="874">
        <v>2837</v>
      </c>
      <c r="R22" s="874">
        <v>2837</v>
      </c>
      <c r="S22" s="874"/>
      <c r="T22" s="871"/>
      <c r="U22" s="874"/>
      <c r="V22" s="874"/>
      <c r="W22" s="874"/>
      <c r="X22" s="874"/>
      <c r="Y22" s="871"/>
      <c r="Z22" s="860"/>
      <c r="AA22" s="860"/>
      <c r="AB22" s="860"/>
      <c r="AC22" s="860"/>
      <c r="AD22" s="860"/>
      <c r="AE22" s="860"/>
      <c r="AF22" s="860"/>
    </row>
    <row r="23" spans="1:32" s="875" customFormat="1" ht="31.5">
      <c r="A23" s="591">
        <v>15</v>
      </c>
      <c r="B23" s="862" t="s">
        <v>546</v>
      </c>
      <c r="C23" s="870" t="s">
        <v>404</v>
      </c>
      <c r="D23" s="870" t="s">
        <v>560</v>
      </c>
      <c r="E23" s="870"/>
      <c r="F23" s="877" t="s">
        <v>1271</v>
      </c>
      <c r="G23" s="872">
        <v>2985</v>
      </c>
      <c r="H23" s="872">
        <v>2985</v>
      </c>
      <c r="I23" s="871"/>
      <c r="J23" s="871"/>
      <c r="K23" s="872">
        <v>1976</v>
      </c>
      <c r="L23" s="872">
        <v>1976</v>
      </c>
      <c r="M23" s="871"/>
      <c r="N23" s="871"/>
      <c r="O23" s="879">
        <v>1750</v>
      </c>
      <c r="P23" s="879">
        <v>1750</v>
      </c>
      <c r="Q23" s="874">
        <v>2976</v>
      </c>
      <c r="R23" s="874">
        <v>2976</v>
      </c>
      <c r="S23" s="874"/>
      <c r="T23" s="871"/>
      <c r="U23" s="874"/>
      <c r="V23" s="874"/>
      <c r="W23" s="874"/>
      <c r="X23" s="874"/>
      <c r="Y23" s="871"/>
      <c r="Z23" s="860"/>
      <c r="AA23" s="860"/>
      <c r="AB23" s="860"/>
      <c r="AC23" s="860"/>
      <c r="AD23" s="860"/>
      <c r="AE23" s="860"/>
      <c r="AF23" s="860"/>
    </row>
    <row r="24" spans="1:32" s="875" customFormat="1" ht="31.5">
      <c r="A24" s="591">
        <v>16</v>
      </c>
      <c r="B24" s="862" t="s">
        <v>549</v>
      </c>
      <c r="C24" s="870" t="s">
        <v>441</v>
      </c>
      <c r="D24" s="870" t="s">
        <v>560</v>
      </c>
      <c r="E24" s="870"/>
      <c r="F24" s="877" t="s">
        <v>1272</v>
      </c>
      <c r="G24" s="872">
        <v>2950</v>
      </c>
      <c r="H24" s="872">
        <v>2950</v>
      </c>
      <c r="I24" s="871"/>
      <c r="J24" s="871"/>
      <c r="K24" s="872">
        <v>2300</v>
      </c>
      <c r="L24" s="872">
        <v>2300</v>
      </c>
      <c r="M24" s="871"/>
      <c r="N24" s="871"/>
      <c r="O24" s="879">
        <v>1340</v>
      </c>
      <c r="P24" s="879">
        <v>1340</v>
      </c>
      <c r="Q24" s="874">
        <v>2640</v>
      </c>
      <c r="R24" s="874">
        <v>2640</v>
      </c>
      <c r="S24" s="874"/>
      <c r="T24" s="871"/>
      <c r="U24" s="874"/>
      <c r="V24" s="874">
        <f t="shared" ref="V24:V26" si="1">+X24</f>
        <v>310</v>
      </c>
      <c r="W24" s="874"/>
      <c r="X24" s="874">
        <f>+G24-Q24</f>
        <v>310</v>
      </c>
      <c r="Y24" s="871"/>
      <c r="Z24" s="860"/>
      <c r="AA24" s="860"/>
      <c r="AB24" s="860"/>
      <c r="AC24" s="860"/>
      <c r="AD24" s="860"/>
      <c r="AE24" s="860"/>
      <c r="AF24" s="860"/>
    </row>
    <row r="25" spans="1:32" s="875" customFormat="1" ht="31.5">
      <c r="A25" s="591">
        <v>17</v>
      </c>
      <c r="B25" s="862" t="s">
        <v>543</v>
      </c>
      <c r="C25" s="870" t="s">
        <v>429</v>
      </c>
      <c r="D25" s="870" t="s">
        <v>560</v>
      </c>
      <c r="E25" s="870"/>
      <c r="F25" s="877" t="s">
        <v>1273</v>
      </c>
      <c r="G25" s="872">
        <v>2990</v>
      </c>
      <c r="H25" s="872">
        <v>2990</v>
      </c>
      <c r="I25" s="871"/>
      <c r="J25" s="871"/>
      <c r="K25" s="872">
        <v>710</v>
      </c>
      <c r="L25" s="872">
        <v>710</v>
      </c>
      <c r="M25" s="871"/>
      <c r="N25" s="871"/>
      <c r="O25" s="879">
        <v>710</v>
      </c>
      <c r="P25" s="879">
        <v>710</v>
      </c>
      <c r="Q25" s="874">
        <v>710</v>
      </c>
      <c r="R25" s="874">
        <v>710</v>
      </c>
      <c r="S25" s="874"/>
      <c r="T25" s="871"/>
      <c r="U25" s="874"/>
      <c r="V25" s="874">
        <f t="shared" si="1"/>
        <v>2280</v>
      </c>
      <c r="W25" s="874"/>
      <c r="X25" s="874">
        <f t="shared" ref="X25:X27" si="2">+G25-Q25</f>
        <v>2280</v>
      </c>
      <c r="Y25" s="871"/>
      <c r="Z25" s="860"/>
      <c r="AA25" s="860"/>
      <c r="AB25" s="860"/>
      <c r="AC25" s="860"/>
      <c r="AD25" s="860"/>
      <c r="AE25" s="860"/>
      <c r="AF25" s="860"/>
    </row>
    <row r="26" spans="1:32" s="875" customFormat="1" ht="31.5">
      <c r="A26" s="591">
        <v>18</v>
      </c>
      <c r="B26" s="862" t="s">
        <v>544</v>
      </c>
      <c r="C26" s="870" t="s">
        <v>429</v>
      </c>
      <c r="D26" s="870" t="s">
        <v>560</v>
      </c>
      <c r="E26" s="870"/>
      <c r="F26" s="877" t="s">
        <v>1274</v>
      </c>
      <c r="G26" s="872">
        <v>2990</v>
      </c>
      <c r="H26" s="872">
        <v>2990</v>
      </c>
      <c r="I26" s="871"/>
      <c r="J26" s="871"/>
      <c r="K26" s="872">
        <v>362</v>
      </c>
      <c r="L26" s="872">
        <v>362</v>
      </c>
      <c r="M26" s="871"/>
      <c r="N26" s="871"/>
      <c r="O26" s="879">
        <v>362</v>
      </c>
      <c r="P26" s="879">
        <v>362</v>
      </c>
      <c r="Q26" s="874">
        <v>362</v>
      </c>
      <c r="R26" s="874">
        <v>362</v>
      </c>
      <c r="S26" s="874"/>
      <c r="T26" s="871"/>
      <c r="U26" s="874"/>
      <c r="V26" s="874">
        <f t="shared" si="1"/>
        <v>2628</v>
      </c>
      <c r="W26" s="874"/>
      <c r="X26" s="874">
        <f t="shared" si="2"/>
        <v>2628</v>
      </c>
      <c r="Y26" s="871"/>
      <c r="Z26" s="860"/>
      <c r="AA26" s="860"/>
      <c r="AB26" s="860"/>
      <c r="AC26" s="860"/>
      <c r="AD26" s="860"/>
      <c r="AE26" s="860"/>
      <c r="AF26" s="860"/>
    </row>
    <row r="27" spans="1:32" s="875" customFormat="1" ht="31.5">
      <c r="A27" s="591">
        <v>19</v>
      </c>
      <c r="B27" s="862" t="s">
        <v>547</v>
      </c>
      <c r="C27" s="870" t="s">
        <v>406</v>
      </c>
      <c r="D27" s="870" t="s">
        <v>560</v>
      </c>
      <c r="E27" s="870"/>
      <c r="F27" s="877" t="s">
        <v>1275</v>
      </c>
      <c r="G27" s="872">
        <v>2500</v>
      </c>
      <c r="H27" s="872">
        <v>2500</v>
      </c>
      <c r="I27" s="871"/>
      <c r="J27" s="871"/>
      <c r="K27" s="872">
        <v>1000</v>
      </c>
      <c r="L27" s="872">
        <v>1000</v>
      </c>
      <c r="M27" s="871"/>
      <c r="N27" s="871"/>
      <c r="O27" s="879">
        <v>1000</v>
      </c>
      <c r="P27" s="879">
        <v>1000</v>
      </c>
      <c r="Q27" s="874">
        <v>1000</v>
      </c>
      <c r="R27" s="874">
        <v>1000</v>
      </c>
      <c r="S27" s="874"/>
      <c r="T27" s="871"/>
      <c r="U27" s="874"/>
      <c r="V27" s="874">
        <f>+X27</f>
        <v>1500</v>
      </c>
      <c r="W27" s="874"/>
      <c r="X27" s="874">
        <f t="shared" si="2"/>
        <v>1500</v>
      </c>
      <c r="Y27" s="871"/>
      <c r="Z27" s="860"/>
      <c r="AA27" s="860"/>
      <c r="AB27" s="860"/>
      <c r="AC27" s="860"/>
      <c r="AD27" s="860"/>
      <c r="AE27" s="860"/>
      <c r="AF27" s="860"/>
    </row>
    <row r="28" spans="1:32" s="875" customFormat="1" ht="31.5">
      <c r="A28" s="591">
        <v>20</v>
      </c>
      <c r="B28" s="862" t="s">
        <v>548</v>
      </c>
      <c r="C28" s="870" t="s">
        <v>441</v>
      </c>
      <c r="D28" s="870" t="s">
        <v>560</v>
      </c>
      <c r="E28" s="880"/>
      <c r="F28" s="877" t="s">
        <v>1276</v>
      </c>
      <c r="G28" s="872">
        <v>610</v>
      </c>
      <c r="H28" s="872">
        <v>610</v>
      </c>
      <c r="I28" s="871"/>
      <c r="J28" s="871"/>
      <c r="K28" s="872">
        <v>440</v>
      </c>
      <c r="L28" s="872">
        <v>440</v>
      </c>
      <c r="M28" s="871"/>
      <c r="N28" s="871"/>
      <c r="O28" s="879">
        <v>440</v>
      </c>
      <c r="P28" s="879">
        <v>440</v>
      </c>
      <c r="Q28" s="871">
        <v>440</v>
      </c>
      <c r="R28" s="871">
        <v>440</v>
      </c>
      <c r="S28" s="871"/>
      <c r="T28" s="871"/>
      <c r="U28" s="871"/>
      <c r="V28" s="871">
        <f>+X28</f>
        <v>134</v>
      </c>
      <c r="W28" s="871"/>
      <c r="X28" s="871">
        <v>134</v>
      </c>
      <c r="Y28" s="859"/>
      <c r="Z28" s="881"/>
      <c r="AA28" s="881"/>
      <c r="AB28" s="881"/>
      <c r="AC28" s="881"/>
      <c r="AD28" s="881"/>
      <c r="AE28" s="881"/>
      <c r="AF28" s="881"/>
    </row>
    <row r="29" spans="1:32" s="875" customFormat="1" ht="31.5">
      <c r="A29" s="591">
        <v>21</v>
      </c>
      <c r="B29" s="862" t="s">
        <v>1277</v>
      </c>
      <c r="C29" s="870" t="s">
        <v>441</v>
      </c>
      <c r="D29" s="870" t="s">
        <v>560</v>
      </c>
      <c r="E29" s="870"/>
      <c r="F29" s="877" t="s">
        <v>1278</v>
      </c>
      <c r="G29" s="882">
        <v>2990</v>
      </c>
      <c r="H29" s="882">
        <v>2990</v>
      </c>
      <c r="I29" s="871"/>
      <c r="J29" s="871"/>
      <c r="K29" s="872">
        <v>2990</v>
      </c>
      <c r="L29" s="872">
        <v>2990</v>
      </c>
      <c r="M29" s="871"/>
      <c r="N29" s="871"/>
      <c r="O29" s="873">
        <v>1000</v>
      </c>
      <c r="P29" s="873">
        <v>1000</v>
      </c>
      <c r="Q29" s="871">
        <v>2990</v>
      </c>
      <c r="R29" s="871">
        <v>2990</v>
      </c>
      <c r="S29" s="871"/>
      <c r="T29" s="871"/>
      <c r="U29" s="874"/>
      <c r="V29" s="874"/>
      <c r="W29" s="874"/>
      <c r="X29" s="874"/>
      <c r="Y29" s="871"/>
      <c r="Z29" s="860"/>
      <c r="AA29" s="860"/>
      <c r="AB29" s="860"/>
      <c r="AC29" s="860"/>
      <c r="AD29" s="860"/>
      <c r="AE29" s="860"/>
      <c r="AF29" s="860"/>
    </row>
    <row r="30" spans="1:32" s="875" customFormat="1" ht="32.25" customHeight="1">
      <c r="A30" s="591">
        <v>22</v>
      </c>
      <c r="B30" s="862" t="s">
        <v>1279</v>
      </c>
      <c r="C30" s="870" t="s">
        <v>441</v>
      </c>
      <c r="D30" s="870" t="s">
        <v>560</v>
      </c>
      <c r="E30" s="870"/>
      <c r="F30" s="877" t="s">
        <v>1280</v>
      </c>
      <c r="G30" s="882">
        <v>2990</v>
      </c>
      <c r="H30" s="882">
        <v>2990</v>
      </c>
      <c r="I30" s="871"/>
      <c r="J30" s="871"/>
      <c r="K30" s="872">
        <v>2990</v>
      </c>
      <c r="L30" s="872">
        <v>2990</v>
      </c>
      <c r="M30" s="871"/>
      <c r="N30" s="871"/>
      <c r="O30" s="873">
        <v>1000</v>
      </c>
      <c r="P30" s="873">
        <v>1000</v>
      </c>
      <c r="Q30" s="871">
        <v>2990</v>
      </c>
      <c r="R30" s="871">
        <v>2990</v>
      </c>
      <c r="S30" s="871"/>
      <c r="T30" s="871"/>
      <c r="U30" s="874"/>
      <c r="V30" s="874"/>
      <c r="W30" s="874"/>
      <c r="X30" s="874"/>
      <c r="Y30" s="871"/>
      <c r="Z30" s="860"/>
      <c r="AA30" s="860"/>
      <c r="AB30" s="860"/>
      <c r="AC30" s="860"/>
      <c r="AD30" s="860"/>
      <c r="AE30" s="860"/>
      <c r="AF30" s="860"/>
    </row>
    <row r="31" spans="1:32" s="875" customFormat="1" ht="36.75" customHeight="1">
      <c r="A31" s="591">
        <v>23</v>
      </c>
      <c r="B31" s="862" t="s">
        <v>1281</v>
      </c>
      <c r="C31" s="870" t="s">
        <v>441</v>
      </c>
      <c r="D31" s="870" t="s">
        <v>560</v>
      </c>
      <c r="E31" s="870"/>
      <c r="F31" s="877" t="s">
        <v>1282</v>
      </c>
      <c r="G31" s="882">
        <v>2990</v>
      </c>
      <c r="H31" s="882">
        <v>2990</v>
      </c>
      <c r="I31" s="871"/>
      <c r="J31" s="871"/>
      <c r="K31" s="872">
        <v>2000</v>
      </c>
      <c r="L31" s="872">
        <v>2000</v>
      </c>
      <c r="M31" s="871"/>
      <c r="N31" s="871"/>
      <c r="O31" s="873">
        <v>1000</v>
      </c>
      <c r="P31" s="873">
        <v>1000</v>
      </c>
      <c r="Q31" s="871">
        <v>2000</v>
      </c>
      <c r="R31" s="871">
        <v>2000</v>
      </c>
      <c r="S31" s="874"/>
      <c r="T31" s="871"/>
      <c r="U31" s="874"/>
      <c r="V31" s="874">
        <f t="shared" ref="V31:V32" si="3">+X31</f>
        <v>990</v>
      </c>
      <c r="W31" s="874"/>
      <c r="X31" s="874">
        <f t="shared" ref="X31:X33" si="4">+G31-Q31</f>
        <v>990</v>
      </c>
      <c r="Y31" s="871"/>
      <c r="Z31" s="860"/>
      <c r="AA31" s="860"/>
      <c r="AB31" s="860"/>
      <c r="AC31" s="860"/>
      <c r="AD31" s="860"/>
      <c r="AE31" s="860"/>
      <c r="AF31" s="860"/>
    </row>
    <row r="32" spans="1:32" s="875" customFormat="1" ht="34.5" customHeight="1">
      <c r="A32" s="591">
        <v>24</v>
      </c>
      <c r="B32" s="862" t="s">
        <v>1283</v>
      </c>
      <c r="C32" s="870" t="s">
        <v>433</v>
      </c>
      <c r="D32" s="870" t="s">
        <v>560</v>
      </c>
      <c r="E32" s="870"/>
      <c r="F32" s="877" t="s">
        <v>1284</v>
      </c>
      <c r="G32" s="882">
        <v>2990</v>
      </c>
      <c r="H32" s="882">
        <v>2990</v>
      </c>
      <c r="I32" s="871"/>
      <c r="J32" s="871"/>
      <c r="K32" s="872">
        <v>1350</v>
      </c>
      <c r="L32" s="872">
        <v>1350</v>
      </c>
      <c r="M32" s="871"/>
      <c r="N32" s="871"/>
      <c r="O32" s="873">
        <v>1000</v>
      </c>
      <c r="P32" s="873">
        <v>1000</v>
      </c>
      <c r="Q32" s="871">
        <v>1350</v>
      </c>
      <c r="R32" s="871">
        <v>1350</v>
      </c>
      <c r="S32" s="874"/>
      <c r="T32" s="871"/>
      <c r="U32" s="874"/>
      <c r="V32" s="874">
        <f t="shared" si="3"/>
        <v>1640</v>
      </c>
      <c r="W32" s="874"/>
      <c r="X32" s="874">
        <f t="shared" si="4"/>
        <v>1640</v>
      </c>
      <c r="Y32" s="871"/>
      <c r="Z32" s="860"/>
      <c r="AA32" s="860"/>
      <c r="AB32" s="860"/>
      <c r="AC32" s="860"/>
      <c r="AD32" s="860"/>
      <c r="AE32" s="860"/>
      <c r="AF32" s="860"/>
    </row>
    <row r="33" spans="1:32" s="875" customFormat="1" ht="31.5">
      <c r="A33" s="591">
        <v>25</v>
      </c>
      <c r="B33" s="862" t="s">
        <v>1285</v>
      </c>
      <c r="C33" s="870" t="s">
        <v>422</v>
      </c>
      <c r="D33" s="870" t="s">
        <v>560</v>
      </c>
      <c r="E33" s="870"/>
      <c r="F33" s="877" t="s">
        <v>1286</v>
      </c>
      <c r="G33" s="882">
        <v>2990</v>
      </c>
      <c r="H33" s="882">
        <v>2990</v>
      </c>
      <c r="I33" s="871"/>
      <c r="J33" s="871"/>
      <c r="K33" s="872">
        <v>1350</v>
      </c>
      <c r="L33" s="872">
        <v>1350</v>
      </c>
      <c r="M33" s="871"/>
      <c r="N33" s="871"/>
      <c r="O33" s="871"/>
      <c r="P33" s="871"/>
      <c r="Q33" s="871">
        <v>1350</v>
      </c>
      <c r="R33" s="871">
        <v>1350</v>
      </c>
      <c r="S33" s="874"/>
      <c r="T33" s="871"/>
      <c r="U33" s="874"/>
      <c r="V33" s="874">
        <f>+X33</f>
        <v>1640</v>
      </c>
      <c r="W33" s="874"/>
      <c r="X33" s="874">
        <f t="shared" si="4"/>
        <v>1640</v>
      </c>
      <c r="Y33" s="871"/>
      <c r="Z33" s="860"/>
      <c r="AA33" s="860"/>
      <c r="AB33" s="860"/>
      <c r="AC33" s="860"/>
      <c r="AD33" s="860"/>
      <c r="AE33" s="860"/>
      <c r="AF33" s="860"/>
    </row>
    <row r="34" spans="1:32" ht="47.25">
      <c r="A34" s="591">
        <v>26</v>
      </c>
      <c r="B34" s="878" t="s">
        <v>1287</v>
      </c>
      <c r="C34" s="870" t="s">
        <v>1288</v>
      </c>
      <c r="D34" s="883" t="s">
        <v>1289</v>
      </c>
      <c r="E34" s="884"/>
      <c r="F34" s="877" t="s">
        <v>1290</v>
      </c>
      <c r="G34" s="869">
        <v>907</v>
      </c>
      <c r="H34" s="869">
        <v>907</v>
      </c>
      <c r="I34" s="885">
        <v>647</v>
      </c>
      <c r="J34" s="885">
        <v>647</v>
      </c>
      <c r="K34" s="866">
        <v>261.23</v>
      </c>
      <c r="L34" s="866">
        <v>261.23</v>
      </c>
      <c r="M34" s="885"/>
      <c r="N34" s="885"/>
      <c r="O34" s="885"/>
      <c r="P34" s="885"/>
      <c r="Q34" s="885">
        <v>907</v>
      </c>
      <c r="R34" s="885">
        <v>907</v>
      </c>
      <c r="S34" s="885"/>
      <c r="T34" s="885"/>
      <c r="U34" s="885"/>
      <c r="V34" s="874"/>
      <c r="W34" s="884"/>
      <c r="X34" s="874"/>
      <c r="Y34" s="885"/>
    </row>
    <row r="35" spans="1:32" s="861" customFormat="1" ht="47.25">
      <c r="A35" s="591">
        <v>27</v>
      </c>
      <c r="B35" s="878" t="s">
        <v>1291</v>
      </c>
      <c r="C35" s="870" t="s">
        <v>439</v>
      </c>
      <c r="D35" s="883" t="s">
        <v>1289</v>
      </c>
      <c r="E35" s="883"/>
      <c r="F35" s="877" t="s">
        <v>1292</v>
      </c>
      <c r="G35" s="869">
        <v>2767</v>
      </c>
      <c r="H35" s="869">
        <v>2767</v>
      </c>
      <c r="I35" s="871">
        <v>1587</v>
      </c>
      <c r="J35" s="871">
        <v>1587</v>
      </c>
      <c r="K35" s="872">
        <v>1180</v>
      </c>
      <c r="L35" s="872">
        <v>1180</v>
      </c>
      <c r="M35" s="871"/>
      <c r="N35" s="871"/>
      <c r="O35" s="871"/>
      <c r="P35" s="871"/>
      <c r="Q35" s="871">
        <v>2767</v>
      </c>
      <c r="R35" s="871">
        <v>2767</v>
      </c>
      <c r="S35" s="871"/>
      <c r="T35" s="871"/>
      <c r="U35" s="871"/>
      <c r="V35" s="874"/>
      <c r="W35" s="871"/>
      <c r="X35" s="871"/>
      <c r="Y35" s="886"/>
      <c r="Z35" s="860"/>
      <c r="AA35" s="860"/>
      <c r="AB35" s="860"/>
      <c r="AC35" s="860"/>
      <c r="AD35" s="860"/>
      <c r="AE35" s="860"/>
      <c r="AF35" s="860"/>
    </row>
    <row r="36" spans="1:32" s="861" customFormat="1" ht="31.5">
      <c r="A36" s="591">
        <v>28</v>
      </c>
      <c r="B36" s="878" t="s">
        <v>1293</v>
      </c>
      <c r="C36" s="870" t="s">
        <v>429</v>
      </c>
      <c r="D36" s="883" t="s">
        <v>1289</v>
      </c>
      <c r="E36" s="883"/>
      <c r="F36" s="877" t="s">
        <v>1294</v>
      </c>
      <c r="G36" s="869">
        <v>750</v>
      </c>
      <c r="H36" s="869">
        <v>750</v>
      </c>
      <c r="I36" s="871">
        <v>750</v>
      </c>
      <c r="J36" s="871">
        <v>750</v>
      </c>
      <c r="K36" s="866">
        <v>5.024</v>
      </c>
      <c r="L36" s="866">
        <v>5.024</v>
      </c>
      <c r="M36" s="871"/>
      <c r="N36" s="871"/>
      <c r="O36" s="871"/>
      <c r="P36" s="871"/>
      <c r="Q36" s="871">
        <v>755</v>
      </c>
      <c r="R36" s="871">
        <v>755</v>
      </c>
      <c r="S36" s="871"/>
      <c r="T36" s="871"/>
      <c r="U36" s="871"/>
      <c r="V36" s="874"/>
      <c r="W36" s="871"/>
      <c r="X36" s="871"/>
      <c r="Y36" s="886"/>
      <c r="Z36" s="860"/>
      <c r="AA36" s="860"/>
      <c r="AB36" s="860"/>
      <c r="AC36" s="860"/>
      <c r="AD36" s="860"/>
      <c r="AE36" s="860"/>
      <c r="AF36" s="860"/>
    </row>
    <row r="37" spans="1:32" s="861" customFormat="1" ht="31.5">
      <c r="A37" s="591">
        <v>29</v>
      </c>
      <c r="B37" s="878" t="s">
        <v>1295</v>
      </c>
      <c r="C37" s="870" t="s">
        <v>417</v>
      </c>
      <c r="D37" s="883" t="s">
        <v>1289</v>
      </c>
      <c r="E37" s="883"/>
      <c r="F37" s="877" t="s">
        <v>1296</v>
      </c>
      <c r="G37" s="869">
        <v>1820</v>
      </c>
      <c r="H37" s="869">
        <v>1820</v>
      </c>
      <c r="I37" s="871">
        <v>1000</v>
      </c>
      <c r="J37" s="871">
        <v>1000</v>
      </c>
      <c r="K37" s="872">
        <v>820</v>
      </c>
      <c r="L37" s="872">
        <v>820</v>
      </c>
      <c r="M37" s="871"/>
      <c r="N37" s="871"/>
      <c r="O37" s="871"/>
      <c r="P37" s="871"/>
      <c r="Q37" s="871">
        <v>1820</v>
      </c>
      <c r="R37" s="871">
        <v>1820</v>
      </c>
      <c r="S37" s="871"/>
      <c r="T37" s="871"/>
      <c r="U37" s="871"/>
      <c r="V37" s="874"/>
      <c r="W37" s="871"/>
      <c r="X37" s="871"/>
      <c r="Y37" s="886"/>
      <c r="Z37" s="860"/>
      <c r="AA37" s="860"/>
      <c r="AB37" s="860"/>
      <c r="AC37" s="860"/>
      <c r="AD37" s="860"/>
      <c r="AE37" s="860"/>
      <c r="AF37" s="860"/>
    </row>
    <row r="38" spans="1:32" s="861" customFormat="1" ht="47.25">
      <c r="A38" s="591">
        <v>30</v>
      </c>
      <c r="B38" s="878" t="s">
        <v>1297</v>
      </c>
      <c r="C38" s="870" t="s">
        <v>431</v>
      </c>
      <c r="D38" s="883" t="s">
        <v>1298</v>
      </c>
      <c r="E38" s="883"/>
      <c r="F38" s="877" t="s">
        <v>1299</v>
      </c>
      <c r="G38" s="869">
        <v>2100</v>
      </c>
      <c r="H38" s="869">
        <v>2100</v>
      </c>
      <c r="I38" s="871"/>
      <c r="J38" s="871"/>
      <c r="K38" s="872">
        <v>1450</v>
      </c>
      <c r="L38" s="872">
        <v>1450</v>
      </c>
      <c r="M38" s="871"/>
      <c r="N38" s="871"/>
      <c r="O38" s="871"/>
      <c r="P38" s="871"/>
      <c r="Q38" s="871">
        <v>1450</v>
      </c>
      <c r="R38" s="871">
        <v>1450</v>
      </c>
      <c r="S38" s="871"/>
      <c r="T38" s="871"/>
      <c r="U38" s="871"/>
      <c r="V38" s="887">
        <f t="shared" ref="V38:V40" si="5">+X38</f>
        <v>650</v>
      </c>
      <c r="W38" s="871"/>
      <c r="X38" s="871">
        <f>+G38-Q38</f>
        <v>650</v>
      </c>
      <c r="Y38" s="886"/>
      <c r="Z38" s="860"/>
      <c r="AA38" s="860"/>
      <c r="AB38" s="860"/>
      <c r="AC38" s="860"/>
      <c r="AD38" s="860"/>
      <c r="AE38" s="860"/>
      <c r="AF38" s="860"/>
    </row>
    <row r="39" spans="1:32" ht="47.25">
      <c r="A39" s="591">
        <v>31</v>
      </c>
      <c r="B39" s="878" t="s">
        <v>1300</v>
      </c>
      <c r="C39" s="888" t="s">
        <v>431</v>
      </c>
      <c r="D39" s="883" t="s">
        <v>1298</v>
      </c>
      <c r="E39" s="888"/>
      <c r="F39" s="877" t="s">
        <v>1301</v>
      </c>
      <c r="G39" s="869">
        <v>2990</v>
      </c>
      <c r="H39" s="869">
        <v>2990</v>
      </c>
      <c r="I39" s="889"/>
      <c r="J39" s="889"/>
      <c r="K39" s="872">
        <v>2670</v>
      </c>
      <c r="L39" s="872">
        <v>2670</v>
      </c>
      <c r="M39" s="889"/>
      <c r="N39" s="889"/>
      <c r="O39" s="889"/>
      <c r="P39" s="889"/>
      <c r="Q39" s="871">
        <v>2670</v>
      </c>
      <c r="R39" s="871">
        <v>2670</v>
      </c>
      <c r="S39" s="889"/>
      <c r="T39" s="889"/>
      <c r="U39" s="889"/>
      <c r="V39" s="887">
        <f t="shared" si="5"/>
        <v>320</v>
      </c>
      <c r="W39" s="890"/>
      <c r="X39" s="871">
        <f>+G39-Q39</f>
        <v>320</v>
      </c>
      <c r="Y39" s="889"/>
    </row>
    <row r="40" spans="1:32" ht="47.25">
      <c r="A40" s="591">
        <v>32</v>
      </c>
      <c r="B40" s="878" t="s">
        <v>1302</v>
      </c>
      <c r="C40" s="888" t="s">
        <v>429</v>
      </c>
      <c r="D40" s="883" t="s">
        <v>1298</v>
      </c>
      <c r="E40" s="888"/>
      <c r="F40" s="877" t="s">
        <v>1303</v>
      </c>
      <c r="G40" s="869">
        <v>2615</v>
      </c>
      <c r="H40" s="869">
        <v>2615</v>
      </c>
      <c r="I40" s="889"/>
      <c r="J40" s="889"/>
      <c r="K40" s="872">
        <v>1604.134</v>
      </c>
      <c r="L40" s="872">
        <v>1604.134</v>
      </c>
      <c r="M40" s="889"/>
      <c r="N40" s="889"/>
      <c r="O40" s="889"/>
      <c r="P40" s="889"/>
      <c r="Q40" s="871">
        <v>1604</v>
      </c>
      <c r="R40" s="871">
        <v>1604</v>
      </c>
      <c r="S40" s="889"/>
      <c r="T40" s="889"/>
      <c r="U40" s="889"/>
      <c r="V40" s="887">
        <f t="shared" si="5"/>
        <v>1011</v>
      </c>
      <c r="W40" s="890"/>
      <c r="X40" s="871">
        <f>+G40-Q40</f>
        <v>1011</v>
      </c>
      <c r="Y40" s="889"/>
    </row>
    <row r="41" spans="1:32" ht="31.5">
      <c r="A41" s="591">
        <v>33</v>
      </c>
      <c r="B41" s="878" t="s">
        <v>552</v>
      </c>
      <c r="C41" s="888" t="s">
        <v>1304</v>
      </c>
      <c r="D41" s="868" t="s">
        <v>442</v>
      </c>
      <c r="E41" s="888"/>
      <c r="F41" s="877" t="s">
        <v>1305</v>
      </c>
      <c r="G41" s="891">
        <v>5300</v>
      </c>
      <c r="H41" s="891">
        <v>5300</v>
      </c>
      <c r="I41" s="869">
        <v>1211</v>
      </c>
      <c r="J41" s="869">
        <v>1211</v>
      </c>
      <c r="K41" s="872"/>
      <c r="L41" s="872"/>
      <c r="M41" s="891">
        <v>308.34399999999999</v>
      </c>
      <c r="N41" s="891">
        <v>308.34399999999999</v>
      </c>
      <c r="O41" s="873">
        <v>308.34399999999999</v>
      </c>
      <c r="P41" s="873">
        <v>308.34399999999999</v>
      </c>
      <c r="Q41" s="871">
        <v>5011</v>
      </c>
      <c r="R41" s="871">
        <v>5011</v>
      </c>
      <c r="S41" s="889"/>
      <c r="T41" s="889"/>
      <c r="U41" s="889"/>
      <c r="V41" s="887"/>
      <c r="W41" s="890"/>
      <c r="X41" s="890"/>
      <c r="Y41" s="889"/>
    </row>
    <row r="42" spans="1:32" ht="31.5">
      <c r="A42" s="591">
        <v>34</v>
      </c>
      <c r="B42" s="878" t="s">
        <v>553</v>
      </c>
      <c r="C42" s="888" t="s">
        <v>405</v>
      </c>
      <c r="D42" s="868" t="s">
        <v>442</v>
      </c>
      <c r="E42" s="888"/>
      <c r="F42" s="877" t="s">
        <v>1306</v>
      </c>
      <c r="G42" s="891">
        <v>2529.2663980000002</v>
      </c>
      <c r="H42" s="891">
        <v>2529.2663980000002</v>
      </c>
      <c r="I42" s="892">
        <f>136.096756+173.063142+535.0065</f>
        <v>844.16639799999996</v>
      </c>
      <c r="J42" s="892">
        <f>136.096756+173.063142+535.0065</f>
        <v>844.16639799999996</v>
      </c>
      <c r="K42" s="872"/>
      <c r="L42" s="872"/>
      <c r="M42" s="891">
        <v>4.5003979999999997</v>
      </c>
      <c r="N42" s="891">
        <v>4.5003979999999997</v>
      </c>
      <c r="O42" s="889"/>
      <c r="P42" s="889"/>
      <c r="Q42" s="871">
        <v>2529</v>
      </c>
      <c r="R42" s="871">
        <v>2529</v>
      </c>
      <c r="S42" s="889"/>
      <c r="T42" s="889"/>
      <c r="U42" s="889"/>
      <c r="V42" s="887"/>
      <c r="W42" s="890"/>
      <c r="X42" s="890"/>
      <c r="Y42" s="889"/>
    </row>
    <row r="43" spans="1:32" ht="31.5">
      <c r="A43" s="591">
        <v>35</v>
      </c>
      <c r="B43" s="878" t="s">
        <v>1307</v>
      </c>
      <c r="C43" s="870" t="s">
        <v>406</v>
      </c>
      <c r="D43" s="868" t="s">
        <v>560</v>
      </c>
      <c r="E43" s="888"/>
      <c r="F43" s="877" t="s">
        <v>1308</v>
      </c>
      <c r="G43" s="891">
        <v>400</v>
      </c>
      <c r="H43" s="891">
        <v>400</v>
      </c>
      <c r="I43" s="889"/>
      <c r="J43" s="889"/>
      <c r="K43" s="872"/>
      <c r="L43" s="872"/>
      <c r="M43" s="882">
        <v>100</v>
      </c>
      <c r="N43" s="882">
        <v>100</v>
      </c>
      <c r="O43" s="889"/>
      <c r="P43" s="889"/>
      <c r="Q43" s="882">
        <v>100</v>
      </c>
      <c r="R43" s="882">
        <v>100</v>
      </c>
      <c r="S43" s="889"/>
      <c r="T43" s="889"/>
      <c r="U43" s="889"/>
      <c r="V43" s="887">
        <f>+X43</f>
        <v>300</v>
      </c>
      <c r="W43" s="890"/>
      <c r="X43" s="893">
        <f>+G43-Q43</f>
        <v>300</v>
      </c>
      <c r="Y43" s="889"/>
    </row>
    <row r="44" spans="1:32" ht="31.5">
      <c r="A44" s="591">
        <v>36</v>
      </c>
      <c r="B44" s="878" t="s">
        <v>1309</v>
      </c>
      <c r="C44" s="870" t="s">
        <v>433</v>
      </c>
      <c r="D44" s="868" t="s">
        <v>560</v>
      </c>
      <c r="E44" s="888"/>
      <c r="F44" s="877" t="s">
        <v>1310</v>
      </c>
      <c r="G44" s="891">
        <v>350</v>
      </c>
      <c r="H44" s="891">
        <v>350</v>
      </c>
      <c r="I44" s="889"/>
      <c r="J44" s="889"/>
      <c r="K44" s="872"/>
      <c r="L44" s="872"/>
      <c r="M44" s="891">
        <v>101.5</v>
      </c>
      <c r="N44" s="891">
        <v>101.5</v>
      </c>
      <c r="O44" s="889"/>
      <c r="P44" s="889"/>
      <c r="Q44" s="891">
        <v>101.5</v>
      </c>
      <c r="R44" s="891">
        <v>101.5</v>
      </c>
      <c r="S44" s="889"/>
      <c r="T44" s="889"/>
      <c r="U44" s="889"/>
      <c r="V44" s="887">
        <f t="shared" ref="V44:V46" si="6">+X44</f>
        <v>248.5</v>
      </c>
      <c r="W44" s="890"/>
      <c r="X44" s="893">
        <f t="shared" ref="X44:X46" si="7">+G44-Q44</f>
        <v>248.5</v>
      </c>
      <c r="Y44" s="889"/>
    </row>
    <row r="45" spans="1:32" ht="63">
      <c r="A45" s="591">
        <v>37</v>
      </c>
      <c r="B45" s="894" t="s">
        <v>1311</v>
      </c>
      <c r="C45" s="870" t="s">
        <v>1312</v>
      </c>
      <c r="D45" s="868" t="s">
        <v>560</v>
      </c>
      <c r="E45" s="888"/>
      <c r="F45" s="877" t="s">
        <v>1313</v>
      </c>
      <c r="G45" s="891">
        <v>6100</v>
      </c>
      <c r="H45" s="891">
        <v>6100</v>
      </c>
      <c r="I45" s="889"/>
      <c r="J45" s="889"/>
      <c r="K45" s="872"/>
      <c r="L45" s="872"/>
      <c r="M45" s="891">
        <v>2400.9987110000002</v>
      </c>
      <c r="N45" s="891">
        <v>2400.9987110000002</v>
      </c>
      <c r="O45" s="889"/>
      <c r="P45" s="889"/>
      <c r="Q45" s="891">
        <v>2400.9987110000002</v>
      </c>
      <c r="R45" s="891">
        <v>2400.9987110000002</v>
      </c>
      <c r="S45" s="889"/>
      <c r="T45" s="889"/>
      <c r="U45" s="889"/>
      <c r="V45" s="887">
        <f t="shared" si="6"/>
        <v>3699.0012889999998</v>
      </c>
      <c r="W45" s="890"/>
      <c r="X45" s="893">
        <f t="shared" si="7"/>
        <v>3699.0012889999998</v>
      </c>
      <c r="Y45" s="889"/>
    </row>
    <row r="46" spans="1:32" ht="31.5">
      <c r="A46" s="591">
        <v>38</v>
      </c>
      <c r="B46" s="862" t="s">
        <v>1314</v>
      </c>
      <c r="C46" s="888" t="s">
        <v>441</v>
      </c>
      <c r="D46" s="868" t="s">
        <v>560</v>
      </c>
      <c r="E46" s="888"/>
      <c r="F46" s="877" t="s">
        <v>1315</v>
      </c>
      <c r="G46" s="882">
        <v>2990</v>
      </c>
      <c r="H46" s="882">
        <v>2990</v>
      </c>
      <c r="I46" s="889"/>
      <c r="J46" s="889"/>
      <c r="K46" s="872">
        <v>990</v>
      </c>
      <c r="L46" s="872">
        <v>990</v>
      </c>
      <c r="M46" s="872">
        <v>2000</v>
      </c>
      <c r="N46" s="872">
        <v>2000</v>
      </c>
      <c r="O46" s="873">
        <v>1000</v>
      </c>
      <c r="P46" s="873">
        <v>1000</v>
      </c>
      <c r="Q46" s="871">
        <v>2990</v>
      </c>
      <c r="R46" s="871">
        <v>2990</v>
      </c>
      <c r="S46" s="889"/>
      <c r="T46" s="889"/>
      <c r="U46" s="889"/>
      <c r="V46" s="887">
        <f t="shared" si="6"/>
        <v>0</v>
      </c>
      <c r="W46" s="890"/>
      <c r="X46" s="893">
        <f t="shared" si="7"/>
        <v>0</v>
      </c>
      <c r="Y46" s="889"/>
    </row>
  </sheetData>
  <mergeCells count="27">
    <mergeCell ref="M6:N6"/>
    <mergeCell ref="E5:E7"/>
    <mergeCell ref="F5:H5"/>
    <mergeCell ref="I5:J5"/>
    <mergeCell ref="K5:P5"/>
    <mergeCell ref="K6:L6"/>
    <mergeCell ref="A1:Y1"/>
    <mergeCell ref="A2:Z2"/>
    <mergeCell ref="A3:Y3"/>
    <mergeCell ref="W4:Y4"/>
    <mergeCell ref="A5:A7"/>
    <mergeCell ref="O6:P6"/>
    <mergeCell ref="I6:I7"/>
    <mergeCell ref="J6:J7"/>
    <mergeCell ref="B5:B7"/>
    <mergeCell ref="C5:C7"/>
    <mergeCell ref="D5:D7"/>
    <mergeCell ref="F6:F7"/>
    <mergeCell ref="G6:H6"/>
    <mergeCell ref="Q5:R6"/>
    <mergeCell ref="S5:U5"/>
    <mergeCell ref="Y5:Y7"/>
    <mergeCell ref="S6:S7"/>
    <mergeCell ref="T6:U6"/>
    <mergeCell ref="V6:V7"/>
    <mergeCell ref="W6:X6"/>
    <mergeCell ref="V5:X5"/>
  </mergeCells>
  <phoneticPr fontId="13" type="noConversion"/>
  <pageMargins left="0.5" right="0.25" top="0.5" bottom="0.25" header="0" footer="0"/>
  <pageSetup paperSize="9" scale="50"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K44"/>
  <sheetViews>
    <sheetView topLeftCell="A22" workbookViewId="0">
      <selection activeCell="B31" sqref="B31"/>
    </sheetView>
  </sheetViews>
  <sheetFormatPr defaultColWidth="11.42578125" defaultRowHeight="18.75"/>
  <cols>
    <col min="1" max="1" width="4.7109375" style="264" customWidth="1"/>
    <col min="2" max="2" width="105.42578125" style="246" customWidth="1"/>
    <col min="3" max="3" width="21.140625" style="246" customWidth="1"/>
    <col min="4" max="4" width="16.5703125" style="246" customWidth="1"/>
    <col min="5" max="5" width="8.5703125" style="246" customWidth="1"/>
    <col min="6" max="16384" width="11.42578125" style="246"/>
  </cols>
  <sheetData>
    <row r="1" spans="1:11" ht="24.95" customHeight="1">
      <c r="A1" s="245"/>
      <c r="C1" s="247" t="s">
        <v>108</v>
      </c>
      <c r="D1" s="248"/>
      <c r="E1" s="248"/>
      <c r="F1" s="248"/>
      <c r="G1" s="248"/>
      <c r="H1" s="248"/>
      <c r="I1" s="248"/>
      <c r="J1" s="248"/>
      <c r="K1" s="248"/>
    </row>
    <row r="2" spans="1:11" ht="13.5" customHeight="1">
      <c r="A2" s="249"/>
      <c r="B2" s="250"/>
      <c r="C2" s="250"/>
      <c r="D2" s="251"/>
    </row>
    <row r="3" spans="1:11" ht="42" customHeight="1">
      <c r="A3" s="1362" t="s">
        <v>598</v>
      </c>
      <c r="B3" s="1362"/>
      <c r="C3" s="1362"/>
      <c r="D3" s="252"/>
      <c r="E3" s="253"/>
      <c r="F3" s="253"/>
      <c r="G3" s="254"/>
      <c r="H3" s="254"/>
      <c r="I3" s="254"/>
    </row>
    <row r="4" spans="1:11" ht="35.25" customHeight="1">
      <c r="A4" s="1363" t="s">
        <v>597</v>
      </c>
      <c r="B4" s="1363"/>
      <c r="C4" s="1363"/>
      <c r="D4" s="255"/>
      <c r="E4" s="254"/>
      <c r="F4" s="254"/>
    </row>
    <row r="5" spans="1:11" ht="24.95" customHeight="1">
      <c r="A5" s="1367" t="s">
        <v>109</v>
      </c>
      <c r="B5" s="1367"/>
      <c r="C5" s="1367"/>
      <c r="D5" s="255"/>
      <c r="E5" s="254"/>
      <c r="F5" s="254"/>
    </row>
    <row r="6" spans="1:11" ht="23.25" customHeight="1">
      <c r="A6" s="256" t="s">
        <v>110</v>
      </c>
      <c r="B6" s="1364" t="s">
        <v>215</v>
      </c>
      <c r="C6" s="1364" t="s">
        <v>111</v>
      </c>
    </row>
    <row r="7" spans="1:11" s="259" customFormat="1" ht="20.25" customHeight="1">
      <c r="A7" s="302" t="s">
        <v>246</v>
      </c>
      <c r="B7" s="1365"/>
      <c r="C7" s="1365"/>
    </row>
    <row r="8" spans="1:11" s="258" customFormat="1" ht="20.45" customHeight="1">
      <c r="A8" s="257">
        <v>1</v>
      </c>
      <c r="B8" s="257">
        <v>2</v>
      </c>
      <c r="C8" s="257">
        <v>3</v>
      </c>
    </row>
    <row r="9" spans="1:11" s="258" customFormat="1" ht="20.45" customHeight="1">
      <c r="A9" s="313" t="s">
        <v>218</v>
      </c>
      <c r="B9" s="314" t="s">
        <v>599</v>
      </c>
      <c r="C9" s="257"/>
    </row>
    <row r="10" spans="1:11" s="258" customFormat="1" ht="27.6" customHeight="1">
      <c r="A10" s="313" t="s">
        <v>220</v>
      </c>
      <c r="B10" s="315" t="s">
        <v>600</v>
      </c>
      <c r="C10" s="316">
        <f>SUM(C11:C16)</f>
        <v>6109.7</v>
      </c>
    </row>
    <row r="11" spans="1:11" s="259" customFormat="1" ht="32.25" customHeight="1">
      <c r="A11" s="257">
        <v>1</v>
      </c>
      <c r="B11" s="317" t="s">
        <v>601</v>
      </c>
      <c r="C11" s="318"/>
    </row>
    <row r="12" spans="1:11" s="259" customFormat="1" ht="36.75" customHeight="1">
      <c r="A12" s="257">
        <v>2</v>
      </c>
      <c r="B12" s="317" t="s">
        <v>112</v>
      </c>
      <c r="C12" s="318"/>
    </row>
    <row r="13" spans="1:11" s="259" customFormat="1" ht="18.75" customHeight="1">
      <c r="A13" s="257">
        <v>3</v>
      </c>
      <c r="B13" s="317" t="s">
        <v>602</v>
      </c>
      <c r="C13" s="318">
        <v>5440</v>
      </c>
    </row>
    <row r="14" spans="1:11" s="259" customFormat="1" ht="25.5" customHeight="1">
      <c r="A14" s="257">
        <v>4</v>
      </c>
      <c r="B14" s="317" t="s">
        <v>603</v>
      </c>
      <c r="C14" s="318"/>
    </row>
    <row r="15" spans="1:11" s="259" customFormat="1" ht="33" customHeight="1">
      <c r="A15" s="257">
        <v>5</v>
      </c>
      <c r="B15" s="317" t="s">
        <v>145</v>
      </c>
      <c r="C15" s="318"/>
    </row>
    <row r="16" spans="1:11" s="259" customFormat="1" ht="25.5" customHeight="1">
      <c r="A16" s="257">
        <v>6</v>
      </c>
      <c r="B16" s="317" t="s">
        <v>604</v>
      </c>
      <c r="C16" s="318">
        <v>669.7</v>
      </c>
    </row>
    <row r="17" spans="1:4" s="260" customFormat="1" ht="18.75" customHeight="1">
      <c r="A17" s="313" t="s">
        <v>223</v>
      </c>
      <c r="B17" s="319" t="s">
        <v>605</v>
      </c>
      <c r="C17" s="320">
        <f>C18+C19+C27</f>
        <v>15034.340999999999</v>
      </c>
    </row>
    <row r="18" spans="1:4" s="260" customFormat="1" ht="32.25" customHeight="1">
      <c r="A18" s="313">
        <v>1</v>
      </c>
      <c r="B18" s="319" t="s">
        <v>146</v>
      </c>
      <c r="C18" s="320"/>
    </row>
    <row r="19" spans="1:4" s="260" customFormat="1" ht="20.25" customHeight="1">
      <c r="A19" s="313">
        <v>2</v>
      </c>
      <c r="B19" s="319" t="s">
        <v>147</v>
      </c>
      <c r="C19" s="320">
        <f>SUM(C20:C26)</f>
        <v>14418.993999999999</v>
      </c>
    </row>
    <row r="20" spans="1:4" s="259" customFormat="1" ht="20.25" customHeight="1">
      <c r="A20" s="257" t="s">
        <v>233</v>
      </c>
      <c r="B20" s="317" t="s">
        <v>148</v>
      </c>
      <c r="C20" s="318">
        <f>44.965+31.666+27.01+85.073+50+7966</f>
        <v>8204.7139999999999</v>
      </c>
    </row>
    <row r="21" spans="1:4" s="259" customFormat="1" ht="20.25" customHeight="1">
      <c r="A21" s="257" t="s">
        <v>234</v>
      </c>
      <c r="B21" s="317" t="s">
        <v>149</v>
      </c>
      <c r="C21" s="321">
        <v>1997.9</v>
      </c>
      <c r="D21" s="261"/>
    </row>
    <row r="22" spans="1:4" s="259" customFormat="1" ht="20.25" customHeight="1">
      <c r="A22" s="257" t="s">
        <v>235</v>
      </c>
      <c r="B22" s="317" t="s">
        <v>150</v>
      </c>
      <c r="C22" s="318">
        <v>88.38</v>
      </c>
    </row>
    <row r="23" spans="1:4" s="259" customFormat="1" ht="20.25" customHeight="1">
      <c r="A23" s="257" t="s">
        <v>239</v>
      </c>
      <c r="B23" s="317" t="s">
        <v>151</v>
      </c>
      <c r="C23" s="318">
        <v>1818</v>
      </c>
    </row>
    <row r="24" spans="1:4" s="259" customFormat="1" ht="20.25" customHeight="1">
      <c r="A24" s="257" t="s">
        <v>95</v>
      </c>
      <c r="B24" s="317" t="s">
        <v>152</v>
      </c>
      <c r="C24" s="318">
        <v>2187</v>
      </c>
    </row>
    <row r="25" spans="1:4" s="259" customFormat="1" ht="32.25" customHeight="1">
      <c r="A25" s="257" t="s">
        <v>153</v>
      </c>
      <c r="B25" s="317" t="s">
        <v>154</v>
      </c>
      <c r="C25" s="318">
        <v>88</v>
      </c>
    </row>
    <row r="26" spans="1:4" s="259" customFormat="1" ht="32.25" customHeight="1">
      <c r="A26" s="257" t="s">
        <v>97</v>
      </c>
      <c r="B26" s="317" t="s">
        <v>155</v>
      </c>
      <c r="C26" s="318">
        <v>35</v>
      </c>
    </row>
    <row r="27" spans="1:4" s="260" customFormat="1" ht="22.5" customHeight="1">
      <c r="A27" s="313">
        <v>3</v>
      </c>
      <c r="B27" s="322" t="s">
        <v>156</v>
      </c>
      <c r="C27" s="323">
        <f>SUM(C28:C30)</f>
        <v>615.34699999999998</v>
      </c>
    </row>
    <row r="28" spans="1:4" s="259" customFormat="1" ht="37.5" customHeight="1">
      <c r="A28" s="257" t="s">
        <v>233</v>
      </c>
      <c r="B28" s="324" t="s">
        <v>157</v>
      </c>
      <c r="C28" s="318"/>
    </row>
    <row r="29" spans="1:4" s="259" customFormat="1" ht="34.5" customHeight="1">
      <c r="A29" s="257" t="s">
        <v>234</v>
      </c>
      <c r="B29" s="324" t="s">
        <v>158</v>
      </c>
      <c r="C29" s="318">
        <f>41.487+152.94+6.178+3.39+6.096+4.49+4.495+3.185+45.874+48+57.89+66.546+55.987</f>
        <v>496.55799999999999</v>
      </c>
    </row>
    <row r="30" spans="1:4" s="259" customFormat="1" ht="27" customHeight="1">
      <c r="A30" s="257" t="s">
        <v>235</v>
      </c>
      <c r="B30" s="324" t="s">
        <v>159</v>
      </c>
      <c r="C30" s="318">
        <f>45.789+35+38</f>
        <v>118.789</v>
      </c>
    </row>
    <row r="31" spans="1:4" s="262" customFormat="1" ht="22.15" customHeight="1">
      <c r="A31" s="313" t="s">
        <v>226</v>
      </c>
      <c r="B31" s="325" t="s">
        <v>160</v>
      </c>
      <c r="C31" s="316">
        <f>C32</f>
        <v>8924.6409999999996</v>
      </c>
    </row>
    <row r="32" spans="1:4" ht="22.15" customHeight="1">
      <c r="A32" s="257">
        <v>1</v>
      </c>
      <c r="B32" s="326" t="s">
        <v>161</v>
      </c>
      <c r="C32" s="327">
        <f>C17-C10</f>
        <v>8924.6409999999996</v>
      </c>
    </row>
    <row r="33" spans="1:5" ht="22.15" customHeight="1">
      <c r="A33" s="257">
        <v>2</v>
      </c>
      <c r="B33" s="326" t="s">
        <v>162</v>
      </c>
      <c r="C33" s="327"/>
    </row>
    <row r="34" spans="1:5" s="263" customFormat="1" ht="34.5" customHeight="1">
      <c r="A34" s="328" t="s">
        <v>219</v>
      </c>
      <c r="B34" s="329" t="s">
        <v>163</v>
      </c>
      <c r="C34" s="330"/>
    </row>
    <row r="35" spans="1:5" s="263" customFormat="1" ht="34.5" customHeight="1">
      <c r="A35" s="328" t="s">
        <v>238</v>
      </c>
      <c r="B35" s="329" t="s">
        <v>164</v>
      </c>
      <c r="C35" s="330"/>
    </row>
    <row r="36" spans="1:5" s="263" customFormat="1" ht="34.5" customHeight="1">
      <c r="A36" s="328" t="s">
        <v>74</v>
      </c>
      <c r="B36" s="329" t="s">
        <v>165</v>
      </c>
      <c r="C36" s="330"/>
    </row>
    <row r="37" spans="1:5" s="263" customFormat="1" ht="34.5" customHeight="1">
      <c r="A37" s="328" t="s">
        <v>75</v>
      </c>
      <c r="B37" s="329" t="s">
        <v>166</v>
      </c>
      <c r="C37" s="330"/>
    </row>
    <row r="38" spans="1:5" s="262" customFormat="1" ht="15.75">
      <c r="A38" s="257"/>
      <c r="B38" s="326"/>
      <c r="C38" s="327"/>
    </row>
    <row r="39" spans="1:5" ht="39.75" customHeight="1">
      <c r="B39" s="1366"/>
      <c r="C39" s="1366"/>
    </row>
    <row r="40" spans="1:5">
      <c r="B40" s="265"/>
    </row>
    <row r="41" spans="1:5">
      <c r="B41" s="1250"/>
      <c r="C41" s="1250"/>
      <c r="D41" s="266"/>
      <c r="E41" s="266"/>
    </row>
    <row r="42" spans="1:5">
      <c r="B42" s="1360"/>
      <c r="C42" s="1360"/>
      <c r="D42" s="267"/>
      <c r="E42" s="267"/>
    </row>
    <row r="43" spans="1:5">
      <c r="B43" s="1361"/>
      <c r="C43" s="1361"/>
      <c r="D43" s="268"/>
      <c r="E43" s="268"/>
    </row>
    <row r="44" spans="1:5" hidden="1"/>
  </sheetData>
  <mergeCells count="9">
    <mergeCell ref="B42:C42"/>
    <mergeCell ref="B43:C43"/>
    <mergeCell ref="A3:C3"/>
    <mergeCell ref="A4:C4"/>
    <mergeCell ref="B6:B7"/>
    <mergeCell ref="C6:C7"/>
    <mergeCell ref="B39:C39"/>
    <mergeCell ref="B41:C41"/>
    <mergeCell ref="A5:C5"/>
  </mergeCells>
  <phoneticPr fontId="13" type="noConversion"/>
  <pageMargins left="0.77" right="0.3" top="0.74803149606299213" bottom="0.74803149606299213" header="0.31496062992125984" footer="0.31496062992125984"/>
  <pageSetup paperSize="9" scale="70"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W20"/>
  <sheetViews>
    <sheetView zoomScale="70" zoomScaleNormal="70" workbookViewId="0">
      <selection activeCell="B13" sqref="B13"/>
    </sheetView>
  </sheetViews>
  <sheetFormatPr defaultColWidth="10" defaultRowHeight="18.75"/>
  <cols>
    <col min="1" max="1" width="5.28515625" style="269" customWidth="1"/>
    <col min="2" max="2" width="26" style="269" customWidth="1"/>
    <col min="3" max="3" width="11.140625" style="269" customWidth="1"/>
    <col min="4" max="4" width="12.7109375" style="269" customWidth="1"/>
    <col min="5" max="5" width="13" style="269" bestFit="1" customWidth="1"/>
    <col min="6" max="6" width="11" style="269" customWidth="1"/>
    <col min="7" max="7" width="12.5703125" style="269" bestFit="1" customWidth="1"/>
    <col min="8" max="8" width="13.5703125" style="269" customWidth="1"/>
    <col min="9" max="9" width="10.7109375" style="269" customWidth="1"/>
    <col min="10" max="10" width="12.5703125" style="269" bestFit="1" customWidth="1"/>
    <col min="11" max="11" width="11.140625" style="269" bestFit="1" customWidth="1"/>
    <col min="12" max="12" width="12.28515625" style="269" customWidth="1"/>
    <col min="13" max="13" width="10" style="269" bestFit="1" customWidth="1"/>
    <col min="14" max="14" width="11" style="269" customWidth="1"/>
    <col min="15" max="15" width="11.5703125" style="269" customWidth="1"/>
    <col min="16" max="16" width="12.42578125" style="269" bestFit="1" customWidth="1"/>
    <col min="17" max="17" width="7.85546875" style="269" customWidth="1"/>
    <col min="18" max="18" width="14" style="269" customWidth="1"/>
    <col min="19" max="19" width="10.140625" style="269" bestFit="1" customWidth="1"/>
    <col min="20" max="20" width="12.42578125" style="269" bestFit="1" customWidth="1"/>
    <col min="21" max="21" width="10.140625" style="269" bestFit="1" customWidth="1"/>
    <col min="22" max="22" width="12.42578125" style="269" bestFit="1" customWidth="1"/>
    <col min="23" max="23" width="9.7109375" style="269" customWidth="1"/>
    <col min="24" max="16384" width="10" style="269"/>
  </cols>
  <sheetData>
    <row r="1" spans="1:23" s="275" customFormat="1">
      <c r="A1" s="270"/>
      <c r="B1" s="271"/>
      <c r="C1" s="271"/>
      <c r="D1" s="271"/>
      <c r="E1" s="272"/>
      <c r="F1" s="273"/>
      <c r="G1" s="273"/>
      <c r="H1" s="273"/>
      <c r="I1" s="273"/>
      <c r="J1" s="273"/>
      <c r="K1" s="273"/>
      <c r="L1" s="274"/>
      <c r="O1" s="1368" t="s">
        <v>167</v>
      </c>
      <c r="P1" s="1368"/>
      <c r="Q1" s="1368"/>
      <c r="R1" s="1368"/>
      <c r="S1" s="1368"/>
      <c r="T1" s="1368"/>
      <c r="U1" s="1368"/>
      <c r="V1" s="1368"/>
      <c r="W1" s="1368"/>
    </row>
    <row r="3" spans="1:23" ht="20.25">
      <c r="A3" s="1369" t="s">
        <v>168</v>
      </c>
      <c r="B3" s="1369"/>
      <c r="C3" s="1369"/>
      <c r="D3" s="1369"/>
      <c r="E3" s="1369"/>
      <c r="F3" s="1369"/>
      <c r="G3" s="1369"/>
      <c r="H3" s="1369"/>
      <c r="I3" s="1369"/>
      <c r="J3" s="1369"/>
      <c r="K3" s="1369"/>
      <c r="L3" s="1369"/>
      <c r="M3" s="1369"/>
      <c r="N3" s="1369"/>
      <c r="O3" s="1369"/>
      <c r="P3" s="1369"/>
      <c r="Q3" s="1369"/>
      <c r="R3" s="1369"/>
      <c r="S3" s="1369"/>
      <c r="T3" s="1369"/>
      <c r="U3" s="1369"/>
      <c r="V3" s="1369"/>
      <c r="W3" s="1369"/>
    </row>
    <row r="4" spans="1:23" s="276" customFormat="1" ht="46.5" customHeight="1">
      <c r="A4" s="1370" t="s">
        <v>740</v>
      </c>
      <c r="B4" s="1370"/>
      <c r="C4" s="1370"/>
      <c r="D4" s="1370"/>
      <c r="E4" s="1370"/>
      <c r="F4" s="1370"/>
      <c r="G4" s="1370"/>
      <c r="H4" s="1370"/>
      <c r="I4" s="1370"/>
      <c r="J4" s="1370"/>
      <c r="K4" s="1370"/>
      <c r="L4" s="1370"/>
      <c r="M4" s="1370"/>
      <c r="N4" s="1370"/>
      <c r="O4" s="1370"/>
      <c r="P4" s="1370"/>
      <c r="Q4" s="1370"/>
      <c r="R4" s="1370"/>
      <c r="S4" s="1370"/>
      <c r="T4" s="1370"/>
      <c r="U4" s="1370"/>
      <c r="V4" s="1370"/>
      <c r="W4" s="1370"/>
    </row>
    <row r="5" spans="1:23" ht="38.25" customHeight="1">
      <c r="T5" s="1371" t="s">
        <v>109</v>
      </c>
      <c r="U5" s="1371"/>
      <c r="V5" s="1371"/>
      <c r="W5" s="1371"/>
    </row>
    <row r="6" spans="1:23" s="277" customFormat="1" ht="36" customHeight="1">
      <c r="A6" s="1372" t="s">
        <v>214</v>
      </c>
      <c r="B6" s="1372" t="s">
        <v>169</v>
      </c>
      <c r="C6" s="1372" t="s">
        <v>253</v>
      </c>
      <c r="D6" s="1372"/>
      <c r="E6" s="1372" t="s">
        <v>170</v>
      </c>
      <c r="F6" s="1372"/>
      <c r="G6" s="1372"/>
      <c r="H6" s="1372"/>
      <c r="I6" s="1372"/>
      <c r="J6" s="1372"/>
      <c r="K6" s="1372"/>
      <c r="L6" s="1372"/>
      <c r="M6" s="1372"/>
      <c r="N6" s="1372"/>
      <c r="O6" s="1372" t="s">
        <v>171</v>
      </c>
      <c r="P6" s="1372"/>
      <c r="Q6" s="1372"/>
      <c r="R6" s="1372"/>
      <c r="S6" s="1372"/>
      <c r="T6" s="1372"/>
      <c r="U6" s="1372"/>
      <c r="V6" s="1372"/>
      <c r="W6" s="1372"/>
    </row>
    <row r="7" spans="1:23" s="277" customFormat="1" ht="28.5" customHeight="1">
      <c r="A7" s="1372"/>
      <c r="B7" s="1372"/>
      <c r="C7" s="1372" t="s">
        <v>172</v>
      </c>
      <c r="D7" s="1372" t="s">
        <v>173</v>
      </c>
      <c r="E7" s="1372" t="s">
        <v>172</v>
      </c>
      <c r="F7" s="1372" t="s">
        <v>174</v>
      </c>
      <c r="G7" s="1372" t="s">
        <v>175</v>
      </c>
      <c r="H7" s="1372"/>
      <c r="I7" s="1372"/>
      <c r="J7" s="1372"/>
      <c r="K7" s="1372" t="s">
        <v>176</v>
      </c>
      <c r="L7" s="1372"/>
      <c r="M7" s="1372"/>
      <c r="N7" s="1372" t="s">
        <v>177</v>
      </c>
      <c r="O7" s="1372" t="s">
        <v>172</v>
      </c>
      <c r="P7" s="1372" t="s">
        <v>174</v>
      </c>
      <c r="Q7" s="1372" t="s">
        <v>175</v>
      </c>
      <c r="R7" s="1372"/>
      <c r="S7" s="1372"/>
      <c r="T7" s="1372" t="s">
        <v>176</v>
      </c>
      <c r="U7" s="1372"/>
      <c r="V7" s="1372"/>
      <c r="W7" s="1372" t="s">
        <v>177</v>
      </c>
    </row>
    <row r="8" spans="1:23" s="277" customFormat="1" ht="25.5" customHeight="1">
      <c r="A8" s="1372"/>
      <c r="B8" s="1372"/>
      <c r="C8" s="1372"/>
      <c r="D8" s="1372"/>
      <c r="E8" s="1372"/>
      <c r="F8" s="1372"/>
      <c r="G8" s="1372" t="s">
        <v>225</v>
      </c>
      <c r="H8" s="1372" t="s">
        <v>178</v>
      </c>
      <c r="I8" s="1372"/>
      <c r="J8" s="1372"/>
      <c r="K8" s="1372" t="s">
        <v>225</v>
      </c>
      <c r="L8" s="1372" t="s">
        <v>240</v>
      </c>
      <c r="M8" s="1372"/>
      <c r="N8" s="1372"/>
      <c r="O8" s="1372"/>
      <c r="P8" s="1372"/>
      <c r="Q8" s="1372" t="s">
        <v>225</v>
      </c>
      <c r="R8" s="1372" t="s">
        <v>178</v>
      </c>
      <c r="S8" s="1372"/>
      <c r="T8" s="1372" t="s">
        <v>225</v>
      </c>
      <c r="U8" s="1372" t="s">
        <v>240</v>
      </c>
      <c r="V8" s="1372"/>
      <c r="W8" s="1372"/>
    </row>
    <row r="9" spans="1:23" s="277" customFormat="1" ht="87" customHeight="1">
      <c r="A9" s="1372"/>
      <c r="B9" s="1372"/>
      <c r="C9" s="1372"/>
      <c r="D9" s="1372"/>
      <c r="E9" s="1372"/>
      <c r="F9" s="1372"/>
      <c r="G9" s="1372"/>
      <c r="H9" s="278" t="s">
        <v>179</v>
      </c>
      <c r="I9" s="278" t="s">
        <v>180</v>
      </c>
      <c r="J9" s="278" t="s">
        <v>181</v>
      </c>
      <c r="K9" s="1372"/>
      <c r="L9" s="278" t="s">
        <v>182</v>
      </c>
      <c r="M9" s="278" t="s">
        <v>181</v>
      </c>
      <c r="N9" s="1372"/>
      <c r="O9" s="1372"/>
      <c r="P9" s="1372"/>
      <c r="Q9" s="1372"/>
      <c r="R9" s="278" t="s">
        <v>179</v>
      </c>
      <c r="S9" s="278" t="s">
        <v>181</v>
      </c>
      <c r="T9" s="1372"/>
      <c r="U9" s="278" t="s">
        <v>182</v>
      </c>
      <c r="V9" s="278" t="s">
        <v>181</v>
      </c>
      <c r="W9" s="1372"/>
    </row>
    <row r="10" spans="1:23" s="280" customFormat="1" ht="28.5" customHeight="1">
      <c r="A10" s="279">
        <v>1</v>
      </c>
      <c r="B10" s="279">
        <v>2</v>
      </c>
      <c r="C10" s="279">
        <v>3</v>
      </c>
      <c r="D10" s="279">
        <v>4</v>
      </c>
      <c r="E10" s="279">
        <v>5</v>
      </c>
      <c r="F10" s="279">
        <v>6</v>
      </c>
      <c r="G10" s="279">
        <f t="shared" ref="G10:W10" si="0">F10+1</f>
        <v>7</v>
      </c>
      <c r="H10" s="279">
        <f t="shared" si="0"/>
        <v>8</v>
      </c>
      <c r="I10" s="279">
        <f t="shared" si="0"/>
        <v>9</v>
      </c>
      <c r="J10" s="279">
        <f t="shared" si="0"/>
        <v>10</v>
      </c>
      <c r="K10" s="279">
        <f t="shared" si="0"/>
        <v>11</v>
      </c>
      <c r="L10" s="279">
        <f t="shared" si="0"/>
        <v>12</v>
      </c>
      <c r="M10" s="279">
        <f t="shared" si="0"/>
        <v>13</v>
      </c>
      <c r="N10" s="279">
        <f t="shared" si="0"/>
        <v>14</v>
      </c>
      <c r="O10" s="279">
        <f t="shared" si="0"/>
        <v>15</v>
      </c>
      <c r="P10" s="279">
        <f t="shared" si="0"/>
        <v>16</v>
      </c>
      <c r="Q10" s="279">
        <f t="shared" si="0"/>
        <v>17</v>
      </c>
      <c r="R10" s="279">
        <f t="shared" si="0"/>
        <v>18</v>
      </c>
      <c r="S10" s="279">
        <f t="shared" si="0"/>
        <v>19</v>
      </c>
      <c r="T10" s="279">
        <f t="shared" si="0"/>
        <v>20</v>
      </c>
      <c r="U10" s="279">
        <f t="shared" si="0"/>
        <v>21</v>
      </c>
      <c r="V10" s="279">
        <f t="shared" si="0"/>
        <v>22</v>
      </c>
      <c r="W10" s="279">
        <f t="shared" si="0"/>
        <v>23</v>
      </c>
    </row>
    <row r="11" spans="1:23" s="281" customFormat="1" ht="36" customHeight="1">
      <c r="A11" s="303"/>
      <c r="B11" s="278" t="s">
        <v>183</v>
      </c>
      <c r="C11" s="310">
        <f>SUM(C12:C17)+C20</f>
        <v>69097</v>
      </c>
      <c r="D11" s="310">
        <f t="shared" ref="D11:V11" si="1">SUM(D12:D17)+D20</f>
        <v>180630.826</v>
      </c>
      <c r="E11" s="310">
        <f t="shared" si="1"/>
        <v>66139</v>
      </c>
      <c r="F11" s="310">
        <f t="shared" si="1"/>
        <v>60388.142</v>
      </c>
      <c r="G11" s="310">
        <f t="shared" si="1"/>
        <v>51795.8</v>
      </c>
      <c r="H11" s="310">
        <f t="shared" si="1"/>
        <v>0</v>
      </c>
      <c r="I11" s="310">
        <f t="shared" si="1"/>
        <v>6062</v>
      </c>
      <c r="J11" s="310">
        <f t="shared" si="1"/>
        <v>42126</v>
      </c>
      <c r="K11" s="310">
        <f t="shared" si="1"/>
        <v>8894.1419999999998</v>
      </c>
      <c r="L11" s="310">
        <f t="shared" si="1"/>
        <v>686.50200000000041</v>
      </c>
      <c r="M11" s="310">
        <f t="shared" si="1"/>
        <v>8187.6399999999994</v>
      </c>
      <c r="N11" s="310">
        <f t="shared" si="1"/>
        <v>301.80000000000018</v>
      </c>
      <c r="O11" s="310">
        <f t="shared" si="1"/>
        <v>34374</v>
      </c>
      <c r="P11" s="310">
        <f t="shared" si="1"/>
        <v>59189.067999999999</v>
      </c>
      <c r="Q11" s="310">
        <f t="shared" si="1"/>
        <v>0</v>
      </c>
      <c r="R11" s="310">
        <f t="shared" si="1"/>
        <v>0</v>
      </c>
      <c r="S11" s="310">
        <f t="shared" si="1"/>
        <v>0</v>
      </c>
      <c r="T11" s="310">
        <f t="shared" si="1"/>
        <v>59189.067999999999</v>
      </c>
      <c r="U11" s="310">
        <f t="shared" si="1"/>
        <v>7796.643</v>
      </c>
      <c r="V11" s="310">
        <f t="shared" si="1"/>
        <v>51392.425000000003</v>
      </c>
      <c r="W11" s="310"/>
    </row>
    <row r="12" spans="1:23" s="244" customFormat="1" ht="39.6" customHeight="1">
      <c r="A12" s="95">
        <v>1</v>
      </c>
      <c r="B12" s="99" t="s">
        <v>191</v>
      </c>
      <c r="C12" s="309">
        <v>4829</v>
      </c>
      <c r="D12" s="309">
        <v>5236.7139999999999</v>
      </c>
      <c r="E12" s="309">
        <v>4590</v>
      </c>
      <c r="F12" s="309">
        <v>5443.74</v>
      </c>
      <c r="G12" s="309">
        <f>J12</f>
        <v>4760</v>
      </c>
      <c r="H12" s="309"/>
      <c r="I12" s="309"/>
      <c r="J12" s="309">
        <f>4760000000/1000000</f>
        <v>4760</v>
      </c>
      <c r="K12" s="309">
        <f>M12</f>
        <v>683.73999999999978</v>
      </c>
      <c r="L12" s="309"/>
      <c r="M12" s="309">
        <f>F12-J12</f>
        <v>683.73999999999978</v>
      </c>
      <c r="N12" s="309"/>
      <c r="O12" s="309">
        <v>4675</v>
      </c>
      <c r="P12" s="309">
        <f>(O12*1251000)/1000000</f>
        <v>5848.4250000000002</v>
      </c>
      <c r="Q12" s="309"/>
      <c r="R12" s="309"/>
      <c r="S12" s="309"/>
      <c r="T12" s="309">
        <f>V12</f>
        <v>5848.4250000000002</v>
      </c>
      <c r="U12" s="309"/>
      <c r="V12" s="309">
        <f>P12</f>
        <v>5848.4250000000002</v>
      </c>
      <c r="W12" s="309"/>
    </row>
    <row r="13" spans="1:23" s="244" customFormat="1" ht="68.25" customHeight="1">
      <c r="A13" s="95">
        <f>+A12+1</f>
        <v>2</v>
      </c>
      <c r="B13" s="99" t="s">
        <v>192</v>
      </c>
      <c r="C13" s="309">
        <v>15628</v>
      </c>
      <c r="D13" s="309">
        <v>142180.28899999999</v>
      </c>
      <c r="E13" s="309">
        <v>15371</v>
      </c>
      <c r="F13" s="309">
        <v>13833.9</v>
      </c>
      <c r="G13" s="309">
        <f>J13</f>
        <v>11061</v>
      </c>
      <c r="H13" s="309"/>
      <c r="I13" s="309"/>
      <c r="J13" s="309">
        <v>11061</v>
      </c>
      <c r="K13" s="309">
        <f>M13</f>
        <v>2772.8999999999996</v>
      </c>
      <c r="L13" s="309"/>
      <c r="M13" s="309">
        <f>F13-J13</f>
        <v>2772.8999999999996</v>
      </c>
      <c r="N13" s="309"/>
      <c r="O13" s="309">
        <v>16120</v>
      </c>
      <c r="P13" s="309">
        <v>14508</v>
      </c>
      <c r="Q13" s="309"/>
      <c r="R13" s="309"/>
      <c r="S13" s="309"/>
      <c r="T13" s="309">
        <f>P13</f>
        <v>14508</v>
      </c>
      <c r="U13" s="309"/>
      <c r="V13" s="309">
        <f>T13</f>
        <v>14508</v>
      </c>
      <c r="W13" s="309"/>
    </row>
    <row r="14" spans="1:23" s="244" customFormat="1" ht="39.6" customHeight="1">
      <c r="A14" s="95">
        <f>+A13+1</f>
        <v>3</v>
      </c>
      <c r="B14" s="99" t="s">
        <v>193</v>
      </c>
      <c r="C14" s="309">
        <v>10142</v>
      </c>
      <c r="D14" s="309">
        <v>23951.866999999998</v>
      </c>
      <c r="E14" s="309">
        <v>10659</v>
      </c>
      <c r="F14" s="309">
        <v>30720</v>
      </c>
      <c r="G14" s="309">
        <f>26026</f>
        <v>26026</v>
      </c>
      <c r="H14" s="309"/>
      <c r="I14" s="309"/>
      <c r="J14" s="309">
        <f>26026</f>
        <v>26026</v>
      </c>
      <c r="K14" s="309">
        <f>M14</f>
        <v>4694</v>
      </c>
      <c r="L14" s="309"/>
      <c r="M14" s="309">
        <f>F14-J14</f>
        <v>4694</v>
      </c>
      <c r="N14" s="309"/>
      <c r="O14" s="309">
        <v>10659</v>
      </c>
      <c r="P14" s="309">
        <v>30720</v>
      </c>
      <c r="Q14" s="309"/>
      <c r="R14" s="309"/>
      <c r="S14" s="309"/>
      <c r="T14" s="309">
        <v>30720</v>
      </c>
      <c r="U14" s="309"/>
      <c r="V14" s="309">
        <v>30720</v>
      </c>
      <c r="W14" s="309"/>
    </row>
    <row r="15" spans="1:23" s="244" customFormat="1" ht="81.75" customHeight="1">
      <c r="A15" s="95">
        <f>+A14+1</f>
        <v>4</v>
      </c>
      <c r="B15" s="99" t="s">
        <v>194</v>
      </c>
      <c r="C15" s="309">
        <v>47</v>
      </c>
      <c r="D15" s="309">
        <v>228.85</v>
      </c>
      <c r="E15" s="309">
        <v>64</v>
      </c>
      <c r="F15" s="309">
        <v>316</v>
      </c>
      <c r="G15" s="309">
        <v>279</v>
      </c>
      <c r="H15" s="309"/>
      <c r="I15" s="309"/>
      <c r="J15" s="309">
        <v>279</v>
      </c>
      <c r="K15" s="309">
        <f>M15</f>
        <v>37</v>
      </c>
      <c r="L15" s="309"/>
      <c r="M15" s="309">
        <f>F15-G15</f>
        <v>37</v>
      </c>
      <c r="N15" s="309"/>
      <c r="O15" s="309">
        <v>64</v>
      </c>
      <c r="P15" s="309">
        <v>316</v>
      </c>
      <c r="Q15" s="309"/>
      <c r="R15" s="309"/>
      <c r="S15" s="309"/>
      <c r="T15" s="309">
        <v>316</v>
      </c>
      <c r="U15" s="309"/>
      <c r="V15" s="309">
        <v>316</v>
      </c>
      <c r="W15" s="309"/>
    </row>
    <row r="16" spans="1:23" s="301" customFormat="1" ht="39.6" customHeight="1">
      <c r="A16" s="304">
        <v>5</v>
      </c>
      <c r="B16" s="305" t="s">
        <v>195</v>
      </c>
      <c r="C16" s="311">
        <v>36572</v>
      </c>
      <c r="D16" s="311">
        <f>C16*0.1</f>
        <v>3657.2000000000003</v>
      </c>
      <c r="E16" s="311">
        <v>33060</v>
      </c>
      <c r="F16" s="311">
        <f>E16*0.1</f>
        <v>3306</v>
      </c>
      <c r="G16" s="311">
        <v>3607.8</v>
      </c>
      <c r="H16" s="311"/>
      <c r="I16" s="311"/>
      <c r="J16" s="311"/>
      <c r="K16" s="311"/>
      <c r="L16" s="311"/>
      <c r="M16" s="311"/>
      <c r="N16" s="311">
        <f>G16-F16</f>
        <v>301.80000000000018</v>
      </c>
      <c r="O16" s="311"/>
      <c r="P16" s="311"/>
      <c r="Q16" s="311"/>
      <c r="R16" s="311"/>
      <c r="S16" s="311"/>
      <c r="T16" s="311"/>
      <c r="U16" s="311"/>
      <c r="V16" s="311"/>
      <c r="W16" s="311"/>
    </row>
    <row r="17" spans="1:23" s="301" customFormat="1" ht="39.6" customHeight="1">
      <c r="A17" s="304">
        <v>6</v>
      </c>
      <c r="B17" s="305" t="s">
        <v>196</v>
      </c>
      <c r="C17" s="311">
        <f>C18+C19</f>
        <v>166</v>
      </c>
      <c r="D17" s="311">
        <f t="shared" ref="D17:U17" si="2">D18+D19</f>
        <v>68.3</v>
      </c>
      <c r="E17" s="311">
        <f t="shared" si="2"/>
        <v>176</v>
      </c>
      <c r="F17" s="311">
        <f t="shared" si="2"/>
        <v>88</v>
      </c>
      <c r="G17" s="311">
        <f t="shared" si="2"/>
        <v>54</v>
      </c>
      <c r="H17" s="311">
        <f t="shared" si="2"/>
        <v>0</v>
      </c>
      <c r="I17" s="311">
        <f t="shared" si="2"/>
        <v>54</v>
      </c>
      <c r="J17" s="311">
        <f t="shared" si="2"/>
        <v>0</v>
      </c>
      <c r="K17" s="311">
        <f t="shared" si="2"/>
        <v>34</v>
      </c>
      <c r="L17" s="311">
        <f t="shared" si="2"/>
        <v>14</v>
      </c>
      <c r="M17" s="311">
        <f t="shared" si="2"/>
        <v>0</v>
      </c>
      <c r="N17" s="311">
        <f t="shared" si="2"/>
        <v>0</v>
      </c>
      <c r="O17" s="311">
        <f t="shared" si="2"/>
        <v>176</v>
      </c>
      <c r="P17" s="311">
        <f>P18+P19</f>
        <v>88</v>
      </c>
      <c r="Q17" s="311">
        <f t="shared" si="2"/>
        <v>0</v>
      </c>
      <c r="R17" s="311">
        <f t="shared" si="2"/>
        <v>0</v>
      </c>
      <c r="S17" s="311">
        <f t="shared" si="2"/>
        <v>0</v>
      </c>
      <c r="T17" s="311">
        <f>T18+T19</f>
        <v>88</v>
      </c>
      <c r="U17" s="311">
        <f t="shared" si="2"/>
        <v>88</v>
      </c>
      <c r="V17" s="311">
        <f>V18+V19</f>
        <v>0</v>
      </c>
      <c r="W17" s="311"/>
    </row>
    <row r="18" spans="1:23" s="282" customFormat="1" ht="54" customHeight="1">
      <c r="A18" s="306"/>
      <c r="B18" s="307" t="s">
        <v>197</v>
      </c>
      <c r="C18" s="312">
        <v>136</v>
      </c>
      <c r="D18" s="312">
        <v>54.4</v>
      </c>
      <c r="E18" s="312">
        <v>136</v>
      </c>
      <c r="F18" s="312">
        <f>E18*0.5</f>
        <v>68</v>
      </c>
      <c r="G18" s="312">
        <v>54</v>
      </c>
      <c r="H18" s="312"/>
      <c r="I18" s="312">
        <v>54</v>
      </c>
      <c r="J18" s="312"/>
      <c r="K18" s="312">
        <f>F18-G18</f>
        <v>14</v>
      </c>
      <c r="L18" s="312">
        <v>14</v>
      </c>
      <c r="M18" s="312"/>
      <c r="N18" s="312"/>
      <c r="O18" s="312">
        <v>136</v>
      </c>
      <c r="P18" s="312">
        <f>O18*0.5</f>
        <v>68</v>
      </c>
      <c r="Q18" s="312"/>
      <c r="R18" s="312"/>
      <c r="S18" s="312"/>
      <c r="T18" s="312">
        <f>SUM(U18:V18)</f>
        <v>68</v>
      </c>
      <c r="U18" s="312">
        <v>68</v>
      </c>
      <c r="V18" s="312"/>
      <c r="W18" s="312"/>
    </row>
    <row r="19" spans="1:23" s="282" customFormat="1" ht="39.6" customHeight="1">
      <c r="A19" s="306"/>
      <c r="B19" s="307" t="s">
        <v>198</v>
      </c>
      <c r="C19" s="312">
        <v>30</v>
      </c>
      <c r="D19" s="312">
        <v>13.9</v>
      </c>
      <c r="E19" s="312">
        <v>40</v>
      </c>
      <c r="F19" s="312">
        <f>E19*0.5</f>
        <v>20</v>
      </c>
      <c r="G19" s="312"/>
      <c r="H19" s="312"/>
      <c r="I19" s="312"/>
      <c r="J19" s="312"/>
      <c r="K19" s="312">
        <f>F19</f>
        <v>20</v>
      </c>
      <c r="L19" s="312">
        <f>G19</f>
        <v>0</v>
      </c>
      <c r="M19" s="312"/>
      <c r="N19" s="312"/>
      <c r="O19" s="312">
        <v>40</v>
      </c>
      <c r="P19" s="312">
        <f>O19*0.5</f>
        <v>20</v>
      </c>
      <c r="Q19" s="312"/>
      <c r="R19" s="312"/>
      <c r="S19" s="312"/>
      <c r="T19" s="312">
        <f>SUM(U19:V19)</f>
        <v>20</v>
      </c>
      <c r="U19" s="312">
        <v>20</v>
      </c>
      <c r="V19" s="312"/>
      <c r="W19" s="312"/>
    </row>
    <row r="20" spans="1:23" s="301" customFormat="1" ht="85.5" customHeight="1">
      <c r="A20" s="304">
        <v>7</v>
      </c>
      <c r="B20" s="305" t="s">
        <v>200</v>
      </c>
      <c r="C20" s="308">
        <v>1713</v>
      </c>
      <c r="D20" s="308">
        <v>5307.6060000000007</v>
      </c>
      <c r="E20" s="308">
        <v>2219</v>
      </c>
      <c r="F20" s="308">
        <v>6680.5020000000004</v>
      </c>
      <c r="G20" s="308">
        <f>+H20+I20+J20</f>
        <v>6008</v>
      </c>
      <c r="H20" s="308"/>
      <c r="I20" s="308">
        <v>6008</v>
      </c>
      <c r="J20" s="308"/>
      <c r="K20" s="308">
        <f>+L20+M20</f>
        <v>672.50200000000041</v>
      </c>
      <c r="L20" s="308">
        <f>+F20-I20</f>
        <v>672.50200000000041</v>
      </c>
      <c r="M20" s="308"/>
      <c r="N20" s="308"/>
      <c r="O20" s="308">
        <v>2680</v>
      </c>
      <c r="P20" s="308">
        <v>7708.643</v>
      </c>
      <c r="Q20" s="308"/>
      <c r="R20" s="308"/>
      <c r="S20" s="308"/>
      <c r="T20" s="308">
        <f>U20</f>
        <v>7708.643</v>
      </c>
      <c r="U20" s="308">
        <v>7708.643</v>
      </c>
      <c r="V20" s="308"/>
      <c r="W20" s="308"/>
    </row>
  </sheetData>
  <mergeCells count="29">
    <mergeCell ref="W7:W9"/>
    <mergeCell ref="T7:V7"/>
    <mergeCell ref="O7:O9"/>
    <mergeCell ref="Q8:Q9"/>
    <mergeCell ref="C6:D6"/>
    <mergeCell ref="R8:S8"/>
    <mergeCell ref="T8:T9"/>
    <mergeCell ref="L8:M8"/>
    <mergeCell ref="C7:C9"/>
    <mergeCell ref="D7:D9"/>
    <mergeCell ref="G8:G9"/>
    <mergeCell ref="Q7:S7"/>
    <mergeCell ref="G7:J7"/>
    <mergeCell ref="O1:W1"/>
    <mergeCell ref="A3:W3"/>
    <mergeCell ref="A4:W4"/>
    <mergeCell ref="T5:W5"/>
    <mergeCell ref="P7:P9"/>
    <mergeCell ref="O6:W6"/>
    <mergeCell ref="E6:N6"/>
    <mergeCell ref="E7:E9"/>
    <mergeCell ref="H8:J8"/>
    <mergeCell ref="K8:K9"/>
    <mergeCell ref="K7:M7"/>
    <mergeCell ref="F7:F9"/>
    <mergeCell ref="N7:N9"/>
    <mergeCell ref="A6:A9"/>
    <mergeCell ref="B6:B9"/>
    <mergeCell ref="U8:V8"/>
  </mergeCells>
  <phoneticPr fontId="13" type="noConversion"/>
  <pageMargins left="0.70866141732283472" right="0.4" top="0.74803149606299213" bottom="0.74803149606299213" header="0.31496062992125984" footer="0.31496062992125984"/>
  <pageSetup paperSize="9" scale="5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view="pageBreakPreview" topLeftCell="B35" zoomScaleNormal="100" workbookViewId="0">
      <selection activeCell="D7" sqref="D7"/>
    </sheetView>
  </sheetViews>
  <sheetFormatPr defaultRowHeight="15.75"/>
  <cols>
    <col min="1" max="1" width="4.140625" style="92" customWidth="1"/>
    <col min="2" max="2" width="60.28515625" style="12" customWidth="1"/>
    <col min="3" max="3" width="22.28515625" style="12" customWidth="1"/>
    <col min="4" max="5" width="22.7109375" style="93" customWidth="1"/>
    <col min="6" max="6" width="9.140625" style="13"/>
    <col min="7" max="7" width="10" style="13" customWidth="1"/>
    <col min="8" max="16384" width="9.140625" style="13"/>
  </cols>
  <sheetData>
    <row r="1" spans="1:7" ht="18.75" hidden="1">
      <c r="A1" s="1141" t="s">
        <v>356</v>
      </c>
      <c r="B1" s="1141"/>
      <c r="C1" s="1141"/>
      <c r="D1" s="1141"/>
      <c r="E1" s="1141"/>
    </row>
    <row r="2" spans="1:7" ht="44.25" customHeight="1">
      <c r="A2" s="1142" t="s">
        <v>425</v>
      </c>
      <c r="B2" s="1142"/>
      <c r="C2" s="1142"/>
      <c r="D2" s="1142"/>
      <c r="E2" s="1142"/>
      <c r="F2" s="1142"/>
      <c r="G2" s="1142"/>
    </row>
    <row r="3" spans="1:7" ht="29.25" customHeight="1">
      <c r="A3" s="1143" t="s">
        <v>486</v>
      </c>
      <c r="B3" s="1143"/>
      <c r="C3" s="1143"/>
      <c r="D3" s="1143"/>
      <c r="E3" s="1143"/>
      <c r="F3" s="1143"/>
      <c r="G3" s="1143"/>
    </row>
    <row r="4" spans="1:7" ht="29.25" customHeight="1">
      <c r="A4" s="1145" t="s">
        <v>797</v>
      </c>
      <c r="B4" s="1145"/>
      <c r="C4" s="1145"/>
      <c r="D4" s="1145"/>
      <c r="E4" s="1145"/>
      <c r="F4" s="1145"/>
      <c r="G4" s="1145"/>
    </row>
    <row r="5" spans="1:7" s="69" customFormat="1" ht="147" customHeight="1">
      <c r="A5" s="66" t="s">
        <v>246</v>
      </c>
      <c r="B5" s="67" t="s">
        <v>357</v>
      </c>
      <c r="C5" s="68" t="s">
        <v>424</v>
      </c>
      <c r="D5" s="68" t="s">
        <v>46</v>
      </c>
      <c r="E5" s="68" t="s">
        <v>47</v>
      </c>
      <c r="F5" s="160" t="s">
        <v>416</v>
      </c>
      <c r="G5" s="160" t="s">
        <v>415</v>
      </c>
    </row>
    <row r="6" spans="1:7" s="69" customFormat="1" ht="32.25" customHeight="1">
      <c r="A6" s="66"/>
      <c r="B6" s="71" t="s">
        <v>358</v>
      </c>
      <c r="C6" s="94">
        <f>C7+C12+C13</f>
        <v>458803000000</v>
      </c>
      <c r="D6" s="94">
        <f>D7+D12+D13</f>
        <v>532018072539</v>
      </c>
      <c r="E6" s="94">
        <f>E7+E12+E13</f>
        <v>620243700000</v>
      </c>
      <c r="F6" s="161">
        <f>D6/C6</f>
        <v>1.1595784520567651</v>
      </c>
      <c r="G6" s="161">
        <f>E6/D6</f>
        <v>1.1658320121343859</v>
      </c>
    </row>
    <row r="7" spans="1:7" s="74" customFormat="1" ht="35.1" customHeight="1">
      <c r="A7" s="72"/>
      <c r="B7" s="163" t="s">
        <v>464</v>
      </c>
      <c r="C7" s="72">
        <f>C9+C43</f>
        <v>458153000000</v>
      </c>
      <c r="D7" s="72">
        <f>+D9+D43+D49+D52</f>
        <v>531248072539</v>
      </c>
      <c r="E7" s="72">
        <f>+E9+E43+E49+E52</f>
        <v>619593700000</v>
      </c>
      <c r="F7" s="161">
        <f t="shared" ref="F7:F48" si="0">D7/C7</f>
        <v>1.1595429311583685</v>
      </c>
      <c r="G7" s="161">
        <f t="shared" ref="G7:G48" si="1">E7/D7</f>
        <v>1.1662982550482841</v>
      </c>
    </row>
    <row r="8" spans="1:7" s="27" customFormat="1" ht="35.1" customHeight="1">
      <c r="A8" s="75" t="s">
        <v>218</v>
      </c>
      <c r="B8" s="73" t="s">
        <v>359</v>
      </c>
      <c r="C8" s="75">
        <f>C9+C12+C13</f>
        <v>14140000000</v>
      </c>
      <c r="D8" s="75">
        <f>D10+D11+D12+D13</f>
        <v>15100000000</v>
      </c>
      <c r="E8" s="75">
        <f>E10+E11+E12+E13</f>
        <v>15500000000</v>
      </c>
      <c r="F8" s="161">
        <f t="shared" si="0"/>
        <v>1.0678925035360678</v>
      </c>
      <c r="G8" s="161">
        <f t="shared" si="1"/>
        <v>1.0264900662251655</v>
      </c>
    </row>
    <row r="9" spans="1:7" s="117" customFormat="1" ht="35.1" customHeight="1">
      <c r="A9" s="118"/>
      <c r="B9" s="119" t="s">
        <v>360</v>
      </c>
      <c r="C9" s="114">
        <f>C10+C11</f>
        <v>13490000000</v>
      </c>
      <c r="D9" s="114">
        <f>D10+D11</f>
        <v>14330000000</v>
      </c>
      <c r="E9" s="114">
        <f>E10+E11</f>
        <v>14850000000</v>
      </c>
      <c r="F9" s="161">
        <f t="shared" si="0"/>
        <v>1.0622683469236471</v>
      </c>
      <c r="G9" s="161">
        <f t="shared" si="1"/>
        <v>1.0362875087229588</v>
      </c>
    </row>
    <row r="10" spans="1:7" s="27" customFormat="1" ht="35.1" customHeight="1">
      <c r="A10" s="78"/>
      <c r="B10" s="79" t="s">
        <v>361</v>
      </c>
      <c r="C10" s="80">
        <f>C14+C19+C22+C27+C30+C33+C37+C41</f>
        <v>12740000000</v>
      </c>
      <c r="D10" s="80">
        <f>D14+D19+D22+D27+D30+D33+D37+D41</f>
        <v>13360000000</v>
      </c>
      <c r="E10" s="80">
        <f>E14+E19+E22+E27+E30+E33+E37+E41</f>
        <v>13960000000</v>
      </c>
      <c r="F10" s="162">
        <f t="shared" si="0"/>
        <v>1.0486656200941915</v>
      </c>
      <c r="G10" s="162">
        <f t="shared" si="1"/>
        <v>1.0449101796407185</v>
      </c>
    </row>
    <row r="11" spans="1:7" s="27" customFormat="1" ht="35.1" customHeight="1">
      <c r="A11" s="78"/>
      <c r="B11" s="79" t="s">
        <v>362</v>
      </c>
      <c r="C11" s="80">
        <f>C20+C23+C31+C28+C38+C42</f>
        <v>750000000</v>
      </c>
      <c r="D11" s="80">
        <f>D20+D23+D31+D28+D38+D42</f>
        <v>970000000</v>
      </c>
      <c r="E11" s="80">
        <f>E20+E23+E31+E28+E38+E42</f>
        <v>890000000</v>
      </c>
      <c r="F11" s="162">
        <f t="shared" si="0"/>
        <v>1.2933333333333332</v>
      </c>
      <c r="G11" s="162">
        <f t="shared" si="1"/>
        <v>0.91752577319587625</v>
      </c>
    </row>
    <row r="12" spans="1:7" s="117" customFormat="1" ht="35.1" customHeight="1">
      <c r="A12" s="114"/>
      <c r="B12" s="115" t="s">
        <v>363</v>
      </c>
      <c r="C12" s="114">
        <f>C26+C36</f>
        <v>500000000</v>
      </c>
      <c r="D12" s="114">
        <f>D26+D36</f>
        <v>600000000</v>
      </c>
      <c r="E12" s="114">
        <f>E26+E36</f>
        <v>500000000</v>
      </c>
      <c r="F12" s="161">
        <f t="shared" si="0"/>
        <v>1.2</v>
      </c>
      <c r="G12" s="161">
        <f t="shared" si="1"/>
        <v>0.83333333333333337</v>
      </c>
    </row>
    <row r="13" spans="1:7" s="117" customFormat="1" ht="35.1" customHeight="1">
      <c r="A13" s="114"/>
      <c r="B13" s="115" t="s">
        <v>364</v>
      </c>
      <c r="C13" s="114">
        <f>C32+C35+C40</f>
        <v>150000000</v>
      </c>
      <c r="D13" s="114">
        <f>D32+D35+D40</f>
        <v>170000000</v>
      </c>
      <c r="E13" s="114">
        <f>E32+E35+E40</f>
        <v>150000000</v>
      </c>
      <c r="F13" s="161">
        <f t="shared" si="0"/>
        <v>1.1333333333333333</v>
      </c>
      <c r="G13" s="161">
        <f t="shared" si="1"/>
        <v>0.88235294117647056</v>
      </c>
    </row>
    <row r="14" spans="1:7" s="27" customFormat="1" ht="35.1" customHeight="1">
      <c r="A14" s="72">
        <v>1</v>
      </c>
      <c r="B14" s="81" t="s">
        <v>365</v>
      </c>
      <c r="C14" s="72">
        <f>C15+C16+C17</f>
        <v>9650000000</v>
      </c>
      <c r="D14" s="72">
        <f>D15+D16+D17</f>
        <v>9650000000</v>
      </c>
      <c r="E14" s="72">
        <f>E15+E16+E17</f>
        <v>10700000000</v>
      </c>
      <c r="F14" s="161">
        <f t="shared" si="0"/>
        <v>1</v>
      </c>
      <c r="G14" s="161">
        <f t="shared" si="1"/>
        <v>1.1088082901554404</v>
      </c>
    </row>
    <row r="15" spans="1:7" s="27" customFormat="1" ht="35.1" customHeight="1">
      <c r="A15" s="80"/>
      <c r="B15" s="79" t="s">
        <v>366</v>
      </c>
      <c r="C15" s="80">
        <v>6500000000</v>
      </c>
      <c r="D15" s="80">
        <v>6500000000</v>
      </c>
      <c r="E15" s="80">
        <v>7300000000</v>
      </c>
      <c r="F15" s="162">
        <f t="shared" si="0"/>
        <v>1</v>
      </c>
      <c r="G15" s="162">
        <f t="shared" si="1"/>
        <v>1.1230769230769231</v>
      </c>
    </row>
    <row r="16" spans="1:7" s="27" customFormat="1" ht="35.1" customHeight="1">
      <c r="A16" s="80"/>
      <c r="B16" s="79" t="s">
        <v>367</v>
      </c>
      <c r="C16" s="80">
        <v>310000000</v>
      </c>
      <c r="D16" s="80">
        <v>310000000</v>
      </c>
      <c r="E16" s="80">
        <v>400000000</v>
      </c>
      <c r="F16" s="162">
        <f t="shared" si="0"/>
        <v>1</v>
      </c>
      <c r="G16" s="162">
        <f t="shared" si="1"/>
        <v>1.2903225806451613</v>
      </c>
    </row>
    <row r="17" spans="1:7" s="27" customFormat="1" ht="35.1" customHeight="1">
      <c r="A17" s="80"/>
      <c r="B17" s="79" t="s">
        <v>368</v>
      </c>
      <c r="C17" s="80">
        <v>2840000000</v>
      </c>
      <c r="D17" s="80">
        <v>2840000000</v>
      </c>
      <c r="E17" s="80">
        <v>3000000000</v>
      </c>
      <c r="F17" s="162">
        <f t="shared" si="0"/>
        <v>1</v>
      </c>
      <c r="G17" s="162">
        <f t="shared" si="1"/>
        <v>1.056338028169014</v>
      </c>
    </row>
    <row r="18" spans="1:7" s="27" customFormat="1" ht="35.1" customHeight="1">
      <c r="A18" s="72">
        <v>2</v>
      </c>
      <c r="B18" s="81" t="s">
        <v>369</v>
      </c>
      <c r="C18" s="72">
        <f>C19+C20</f>
        <v>1590000000</v>
      </c>
      <c r="D18" s="72">
        <f>SUM(D19:D20)</f>
        <v>1590000000</v>
      </c>
      <c r="E18" s="72">
        <f>SUM(E19:E20)</f>
        <v>1600000000</v>
      </c>
      <c r="F18" s="161">
        <f t="shared" si="0"/>
        <v>1</v>
      </c>
      <c r="G18" s="161">
        <f t="shared" si="1"/>
        <v>1.0062893081761006</v>
      </c>
    </row>
    <row r="19" spans="1:7" s="27" customFormat="1" ht="35.1" customHeight="1">
      <c r="A19" s="80"/>
      <c r="B19" s="79" t="s">
        <v>370</v>
      </c>
      <c r="C19" s="80">
        <v>1290000000</v>
      </c>
      <c r="D19" s="80">
        <v>1290000000</v>
      </c>
      <c r="E19" s="80">
        <v>1300000000</v>
      </c>
      <c r="F19" s="162">
        <f t="shared" si="0"/>
        <v>1</v>
      </c>
      <c r="G19" s="162">
        <f t="shared" si="1"/>
        <v>1.0077519379844961</v>
      </c>
    </row>
    <row r="20" spans="1:7" s="27" customFormat="1" ht="35.1" customHeight="1">
      <c r="A20" s="80"/>
      <c r="B20" s="79" t="s">
        <v>371</v>
      </c>
      <c r="C20" s="80">
        <v>300000000</v>
      </c>
      <c r="D20" s="80">
        <v>300000000</v>
      </c>
      <c r="E20" s="80">
        <v>300000000</v>
      </c>
      <c r="F20" s="162">
        <f t="shared" si="0"/>
        <v>1</v>
      </c>
      <c r="G20" s="162">
        <f t="shared" si="1"/>
        <v>1</v>
      </c>
    </row>
    <row r="21" spans="1:7" s="27" customFormat="1" ht="35.1" customHeight="1">
      <c r="A21" s="72">
        <v>3</v>
      </c>
      <c r="B21" s="81" t="s">
        <v>372</v>
      </c>
      <c r="C21" s="72">
        <f>C22+C23</f>
        <v>1000000000</v>
      </c>
      <c r="D21" s="72">
        <f>SUM(D22:D24)</f>
        <v>1000000000</v>
      </c>
      <c r="E21" s="72">
        <f>SUM(E22:E24)</f>
        <v>1300000000</v>
      </c>
      <c r="F21" s="161">
        <f t="shared" si="0"/>
        <v>1</v>
      </c>
      <c r="G21" s="161">
        <f t="shared" si="1"/>
        <v>1.3</v>
      </c>
    </row>
    <row r="22" spans="1:7" s="27" customFormat="1" ht="35.1" customHeight="1">
      <c r="A22" s="80"/>
      <c r="B22" s="79" t="s">
        <v>373</v>
      </c>
      <c r="C22" s="80">
        <v>850000000</v>
      </c>
      <c r="D22" s="80">
        <v>850000000</v>
      </c>
      <c r="E22" s="80">
        <v>1040000000</v>
      </c>
      <c r="F22" s="162">
        <f t="shared" si="0"/>
        <v>1</v>
      </c>
      <c r="G22" s="162">
        <f t="shared" si="1"/>
        <v>1.223529411764706</v>
      </c>
    </row>
    <row r="23" spans="1:7" s="27" customFormat="1" ht="35.1" customHeight="1">
      <c r="A23" s="80"/>
      <c r="B23" s="79" t="s">
        <v>374</v>
      </c>
      <c r="C23" s="80">
        <v>150000000</v>
      </c>
      <c r="D23" s="80">
        <v>150000000</v>
      </c>
      <c r="E23" s="80">
        <v>260000000</v>
      </c>
      <c r="F23" s="162">
        <f t="shared" si="0"/>
        <v>1</v>
      </c>
      <c r="G23" s="162">
        <f t="shared" si="1"/>
        <v>1.7333333333333334</v>
      </c>
    </row>
    <row r="24" spans="1:7" s="27" customFormat="1" ht="35.1" hidden="1" customHeight="1">
      <c r="A24" s="80"/>
      <c r="B24" s="79" t="s">
        <v>363</v>
      </c>
      <c r="C24" s="80"/>
      <c r="D24" s="80"/>
      <c r="E24" s="80"/>
      <c r="F24" s="161" t="e">
        <f t="shared" si="0"/>
        <v>#DIV/0!</v>
      </c>
      <c r="G24" s="161" t="e">
        <f t="shared" si="1"/>
        <v>#DIV/0!</v>
      </c>
    </row>
    <row r="25" spans="1:7" s="84" customFormat="1" ht="35.1" customHeight="1">
      <c r="A25" s="72">
        <v>4</v>
      </c>
      <c r="B25" s="81" t="s">
        <v>375</v>
      </c>
      <c r="C25" s="72">
        <f>C26+C27+C28</f>
        <v>1000000000</v>
      </c>
      <c r="D25" s="72">
        <f>D26+D27+D28</f>
        <v>1030000000</v>
      </c>
      <c r="E25" s="72">
        <f>E26+E27+E28</f>
        <v>1000000000</v>
      </c>
      <c r="F25" s="161">
        <f t="shared" si="0"/>
        <v>1.03</v>
      </c>
      <c r="G25" s="161">
        <f t="shared" si="1"/>
        <v>0.970873786407767</v>
      </c>
    </row>
    <row r="26" spans="1:7" s="27" customFormat="1" ht="35.1" customHeight="1">
      <c r="A26" s="80"/>
      <c r="B26" s="79" t="s">
        <v>44</v>
      </c>
      <c r="C26" s="80">
        <v>500000000</v>
      </c>
      <c r="D26" s="80">
        <v>500000000</v>
      </c>
      <c r="E26" s="80">
        <v>500000000</v>
      </c>
      <c r="F26" s="162">
        <f t="shared" si="0"/>
        <v>1</v>
      </c>
      <c r="G26" s="162">
        <f t="shared" si="1"/>
        <v>1</v>
      </c>
    </row>
    <row r="27" spans="1:7" s="27" customFormat="1" ht="35.1" customHeight="1">
      <c r="A27" s="80"/>
      <c r="B27" s="79" t="s">
        <v>45</v>
      </c>
      <c r="C27" s="80">
        <v>500000000</v>
      </c>
      <c r="D27" s="80">
        <v>500000000</v>
      </c>
      <c r="E27" s="80">
        <v>500000000</v>
      </c>
      <c r="F27" s="162">
        <f t="shared" si="0"/>
        <v>1</v>
      </c>
      <c r="G27" s="162">
        <f t="shared" si="1"/>
        <v>1</v>
      </c>
    </row>
    <row r="28" spans="1:7" s="27" customFormat="1" ht="35.1" customHeight="1">
      <c r="A28" s="80"/>
      <c r="B28" s="79" t="s">
        <v>394</v>
      </c>
      <c r="C28" s="80"/>
      <c r="D28" s="80">
        <v>30000000</v>
      </c>
      <c r="E28" s="80"/>
      <c r="F28" s="161"/>
      <c r="G28" s="161"/>
    </row>
    <row r="29" spans="1:7" s="84" customFormat="1" ht="35.1" customHeight="1">
      <c r="A29" s="72">
        <v>5</v>
      </c>
      <c r="B29" s="81" t="s">
        <v>376</v>
      </c>
      <c r="C29" s="72">
        <f>C30+C31+C32</f>
        <v>420000000</v>
      </c>
      <c r="D29" s="72">
        <f>D30+D31+D32</f>
        <v>470000000</v>
      </c>
      <c r="E29" s="72">
        <f>E30+E31+E32</f>
        <v>450000000</v>
      </c>
      <c r="F29" s="161">
        <f t="shared" si="0"/>
        <v>1.1190476190476191</v>
      </c>
      <c r="G29" s="161">
        <f t="shared" si="1"/>
        <v>0.95744680851063835</v>
      </c>
    </row>
    <row r="30" spans="1:7" s="27" customFormat="1" ht="35.1" customHeight="1">
      <c r="A30" s="80"/>
      <c r="B30" s="79" t="s">
        <v>382</v>
      </c>
      <c r="C30" s="80">
        <v>120000000</v>
      </c>
      <c r="D30" s="80">
        <v>150000000</v>
      </c>
      <c r="E30" s="80">
        <v>120000000</v>
      </c>
      <c r="F30" s="162">
        <f t="shared" si="0"/>
        <v>1.25</v>
      </c>
      <c r="G30" s="162">
        <f t="shared" si="1"/>
        <v>0.8</v>
      </c>
    </row>
    <row r="31" spans="1:7" s="27" customFormat="1" ht="35.1" customHeight="1">
      <c r="A31" s="80"/>
      <c r="B31" s="79" t="s">
        <v>374</v>
      </c>
      <c r="C31" s="80">
        <v>300000000</v>
      </c>
      <c r="D31" s="80">
        <v>300000000</v>
      </c>
      <c r="E31" s="80">
        <v>330000000</v>
      </c>
      <c r="F31" s="162">
        <f t="shared" si="0"/>
        <v>1</v>
      </c>
      <c r="G31" s="162">
        <f t="shared" si="1"/>
        <v>1.1000000000000001</v>
      </c>
    </row>
    <row r="32" spans="1:7" s="27" customFormat="1" ht="35.1" customHeight="1">
      <c r="A32" s="80"/>
      <c r="B32" s="79" t="s">
        <v>377</v>
      </c>
      <c r="C32" s="78"/>
      <c r="D32" s="80">
        <v>20000000</v>
      </c>
      <c r="E32" s="80"/>
      <c r="F32" s="161"/>
      <c r="G32" s="161"/>
    </row>
    <row r="33" spans="1:7" s="84" customFormat="1" ht="35.1" customHeight="1">
      <c r="A33" s="72">
        <v>6</v>
      </c>
      <c r="B33" s="81" t="s">
        <v>378</v>
      </c>
      <c r="C33" s="72">
        <v>30000000</v>
      </c>
      <c r="D33" s="72">
        <v>70000000</v>
      </c>
      <c r="E33" s="72">
        <v>100000000</v>
      </c>
      <c r="F33" s="161">
        <f t="shared" si="0"/>
        <v>2.3333333333333335</v>
      </c>
      <c r="G33" s="161">
        <f t="shared" si="1"/>
        <v>1.4285714285714286</v>
      </c>
    </row>
    <row r="34" spans="1:7" s="27" customFormat="1" ht="35.1" customHeight="1">
      <c r="A34" s="72">
        <v>7</v>
      </c>
      <c r="B34" s="81" t="s">
        <v>379</v>
      </c>
      <c r="C34" s="72">
        <f>C35+C36+C37+C38</f>
        <v>450000000</v>
      </c>
      <c r="D34" s="72">
        <f>SUM(D35,D36,D37,D38)</f>
        <v>990000000</v>
      </c>
      <c r="E34" s="72">
        <f>SUM(E35,E36,E37,E38)</f>
        <v>350000000</v>
      </c>
      <c r="F34" s="161">
        <f t="shared" si="0"/>
        <v>2.2000000000000002</v>
      </c>
      <c r="G34" s="161">
        <f t="shared" si="1"/>
        <v>0.35353535353535354</v>
      </c>
    </row>
    <row r="35" spans="1:7" s="27" customFormat="1" ht="35.1" customHeight="1">
      <c r="A35" s="80"/>
      <c r="B35" s="79" t="s">
        <v>380</v>
      </c>
      <c r="C35" s="80">
        <v>150000000</v>
      </c>
      <c r="D35" s="80">
        <v>150000000</v>
      </c>
      <c r="E35" s="80">
        <v>150000000</v>
      </c>
      <c r="F35" s="161">
        <f t="shared" si="0"/>
        <v>1</v>
      </c>
      <c r="G35" s="161">
        <f t="shared" si="1"/>
        <v>1</v>
      </c>
    </row>
    <row r="36" spans="1:7" s="27" customFormat="1" ht="35.1" customHeight="1">
      <c r="A36" s="80"/>
      <c r="B36" s="79" t="s">
        <v>381</v>
      </c>
      <c r="C36" s="80"/>
      <c r="D36" s="80">
        <v>100000000</v>
      </c>
      <c r="E36" s="80"/>
      <c r="F36" s="161"/>
      <c r="G36" s="161"/>
    </row>
    <row r="37" spans="1:7" s="27" customFormat="1" ht="35.1" customHeight="1">
      <c r="A37" s="80"/>
      <c r="B37" s="79" t="s">
        <v>382</v>
      </c>
      <c r="C37" s="80">
        <v>300000000</v>
      </c>
      <c r="D37" s="80">
        <v>700000000</v>
      </c>
      <c r="E37" s="80">
        <v>200000000</v>
      </c>
      <c r="F37" s="161">
        <f t="shared" si="0"/>
        <v>2.3333333333333335</v>
      </c>
      <c r="G37" s="161">
        <f t="shared" si="1"/>
        <v>0.2857142857142857</v>
      </c>
    </row>
    <row r="38" spans="1:7" s="27" customFormat="1" ht="35.1" customHeight="1">
      <c r="A38" s="80"/>
      <c r="B38" s="79" t="s">
        <v>374</v>
      </c>
      <c r="C38" s="80"/>
      <c r="D38" s="80">
        <v>40000000</v>
      </c>
      <c r="E38" s="80"/>
      <c r="F38" s="161"/>
      <c r="G38" s="161"/>
    </row>
    <row r="39" spans="1:7" s="84" customFormat="1" ht="35.1" customHeight="1">
      <c r="A39" s="72">
        <v>8</v>
      </c>
      <c r="B39" s="81" t="s">
        <v>383</v>
      </c>
      <c r="C39" s="72"/>
      <c r="D39" s="72">
        <f>SUM(D40:D42)</f>
        <v>300000000</v>
      </c>
      <c r="E39" s="72"/>
      <c r="F39" s="161"/>
      <c r="G39" s="161"/>
    </row>
    <row r="40" spans="1:7" s="27" customFormat="1" ht="35.1" hidden="1" customHeight="1">
      <c r="A40" s="80"/>
      <c r="B40" s="79" t="s">
        <v>384</v>
      </c>
      <c r="C40" s="80"/>
      <c r="D40" s="80"/>
      <c r="E40" s="80"/>
      <c r="F40" s="161"/>
      <c r="G40" s="161"/>
    </row>
    <row r="41" spans="1:7" s="27" customFormat="1" ht="35.1" customHeight="1">
      <c r="A41" s="80"/>
      <c r="B41" s="79" t="s">
        <v>385</v>
      </c>
      <c r="C41" s="80"/>
      <c r="D41" s="80">
        <v>150000000</v>
      </c>
      <c r="E41" s="80"/>
      <c r="F41" s="161"/>
      <c r="G41" s="161"/>
    </row>
    <row r="42" spans="1:7" s="27" customFormat="1" ht="35.1" customHeight="1">
      <c r="A42" s="80"/>
      <c r="B42" s="79" t="s">
        <v>374</v>
      </c>
      <c r="C42" s="80"/>
      <c r="D42" s="80">
        <v>150000000</v>
      </c>
      <c r="E42" s="80"/>
      <c r="F42" s="161"/>
      <c r="G42" s="161"/>
    </row>
    <row r="43" spans="1:7" s="27" customFormat="1" ht="35.1" customHeight="1">
      <c r="A43" s="72" t="s">
        <v>219</v>
      </c>
      <c r="B43" s="81" t="s">
        <v>386</v>
      </c>
      <c r="C43" s="72">
        <f>SUM(C44:C48)</f>
        <v>444663000000</v>
      </c>
      <c r="D43" s="72">
        <f>SUM(D44:D48)</f>
        <v>494428572868</v>
      </c>
      <c r="E43" s="72">
        <f>SUM(E44:E48)</f>
        <v>604743700000</v>
      </c>
      <c r="F43" s="161">
        <f t="shared" si="0"/>
        <v>1.1119175035206437</v>
      </c>
      <c r="G43" s="161">
        <f t="shared" si="1"/>
        <v>1.2231164078809242</v>
      </c>
    </row>
    <row r="44" spans="1:7" s="27" customFormat="1" ht="35.1" customHeight="1">
      <c r="A44" s="80"/>
      <c r="B44" s="85" t="s">
        <v>387</v>
      </c>
      <c r="C44" s="80">
        <f>351322000000+8059000000</f>
        <v>359381000000</v>
      </c>
      <c r="D44" s="80">
        <v>359381000000</v>
      </c>
      <c r="E44" s="80">
        <f>359381000000+48247000000+1711700000+4300000000</f>
        <v>413639700000</v>
      </c>
      <c r="F44" s="162">
        <f t="shared" si="0"/>
        <v>1</v>
      </c>
      <c r="G44" s="162">
        <f t="shared" si="1"/>
        <v>1.1509782097551067</v>
      </c>
    </row>
    <row r="45" spans="1:7" s="27" customFormat="1" ht="35.1" hidden="1" customHeight="1">
      <c r="A45" s="80"/>
      <c r="B45" s="85"/>
      <c r="C45" s="80"/>
      <c r="D45" s="80"/>
      <c r="E45" s="80"/>
      <c r="F45" s="162" t="e">
        <f t="shared" si="0"/>
        <v>#DIV/0!</v>
      </c>
      <c r="G45" s="162" t="e">
        <f t="shared" si="1"/>
        <v>#DIV/0!</v>
      </c>
    </row>
    <row r="46" spans="1:7" s="27" customFormat="1" ht="42.75" hidden="1" customHeight="1">
      <c r="A46" s="80"/>
      <c r="B46" s="85"/>
      <c r="C46" s="80"/>
      <c r="D46" s="80"/>
      <c r="E46" s="80"/>
      <c r="F46" s="162" t="e">
        <f t="shared" si="0"/>
        <v>#DIV/0!</v>
      </c>
      <c r="G46" s="162" t="e">
        <f t="shared" si="1"/>
        <v>#DIV/0!</v>
      </c>
    </row>
    <row r="47" spans="1:7" s="27" customFormat="1" ht="44.25" customHeight="1">
      <c r="A47" s="80"/>
      <c r="B47" s="86" t="s">
        <v>388</v>
      </c>
      <c r="C47" s="80">
        <v>69198000000</v>
      </c>
      <c r="D47" s="80">
        <f>76432000000+44000000</f>
        <v>76476000000</v>
      </c>
      <c r="E47" s="80">
        <f>95454000000+650000000</f>
        <v>96104000000</v>
      </c>
      <c r="F47" s="162">
        <f t="shared" si="0"/>
        <v>1.1051764501864216</v>
      </c>
      <c r="G47" s="162">
        <f t="shared" si="1"/>
        <v>1.2566556828285997</v>
      </c>
    </row>
    <row r="48" spans="1:7" s="27" customFormat="1" ht="43.5" customHeight="1">
      <c r="A48" s="80"/>
      <c r="B48" s="87" t="s">
        <v>389</v>
      </c>
      <c r="C48" s="80">
        <v>16084000000</v>
      </c>
      <c r="D48" s="80">
        <f>41000000000+534469700-113302945-290000000+17440406113</f>
        <v>58571572868</v>
      </c>
      <c r="E48" s="80">
        <v>95000000000</v>
      </c>
      <c r="F48" s="162">
        <f t="shared" si="0"/>
        <v>3.6416048786371551</v>
      </c>
      <c r="G48" s="162">
        <f t="shared" si="1"/>
        <v>1.6219472236830148</v>
      </c>
    </row>
    <row r="49" spans="1:7" s="84" customFormat="1" ht="35.1" customHeight="1">
      <c r="A49" s="88" t="s">
        <v>238</v>
      </c>
      <c r="B49" s="63" t="s">
        <v>390</v>
      </c>
      <c r="C49" s="285"/>
      <c r="D49" s="286">
        <f>SUM(D50:D51)</f>
        <v>20622778746</v>
      </c>
      <c r="E49" s="286"/>
      <c r="F49" s="161"/>
      <c r="G49" s="161"/>
    </row>
    <row r="50" spans="1:7" s="84" customFormat="1" ht="35.1" customHeight="1">
      <c r="A50" s="88"/>
      <c r="B50" s="89" t="s">
        <v>391</v>
      </c>
      <c r="C50" s="285"/>
      <c r="D50" s="287">
        <v>20514279892</v>
      </c>
      <c r="E50" s="287"/>
      <c r="F50" s="161"/>
      <c r="G50" s="161"/>
    </row>
    <row r="51" spans="1:7" s="84" customFormat="1" ht="35.1" customHeight="1">
      <c r="A51" s="88"/>
      <c r="B51" s="89" t="s">
        <v>392</v>
      </c>
      <c r="C51" s="285"/>
      <c r="D51" s="287">
        <v>108498854</v>
      </c>
      <c r="E51" s="287"/>
      <c r="F51" s="161"/>
      <c r="G51" s="161"/>
    </row>
    <row r="52" spans="1:7" s="84" customFormat="1" ht="35.1" customHeight="1">
      <c r="A52" s="88" t="s">
        <v>74</v>
      </c>
      <c r="B52" s="90" t="s">
        <v>393</v>
      </c>
      <c r="C52" s="288"/>
      <c r="D52" s="72">
        <f>SUM(D53:D54)</f>
        <v>1866720925</v>
      </c>
      <c r="E52" s="72"/>
      <c r="F52" s="161"/>
      <c r="G52" s="161"/>
    </row>
    <row r="53" spans="1:7" s="27" customFormat="1" ht="35.1" customHeight="1">
      <c r="A53" s="91"/>
      <c r="B53" s="89" t="s">
        <v>391</v>
      </c>
      <c r="C53" s="289"/>
      <c r="D53" s="80">
        <v>1422457956</v>
      </c>
      <c r="E53" s="80"/>
      <c r="F53" s="161"/>
      <c r="G53" s="161"/>
    </row>
    <row r="54" spans="1:7" s="27" customFormat="1" ht="35.1" customHeight="1">
      <c r="A54" s="91"/>
      <c r="B54" s="89" t="s">
        <v>392</v>
      </c>
      <c r="C54" s="290"/>
      <c r="D54" s="287">
        <v>444262969</v>
      </c>
      <c r="E54" s="287"/>
      <c r="F54" s="161"/>
      <c r="G54" s="161"/>
    </row>
    <row r="158" hidden="1"/>
  </sheetData>
  <mergeCells count="4">
    <mergeCell ref="A1:E1"/>
    <mergeCell ref="A2:G2"/>
    <mergeCell ref="A3:G3"/>
    <mergeCell ref="A4:G4"/>
  </mergeCells>
  <phoneticPr fontId="13" type="noConversion"/>
  <pageMargins left="0.77" right="0.44" top="0.52" bottom="0.5" header="0.5" footer="0.5"/>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8"/>
  <sheetViews>
    <sheetView view="pageBreakPreview" topLeftCell="A5" zoomScaleNormal="100" workbookViewId="0">
      <selection activeCell="C5" sqref="C5"/>
    </sheetView>
  </sheetViews>
  <sheetFormatPr defaultRowHeight="18.75"/>
  <cols>
    <col min="1" max="1" width="6.5703125" style="24" customWidth="1"/>
    <col min="2" max="2" width="59.7109375" style="24" customWidth="1"/>
    <col min="3" max="3" width="19.42578125" style="24" customWidth="1"/>
    <col min="4" max="4" width="19.140625" style="27" customWidth="1"/>
    <col min="5" max="5" width="17.85546875" style="27" customWidth="1"/>
    <col min="6" max="6" width="18.28515625" style="27" customWidth="1"/>
    <col min="7" max="7" width="17.28515625" style="27" customWidth="1"/>
    <col min="8" max="8" width="9.7109375" style="127" customWidth="1"/>
    <col min="9" max="9" width="10.140625" style="26" customWidth="1"/>
    <col min="10" max="10" width="27.5703125" style="26" hidden="1" customWidth="1"/>
    <col min="11" max="11" width="0" style="26" hidden="1" customWidth="1"/>
    <col min="12" max="12" width="18.28515625" style="26" hidden="1" customWidth="1"/>
    <col min="13" max="16384" width="9.140625" style="26"/>
  </cols>
  <sheetData>
    <row r="1" spans="1:12" hidden="1">
      <c r="B1" s="25" t="e">
        <f>19122595000-#REF!</f>
        <v>#REF!</v>
      </c>
      <c r="C1" s="25"/>
      <c r="D1" s="1141" t="s">
        <v>796</v>
      </c>
      <c r="E1" s="1141"/>
      <c r="F1" s="1141"/>
      <c r="G1" s="1141"/>
    </row>
    <row r="2" spans="1:12" ht="33.75" customHeight="1">
      <c r="A2" s="1147" t="s">
        <v>54</v>
      </c>
      <c r="B2" s="1147"/>
      <c r="C2" s="1147"/>
      <c r="D2" s="1147"/>
      <c r="E2" s="1147"/>
      <c r="F2" s="1147"/>
      <c r="G2" s="1147"/>
      <c r="H2" s="1147"/>
      <c r="I2" s="1147"/>
    </row>
    <row r="3" spans="1:12" ht="36" customHeight="1">
      <c r="A3" s="1148" t="s">
        <v>486</v>
      </c>
      <c r="B3" s="1148"/>
      <c r="C3" s="1148"/>
      <c r="D3" s="1148"/>
      <c r="E3" s="1148"/>
      <c r="F3" s="1148"/>
      <c r="G3" s="1148"/>
      <c r="H3" s="1148"/>
      <c r="I3" s="1148"/>
    </row>
    <row r="4" spans="1:12" ht="36" customHeight="1">
      <c r="A4" s="1149" t="s">
        <v>797</v>
      </c>
      <c r="B4" s="1149"/>
      <c r="C4" s="1149"/>
      <c r="D4" s="1149"/>
      <c r="E4" s="1149"/>
      <c r="F4" s="1149"/>
      <c r="G4" s="1149"/>
      <c r="H4" s="1149"/>
      <c r="I4" s="1149"/>
    </row>
    <row r="5" spans="1:12" ht="95.25" customHeight="1">
      <c r="A5" s="1153" t="s">
        <v>246</v>
      </c>
      <c r="B5" s="1153" t="s">
        <v>243</v>
      </c>
      <c r="C5" s="120" t="s">
        <v>411</v>
      </c>
      <c r="D5" s="120" t="s">
        <v>466</v>
      </c>
      <c r="E5" s="1152" t="s">
        <v>465</v>
      </c>
      <c r="F5" s="1152"/>
      <c r="G5" s="1152"/>
      <c r="H5" s="1150" t="s">
        <v>416</v>
      </c>
      <c r="I5" s="1150" t="s">
        <v>415</v>
      </c>
      <c r="L5" s="243">
        <f>E7-'BIEU THU'!E7</f>
        <v>0</v>
      </c>
    </row>
    <row r="6" spans="1:12" ht="49.5" customHeight="1">
      <c r="A6" s="1153"/>
      <c r="B6" s="1153"/>
      <c r="C6" s="29" t="s">
        <v>798</v>
      </c>
      <c r="D6" s="29" t="s">
        <v>798</v>
      </c>
      <c r="E6" s="29" t="s">
        <v>798</v>
      </c>
      <c r="F6" s="29" t="s">
        <v>799</v>
      </c>
      <c r="G6" s="29" t="s">
        <v>800</v>
      </c>
      <c r="H6" s="1151"/>
      <c r="I6" s="1151"/>
    </row>
    <row r="7" spans="1:12" s="33" customFormat="1" ht="28.5" customHeight="1">
      <c r="A7" s="30"/>
      <c r="B7" s="31" t="s">
        <v>801</v>
      </c>
      <c r="C7" s="32">
        <f>C8+C93+C118</f>
        <v>458153000000</v>
      </c>
      <c r="D7" s="32">
        <f>D8+D93+D118</f>
        <v>531228072539</v>
      </c>
      <c r="E7" s="32">
        <f>E8+E93+E118</f>
        <v>619593700000</v>
      </c>
      <c r="F7" s="32">
        <f>F8+F93+F118</f>
        <v>476279700000</v>
      </c>
      <c r="G7" s="32">
        <f>G8+G93+G118</f>
        <v>142224000000</v>
      </c>
      <c r="H7" s="291">
        <f>D7/C7</f>
        <v>1.1594992776190487</v>
      </c>
      <c r="I7" s="291">
        <f>E7/D7</f>
        <v>1.1663421645596725</v>
      </c>
    </row>
    <row r="8" spans="1:12" s="35" customFormat="1" ht="23.25" customHeight="1">
      <c r="A8" s="34" t="s">
        <v>218</v>
      </c>
      <c r="B8" s="32" t="s">
        <v>802</v>
      </c>
      <c r="C8" s="32">
        <f>C9+C12</f>
        <v>372871000000</v>
      </c>
      <c r="D8" s="32">
        <f>D9+D12</f>
        <v>427730382560</v>
      </c>
      <c r="E8" s="32">
        <f>E9+E12</f>
        <v>527991700000</v>
      </c>
      <c r="F8" s="32">
        <f>F9+F12</f>
        <v>447704700000</v>
      </c>
      <c r="G8" s="32">
        <f>G9+G12</f>
        <v>79197000000</v>
      </c>
      <c r="H8" s="291">
        <f t="shared" ref="H8:H71" si="0">D8/C8</f>
        <v>1.1471269757100981</v>
      </c>
      <c r="I8" s="291">
        <f t="shared" ref="I8:I71" si="1">E8/D8</f>
        <v>1.2344030761619695</v>
      </c>
      <c r="J8" s="35">
        <f>C10+C11+C24+C25+C87+C95+C97+C103+C104+C113+C119</f>
        <v>76822000000</v>
      </c>
    </row>
    <row r="9" spans="1:12" s="37" customFormat="1" ht="25.5" customHeight="1">
      <c r="A9" s="36">
        <v>1</v>
      </c>
      <c r="B9" s="32" t="s">
        <v>803</v>
      </c>
      <c r="C9" s="32">
        <f>C10+C11</f>
        <v>700000000</v>
      </c>
      <c r="D9" s="32">
        <f>D10+D11</f>
        <v>1600000000</v>
      </c>
      <c r="E9" s="184">
        <f>E10+E11</f>
        <v>700000000</v>
      </c>
      <c r="F9" s="184">
        <f>F10+F11</f>
        <v>700000000</v>
      </c>
      <c r="G9" s="184">
        <f>G10</f>
        <v>0</v>
      </c>
      <c r="H9" s="292">
        <f t="shared" si="0"/>
        <v>2.2857142857142856</v>
      </c>
      <c r="I9" s="292">
        <f t="shared" si="1"/>
        <v>0.4375</v>
      </c>
      <c r="J9" s="37">
        <f>C10+C11+C24+C25+C87</f>
        <v>24034000000</v>
      </c>
    </row>
    <row r="10" spans="1:12" s="37" customFormat="1" ht="22.5" customHeight="1">
      <c r="A10" s="36"/>
      <c r="B10" s="38" t="s">
        <v>48</v>
      </c>
      <c r="C10" s="38">
        <v>500000000</v>
      </c>
      <c r="D10" s="112">
        <v>1400000000</v>
      </c>
      <c r="E10" s="112">
        <f>F10+G10</f>
        <v>500000000</v>
      </c>
      <c r="F10" s="112">
        <v>500000000</v>
      </c>
      <c r="G10" s="112"/>
      <c r="H10" s="292">
        <f t="shared" si="0"/>
        <v>2.8</v>
      </c>
      <c r="I10" s="292">
        <f t="shared" si="1"/>
        <v>0.35714285714285715</v>
      </c>
      <c r="J10" s="170">
        <f>+E10+E11+E24+E87+E95+E97+E103+E104+E113+E119+E25</f>
        <v>103488000000</v>
      </c>
    </row>
    <row r="11" spans="1:12" s="37" customFormat="1" ht="22.5" customHeight="1">
      <c r="A11" s="36"/>
      <c r="B11" s="38" t="s">
        <v>13</v>
      </c>
      <c r="C11" s="38">
        <v>200000000</v>
      </c>
      <c r="D11" s="112">
        <v>200000000</v>
      </c>
      <c r="E11" s="112">
        <f>F11+G11</f>
        <v>200000000</v>
      </c>
      <c r="F11" s="112">
        <v>200000000</v>
      </c>
      <c r="G11" s="112"/>
      <c r="H11" s="292">
        <f t="shared" si="0"/>
        <v>1</v>
      </c>
      <c r="I11" s="292">
        <f t="shared" si="1"/>
        <v>1</v>
      </c>
      <c r="J11" s="37">
        <f>D10+D11+D24+D25+D87+D95+D97+D103+D104+D113+D119</f>
        <v>97967415105</v>
      </c>
    </row>
    <row r="12" spans="1:12" s="37" customFormat="1" ht="24" customHeight="1">
      <c r="A12" s="36">
        <v>2</v>
      </c>
      <c r="B12" s="39" t="s">
        <v>804</v>
      </c>
      <c r="C12" s="165">
        <f>C13+C32+C40+C43+C44+C45+C46+C47+C52+C54+C55+C84+C87+C88+C89+C90+C91+C92</f>
        <v>372171000000</v>
      </c>
      <c r="D12" s="165">
        <f>D13+D32+D40+D43+D44+D45+D46+D47+D52+D54+D55+D84+D87+D88+D89+D90+D91+D92</f>
        <v>426130382560</v>
      </c>
      <c r="E12" s="165">
        <f>E13+E32+E40+E43+E44+E45+E46+E47+E52+E54+E55+E84+E87+E88+E89+E90+E91+E92</f>
        <v>527291700000</v>
      </c>
      <c r="F12" s="165">
        <f>F13+F32+F40+F43+F44+F45+F46+F47+F52+F54+F55+F84+F87+F88+F89+F90+F91+F92</f>
        <v>447004700000</v>
      </c>
      <c r="G12" s="165">
        <f>G13+G32+G40+G43+G44+G45+G46+G47+G52+G54+G55+G84+G87+G88+G89+G90+G91+G92</f>
        <v>79197000000</v>
      </c>
      <c r="H12" s="291">
        <f t="shared" si="0"/>
        <v>1.1449854571151432</v>
      </c>
      <c r="I12" s="291">
        <f t="shared" si="1"/>
        <v>1.2373952235751609</v>
      </c>
    </row>
    <row r="13" spans="1:12" s="128" customFormat="1" ht="18" customHeight="1">
      <c r="A13" s="34" t="s">
        <v>220</v>
      </c>
      <c r="B13" s="41" t="s">
        <v>805</v>
      </c>
      <c r="C13" s="165">
        <f>C14+C23+C24+C25+C27</f>
        <v>16435000000</v>
      </c>
      <c r="D13" s="165">
        <f>D14+D23+D24+D25+D27</f>
        <v>31164982560</v>
      </c>
      <c r="E13" s="165">
        <f>E14+E23+E24+E25+E27</f>
        <v>50452000000</v>
      </c>
      <c r="F13" s="165">
        <f>F14+F23+F24+F25+F27</f>
        <v>50452000000</v>
      </c>
      <c r="G13" s="165">
        <f>G14+G23+G24+G25+G27</f>
        <v>0</v>
      </c>
      <c r="H13" s="291">
        <f t="shared" si="0"/>
        <v>1.8962569248554912</v>
      </c>
      <c r="I13" s="291">
        <f t="shared" si="1"/>
        <v>1.6188682250300608</v>
      </c>
    </row>
    <row r="14" spans="1:12" s="35" customFormat="1" ht="18" customHeight="1">
      <c r="A14" s="42">
        <v>1</v>
      </c>
      <c r="B14" s="41" t="s">
        <v>806</v>
      </c>
      <c r="C14" s="184">
        <f>C15+C19+C21+C22</f>
        <v>10553000000</v>
      </c>
      <c r="D14" s="184">
        <f>D15+D19+D21+D22</f>
        <v>12617982560</v>
      </c>
      <c r="E14" s="165">
        <f>E15+E19+E21+E22</f>
        <v>13745000000</v>
      </c>
      <c r="F14" s="165">
        <f>F15+F19+F21+F22</f>
        <v>13745000000</v>
      </c>
      <c r="G14" s="165">
        <f>G15+G19+G21+G22</f>
        <v>0</v>
      </c>
      <c r="H14" s="291">
        <f t="shared" si="0"/>
        <v>1.1956773012413531</v>
      </c>
      <c r="I14" s="291">
        <f t="shared" si="1"/>
        <v>1.089318354550016</v>
      </c>
    </row>
    <row r="15" spans="1:12" s="37" customFormat="1" ht="21.75" customHeight="1">
      <c r="A15" s="42"/>
      <c r="B15" s="41" t="s">
        <v>50</v>
      </c>
      <c r="C15" s="184">
        <v>2088000000</v>
      </c>
      <c r="D15" s="184">
        <v>2200000000</v>
      </c>
      <c r="E15" s="112">
        <f>F15+G15</f>
        <v>2955000000</v>
      </c>
      <c r="F15" s="112">
        <f>2955000000</f>
        <v>2955000000</v>
      </c>
      <c r="G15" s="112"/>
      <c r="H15" s="292">
        <f t="shared" si="0"/>
        <v>1.053639846743295</v>
      </c>
      <c r="I15" s="292">
        <f t="shared" si="1"/>
        <v>1.3431818181818183</v>
      </c>
    </row>
    <row r="16" spans="1:12" s="129" customFormat="1">
      <c r="A16" s="46"/>
      <c r="B16" s="47" t="s">
        <v>807</v>
      </c>
      <c r="C16" s="214"/>
      <c r="D16" s="293"/>
      <c r="E16" s="214"/>
      <c r="F16" s="214"/>
      <c r="G16" s="214"/>
      <c r="H16" s="292"/>
      <c r="I16" s="292"/>
    </row>
    <row r="17" spans="1:9" s="129" customFormat="1">
      <c r="A17" s="46"/>
      <c r="B17" s="47" t="s">
        <v>293</v>
      </c>
      <c r="C17" s="214">
        <v>683000000</v>
      </c>
      <c r="D17" s="214">
        <v>695000000</v>
      </c>
      <c r="E17" s="214">
        <f>F17</f>
        <v>783000000</v>
      </c>
      <c r="F17" s="214">
        <v>783000000</v>
      </c>
      <c r="G17" s="214"/>
      <c r="H17" s="292">
        <f t="shared" si="0"/>
        <v>1.0175695461200585</v>
      </c>
      <c r="I17" s="292">
        <f t="shared" si="1"/>
        <v>1.1266187050359713</v>
      </c>
    </row>
    <row r="18" spans="1:9" s="129" customFormat="1">
      <c r="A18" s="46"/>
      <c r="B18" s="58" t="s">
        <v>49</v>
      </c>
      <c r="C18" s="214">
        <v>843000000</v>
      </c>
      <c r="D18" s="214">
        <v>856000000</v>
      </c>
      <c r="E18" s="214">
        <f>F18</f>
        <v>943000000</v>
      </c>
      <c r="F18" s="214">
        <v>943000000</v>
      </c>
      <c r="G18" s="214"/>
      <c r="H18" s="292">
        <f t="shared" si="0"/>
        <v>1.0154211150652432</v>
      </c>
      <c r="I18" s="292">
        <f t="shared" si="1"/>
        <v>1.1016355140186915</v>
      </c>
    </row>
    <row r="19" spans="1:9" s="37" customFormat="1" ht="23.25" customHeight="1">
      <c r="A19" s="42"/>
      <c r="B19" s="43" t="s">
        <v>808</v>
      </c>
      <c r="C19" s="112">
        <v>4400000000</v>
      </c>
      <c r="D19" s="112">
        <f>6578000000-200017440</f>
        <v>6377982560</v>
      </c>
      <c r="E19" s="112">
        <f t="shared" ref="E19:E25" si="2">F19+G19</f>
        <v>4200000000</v>
      </c>
      <c r="F19" s="109">
        <f>SUM(F20:F20)</f>
        <v>4200000000</v>
      </c>
      <c r="G19" s="112"/>
      <c r="H19" s="292">
        <f t="shared" si="0"/>
        <v>1.4495414909090909</v>
      </c>
      <c r="I19" s="292">
        <f t="shared" si="1"/>
        <v>0.6585154412839912</v>
      </c>
    </row>
    <row r="20" spans="1:9" s="37" customFormat="1" ht="18" hidden="1" customHeight="1">
      <c r="A20" s="42"/>
      <c r="B20" s="45" t="s">
        <v>809</v>
      </c>
      <c r="C20" s="294"/>
      <c r="D20" s="112">
        <v>6578000000</v>
      </c>
      <c r="E20" s="112">
        <f t="shared" si="2"/>
        <v>4200000000</v>
      </c>
      <c r="F20" s="112">
        <f>4200000000</f>
        <v>4200000000</v>
      </c>
      <c r="G20" s="112"/>
      <c r="H20" s="292" t="e">
        <f t="shared" si="0"/>
        <v>#DIV/0!</v>
      </c>
      <c r="I20" s="292">
        <f t="shared" si="1"/>
        <v>0.63849194283976896</v>
      </c>
    </row>
    <row r="21" spans="1:9" s="37" customFormat="1" ht="18" customHeight="1">
      <c r="A21" s="42"/>
      <c r="B21" s="43" t="s">
        <v>51</v>
      </c>
      <c r="C21" s="112">
        <v>695000000</v>
      </c>
      <c r="D21" s="112">
        <v>670000000</v>
      </c>
      <c r="E21" s="112">
        <f t="shared" si="2"/>
        <v>720000000</v>
      </c>
      <c r="F21" s="112">
        <v>720000000</v>
      </c>
      <c r="G21" s="112"/>
      <c r="H21" s="292">
        <f t="shared" si="0"/>
        <v>0.96402877697841727</v>
      </c>
      <c r="I21" s="292">
        <f t="shared" si="1"/>
        <v>1.0746268656716418</v>
      </c>
    </row>
    <row r="22" spans="1:9" s="37" customFormat="1" ht="18" customHeight="1">
      <c r="A22" s="42"/>
      <c r="B22" s="43" t="s">
        <v>52</v>
      </c>
      <c r="C22" s="112">
        <v>3370000000</v>
      </c>
      <c r="D22" s="112">
        <v>3370000000</v>
      </c>
      <c r="E22" s="112">
        <f>F22+G22</f>
        <v>5870000000</v>
      </c>
      <c r="F22" s="112">
        <f>3370000000+2500000000</f>
        <v>5870000000</v>
      </c>
      <c r="G22" s="112"/>
      <c r="H22" s="292">
        <f t="shared" si="0"/>
        <v>1</v>
      </c>
      <c r="I22" s="292">
        <f t="shared" si="1"/>
        <v>1.741839762611276</v>
      </c>
    </row>
    <row r="23" spans="1:9" s="35" customFormat="1" ht="18" customHeight="1">
      <c r="A23" s="34">
        <v>2</v>
      </c>
      <c r="B23" s="41" t="s">
        <v>810</v>
      </c>
      <c r="C23" s="184"/>
      <c r="D23" s="184">
        <v>1000000000</v>
      </c>
      <c r="E23" s="184">
        <f t="shared" si="2"/>
        <v>5000000000</v>
      </c>
      <c r="F23" s="184">
        <v>5000000000</v>
      </c>
      <c r="G23" s="184"/>
      <c r="H23" s="292"/>
      <c r="I23" s="292"/>
    </row>
    <row r="24" spans="1:9" s="35" customFormat="1" ht="18" customHeight="1">
      <c r="A24" s="34">
        <v>3</v>
      </c>
      <c r="B24" s="41" t="s">
        <v>241</v>
      </c>
      <c r="C24" s="184">
        <v>250000000</v>
      </c>
      <c r="D24" s="184">
        <v>7850000000</v>
      </c>
      <c r="E24" s="184">
        <f t="shared" si="2"/>
        <v>15000000000</v>
      </c>
      <c r="F24" s="184">
        <v>15000000000</v>
      </c>
      <c r="G24" s="184"/>
      <c r="H24" s="291">
        <f t="shared" si="0"/>
        <v>31.4</v>
      </c>
      <c r="I24" s="291">
        <f t="shared" si="1"/>
        <v>1.910828025477707</v>
      </c>
    </row>
    <row r="25" spans="1:9" s="35" customFormat="1" ht="18" customHeight="1">
      <c r="A25" s="34">
        <v>4</v>
      </c>
      <c r="B25" s="41" t="s">
        <v>811</v>
      </c>
      <c r="C25" s="184">
        <v>3038000000</v>
      </c>
      <c r="D25" s="184">
        <v>6870000000</v>
      </c>
      <c r="E25" s="184">
        <f t="shared" si="2"/>
        <v>11500000000</v>
      </c>
      <c r="F25" s="184">
        <f>1500000000+10000000000</f>
        <v>11500000000</v>
      </c>
      <c r="G25" s="184"/>
      <c r="H25" s="292">
        <f t="shared" si="0"/>
        <v>2.2613561553653718</v>
      </c>
      <c r="I25" s="292">
        <f t="shared" si="1"/>
        <v>1.6739446870451238</v>
      </c>
    </row>
    <row r="26" spans="1:9" s="129" customFormat="1">
      <c r="A26" s="46"/>
      <c r="B26" s="47" t="s">
        <v>812</v>
      </c>
      <c r="C26" s="214">
        <v>1810000000</v>
      </c>
      <c r="D26" s="214">
        <v>1810000000</v>
      </c>
      <c r="E26" s="214">
        <f>F26</f>
        <v>2000000000</v>
      </c>
      <c r="F26" s="214">
        <v>2000000000</v>
      </c>
      <c r="G26" s="214"/>
      <c r="H26" s="292">
        <f t="shared" si="0"/>
        <v>1</v>
      </c>
      <c r="I26" s="292">
        <f t="shared" si="1"/>
        <v>1.1049723756906078</v>
      </c>
    </row>
    <row r="27" spans="1:9" s="35" customFormat="1" ht="18" customHeight="1">
      <c r="A27" s="40">
        <v>5</v>
      </c>
      <c r="B27" s="41" t="s">
        <v>813</v>
      </c>
      <c r="C27" s="165">
        <f>C28+C29+C30+C31</f>
        <v>2594000000</v>
      </c>
      <c r="D27" s="165">
        <f>D28+D29+D30+D31</f>
        <v>2827000000</v>
      </c>
      <c r="E27" s="165">
        <f>E28+E29+E30+E31</f>
        <v>5207000000</v>
      </c>
      <c r="F27" s="165">
        <f>F28+F29+F30+F31</f>
        <v>5207000000</v>
      </c>
      <c r="G27" s="165">
        <f>G28+G29+G30+G31</f>
        <v>0</v>
      </c>
      <c r="H27" s="292">
        <f t="shared" si="0"/>
        <v>1.0898226676946801</v>
      </c>
      <c r="I27" s="292">
        <f t="shared" si="1"/>
        <v>1.8418818535550052</v>
      </c>
    </row>
    <row r="28" spans="1:9" s="37" customFormat="1" ht="18" customHeight="1">
      <c r="A28" s="36"/>
      <c r="B28" s="43" t="s">
        <v>814</v>
      </c>
      <c r="C28" s="112">
        <v>592000000</v>
      </c>
      <c r="D28" s="112">
        <v>692000000</v>
      </c>
      <c r="E28" s="112">
        <f>F28+G28</f>
        <v>737000000</v>
      </c>
      <c r="F28" s="112">
        <f>737000000</f>
        <v>737000000</v>
      </c>
      <c r="G28" s="112"/>
      <c r="H28" s="292">
        <f t="shared" si="0"/>
        <v>1.1689189189189189</v>
      </c>
      <c r="I28" s="292">
        <f t="shared" si="1"/>
        <v>1.0650289017341041</v>
      </c>
    </row>
    <row r="29" spans="1:9" s="37" customFormat="1" ht="18" customHeight="1">
      <c r="A29" s="36"/>
      <c r="B29" s="43" t="s">
        <v>815</v>
      </c>
      <c r="C29" s="112">
        <v>1100000000</v>
      </c>
      <c r="D29" s="112">
        <v>1100000000</v>
      </c>
      <c r="E29" s="112">
        <f>F29+G29</f>
        <v>2000000000</v>
      </c>
      <c r="F29" s="112">
        <v>2000000000</v>
      </c>
      <c r="G29" s="112"/>
      <c r="H29" s="292">
        <f t="shared" si="0"/>
        <v>1</v>
      </c>
      <c r="I29" s="292">
        <f t="shared" si="1"/>
        <v>1.8181818181818181</v>
      </c>
    </row>
    <row r="30" spans="1:9" s="37" customFormat="1" ht="18" customHeight="1">
      <c r="A30" s="36"/>
      <c r="B30" s="43" t="s">
        <v>294</v>
      </c>
      <c r="C30" s="112">
        <v>545000000</v>
      </c>
      <c r="D30" s="112">
        <v>578000000</v>
      </c>
      <c r="E30" s="112">
        <f>F30+G30</f>
        <v>1925000000</v>
      </c>
      <c r="F30" s="112">
        <f>1925000000</f>
        <v>1925000000</v>
      </c>
      <c r="G30" s="112"/>
      <c r="H30" s="292">
        <f t="shared" si="0"/>
        <v>1.0605504587155963</v>
      </c>
      <c r="I30" s="292">
        <f t="shared" si="1"/>
        <v>3.3304498269896192</v>
      </c>
    </row>
    <row r="31" spans="1:9" s="37" customFormat="1">
      <c r="A31" s="36"/>
      <c r="B31" s="43" t="s">
        <v>295</v>
      </c>
      <c r="C31" s="112">
        <v>357000000</v>
      </c>
      <c r="D31" s="112">
        <v>457000000</v>
      </c>
      <c r="E31" s="112">
        <f>F31+G31</f>
        <v>545000000</v>
      </c>
      <c r="F31" s="112">
        <v>545000000</v>
      </c>
      <c r="G31" s="112"/>
      <c r="H31" s="292">
        <f t="shared" si="0"/>
        <v>1.2801120448179271</v>
      </c>
      <c r="I31" s="292">
        <f t="shared" si="1"/>
        <v>1.1925601750547046</v>
      </c>
    </row>
    <row r="32" spans="1:9" s="37" customFormat="1" ht="18" customHeight="1">
      <c r="A32" s="34" t="s">
        <v>223</v>
      </c>
      <c r="B32" s="41" t="s">
        <v>53</v>
      </c>
      <c r="C32" s="184">
        <v>214137000000</v>
      </c>
      <c r="D32" s="165">
        <f>234137000000+5440000000-35000000</f>
        <v>239542000000</v>
      </c>
      <c r="E32" s="165">
        <f>F32</f>
        <v>291322000000</v>
      </c>
      <c r="F32" s="165">
        <f>285917000000+5440000000-35000000</f>
        <v>291322000000</v>
      </c>
      <c r="G32" s="165"/>
      <c r="H32" s="291">
        <f t="shared" si="0"/>
        <v>1.1186390021341477</v>
      </c>
      <c r="I32" s="291">
        <f t="shared" si="1"/>
        <v>1.2161625101234856</v>
      </c>
    </row>
    <row r="33" spans="1:9" s="129" customFormat="1" ht="18" customHeight="1">
      <c r="A33" s="48"/>
      <c r="B33" s="47" t="s">
        <v>244</v>
      </c>
      <c r="C33" s="214"/>
      <c r="D33" s="211"/>
      <c r="E33" s="211"/>
      <c r="F33" s="211"/>
      <c r="G33" s="211"/>
      <c r="H33" s="292"/>
      <c r="I33" s="292"/>
    </row>
    <row r="34" spans="1:9" s="37" customFormat="1" ht="18" customHeight="1">
      <c r="A34" s="42"/>
      <c r="B34" s="49" t="s">
        <v>816</v>
      </c>
      <c r="C34" s="295">
        <v>4760000000</v>
      </c>
      <c r="D34" s="112">
        <v>5444000000</v>
      </c>
      <c r="E34" s="112">
        <v>5848000000</v>
      </c>
      <c r="F34" s="112">
        <v>5848000000</v>
      </c>
      <c r="G34" s="112"/>
      <c r="H34" s="292">
        <f t="shared" si="0"/>
        <v>1.1436974789915966</v>
      </c>
      <c r="I34" s="292">
        <f t="shared" si="1"/>
        <v>1.0742101396032329</v>
      </c>
    </row>
    <row r="35" spans="1:9" s="37" customFormat="1" ht="31.5" customHeight="1">
      <c r="A35" s="42"/>
      <c r="B35" s="49" t="s">
        <v>817</v>
      </c>
      <c r="C35" s="295">
        <v>279000000</v>
      </c>
      <c r="D35" s="112">
        <v>279000000</v>
      </c>
      <c r="E35" s="112">
        <v>316000000</v>
      </c>
      <c r="F35" s="112">
        <v>316000000</v>
      </c>
      <c r="G35" s="112"/>
      <c r="H35" s="292">
        <f t="shared" si="0"/>
        <v>1</v>
      </c>
      <c r="I35" s="292">
        <f t="shared" si="1"/>
        <v>1.1326164874551972</v>
      </c>
    </row>
    <row r="36" spans="1:9" s="37" customFormat="1" ht="18" customHeight="1">
      <c r="A36" s="42"/>
      <c r="B36" s="49" t="s">
        <v>731</v>
      </c>
      <c r="C36" s="295">
        <v>11061000000</v>
      </c>
      <c r="D36" s="287">
        <v>13834000000</v>
      </c>
      <c r="E36" s="112">
        <v>14508000000</v>
      </c>
      <c r="F36" s="112">
        <v>14508000000</v>
      </c>
      <c r="G36" s="112"/>
      <c r="H36" s="292">
        <f t="shared" si="0"/>
        <v>1.250700659976494</v>
      </c>
      <c r="I36" s="292">
        <f t="shared" si="1"/>
        <v>1.0487205435882607</v>
      </c>
    </row>
    <row r="37" spans="1:9" s="129" customFormat="1" ht="18" hidden="1" customHeight="1">
      <c r="A37" s="46"/>
      <c r="B37" s="50" t="s">
        <v>818</v>
      </c>
      <c r="C37" s="296"/>
      <c r="D37" s="214">
        <v>12864000000</v>
      </c>
      <c r="E37" s="214">
        <f>F37+G37</f>
        <v>11500000000</v>
      </c>
      <c r="F37" s="214">
        <v>11500000000</v>
      </c>
      <c r="G37" s="214"/>
      <c r="H37" s="292" t="e">
        <f t="shared" si="0"/>
        <v>#DIV/0!</v>
      </c>
      <c r="I37" s="292">
        <f t="shared" si="1"/>
        <v>0.89396766169154229</v>
      </c>
    </row>
    <row r="38" spans="1:9" s="129" customFormat="1" ht="18" hidden="1" customHeight="1">
      <c r="A38" s="46"/>
      <c r="B38" s="50" t="s">
        <v>819</v>
      </c>
      <c r="C38" s="296"/>
      <c r="D38" s="214">
        <v>1150000000</v>
      </c>
      <c r="E38" s="214">
        <f>F38+G38</f>
        <v>1150000000</v>
      </c>
      <c r="F38" s="214">
        <v>1150000000</v>
      </c>
      <c r="G38" s="214"/>
      <c r="H38" s="292" t="e">
        <f t="shared" si="0"/>
        <v>#DIV/0!</v>
      </c>
      <c r="I38" s="292">
        <f t="shared" si="1"/>
        <v>1</v>
      </c>
    </row>
    <row r="39" spans="1:9" s="129" customFormat="1" ht="36" customHeight="1">
      <c r="A39" s="46"/>
      <c r="B39" s="50" t="s">
        <v>732</v>
      </c>
      <c r="C39" s="296">
        <v>11000000000</v>
      </c>
      <c r="D39" s="112">
        <v>30720000000</v>
      </c>
      <c r="E39" s="112">
        <v>30720000000</v>
      </c>
      <c r="F39" s="214">
        <v>30720000000</v>
      </c>
      <c r="G39" s="214"/>
      <c r="H39" s="292">
        <f t="shared" si="0"/>
        <v>2.7927272727272729</v>
      </c>
      <c r="I39" s="292">
        <f t="shared" si="1"/>
        <v>1</v>
      </c>
    </row>
    <row r="40" spans="1:9" s="37" customFormat="1" ht="18" customHeight="1">
      <c r="A40" s="34" t="s">
        <v>226</v>
      </c>
      <c r="B40" s="41" t="s">
        <v>820</v>
      </c>
      <c r="C40" s="165">
        <f>C41+C42</f>
        <v>3277000000</v>
      </c>
      <c r="D40" s="165">
        <f>D41+D42</f>
        <v>5479000000</v>
      </c>
      <c r="E40" s="165">
        <f>E41+E42</f>
        <v>7500000000</v>
      </c>
      <c r="F40" s="165">
        <f>F41+F42</f>
        <v>7500000000</v>
      </c>
      <c r="G40" s="165">
        <f>G41+G42</f>
        <v>0</v>
      </c>
      <c r="H40" s="292">
        <f t="shared" si="0"/>
        <v>1.6719560573695453</v>
      </c>
      <c r="I40" s="292">
        <f t="shared" si="1"/>
        <v>1.3688629311918232</v>
      </c>
    </row>
    <row r="41" spans="1:9" s="37" customFormat="1">
      <c r="A41" s="42">
        <v>1</v>
      </c>
      <c r="B41" s="43" t="s">
        <v>9</v>
      </c>
      <c r="C41" s="112">
        <v>2088000000</v>
      </c>
      <c r="D41" s="112">
        <v>2190000000</v>
      </c>
      <c r="E41" s="112">
        <f t="shared" ref="E41:E46" si="3">F41+G41</f>
        <v>2500000000</v>
      </c>
      <c r="F41" s="112">
        <v>2500000000</v>
      </c>
      <c r="G41" s="112"/>
      <c r="H41" s="292">
        <f t="shared" si="0"/>
        <v>1.0488505747126438</v>
      </c>
      <c r="I41" s="292">
        <f t="shared" si="1"/>
        <v>1.1415525114155252</v>
      </c>
    </row>
    <row r="42" spans="1:9" s="37" customFormat="1" ht="18" customHeight="1">
      <c r="A42" s="42">
        <v>2</v>
      </c>
      <c r="B42" s="43" t="s">
        <v>733</v>
      </c>
      <c r="C42" s="112">
        <v>1189000000</v>
      </c>
      <c r="D42" s="112">
        <v>3289000000</v>
      </c>
      <c r="E42" s="112">
        <f t="shared" si="3"/>
        <v>5000000000</v>
      </c>
      <c r="F42" s="112">
        <v>5000000000</v>
      </c>
      <c r="G42" s="112"/>
      <c r="H42" s="292">
        <f t="shared" si="0"/>
        <v>2.7661900756938604</v>
      </c>
      <c r="I42" s="292">
        <f t="shared" si="1"/>
        <v>1.5202189115232594</v>
      </c>
    </row>
    <row r="43" spans="1:9" s="37" customFormat="1" ht="18" customHeight="1">
      <c r="A43" s="34" t="s">
        <v>227</v>
      </c>
      <c r="B43" s="41" t="s">
        <v>821</v>
      </c>
      <c r="C43" s="184">
        <v>1690000000</v>
      </c>
      <c r="D43" s="184">
        <v>1790000000</v>
      </c>
      <c r="E43" s="184">
        <f t="shared" si="3"/>
        <v>2328000000</v>
      </c>
      <c r="F43" s="184">
        <v>2328000000</v>
      </c>
      <c r="G43" s="184"/>
      <c r="H43" s="292">
        <f t="shared" si="0"/>
        <v>1.0591715976331362</v>
      </c>
      <c r="I43" s="292">
        <f t="shared" si="1"/>
        <v>1.3005586592178771</v>
      </c>
    </row>
    <row r="44" spans="1:9" s="37" customFormat="1" ht="18" customHeight="1">
      <c r="A44" s="34" t="s">
        <v>228</v>
      </c>
      <c r="B44" s="41" t="s">
        <v>741</v>
      </c>
      <c r="C44" s="184">
        <v>736000000</v>
      </c>
      <c r="D44" s="184">
        <v>836000000</v>
      </c>
      <c r="E44" s="184">
        <f t="shared" si="3"/>
        <v>950000000</v>
      </c>
      <c r="F44" s="184">
        <v>950000000</v>
      </c>
      <c r="G44" s="112"/>
      <c r="H44" s="292">
        <f t="shared" si="0"/>
        <v>1.1358695652173914</v>
      </c>
      <c r="I44" s="292">
        <f t="shared" si="1"/>
        <v>1.1363636363636365</v>
      </c>
    </row>
    <row r="45" spans="1:9" s="37" customFormat="1" ht="18" customHeight="1">
      <c r="A45" s="34" t="s">
        <v>245</v>
      </c>
      <c r="B45" s="41" t="s">
        <v>822</v>
      </c>
      <c r="C45" s="184">
        <v>2000000000</v>
      </c>
      <c r="D45" s="184">
        <v>2800000000</v>
      </c>
      <c r="E45" s="184">
        <f t="shared" si="3"/>
        <v>2300000000</v>
      </c>
      <c r="F45" s="184">
        <v>800000000</v>
      </c>
      <c r="G45" s="184">
        <v>1500000000</v>
      </c>
      <c r="H45" s="291">
        <f t="shared" si="0"/>
        <v>1.4</v>
      </c>
      <c r="I45" s="291">
        <f t="shared" si="1"/>
        <v>0.8214285714285714</v>
      </c>
    </row>
    <row r="46" spans="1:9" s="37" customFormat="1" ht="18" customHeight="1">
      <c r="A46" s="34" t="s">
        <v>823</v>
      </c>
      <c r="B46" s="41" t="s">
        <v>824</v>
      </c>
      <c r="C46" s="184">
        <v>88000000</v>
      </c>
      <c r="D46" s="184">
        <v>95000000</v>
      </c>
      <c r="E46" s="184">
        <f t="shared" si="3"/>
        <v>90000000</v>
      </c>
      <c r="F46" s="184">
        <v>90000000</v>
      </c>
      <c r="G46" s="112"/>
      <c r="H46" s="292">
        <f t="shared" si="0"/>
        <v>1.0795454545454546</v>
      </c>
      <c r="I46" s="292">
        <f t="shared" si="1"/>
        <v>0.94736842105263153</v>
      </c>
    </row>
    <row r="47" spans="1:9" s="35" customFormat="1" ht="18" customHeight="1">
      <c r="A47" s="34" t="s">
        <v>825</v>
      </c>
      <c r="B47" s="41" t="s">
        <v>826</v>
      </c>
      <c r="C47" s="184">
        <v>10854000000</v>
      </c>
      <c r="D47" s="184">
        <f>D48+D49+D50+D51</f>
        <v>10870400000</v>
      </c>
      <c r="E47" s="184">
        <f>SUM(E48:E51)</f>
        <v>8379000000</v>
      </c>
      <c r="F47" s="184">
        <f>SUM(F48:F51)</f>
        <v>7398000000</v>
      </c>
      <c r="G47" s="184">
        <f>G48+G49+G51</f>
        <v>981000000</v>
      </c>
      <c r="H47" s="291">
        <f t="shared" si="0"/>
        <v>1.0015109637000184</v>
      </c>
      <c r="I47" s="291">
        <f t="shared" si="1"/>
        <v>0.77080880188401535</v>
      </c>
    </row>
    <row r="48" spans="1:9" s="37" customFormat="1" ht="35.25" customHeight="1">
      <c r="A48" s="42"/>
      <c r="B48" s="51" t="s">
        <v>827</v>
      </c>
      <c r="C48" s="297">
        <v>5208000000</v>
      </c>
      <c r="D48" s="112">
        <v>5208000000</v>
      </c>
      <c r="E48" s="112">
        <f>F48+G48</f>
        <v>5208000000</v>
      </c>
      <c r="F48" s="112">
        <v>5208000000</v>
      </c>
      <c r="G48" s="112"/>
      <c r="H48" s="292">
        <f t="shared" si="0"/>
        <v>1</v>
      </c>
      <c r="I48" s="292">
        <f t="shared" si="1"/>
        <v>1</v>
      </c>
    </row>
    <row r="49" spans="1:9" s="37" customFormat="1" ht="24" customHeight="1">
      <c r="A49" s="42"/>
      <c r="B49" s="51" t="s">
        <v>828</v>
      </c>
      <c r="C49" s="297">
        <v>1345000000</v>
      </c>
      <c r="D49" s="112">
        <v>1345000000</v>
      </c>
      <c r="E49" s="112">
        <f>F49+G49</f>
        <v>2981000000</v>
      </c>
      <c r="F49" s="112">
        <v>2000000000</v>
      </c>
      <c r="G49" s="112">
        <v>981000000</v>
      </c>
      <c r="H49" s="292">
        <f t="shared" si="0"/>
        <v>1</v>
      </c>
      <c r="I49" s="292">
        <f t="shared" si="1"/>
        <v>2.2163568773234199</v>
      </c>
    </row>
    <row r="50" spans="1:9" s="37" customFormat="1" ht="24" customHeight="1">
      <c r="A50" s="42"/>
      <c r="B50" s="51" t="s">
        <v>829</v>
      </c>
      <c r="C50" s="297">
        <v>54000000</v>
      </c>
      <c r="D50" s="112">
        <v>70400000</v>
      </c>
      <c r="E50" s="112">
        <f>F50+G50</f>
        <v>190000000</v>
      </c>
      <c r="F50" s="112">
        <v>190000000</v>
      </c>
      <c r="G50" s="112"/>
      <c r="H50" s="292">
        <f t="shared" si="0"/>
        <v>1.3037037037037038</v>
      </c>
      <c r="I50" s="292">
        <f t="shared" si="1"/>
        <v>2.6988636363636362</v>
      </c>
    </row>
    <row r="51" spans="1:9" s="37" customFormat="1" ht="24" customHeight="1">
      <c r="A51" s="42"/>
      <c r="B51" s="51" t="s">
        <v>468</v>
      </c>
      <c r="C51" s="297">
        <v>4247000000</v>
      </c>
      <c r="D51" s="112">
        <v>4247000000</v>
      </c>
      <c r="E51" s="112"/>
      <c r="F51" s="112"/>
      <c r="G51" s="112"/>
      <c r="H51" s="292">
        <f t="shared" si="0"/>
        <v>1</v>
      </c>
      <c r="I51" s="292">
        <f t="shared" si="1"/>
        <v>0</v>
      </c>
    </row>
    <row r="52" spans="1:9" s="37" customFormat="1" ht="17.25" customHeight="1">
      <c r="A52" s="34" t="s">
        <v>830</v>
      </c>
      <c r="B52" s="41" t="s">
        <v>831</v>
      </c>
      <c r="C52" s="184">
        <v>3608000000</v>
      </c>
      <c r="D52" s="184">
        <f>D53</f>
        <v>3608000000</v>
      </c>
      <c r="E52" s="184">
        <f>E53</f>
        <v>3608000000</v>
      </c>
      <c r="F52" s="184">
        <f>F53</f>
        <v>3608000000</v>
      </c>
      <c r="G52" s="184">
        <f>G53</f>
        <v>0</v>
      </c>
      <c r="H52" s="291">
        <f t="shared" si="0"/>
        <v>1</v>
      </c>
      <c r="I52" s="291">
        <f t="shared" si="1"/>
        <v>1</v>
      </c>
    </row>
    <row r="53" spans="1:9" s="37" customFormat="1" ht="18" customHeight="1">
      <c r="A53" s="36"/>
      <c r="B53" s="43" t="s">
        <v>832</v>
      </c>
      <c r="C53" s="112">
        <v>3608000000</v>
      </c>
      <c r="D53" s="112">
        <v>3608000000</v>
      </c>
      <c r="E53" s="112">
        <f>F53+G53</f>
        <v>3608000000</v>
      </c>
      <c r="F53" s="112">
        <v>3608000000</v>
      </c>
      <c r="G53" s="112"/>
      <c r="H53" s="291">
        <f t="shared" si="0"/>
        <v>1</v>
      </c>
      <c r="I53" s="291">
        <f t="shared" si="1"/>
        <v>1</v>
      </c>
    </row>
    <row r="54" spans="1:9" s="37" customFormat="1" ht="18" customHeight="1">
      <c r="A54" s="34" t="s">
        <v>833</v>
      </c>
      <c r="B54" s="41" t="s">
        <v>10</v>
      </c>
      <c r="C54" s="184">
        <v>1959000000</v>
      </c>
      <c r="D54" s="184">
        <v>2100000000</v>
      </c>
      <c r="E54" s="184">
        <f>F54+G54</f>
        <v>2550000000</v>
      </c>
      <c r="F54" s="184">
        <v>2550000000</v>
      </c>
      <c r="G54" s="112"/>
      <c r="H54" s="291">
        <f t="shared" si="0"/>
        <v>1.0719754977029097</v>
      </c>
      <c r="I54" s="291">
        <f t="shared" si="1"/>
        <v>1.2142857142857142</v>
      </c>
    </row>
    <row r="55" spans="1:9" s="37" customFormat="1" ht="18" customHeight="1">
      <c r="A55" s="34" t="s">
        <v>834</v>
      </c>
      <c r="B55" s="41" t="s">
        <v>835</v>
      </c>
      <c r="C55" s="165">
        <f>C56+C72+C76</f>
        <v>77003000000</v>
      </c>
      <c r="D55" s="165">
        <f>D56+D72+D76</f>
        <v>85088000000</v>
      </c>
      <c r="E55" s="165">
        <f>E56+E72+E76</f>
        <v>105092700000</v>
      </c>
      <c r="F55" s="165">
        <f>F56+F72+F76</f>
        <v>42123700000</v>
      </c>
      <c r="G55" s="165">
        <f>G56+G72+G76</f>
        <v>61879000000</v>
      </c>
      <c r="H55" s="291">
        <f t="shared" si="0"/>
        <v>1.104995909250289</v>
      </c>
      <c r="I55" s="291">
        <f t="shared" si="1"/>
        <v>1.2351060078977059</v>
      </c>
    </row>
    <row r="56" spans="1:9" s="37" customFormat="1" ht="18" customHeight="1">
      <c r="A56" s="36" t="s">
        <v>836</v>
      </c>
      <c r="B56" s="41" t="s">
        <v>837</v>
      </c>
      <c r="C56" s="184">
        <f>SUM(C57:C71)</f>
        <v>46678000000</v>
      </c>
      <c r="D56" s="184">
        <f>SUM(D57:D71)</f>
        <v>50872000000</v>
      </c>
      <c r="E56" s="184">
        <f>SUM(E57:E71)</f>
        <v>62110700000</v>
      </c>
      <c r="F56" s="184">
        <f>SUM(F57:F71)</f>
        <v>25911700000</v>
      </c>
      <c r="G56" s="184">
        <f>SUM(G57:G71)</f>
        <v>36199000000</v>
      </c>
      <c r="H56" s="291">
        <f t="shared" si="0"/>
        <v>1.0898496079523545</v>
      </c>
      <c r="I56" s="291">
        <f t="shared" si="1"/>
        <v>1.2209211353986476</v>
      </c>
    </row>
    <row r="57" spans="1:9" s="37" customFormat="1">
      <c r="A57" s="42">
        <v>1</v>
      </c>
      <c r="B57" s="52" t="s">
        <v>296</v>
      </c>
      <c r="C57" s="298">
        <v>8368000000</v>
      </c>
      <c r="D57" s="112">
        <v>9680000000</v>
      </c>
      <c r="E57" s="112">
        <f>F57+G57</f>
        <v>9959000000</v>
      </c>
      <c r="F57" s="112">
        <f>1090000000+6969000000+1900000000</f>
        <v>9959000000</v>
      </c>
      <c r="G57" s="112"/>
      <c r="H57" s="292">
        <f t="shared" si="0"/>
        <v>1.1567877629063097</v>
      </c>
      <c r="I57" s="292">
        <f t="shared" si="1"/>
        <v>1.0288223140495867</v>
      </c>
    </row>
    <row r="58" spans="1:9" s="37" customFormat="1" ht="18" customHeight="1">
      <c r="A58" s="42">
        <v>2</v>
      </c>
      <c r="B58" s="52" t="s">
        <v>838</v>
      </c>
      <c r="C58" s="298">
        <v>581000000</v>
      </c>
      <c r="D58" s="112">
        <v>620000000</v>
      </c>
      <c r="E58" s="112">
        <f t="shared" ref="E58:E69" si="4">F58+G58</f>
        <v>840000000</v>
      </c>
      <c r="F58" s="112">
        <v>840000000</v>
      </c>
      <c r="G58" s="112"/>
      <c r="H58" s="292">
        <f t="shared" si="0"/>
        <v>1.0671256454388984</v>
      </c>
      <c r="I58" s="292">
        <f t="shared" si="1"/>
        <v>1.3548387096774193</v>
      </c>
    </row>
    <row r="59" spans="1:9" s="37" customFormat="1" ht="18" customHeight="1">
      <c r="A59" s="42">
        <v>3</v>
      </c>
      <c r="B59" s="53" t="s">
        <v>839</v>
      </c>
      <c r="C59" s="298">
        <v>553000000</v>
      </c>
      <c r="D59" s="112">
        <v>653000000</v>
      </c>
      <c r="E59" s="112">
        <f t="shared" si="4"/>
        <v>824000000</v>
      </c>
      <c r="F59" s="112">
        <f>824000000</f>
        <v>824000000</v>
      </c>
      <c r="G59" s="112"/>
      <c r="H59" s="292">
        <f t="shared" si="0"/>
        <v>1.1808318264014466</v>
      </c>
      <c r="I59" s="292">
        <f t="shared" si="1"/>
        <v>1.2618683001531394</v>
      </c>
    </row>
    <row r="60" spans="1:9" s="37" customFormat="1" ht="18" customHeight="1">
      <c r="A60" s="42">
        <v>4</v>
      </c>
      <c r="B60" s="53" t="s">
        <v>742</v>
      </c>
      <c r="C60" s="298">
        <v>1315000000</v>
      </c>
      <c r="D60" s="112">
        <v>1540000000</v>
      </c>
      <c r="E60" s="112">
        <f t="shared" si="4"/>
        <v>1673000000</v>
      </c>
      <c r="F60" s="112">
        <f>1673000000</f>
        <v>1673000000</v>
      </c>
      <c r="G60" s="112"/>
      <c r="H60" s="292">
        <f t="shared" si="0"/>
        <v>1.1711026615969582</v>
      </c>
      <c r="I60" s="292">
        <f t="shared" si="1"/>
        <v>1.0863636363636364</v>
      </c>
    </row>
    <row r="61" spans="1:9" s="37" customFormat="1" ht="18" customHeight="1">
      <c r="A61" s="42">
        <v>5</v>
      </c>
      <c r="B61" s="53" t="s">
        <v>55</v>
      </c>
      <c r="C61" s="298">
        <v>1430000000</v>
      </c>
      <c r="D61" s="112">
        <v>1630000000</v>
      </c>
      <c r="E61" s="112">
        <f t="shared" si="4"/>
        <v>1817800000</v>
      </c>
      <c r="F61" s="112">
        <v>1817800000</v>
      </c>
      <c r="G61" s="112"/>
      <c r="H61" s="292">
        <f t="shared" si="0"/>
        <v>1.1398601398601398</v>
      </c>
      <c r="I61" s="292">
        <f t="shared" si="1"/>
        <v>1.1152147239263803</v>
      </c>
    </row>
    <row r="62" spans="1:9" s="37" customFormat="1" ht="18" customHeight="1">
      <c r="A62" s="42">
        <v>6</v>
      </c>
      <c r="B62" s="53" t="s">
        <v>744</v>
      </c>
      <c r="C62" s="298">
        <f>1332000000-150000000</f>
        <v>1182000000</v>
      </c>
      <c r="D62" s="112">
        <v>1434000000</v>
      </c>
      <c r="E62" s="112">
        <f t="shared" si="4"/>
        <v>1780000000</v>
      </c>
      <c r="F62" s="112">
        <f>1780000000</f>
        <v>1780000000</v>
      </c>
      <c r="G62" s="112"/>
      <c r="H62" s="292">
        <f t="shared" si="0"/>
        <v>1.2131979695431472</v>
      </c>
      <c r="I62" s="292">
        <f t="shared" si="1"/>
        <v>1.2412831241283124</v>
      </c>
    </row>
    <row r="63" spans="1:9" s="37" customFormat="1" ht="18" customHeight="1">
      <c r="A63" s="42">
        <v>7</v>
      </c>
      <c r="B63" s="49" t="s">
        <v>297</v>
      </c>
      <c r="C63" s="295">
        <v>1395000000</v>
      </c>
      <c r="D63" s="112">
        <v>1540000000</v>
      </c>
      <c r="E63" s="112">
        <f t="shared" si="4"/>
        <v>1584900000</v>
      </c>
      <c r="F63" s="112">
        <v>1584900000</v>
      </c>
      <c r="G63" s="112"/>
      <c r="H63" s="292">
        <f t="shared" si="0"/>
        <v>1.1039426523297491</v>
      </c>
      <c r="I63" s="292">
        <f t="shared" si="1"/>
        <v>1.0291558441558442</v>
      </c>
    </row>
    <row r="64" spans="1:9" s="37" customFormat="1" ht="18" customHeight="1">
      <c r="A64" s="42">
        <v>8</v>
      </c>
      <c r="B64" s="53" t="s">
        <v>298</v>
      </c>
      <c r="C64" s="298">
        <v>362000000</v>
      </c>
      <c r="D64" s="112">
        <v>420000000</v>
      </c>
      <c r="E64" s="112">
        <f t="shared" si="4"/>
        <v>540000000</v>
      </c>
      <c r="F64" s="112">
        <v>540000000</v>
      </c>
      <c r="G64" s="112"/>
      <c r="H64" s="292">
        <f t="shared" si="0"/>
        <v>1.160220994475138</v>
      </c>
      <c r="I64" s="292">
        <f t="shared" si="1"/>
        <v>1.2857142857142858</v>
      </c>
    </row>
    <row r="65" spans="1:9" s="37" customFormat="1" ht="18" customHeight="1">
      <c r="A65" s="42">
        <v>9</v>
      </c>
      <c r="B65" s="53" t="s">
        <v>11</v>
      </c>
      <c r="C65" s="298">
        <v>1058000000</v>
      </c>
      <c r="D65" s="112">
        <v>1365000000</v>
      </c>
      <c r="E65" s="112">
        <f t="shared" si="4"/>
        <v>1415000000</v>
      </c>
      <c r="F65" s="112">
        <v>1415000000</v>
      </c>
      <c r="G65" s="112"/>
      <c r="H65" s="292">
        <f t="shared" si="0"/>
        <v>1.2901701323251418</v>
      </c>
      <c r="I65" s="292">
        <f t="shared" si="1"/>
        <v>1.0366300366300367</v>
      </c>
    </row>
    <row r="66" spans="1:9" s="37" customFormat="1" ht="18" customHeight="1">
      <c r="A66" s="42">
        <v>10</v>
      </c>
      <c r="B66" s="53" t="s">
        <v>743</v>
      </c>
      <c r="C66" s="298">
        <v>411000000</v>
      </c>
      <c r="D66" s="112">
        <v>430000000</v>
      </c>
      <c r="E66" s="112">
        <f t="shared" si="4"/>
        <v>645000000</v>
      </c>
      <c r="F66" s="112">
        <v>645000000</v>
      </c>
      <c r="G66" s="112"/>
      <c r="H66" s="292">
        <f t="shared" si="0"/>
        <v>1.0462287104622872</v>
      </c>
      <c r="I66" s="292">
        <f t="shared" si="1"/>
        <v>1.5</v>
      </c>
    </row>
    <row r="67" spans="1:9" s="37" customFormat="1" ht="18" customHeight="1">
      <c r="A67" s="42">
        <v>11</v>
      </c>
      <c r="B67" s="53" t="s">
        <v>840</v>
      </c>
      <c r="C67" s="298">
        <v>1896000000</v>
      </c>
      <c r="D67" s="112">
        <v>2210000000</v>
      </c>
      <c r="E67" s="112">
        <f t="shared" si="4"/>
        <v>2679000000</v>
      </c>
      <c r="F67" s="112">
        <v>2679000000</v>
      </c>
      <c r="G67" s="112"/>
      <c r="H67" s="292">
        <f t="shared" si="0"/>
        <v>1.1656118143459915</v>
      </c>
      <c r="I67" s="292">
        <f t="shared" si="1"/>
        <v>1.2122171945701357</v>
      </c>
    </row>
    <row r="68" spans="1:9" s="37" customFormat="1" ht="18" customHeight="1">
      <c r="A68" s="42">
        <v>12</v>
      </c>
      <c r="B68" s="53" t="s">
        <v>841</v>
      </c>
      <c r="C68" s="298">
        <v>997000000</v>
      </c>
      <c r="D68" s="112">
        <v>1120000000</v>
      </c>
      <c r="E68" s="112">
        <f t="shared" si="4"/>
        <v>1384000000</v>
      </c>
      <c r="F68" s="112">
        <v>1384000000</v>
      </c>
      <c r="G68" s="112"/>
      <c r="H68" s="292">
        <f t="shared" si="0"/>
        <v>1.123370110330993</v>
      </c>
      <c r="I68" s="292">
        <f t="shared" si="1"/>
        <v>1.2357142857142858</v>
      </c>
    </row>
    <row r="69" spans="1:9" s="37" customFormat="1" ht="18" customHeight="1">
      <c r="A69" s="42">
        <v>13</v>
      </c>
      <c r="B69" s="53" t="s">
        <v>299</v>
      </c>
      <c r="C69" s="298">
        <v>455000000</v>
      </c>
      <c r="D69" s="112">
        <v>555000000</v>
      </c>
      <c r="E69" s="112">
        <f t="shared" si="4"/>
        <v>735000000</v>
      </c>
      <c r="F69" s="112">
        <v>735000000</v>
      </c>
      <c r="G69" s="112"/>
      <c r="H69" s="292">
        <f t="shared" si="0"/>
        <v>1.2197802197802199</v>
      </c>
      <c r="I69" s="292">
        <f t="shared" si="1"/>
        <v>1.3243243243243243</v>
      </c>
    </row>
    <row r="70" spans="1:9" s="37" customFormat="1" ht="18" customHeight="1">
      <c r="A70" s="42">
        <v>14</v>
      </c>
      <c r="B70" s="53" t="s">
        <v>469</v>
      </c>
      <c r="C70" s="298">
        <v>26640000000</v>
      </c>
      <c r="D70" s="112">
        <v>27640000000</v>
      </c>
      <c r="E70" s="112">
        <f>F70+G70</f>
        <v>36199000000</v>
      </c>
      <c r="F70" s="112"/>
      <c r="G70" s="112">
        <v>36199000000</v>
      </c>
      <c r="H70" s="292">
        <f t="shared" si="0"/>
        <v>1.0375375375375375</v>
      </c>
      <c r="I70" s="292">
        <f t="shared" si="1"/>
        <v>1.3096599131693198</v>
      </c>
    </row>
    <row r="71" spans="1:9" s="37" customFormat="1" ht="18" customHeight="1">
      <c r="A71" s="42">
        <v>15</v>
      </c>
      <c r="B71" s="53" t="s">
        <v>413</v>
      </c>
      <c r="C71" s="298">
        <v>35000000</v>
      </c>
      <c r="D71" s="112">
        <v>35000000</v>
      </c>
      <c r="E71" s="112">
        <f>F71+G71</f>
        <v>35000000</v>
      </c>
      <c r="F71" s="112">
        <v>35000000</v>
      </c>
      <c r="G71" s="112"/>
      <c r="H71" s="292">
        <f t="shared" si="0"/>
        <v>1</v>
      </c>
      <c r="I71" s="292">
        <f t="shared" si="1"/>
        <v>1</v>
      </c>
    </row>
    <row r="72" spans="1:9" s="37" customFormat="1" ht="18" customHeight="1">
      <c r="A72" s="36" t="s">
        <v>842</v>
      </c>
      <c r="B72" s="41" t="s">
        <v>843</v>
      </c>
      <c r="C72" s="184">
        <f>C73+C74+C75</f>
        <v>14343000000</v>
      </c>
      <c r="D72" s="184">
        <f>D73+D74+D75</f>
        <v>15888000000</v>
      </c>
      <c r="E72" s="184">
        <f>E73+E74+G72</f>
        <v>19390000000</v>
      </c>
      <c r="F72" s="184">
        <f>F73+F74</f>
        <v>9600000000</v>
      </c>
      <c r="G72" s="184">
        <f>890000000+8900000000</f>
        <v>9790000000</v>
      </c>
      <c r="H72" s="291">
        <f t="shared" ref="H72:H130" si="5">D72/C72</f>
        <v>1.1077180506170257</v>
      </c>
      <c r="I72" s="291">
        <f t="shared" ref="I72:I131" si="6">E72/D72</f>
        <v>1.2204179254783485</v>
      </c>
    </row>
    <row r="73" spans="1:9" s="37" customFormat="1" ht="18" customHeight="1">
      <c r="A73" s="42">
        <v>1</v>
      </c>
      <c r="B73" s="43" t="s">
        <v>12</v>
      </c>
      <c r="C73" s="112">
        <v>6405000000</v>
      </c>
      <c r="D73" s="112">
        <v>6950000000</v>
      </c>
      <c r="E73" s="112">
        <f>F73+G73</f>
        <v>8900000000</v>
      </c>
      <c r="F73" s="112">
        <v>8900000000</v>
      </c>
      <c r="G73" s="112"/>
      <c r="H73" s="292">
        <f t="shared" si="5"/>
        <v>1.0850897736143639</v>
      </c>
      <c r="I73" s="292">
        <f t="shared" si="6"/>
        <v>1.2805755395683454</v>
      </c>
    </row>
    <row r="74" spans="1:9" s="37" customFormat="1" ht="18" customHeight="1">
      <c r="A74" s="42">
        <v>2</v>
      </c>
      <c r="B74" s="43" t="s">
        <v>844</v>
      </c>
      <c r="C74" s="112">
        <v>700000000</v>
      </c>
      <c r="D74" s="112">
        <v>700000000</v>
      </c>
      <c r="E74" s="112">
        <f>F74+G74</f>
        <v>700000000</v>
      </c>
      <c r="F74" s="112">
        <v>700000000</v>
      </c>
      <c r="G74" s="112"/>
      <c r="H74" s="292">
        <f t="shared" si="5"/>
        <v>1</v>
      </c>
      <c r="I74" s="292">
        <f t="shared" si="6"/>
        <v>1</v>
      </c>
    </row>
    <row r="75" spans="1:9" s="37" customFormat="1" ht="18" customHeight="1">
      <c r="A75" s="42">
        <v>3</v>
      </c>
      <c r="B75" s="43" t="s">
        <v>469</v>
      </c>
      <c r="C75" s="112">
        <v>7238000000</v>
      </c>
      <c r="D75" s="112">
        <v>8238000000</v>
      </c>
      <c r="E75" s="112">
        <f>F75+G75</f>
        <v>9790000000</v>
      </c>
      <c r="F75" s="112"/>
      <c r="G75" s="112">
        <v>9790000000</v>
      </c>
      <c r="H75" s="292">
        <f t="shared" si="5"/>
        <v>1.1381597126277978</v>
      </c>
      <c r="I75" s="292">
        <f t="shared" si="6"/>
        <v>1.1883952415634862</v>
      </c>
    </row>
    <row r="76" spans="1:9" s="37" customFormat="1" ht="18" customHeight="1">
      <c r="A76" s="36" t="s">
        <v>845</v>
      </c>
      <c r="B76" s="41" t="s">
        <v>846</v>
      </c>
      <c r="C76" s="165">
        <f>SUM(C77:C83)</f>
        <v>15982000000</v>
      </c>
      <c r="D76" s="165">
        <f>SUM(D77:D83)</f>
        <v>18328000000</v>
      </c>
      <c r="E76" s="165">
        <f>SUM(E77:E83)</f>
        <v>23592000000</v>
      </c>
      <c r="F76" s="165">
        <f>SUM(F77:F82)</f>
        <v>6612000000</v>
      </c>
      <c r="G76" s="165">
        <v>15890000000</v>
      </c>
      <c r="H76" s="291">
        <f t="shared" si="5"/>
        <v>1.1467901389062696</v>
      </c>
      <c r="I76" s="291">
        <f t="shared" si="6"/>
        <v>1.2872108249672631</v>
      </c>
    </row>
    <row r="77" spans="1:9" s="37" customFormat="1">
      <c r="A77" s="36">
        <v>1</v>
      </c>
      <c r="B77" s="53" t="s">
        <v>412</v>
      </c>
      <c r="C77" s="298">
        <v>1023000000</v>
      </c>
      <c r="D77" s="112">
        <v>1250000000</v>
      </c>
      <c r="E77" s="112">
        <f t="shared" ref="E77:E82" si="7">F77+G77</f>
        <v>1550000000</v>
      </c>
      <c r="F77" s="112">
        <v>1550000000</v>
      </c>
      <c r="G77" s="112"/>
      <c r="H77" s="292">
        <f t="shared" si="5"/>
        <v>1.2218963831867058</v>
      </c>
      <c r="I77" s="292">
        <f t="shared" si="6"/>
        <v>1.24</v>
      </c>
    </row>
    <row r="78" spans="1:9" s="37" customFormat="1">
      <c r="A78" s="36">
        <v>2</v>
      </c>
      <c r="B78" s="53" t="s">
        <v>847</v>
      </c>
      <c r="C78" s="298">
        <v>604000000</v>
      </c>
      <c r="D78" s="112">
        <v>780000000</v>
      </c>
      <c r="E78" s="112">
        <f t="shared" si="7"/>
        <v>1350000000</v>
      </c>
      <c r="F78" s="112">
        <v>1350000000</v>
      </c>
      <c r="G78" s="112"/>
      <c r="H78" s="292">
        <f t="shared" si="5"/>
        <v>1.2913907284768211</v>
      </c>
      <c r="I78" s="292">
        <f t="shared" si="6"/>
        <v>1.7307692307692308</v>
      </c>
    </row>
    <row r="79" spans="1:9" s="37" customFormat="1">
      <c r="A79" s="36">
        <v>3</v>
      </c>
      <c r="B79" s="53" t="s">
        <v>848</v>
      </c>
      <c r="C79" s="298">
        <v>707000000</v>
      </c>
      <c r="D79" s="112">
        <v>850000000</v>
      </c>
      <c r="E79" s="112">
        <f t="shared" si="7"/>
        <v>1240000000</v>
      </c>
      <c r="F79" s="112">
        <v>1240000000</v>
      </c>
      <c r="G79" s="112"/>
      <c r="H79" s="292">
        <f t="shared" si="5"/>
        <v>1.2022630834512023</v>
      </c>
      <c r="I79" s="292">
        <f t="shared" si="6"/>
        <v>1.4588235294117646</v>
      </c>
    </row>
    <row r="80" spans="1:9" s="37" customFormat="1">
      <c r="A80" s="36">
        <v>4</v>
      </c>
      <c r="B80" s="53" t="s">
        <v>849</v>
      </c>
      <c r="C80" s="298">
        <v>748000000</v>
      </c>
      <c r="D80" s="112">
        <v>848000000</v>
      </c>
      <c r="E80" s="112">
        <f t="shared" si="7"/>
        <v>1476000000</v>
      </c>
      <c r="F80" s="112">
        <f>500000000+976000000</f>
        <v>1476000000</v>
      </c>
      <c r="G80" s="112"/>
      <c r="H80" s="292">
        <f t="shared" si="5"/>
        <v>1.1336898395721926</v>
      </c>
      <c r="I80" s="292">
        <f t="shared" si="6"/>
        <v>1.7405660377358489</v>
      </c>
    </row>
    <row r="81" spans="1:9" s="37" customFormat="1" ht="17.25" customHeight="1">
      <c r="A81" s="36">
        <v>5</v>
      </c>
      <c r="B81" s="53" t="s">
        <v>850</v>
      </c>
      <c r="C81" s="298">
        <v>409000000</v>
      </c>
      <c r="D81" s="112">
        <v>550000000</v>
      </c>
      <c r="E81" s="112">
        <f t="shared" si="7"/>
        <v>746000000</v>
      </c>
      <c r="F81" s="112">
        <v>746000000</v>
      </c>
      <c r="G81" s="112"/>
      <c r="H81" s="292">
        <f t="shared" si="5"/>
        <v>1.3447432762836187</v>
      </c>
      <c r="I81" s="292">
        <f t="shared" si="6"/>
        <v>1.3563636363636364</v>
      </c>
    </row>
    <row r="82" spans="1:9" s="37" customFormat="1" ht="19.5" customHeight="1">
      <c r="A82" s="36">
        <v>6</v>
      </c>
      <c r="B82" s="44" t="s">
        <v>851</v>
      </c>
      <c r="C82" s="112">
        <v>133000000</v>
      </c>
      <c r="D82" s="112">
        <v>150000000</v>
      </c>
      <c r="E82" s="112">
        <f t="shared" si="7"/>
        <v>250000000</v>
      </c>
      <c r="F82" s="112">
        <v>250000000</v>
      </c>
      <c r="G82" s="112"/>
      <c r="H82" s="292">
        <f t="shared" si="5"/>
        <v>1.1278195488721805</v>
      </c>
      <c r="I82" s="292">
        <f t="shared" si="6"/>
        <v>1.6666666666666667</v>
      </c>
    </row>
    <row r="83" spans="1:9" s="37" customFormat="1" ht="19.5" customHeight="1">
      <c r="A83" s="36">
        <v>7</v>
      </c>
      <c r="B83" s="44" t="s">
        <v>469</v>
      </c>
      <c r="C83" s="112">
        <v>12358000000</v>
      </c>
      <c r="D83" s="112">
        <v>13900000000</v>
      </c>
      <c r="E83" s="112">
        <f>F83+G83</f>
        <v>16980000000</v>
      </c>
      <c r="F83" s="112"/>
      <c r="G83" s="112">
        <v>16980000000</v>
      </c>
      <c r="H83" s="292">
        <f t="shared" si="5"/>
        <v>1.1247774720828614</v>
      </c>
      <c r="I83" s="292">
        <f t="shared" si="6"/>
        <v>1.2215827338129497</v>
      </c>
    </row>
    <row r="84" spans="1:9" s="130" customFormat="1" ht="18" customHeight="1">
      <c r="A84" s="34" t="s">
        <v>852</v>
      </c>
      <c r="B84" s="41" t="s">
        <v>853</v>
      </c>
      <c r="C84" s="165">
        <f>C85+C86</f>
        <v>11107000000</v>
      </c>
      <c r="D84" s="165">
        <f>D85+D86</f>
        <v>13132000000</v>
      </c>
      <c r="E84" s="165">
        <f>E85+E86</f>
        <v>17710000000</v>
      </c>
      <c r="F84" s="165">
        <f>F85+F86</f>
        <v>5000000000</v>
      </c>
      <c r="G84" s="165">
        <f>G85+G86</f>
        <v>12710000000</v>
      </c>
      <c r="H84" s="291">
        <f t="shared" si="5"/>
        <v>1.1823174574592599</v>
      </c>
      <c r="I84" s="291">
        <f t="shared" si="6"/>
        <v>1.3486140724946696</v>
      </c>
    </row>
    <row r="85" spans="1:9" s="37" customFormat="1" ht="18" customHeight="1">
      <c r="A85" s="42"/>
      <c r="B85" s="43" t="s">
        <v>854</v>
      </c>
      <c r="C85" s="112">
        <v>3782000000</v>
      </c>
      <c r="D85" s="112">
        <v>4782000000</v>
      </c>
      <c r="E85" s="112">
        <f t="shared" ref="E85:E91" si="8">F85+G85</f>
        <v>7560000000</v>
      </c>
      <c r="F85" s="112">
        <v>2000000000</v>
      </c>
      <c r="G85" s="112">
        <v>5560000000</v>
      </c>
      <c r="H85" s="292">
        <f t="shared" si="5"/>
        <v>1.2644103648863037</v>
      </c>
      <c r="I85" s="292">
        <f t="shared" si="6"/>
        <v>1.5809284818067755</v>
      </c>
    </row>
    <row r="86" spans="1:9" s="37" customFormat="1" ht="18" customHeight="1">
      <c r="A86" s="42"/>
      <c r="B86" s="43" t="s">
        <v>855</v>
      </c>
      <c r="C86" s="112">
        <v>7325000000</v>
      </c>
      <c r="D86" s="112">
        <v>8350000000</v>
      </c>
      <c r="E86" s="112">
        <f t="shared" si="8"/>
        <v>10150000000</v>
      </c>
      <c r="F86" s="112">
        <v>3000000000</v>
      </c>
      <c r="G86" s="112">
        <v>7150000000</v>
      </c>
      <c r="H86" s="292">
        <f t="shared" si="5"/>
        <v>1.1399317406143346</v>
      </c>
      <c r="I86" s="292">
        <f t="shared" si="6"/>
        <v>1.215568862275449</v>
      </c>
    </row>
    <row r="87" spans="1:9" s="35" customFormat="1" ht="22.5" customHeight="1">
      <c r="A87" s="40" t="s">
        <v>856</v>
      </c>
      <c r="B87" s="41" t="s">
        <v>735</v>
      </c>
      <c r="C87" s="184">
        <f>13046000000+7000000000</f>
        <v>20046000000</v>
      </c>
      <c r="D87" s="184">
        <f>13046000000+7000000000</f>
        <v>20046000000</v>
      </c>
      <c r="E87" s="184">
        <f t="shared" si="8"/>
        <v>21000000000</v>
      </c>
      <c r="F87" s="184">
        <v>21000000000</v>
      </c>
      <c r="G87" s="184"/>
      <c r="H87" s="292">
        <f t="shared" si="5"/>
        <v>1</v>
      </c>
      <c r="I87" s="292">
        <f t="shared" si="6"/>
        <v>1.0475905417539659</v>
      </c>
    </row>
    <row r="88" spans="1:9" s="35" customFormat="1" ht="22.5" customHeight="1">
      <c r="A88" s="40" t="s">
        <v>830</v>
      </c>
      <c r="B88" s="41" t="s">
        <v>857</v>
      </c>
      <c r="C88" s="184"/>
      <c r="D88" s="184">
        <v>348000000</v>
      </c>
      <c r="E88" s="184">
        <f t="shared" si="8"/>
        <v>0</v>
      </c>
      <c r="F88" s="184"/>
      <c r="G88" s="184"/>
      <c r="H88" s="292"/>
      <c r="I88" s="292"/>
    </row>
    <row r="89" spans="1:9" s="35" customFormat="1" ht="18" customHeight="1">
      <c r="A89" s="40" t="s">
        <v>833</v>
      </c>
      <c r="B89" s="39" t="s">
        <v>858</v>
      </c>
      <c r="C89" s="188">
        <v>1570000000</v>
      </c>
      <c r="D89" s="184">
        <v>1570000000</v>
      </c>
      <c r="E89" s="184">
        <f t="shared" si="8"/>
        <v>5000000000</v>
      </c>
      <c r="F89" s="184">
        <v>5000000000</v>
      </c>
      <c r="G89" s="184"/>
      <c r="H89" s="291">
        <f t="shared" si="5"/>
        <v>1</v>
      </c>
      <c r="I89" s="291">
        <f t="shared" si="6"/>
        <v>3.1847133757961785</v>
      </c>
    </row>
    <row r="90" spans="1:9" s="35" customFormat="1" ht="19.5" customHeight="1">
      <c r="A90" s="40" t="s">
        <v>834</v>
      </c>
      <c r="B90" s="39" t="s">
        <v>859</v>
      </c>
      <c r="C90" s="188">
        <v>6871000000</v>
      </c>
      <c r="D90" s="184">
        <v>6871000000</v>
      </c>
      <c r="E90" s="184">
        <f t="shared" si="8"/>
        <v>8860000000</v>
      </c>
      <c r="F90" s="184">
        <v>6733000000</v>
      </c>
      <c r="G90" s="184">
        <v>2127000000</v>
      </c>
      <c r="H90" s="291">
        <f t="shared" si="5"/>
        <v>1</v>
      </c>
      <c r="I90" s="291">
        <f t="shared" si="6"/>
        <v>1.2894775141900743</v>
      </c>
    </row>
    <row r="91" spans="1:9" s="131" customFormat="1" ht="22.5" customHeight="1">
      <c r="A91" s="40" t="s">
        <v>852</v>
      </c>
      <c r="B91" s="55" t="s">
        <v>14</v>
      </c>
      <c r="C91" s="158">
        <v>150000000</v>
      </c>
      <c r="D91" s="184">
        <v>150000000</v>
      </c>
      <c r="E91" s="184">
        <f t="shared" si="8"/>
        <v>150000000</v>
      </c>
      <c r="F91" s="184">
        <v>150000000</v>
      </c>
      <c r="G91" s="184"/>
      <c r="H91" s="292">
        <f t="shared" si="5"/>
        <v>1</v>
      </c>
      <c r="I91" s="292">
        <f t="shared" si="6"/>
        <v>1</v>
      </c>
    </row>
    <row r="92" spans="1:9" s="131" customFormat="1" ht="27.75" customHeight="1">
      <c r="A92" s="40" t="s">
        <v>856</v>
      </c>
      <c r="B92" s="55" t="s">
        <v>0</v>
      </c>
      <c r="C92" s="158">
        <v>640000000</v>
      </c>
      <c r="D92" s="184">
        <v>640000000</v>
      </c>
      <c r="E92" s="184"/>
      <c r="F92" s="184"/>
      <c r="G92" s="184"/>
      <c r="H92" s="292">
        <f t="shared" si="5"/>
        <v>1</v>
      </c>
      <c r="I92" s="292">
        <f t="shared" si="6"/>
        <v>0</v>
      </c>
    </row>
    <row r="93" spans="1:9" s="131" customFormat="1" ht="29.25" customHeight="1">
      <c r="A93" s="40" t="s">
        <v>219</v>
      </c>
      <c r="B93" s="54" t="s">
        <v>1</v>
      </c>
      <c r="C93" s="184">
        <f>SUM(C94,C102,C108,C111,C112)</f>
        <v>69198000000</v>
      </c>
      <c r="D93" s="184">
        <f>SUM(D94,D102,D108,D111,D112)</f>
        <v>79487002945</v>
      </c>
      <c r="E93" s="184">
        <f>SUM(E94,E102,E108,E111,E112)</f>
        <v>69198000000</v>
      </c>
      <c r="F93" s="184">
        <f>SUM(F94,F102,F108,F111,F112)</f>
        <v>6171000000</v>
      </c>
      <c r="G93" s="184">
        <f>SUM(G94,G102,G108,G111,G112)</f>
        <v>63027000000</v>
      </c>
      <c r="H93" s="291">
        <f t="shared" si="5"/>
        <v>1.1486893110350009</v>
      </c>
      <c r="I93" s="291">
        <f t="shared" si="6"/>
        <v>0.87055741739162884</v>
      </c>
    </row>
    <row r="94" spans="1:9" ht="24.75" customHeight="1">
      <c r="A94" s="126">
        <v>1</v>
      </c>
      <c r="B94" s="56" t="s">
        <v>2</v>
      </c>
      <c r="C94" s="184">
        <f>SUM(C95:C101)</f>
        <v>36319000000</v>
      </c>
      <c r="D94" s="184">
        <f>SUM(D95:D101)</f>
        <v>39507633145</v>
      </c>
      <c r="E94" s="184">
        <f>SUM(E95:E101)</f>
        <v>36319000000</v>
      </c>
      <c r="F94" s="184">
        <f>SUM(F95:F101)</f>
        <v>5366000000</v>
      </c>
      <c r="G94" s="184">
        <f>SUM(G95:G101)</f>
        <v>30953000000</v>
      </c>
      <c r="H94" s="291">
        <f t="shared" si="5"/>
        <v>1.0877951800710373</v>
      </c>
      <c r="I94" s="291">
        <f t="shared" si="6"/>
        <v>0.91929070685411218</v>
      </c>
    </row>
    <row r="95" spans="1:9" ht="30" customHeight="1">
      <c r="A95" s="61"/>
      <c r="B95" s="45" t="s">
        <v>3</v>
      </c>
      <c r="C95" s="294">
        <v>20630000000</v>
      </c>
      <c r="D95" s="112">
        <f>20630000000+1055530000</f>
        <v>21685530000</v>
      </c>
      <c r="E95" s="112">
        <f t="shared" ref="E95:E100" si="9">F95+G95</f>
        <v>20630000000</v>
      </c>
      <c r="F95" s="112"/>
      <c r="G95" s="112">
        <v>20630000000</v>
      </c>
      <c r="H95" s="292">
        <f t="shared" si="5"/>
        <v>1.051164808531265</v>
      </c>
      <c r="I95" s="292">
        <f t="shared" si="6"/>
        <v>0.95132560744422667</v>
      </c>
    </row>
    <row r="96" spans="1:9" ht="30" customHeight="1">
      <c r="A96" s="61"/>
      <c r="B96" s="45" t="s">
        <v>747</v>
      </c>
      <c r="C96" s="294">
        <v>2300000000</v>
      </c>
      <c r="D96" s="112">
        <v>2300000000</v>
      </c>
      <c r="E96" s="112">
        <f t="shared" si="9"/>
        <v>2300000000</v>
      </c>
      <c r="F96" s="112"/>
      <c r="G96" s="112">
        <v>2300000000</v>
      </c>
      <c r="H96" s="292">
        <f t="shared" si="5"/>
        <v>1</v>
      </c>
      <c r="I96" s="292">
        <f t="shared" si="6"/>
        <v>1</v>
      </c>
    </row>
    <row r="97" spans="1:9" ht="30" customHeight="1">
      <c r="A97" s="61"/>
      <c r="B97" s="45" t="s">
        <v>482</v>
      </c>
      <c r="C97" s="294">
        <v>1760000000</v>
      </c>
      <c r="D97" s="112">
        <f>1760000000+321281105</f>
        <v>2081281105</v>
      </c>
      <c r="E97" s="112">
        <f t="shared" si="9"/>
        <v>1760000000</v>
      </c>
      <c r="F97" s="112">
        <v>1760000000</v>
      </c>
      <c r="G97" s="112"/>
      <c r="H97" s="292">
        <f t="shared" si="5"/>
        <v>1.1825460823863636</v>
      </c>
      <c r="I97" s="292">
        <f t="shared" si="6"/>
        <v>0.84563300736831515</v>
      </c>
    </row>
    <row r="98" spans="1:9" ht="30" customHeight="1">
      <c r="A98" s="61"/>
      <c r="B98" s="45" t="s">
        <v>15</v>
      </c>
      <c r="C98" s="294">
        <v>9023000000</v>
      </c>
      <c r="D98" s="112">
        <f>9023000000+466498040</f>
        <v>9489498040</v>
      </c>
      <c r="E98" s="112">
        <f t="shared" si="9"/>
        <v>9023000000</v>
      </c>
      <c r="F98" s="112">
        <v>1000000000</v>
      </c>
      <c r="G98" s="112">
        <v>8023000000</v>
      </c>
      <c r="H98" s="292">
        <f t="shared" si="5"/>
        <v>1.0517009908012855</v>
      </c>
      <c r="I98" s="292">
        <f t="shared" si="6"/>
        <v>0.95084059894067907</v>
      </c>
    </row>
    <row r="99" spans="1:9" ht="30" customHeight="1">
      <c r="A99" s="61"/>
      <c r="B99" s="45" t="s">
        <v>746</v>
      </c>
      <c r="C99" s="294">
        <v>2006000000</v>
      </c>
      <c r="D99" s="112">
        <f>2006000000+166824000</f>
        <v>2172824000</v>
      </c>
      <c r="E99" s="112">
        <f t="shared" si="9"/>
        <v>2006000000</v>
      </c>
      <c r="F99" s="112">
        <v>2006000000</v>
      </c>
      <c r="G99" s="112"/>
      <c r="H99" s="292">
        <f t="shared" si="5"/>
        <v>1.0831625124626121</v>
      </c>
      <c r="I99" s="292">
        <f t="shared" si="6"/>
        <v>0.92322249754236885</v>
      </c>
    </row>
    <row r="100" spans="1:9" s="131" customFormat="1" ht="30" customHeight="1">
      <c r="A100" s="126"/>
      <c r="B100" s="45" t="s">
        <v>43</v>
      </c>
      <c r="C100" s="294">
        <v>600000000</v>
      </c>
      <c r="D100" s="112">
        <v>600000000</v>
      </c>
      <c r="E100" s="112">
        <f t="shared" si="9"/>
        <v>600000000</v>
      </c>
      <c r="F100" s="112">
        <v>600000000</v>
      </c>
      <c r="G100" s="184"/>
      <c r="H100" s="292">
        <f t="shared" si="5"/>
        <v>1</v>
      </c>
      <c r="I100" s="292">
        <f t="shared" si="6"/>
        <v>1</v>
      </c>
    </row>
    <row r="101" spans="1:9" s="131" customFormat="1" ht="30" customHeight="1">
      <c r="A101" s="126"/>
      <c r="B101" s="45" t="s">
        <v>481</v>
      </c>
      <c r="C101" s="294"/>
      <c r="D101" s="112">
        <v>1178500000</v>
      </c>
      <c r="E101" s="112"/>
      <c r="F101" s="112"/>
      <c r="G101" s="184"/>
      <c r="H101" s="292"/>
      <c r="I101" s="292"/>
    </row>
    <row r="102" spans="1:9" s="131" customFormat="1" ht="30" customHeight="1">
      <c r="A102" s="126">
        <v>2</v>
      </c>
      <c r="B102" s="56" t="s">
        <v>8</v>
      </c>
      <c r="C102" s="184">
        <f>SUM(C103,C104,C105)</f>
        <v>14353000000</v>
      </c>
      <c r="D102" s="184">
        <f>SUM(D103,D104,D105)</f>
        <v>19186604000</v>
      </c>
      <c r="E102" s="184">
        <f>SUM(E103,E104,E105)</f>
        <v>14353000000</v>
      </c>
      <c r="F102" s="184">
        <f>SUM(F103,F104,F105)</f>
        <v>0</v>
      </c>
      <c r="G102" s="184">
        <f>SUM(G103,G104,G105)</f>
        <v>14353000000</v>
      </c>
      <c r="H102" s="291">
        <f t="shared" si="5"/>
        <v>1.3367661116142966</v>
      </c>
      <c r="I102" s="291">
        <f t="shared" si="6"/>
        <v>0.74807402081160379</v>
      </c>
    </row>
    <row r="103" spans="1:9" ht="30" customHeight="1">
      <c r="A103" s="61"/>
      <c r="B103" s="45" t="s">
        <v>42</v>
      </c>
      <c r="C103" s="294">
        <v>10911000000</v>
      </c>
      <c r="D103" s="112">
        <f>10911000000+4833604000</f>
        <v>15744604000</v>
      </c>
      <c r="E103" s="112">
        <f>F103+G103</f>
        <v>10911000000</v>
      </c>
      <c r="F103" s="112"/>
      <c r="G103" s="112">
        <v>10911000000</v>
      </c>
      <c r="H103" s="292">
        <f t="shared" si="5"/>
        <v>1.443002841169462</v>
      </c>
      <c r="I103" s="292">
        <f t="shared" si="6"/>
        <v>0.69299932853185764</v>
      </c>
    </row>
    <row r="104" spans="1:9" ht="37.5" customHeight="1">
      <c r="A104" s="61"/>
      <c r="B104" s="51" t="s">
        <v>35</v>
      </c>
      <c r="C104" s="297">
        <v>687000000</v>
      </c>
      <c r="D104" s="112">
        <v>687000000</v>
      </c>
      <c r="E104" s="112">
        <f>F104+G104</f>
        <v>687000000</v>
      </c>
      <c r="F104" s="112"/>
      <c r="G104" s="112">
        <v>687000000</v>
      </c>
      <c r="H104" s="292">
        <f t="shared" si="5"/>
        <v>1</v>
      </c>
      <c r="I104" s="292">
        <f t="shared" si="6"/>
        <v>1</v>
      </c>
    </row>
    <row r="105" spans="1:9" ht="32.25">
      <c r="A105" s="61"/>
      <c r="B105" s="51" t="s">
        <v>745</v>
      </c>
      <c r="C105" s="297">
        <v>2755000000</v>
      </c>
      <c r="D105" s="112">
        <f>D106+D107</f>
        <v>2755000000</v>
      </c>
      <c r="E105" s="112">
        <f>E106+E107</f>
        <v>2755000000</v>
      </c>
      <c r="F105" s="112">
        <f>F106+F107</f>
        <v>0</v>
      </c>
      <c r="G105" s="112">
        <f>G106+G107</f>
        <v>2755000000</v>
      </c>
      <c r="H105" s="292">
        <f t="shared" si="5"/>
        <v>1</v>
      </c>
      <c r="I105" s="292">
        <f t="shared" si="6"/>
        <v>1</v>
      </c>
    </row>
    <row r="106" spans="1:9">
      <c r="A106" s="61"/>
      <c r="B106" s="45" t="s">
        <v>33</v>
      </c>
      <c r="C106" s="294">
        <v>2204000000</v>
      </c>
      <c r="D106" s="112">
        <v>2204000000</v>
      </c>
      <c r="E106" s="112">
        <f>F106+G106</f>
        <v>2204000000</v>
      </c>
      <c r="F106" s="112"/>
      <c r="G106" s="112">
        <v>2204000000</v>
      </c>
      <c r="H106" s="292">
        <f t="shared" si="5"/>
        <v>1</v>
      </c>
      <c r="I106" s="292">
        <f t="shared" si="6"/>
        <v>1</v>
      </c>
    </row>
    <row r="107" spans="1:9">
      <c r="A107" s="61"/>
      <c r="B107" s="45" t="s">
        <v>34</v>
      </c>
      <c r="C107" s="294">
        <v>551000000</v>
      </c>
      <c r="D107" s="112">
        <v>551000000</v>
      </c>
      <c r="E107" s="112">
        <f>F107+G107</f>
        <v>551000000</v>
      </c>
      <c r="F107" s="112"/>
      <c r="G107" s="112">
        <v>551000000</v>
      </c>
      <c r="H107" s="292">
        <f t="shared" si="5"/>
        <v>1</v>
      </c>
      <c r="I107" s="292">
        <f t="shared" si="6"/>
        <v>1</v>
      </c>
    </row>
    <row r="108" spans="1:9" s="131" customFormat="1" ht="23.1" customHeight="1">
      <c r="A108" s="126">
        <v>3</v>
      </c>
      <c r="B108" s="64" t="s">
        <v>36</v>
      </c>
      <c r="C108" s="184">
        <f>SUM(C109:C110)</f>
        <v>48000000</v>
      </c>
      <c r="D108" s="184">
        <f>SUM(D109:D110)</f>
        <v>48000000</v>
      </c>
      <c r="E108" s="184">
        <f>SUM(E109:E110)</f>
        <v>48000000</v>
      </c>
      <c r="F108" s="184">
        <f>SUM(F109:F110)</f>
        <v>48000000</v>
      </c>
      <c r="G108" s="184">
        <f>SUM(G109:G110)</f>
        <v>0</v>
      </c>
      <c r="H108" s="291">
        <f t="shared" si="5"/>
        <v>1</v>
      </c>
      <c r="I108" s="291">
        <f t="shared" si="6"/>
        <v>1</v>
      </c>
    </row>
    <row r="109" spans="1:9" ht="23.1" customHeight="1">
      <c r="A109" s="61"/>
      <c r="B109" s="51" t="s">
        <v>37</v>
      </c>
      <c r="C109" s="297">
        <v>24000000</v>
      </c>
      <c r="D109" s="112">
        <v>24000000</v>
      </c>
      <c r="E109" s="112">
        <f>F109+G109</f>
        <v>24000000</v>
      </c>
      <c r="F109" s="112">
        <v>24000000</v>
      </c>
      <c r="G109" s="112"/>
      <c r="H109" s="292">
        <f t="shared" si="5"/>
        <v>1</v>
      </c>
      <c r="I109" s="292">
        <f t="shared" si="6"/>
        <v>1</v>
      </c>
    </row>
    <row r="110" spans="1:9" ht="23.1" customHeight="1">
      <c r="A110" s="61"/>
      <c r="B110" s="51" t="s">
        <v>38</v>
      </c>
      <c r="C110" s="297">
        <v>24000000</v>
      </c>
      <c r="D110" s="112">
        <v>24000000</v>
      </c>
      <c r="E110" s="112">
        <f>F110+G110</f>
        <v>24000000</v>
      </c>
      <c r="F110" s="112">
        <v>24000000</v>
      </c>
      <c r="G110" s="112"/>
      <c r="H110" s="292">
        <f t="shared" si="5"/>
        <v>1</v>
      </c>
      <c r="I110" s="292">
        <f t="shared" si="6"/>
        <v>1</v>
      </c>
    </row>
    <row r="111" spans="1:9" s="131" customFormat="1" ht="25.5" customHeight="1">
      <c r="A111" s="126">
        <v>4</v>
      </c>
      <c r="B111" s="64" t="s">
        <v>39</v>
      </c>
      <c r="C111" s="299">
        <v>60000000</v>
      </c>
      <c r="D111" s="184">
        <f>60000000</f>
        <v>60000000</v>
      </c>
      <c r="E111" s="184">
        <f>F111+G111</f>
        <v>60000000</v>
      </c>
      <c r="F111" s="184">
        <v>60000000</v>
      </c>
      <c r="G111" s="184"/>
      <c r="H111" s="292">
        <f t="shared" si="5"/>
        <v>1</v>
      </c>
      <c r="I111" s="292">
        <f t="shared" si="6"/>
        <v>1</v>
      </c>
    </row>
    <row r="112" spans="1:9">
      <c r="A112" s="126">
        <v>5</v>
      </c>
      <c r="B112" s="56" t="s">
        <v>4</v>
      </c>
      <c r="C112" s="184">
        <f>C113+C114</f>
        <v>18418000000</v>
      </c>
      <c r="D112" s="184">
        <f>D113+D114</f>
        <v>20684765800</v>
      </c>
      <c r="E112" s="184">
        <f>E113+E114</f>
        <v>18418000000</v>
      </c>
      <c r="F112" s="184">
        <f>F113+F114</f>
        <v>697000000</v>
      </c>
      <c r="G112" s="184">
        <f>G113+G114</f>
        <v>17721000000</v>
      </c>
      <c r="H112" s="291">
        <f t="shared" si="5"/>
        <v>1.1230733955912695</v>
      </c>
      <c r="I112" s="291">
        <f t="shared" si="6"/>
        <v>0.89041375561525571</v>
      </c>
    </row>
    <row r="113" spans="1:9">
      <c r="A113" s="61"/>
      <c r="B113" s="45" t="s">
        <v>5</v>
      </c>
      <c r="C113" s="294">
        <v>13800000000</v>
      </c>
      <c r="D113" s="112">
        <f>13800000000+103000000</f>
        <v>13903000000</v>
      </c>
      <c r="E113" s="112">
        <f>F113+G113</f>
        <v>13800000000</v>
      </c>
      <c r="F113" s="112"/>
      <c r="G113" s="112">
        <v>13800000000</v>
      </c>
      <c r="H113" s="292">
        <f t="shared" si="5"/>
        <v>1.007463768115942</v>
      </c>
      <c r="I113" s="292">
        <f t="shared" si="6"/>
        <v>0.99259152700855935</v>
      </c>
    </row>
    <row r="114" spans="1:9">
      <c r="A114" s="61"/>
      <c r="B114" s="45" t="s">
        <v>6</v>
      </c>
      <c r="C114" s="294">
        <v>4618000000</v>
      </c>
      <c r="D114" s="112">
        <f>SUM(D115:D117)</f>
        <v>6781765800</v>
      </c>
      <c r="E114" s="112">
        <f>SUM(E115:E117)</f>
        <v>4618000000</v>
      </c>
      <c r="F114" s="112">
        <f>SUM(F115:F117)</f>
        <v>697000000</v>
      </c>
      <c r="G114" s="112">
        <f>SUM(G115:G117)</f>
        <v>3921000000</v>
      </c>
      <c r="H114" s="292">
        <f t="shared" si="5"/>
        <v>1.4685504114335211</v>
      </c>
      <c r="I114" s="292">
        <f t="shared" si="6"/>
        <v>0.68094359731502374</v>
      </c>
    </row>
    <row r="115" spans="1:9">
      <c r="A115" s="61"/>
      <c r="B115" s="45" t="s">
        <v>748</v>
      </c>
      <c r="C115" s="294">
        <v>3921000000</v>
      </c>
      <c r="D115" s="112">
        <f>3921000000+2137111000</f>
        <v>6058111000</v>
      </c>
      <c r="E115" s="112">
        <f>F115+G115</f>
        <v>3921000000</v>
      </c>
      <c r="F115" s="112"/>
      <c r="G115" s="112">
        <v>3921000000</v>
      </c>
      <c r="H115" s="292">
        <f t="shared" si="5"/>
        <v>1.5450423361387402</v>
      </c>
      <c r="I115" s="292">
        <f t="shared" si="6"/>
        <v>0.64723145548174998</v>
      </c>
    </row>
    <row r="116" spans="1:9">
      <c r="A116" s="61"/>
      <c r="B116" s="45" t="s">
        <v>40</v>
      </c>
      <c r="C116" s="294">
        <v>578000000</v>
      </c>
      <c r="D116" s="112">
        <f>26654800+578000000</f>
        <v>604654800</v>
      </c>
      <c r="E116" s="112">
        <f>F116+G116</f>
        <v>578000000</v>
      </c>
      <c r="F116" s="112">
        <v>578000000</v>
      </c>
      <c r="G116" s="112"/>
      <c r="H116" s="292">
        <f t="shared" si="5"/>
        <v>1.046115570934256</v>
      </c>
      <c r="I116" s="292">
        <f t="shared" si="6"/>
        <v>0.95591732671269625</v>
      </c>
    </row>
    <row r="117" spans="1:9">
      <c r="A117" s="61"/>
      <c r="B117" s="45" t="s">
        <v>41</v>
      </c>
      <c r="C117" s="294">
        <v>119000000</v>
      </c>
      <c r="D117" s="112">
        <v>119000000</v>
      </c>
      <c r="E117" s="112">
        <f>F117+G117</f>
        <v>119000000</v>
      </c>
      <c r="F117" s="112">
        <v>119000000</v>
      </c>
      <c r="G117" s="112"/>
      <c r="H117" s="292">
        <f t="shared" si="5"/>
        <v>1</v>
      </c>
      <c r="I117" s="292">
        <f t="shared" si="6"/>
        <v>1</v>
      </c>
    </row>
    <row r="118" spans="1:9" ht="28.5" customHeight="1">
      <c r="A118" s="126" t="s">
        <v>238</v>
      </c>
      <c r="B118" s="56" t="s">
        <v>7</v>
      </c>
      <c r="C118" s="184">
        <f>C119+C120+C123+C124+C125+C126</f>
        <v>16084000000</v>
      </c>
      <c r="D118" s="184">
        <f>D119+D120+D123+D124+D125+D126+D131</f>
        <v>24010687034</v>
      </c>
      <c r="E118" s="184">
        <f>E119+E120+E123+E124+E125+E126+E131</f>
        <v>22404000000</v>
      </c>
      <c r="F118" s="184">
        <f>F119+F120+F123+F124+F125+F126+F131</f>
        <v>22404000000</v>
      </c>
      <c r="G118" s="184">
        <f>G119+G120+G123+G124+G125+G126+G129</f>
        <v>0</v>
      </c>
      <c r="H118" s="291">
        <f t="shared" si="5"/>
        <v>1.4928305790848049</v>
      </c>
      <c r="I118" s="291">
        <f t="shared" si="6"/>
        <v>0.93308450392423703</v>
      </c>
    </row>
    <row r="119" spans="1:9" s="131" customFormat="1" ht="33" customHeight="1">
      <c r="A119" s="61">
        <v>1</v>
      </c>
      <c r="B119" s="121" t="s">
        <v>749</v>
      </c>
      <c r="C119" s="158">
        <v>5000000000</v>
      </c>
      <c r="D119" s="184">
        <v>7500000000</v>
      </c>
      <c r="E119" s="184">
        <f>F119+G119</f>
        <v>7500000000</v>
      </c>
      <c r="F119" s="184">
        <v>7500000000</v>
      </c>
      <c r="G119" s="184"/>
      <c r="H119" s="291">
        <f t="shared" si="5"/>
        <v>1.5</v>
      </c>
      <c r="I119" s="291">
        <f t="shared" si="6"/>
        <v>1</v>
      </c>
    </row>
    <row r="120" spans="1:9" s="132" customFormat="1" ht="31.5">
      <c r="A120" s="107">
        <v>2</v>
      </c>
      <c r="B120" s="59" t="s">
        <v>470</v>
      </c>
      <c r="C120" s="184">
        <f>SUM(C121:C122)</f>
        <v>106000000</v>
      </c>
      <c r="D120" s="184">
        <f>SUM(D121:D122)</f>
        <v>106000000</v>
      </c>
      <c r="E120" s="184">
        <f>SUM(E121:E122)</f>
        <v>106000000</v>
      </c>
      <c r="F120" s="184">
        <f>SUM(F121:F122)</f>
        <v>106000000</v>
      </c>
      <c r="G120" s="184"/>
      <c r="H120" s="291">
        <f t="shared" si="5"/>
        <v>1</v>
      </c>
      <c r="I120" s="291">
        <f t="shared" si="6"/>
        <v>1</v>
      </c>
    </row>
    <row r="121" spans="1:9" s="133" customFormat="1" ht="16.5">
      <c r="A121" s="107"/>
      <c r="B121" s="60" t="s">
        <v>199</v>
      </c>
      <c r="C121" s="112">
        <v>96000000</v>
      </c>
      <c r="D121" s="112">
        <v>96000000</v>
      </c>
      <c r="E121" s="112">
        <v>96000000</v>
      </c>
      <c r="F121" s="112">
        <v>96000000</v>
      </c>
      <c r="G121" s="112"/>
      <c r="H121" s="292">
        <f t="shared" si="5"/>
        <v>1</v>
      </c>
      <c r="I121" s="292">
        <f t="shared" si="6"/>
        <v>1</v>
      </c>
    </row>
    <row r="122" spans="1:9" s="133" customFormat="1" ht="16.5">
      <c r="A122" s="107"/>
      <c r="B122" s="60" t="s">
        <v>471</v>
      </c>
      <c r="C122" s="112">
        <v>10000000</v>
      </c>
      <c r="D122" s="112">
        <v>10000000</v>
      </c>
      <c r="E122" s="112">
        <v>10000000</v>
      </c>
      <c r="F122" s="112">
        <v>10000000</v>
      </c>
      <c r="G122" s="112"/>
      <c r="H122" s="292">
        <f t="shared" si="5"/>
        <v>1</v>
      </c>
      <c r="I122" s="292">
        <f t="shared" si="6"/>
        <v>1</v>
      </c>
    </row>
    <row r="123" spans="1:9" s="132" customFormat="1" ht="29.25" customHeight="1">
      <c r="A123" s="107">
        <v>3</v>
      </c>
      <c r="B123" s="59" t="s">
        <v>472</v>
      </c>
      <c r="C123" s="184">
        <v>30000000</v>
      </c>
      <c r="D123" s="184">
        <v>30000000</v>
      </c>
      <c r="E123" s="184">
        <v>30000000</v>
      </c>
      <c r="F123" s="184">
        <v>30000000</v>
      </c>
      <c r="G123" s="184"/>
      <c r="H123" s="291">
        <f t="shared" si="5"/>
        <v>1</v>
      </c>
      <c r="I123" s="291">
        <f t="shared" si="6"/>
        <v>1</v>
      </c>
    </row>
    <row r="124" spans="1:9" s="132" customFormat="1" ht="29.25" customHeight="1">
      <c r="A124" s="107">
        <v>4</v>
      </c>
      <c r="B124" s="59" t="s">
        <v>473</v>
      </c>
      <c r="C124" s="184">
        <v>925000000</v>
      </c>
      <c r="D124" s="184">
        <f>1606687034+925000000</f>
        <v>2531687034</v>
      </c>
      <c r="E124" s="184">
        <f>925000000</f>
        <v>925000000</v>
      </c>
      <c r="F124" s="184">
        <f>925000000</f>
        <v>925000000</v>
      </c>
      <c r="G124" s="184"/>
      <c r="H124" s="291">
        <f t="shared" si="5"/>
        <v>2.7369589556756755</v>
      </c>
      <c r="I124" s="291">
        <f t="shared" si="6"/>
        <v>0.3653690158291501</v>
      </c>
    </row>
    <row r="125" spans="1:9" s="132" customFormat="1" ht="29.25" customHeight="1">
      <c r="A125" s="107">
        <v>5</v>
      </c>
      <c r="B125" s="59" t="s">
        <v>474</v>
      </c>
      <c r="C125" s="184">
        <v>9968000000</v>
      </c>
      <c r="D125" s="184">
        <v>9968000000</v>
      </c>
      <c r="E125" s="184">
        <v>9968000000</v>
      </c>
      <c r="F125" s="184">
        <v>9968000000</v>
      </c>
      <c r="G125" s="184"/>
      <c r="H125" s="291">
        <f t="shared" si="5"/>
        <v>1</v>
      </c>
      <c r="I125" s="291">
        <f t="shared" si="6"/>
        <v>1</v>
      </c>
    </row>
    <row r="126" spans="1:9" s="134" customFormat="1" ht="53.25" customHeight="1">
      <c r="A126" s="107">
        <v>6</v>
      </c>
      <c r="B126" s="125" t="s">
        <v>475</v>
      </c>
      <c r="C126" s="184">
        <f>C127+C129</f>
        <v>55000000</v>
      </c>
      <c r="D126" s="184">
        <f>D127+D129</f>
        <v>55000000</v>
      </c>
      <c r="E126" s="184">
        <f>E127+E129</f>
        <v>55000000</v>
      </c>
      <c r="F126" s="184">
        <f>F127+F129</f>
        <v>55000000</v>
      </c>
      <c r="G126" s="293"/>
      <c r="H126" s="291">
        <f t="shared" si="5"/>
        <v>1</v>
      </c>
      <c r="I126" s="291">
        <f t="shared" si="6"/>
        <v>1</v>
      </c>
    </row>
    <row r="127" spans="1:9" s="134" customFormat="1" ht="16.5">
      <c r="A127" s="107" t="s">
        <v>414</v>
      </c>
      <c r="B127" s="59" t="s">
        <v>476</v>
      </c>
      <c r="C127" s="184">
        <f>C128</f>
        <v>35000000</v>
      </c>
      <c r="D127" s="184">
        <f>D128</f>
        <v>35000000</v>
      </c>
      <c r="E127" s="184">
        <f>E128</f>
        <v>35000000</v>
      </c>
      <c r="F127" s="184">
        <f>F128</f>
        <v>35000000</v>
      </c>
      <c r="G127" s="293"/>
      <c r="H127" s="291">
        <f t="shared" si="5"/>
        <v>1</v>
      </c>
      <c r="I127" s="291">
        <f t="shared" si="6"/>
        <v>1</v>
      </c>
    </row>
    <row r="128" spans="1:9" s="135" customFormat="1" ht="23.25" customHeight="1">
      <c r="A128" s="122"/>
      <c r="B128" s="124" t="s">
        <v>477</v>
      </c>
      <c r="C128" s="214">
        <v>35000000</v>
      </c>
      <c r="D128" s="214">
        <v>35000000</v>
      </c>
      <c r="E128" s="214">
        <v>35000000</v>
      </c>
      <c r="F128" s="214">
        <v>35000000</v>
      </c>
      <c r="G128" s="214"/>
      <c r="H128" s="292">
        <f t="shared" si="5"/>
        <v>1</v>
      </c>
      <c r="I128" s="292">
        <f t="shared" si="6"/>
        <v>1</v>
      </c>
    </row>
    <row r="129" spans="1:9" s="132" customFormat="1" ht="36" customHeight="1">
      <c r="A129" s="108" t="s">
        <v>414</v>
      </c>
      <c r="B129" s="59" t="s">
        <v>478</v>
      </c>
      <c r="C129" s="184">
        <f>C130</f>
        <v>20000000</v>
      </c>
      <c r="D129" s="184">
        <f>D130</f>
        <v>20000000</v>
      </c>
      <c r="E129" s="184">
        <f>E130</f>
        <v>20000000</v>
      </c>
      <c r="F129" s="184">
        <f>F130</f>
        <v>20000000</v>
      </c>
      <c r="G129" s="184"/>
      <c r="H129" s="291">
        <f t="shared" si="5"/>
        <v>1</v>
      </c>
      <c r="I129" s="291">
        <f t="shared" si="6"/>
        <v>1</v>
      </c>
    </row>
    <row r="130" spans="1:9" s="133" customFormat="1" ht="30.75" customHeight="1">
      <c r="A130" s="122"/>
      <c r="B130" s="123" t="s">
        <v>479</v>
      </c>
      <c r="C130" s="214">
        <v>20000000</v>
      </c>
      <c r="D130" s="214">
        <v>20000000</v>
      </c>
      <c r="E130" s="214">
        <v>20000000</v>
      </c>
      <c r="F130" s="214">
        <v>20000000</v>
      </c>
      <c r="G130" s="112"/>
      <c r="H130" s="292">
        <f t="shared" si="5"/>
        <v>1</v>
      </c>
      <c r="I130" s="292">
        <f t="shared" si="6"/>
        <v>1</v>
      </c>
    </row>
    <row r="131" spans="1:9" s="131" customFormat="1" ht="21.75" customHeight="1">
      <c r="A131" s="61">
        <v>9</v>
      </c>
      <c r="B131" s="54" t="s">
        <v>480</v>
      </c>
      <c r="C131" s="184"/>
      <c r="D131" s="184">
        <v>3820000000</v>
      </c>
      <c r="E131" s="184">
        <v>3820000000</v>
      </c>
      <c r="F131" s="184">
        <v>3820000000</v>
      </c>
      <c r="G131" s="184"/>
      <c r="H131" s="292"/>
      <c r="I131" s="300">
        <f t="shared" si="6"/>
        <v>1</v>
      </c>
    </row>
    <row r="132" spans="1:9">
      <c r="A132" s="166"/>
      <c r="B132" s="166"/>
      <c r="C132" s="166"/>
      <c r="D132" s="167"/>
      <c r="E132" s="167"/>
      <c r="F132" s="167"/>
      <c r="G132" s="167"/>
      <c r="H132" s="168"/>
      <c r="I132" s="168"/>
    </row>
    <row r="133" spans="1:9">
      <c r="A133" s="169"/>
      <c r="B133" s="169"/>
      <c r="C133" s="169"/>
      <c r="D133" s="170"/>
      <c r="E133" s="170"/>
      <c r="F133" s="170"/>
      <c r="G133" s="170"/>
      <c r="H133" s="26"/>
    </row>
    <row r="134" spans="1:9">
      <c r="A134" s="169"/>
      <c r="B134" s="169"/>
      <c r="C134" s="169"/>
      <c r="D134" s="170"/>
      <c r="E134" s="170"/>
      <c r="F134" s="170"/>
      <c r="G134" s="170"/>
      <c r="H134" s="26"/>
    </row>
    <row r="135" spans="1:9">
      <c r="A135" s="169"/>
      <c r="B135" s="169"/>
      <c r="C135" s="169"/>
      <c r="D135" s="170"/>
      <c r="E135" s="170"/>
      <c r="F135" s="170"/>
      <c r="G135" s="170"/>
      <c r="H135" s="26"/>
    </row>
    <row r="136" spans="1:9">
      <c r="A136" s="169"/>
      <c r="B136" s="169"/>
      <c r="C136" s="169"/>
      <c r="D136" s="170"/>
      <c r="E136" s="170"/>
      <c r="F136" s="170"/>
      <c r="G136" s="170"/>
      <c r="H136" s="26"/>
    </row>
    <row r="137" spans="1:9">
      <c r="A137" s="169"/>
      <c r="B137" s="169"/>
      <c r="C137" s="169"/>
      <c r="D137" s="170"/>
      <c r="E137" s="170"/>
      <c r="F137" s="170"/>
      <c r="G137" s="170"/>
      <c r="H137" s="26"/>
    </row>
    <row r="138" spans="1:9">
      <c r="A138" s="169"/>
      <c r="B138" s="169"/>
      <c r="C138" s="169"/>
      <c r="D138" s="170"/>
      <c r="E138" s="170"/>
      <c r="F138" s="170"/>
      <c r="G138" s="170"/>
      <c r="H138" s="26"/>
    </row>
    <row r="139" spans="1:9">
      <c r="A139" s="169"/>
      <c r="B139" s="169"/>
      <c r="C139" s="169"/>
      <c r="D139" s="170"/>
      <c r="E139" s="170"/>
      <c r="F139" s="170"/>
      <c r="G139" s="170"/>
      <c r="H139" s="26"/>
    </row>
    <row r="140" spans="1:9">
      <c r="A140" s="169"/>
      <c r="B140" s="169"/>
      <c r="C140" s="169"/>
      <c r="D140" s="170"/>
      <c r="E140" s="170"/>
      <c r="F140" s="170"/>
      <c r="G140" s="170"/>
      <c r="H140" s="26"/>
    </row>
    <row r="141" spans="1:9">
      <c r="A141" s="169"/>
      <c r="B141" s="169"/>
      <c r="C141" s="169"/>
      <c r="D141" s="170"/>
      <c r="E141" s="170"/>
      <c r="F141" s="170"/>
      <c r="G141" s="170"/>
      <c r="H141" s="26"/>
    </row>
    <row r="142" spans="1:9">
      <c r="A142" s="169"/>
      <c r="B142" s="169"/>
      <c r="C142" s="169"/>
      <c r="D142" s="170"/>
      <c r="E142" s="170"/>
      <c r="F142" s="170"/>
      <c r="G142" s="170"/>
      <c r="H142" s="26"/>
    </row>
    <row r="143" spans="1:9">
      <c r="A143" s="169"/>
      <c r="B143" s="169"/>
      <c r="C143" s="169"/>
      <c r="D143" s="170"/>
      <c r="E143" s="170"/>
      <c r="F143" s="170"/>
      <c r="G143" s="170"/>
      <c r="H143" s="26"/>
    </row>
    <row r="144" spans="1:9">
      <c r="A144" s="169"/>
      <c r="B144" s="169"/>
      <c r="C144" s="169"/>
      <c r="D144" s="170"/>
      <c r="E144" s="170"/>
      <c r="F144" s="170"/>
      <c r="G144" s="170"/>
      <c r="H144" s="26"/>
    </row>
    <row r="145" spans="1:8">
      <c r="A145" s="169"/>
      <c r="B145" s="169"/>
      <c r="C145" s="169"/>
      <c r="D145" s="170"/>
      <c r="E145" s="170"/>
      <c r="F145" s="170"/>
      <c r="G145" s="170"/>
      <c r="H145" s="26"/>
    </row>
    <row r="146" spans="1:8">
      <c r="A146" s="169"/>
      <c r="B146" s="169"/>
      <c r="C146" s="169"/>
      <c r="D146" s="170"/>
      <c r="E146" s="170"/>
      <c r="F146" s="170"/>
      <c r="G146" s="170"/>
      <c r="H146" s="26"/>
    </row>
    <row r="147" spans="1:8">
      <c r="A147" s="169"/>
      <c r="B147" s="169"/>
      <c r="C147" s="169"/>
      <c r="D147" s="170"/>
      <c r="E147" s="170"/>
      <c r="F147" s="170"/>
      <c r="G147" s="170"/>
      <c r="H147" s="26"/>
    </row>
    <row r="148" spans="1:8">
      <c r="A148" s="169"/>
      <c r="B148" s="169"/>
      <c r="C148" s="169"/>
      <c r="D148" s="170"/>
      <c r="E148" s="170"/>
      <c r="F148" s="170"/>
      <c r="G148" s="170"/>
      <c r="H148" s="26"/>
    </row>
    <row r="149" spans="1:8">
      <c r="A149" s="169"/>
      <c r="B149" s="169"/>
      <c r="C149" s="169"/>
      <c r="D149" s="170"/>
      <c r="E149" s="170"/>
      <c r="F149" s="170"/>
      <c r="G149" s="170"/>
      <c r="H149" s="26"/>
    </row>
    <row r="150" spans="1:8">
      <c r="A150" s="169"/>
      <c r="B150" s="169"/>
      <c r="C150" s="169"/>
      <c r="D150" s="170"/>
      <c r="E150" s="170"/>
      <c r="F150" s="170"/>
      <c r="G150" s="170"/>
      <c r="H150" s="26"/>
    </row>
    <row r="151" spans="1:8">
      <c r="A151" s="169"/>
      <c r="B151" s="169"/>
      <c r="C151" s="169"/>
      <c r="D151" s="170"/>
      <c r="E151" s="170"/>
      <c r="F151" s="170"/>
      <c r="G151" s="170"/>
      <c r="H151" s="26"/>
    </row>
    <row r="152" spans="1:8">
      <c r="A152" s="169"/>
      <c r="B152" s="169"/>
      <c r="C152" s="169"/>
      <c r="D152" s="170"/>
      <c r="E152" s="170"/>
      <c r="F152" s="170"/>
      <c r="G152" s="170"/>
      <c r="H152" s="26"/>
    </row>
    <row r="153" spans="1:8">
      <c r="A153" s="169"/>
      <c r="B153" s="169"/>
      <c r="C153" s="169"/>
      <c r="D153" s="170"/>
      <c r="E153" s="170"/>
      <c r="F153" s="170"/>
      <c r="G153" s="170"/>
      <c r="H153" s="26"/>
    </row>
    <row r="154" spans="1:8">
      <c r="A154" s="169"/>
      <c r="B154" s="169"/>
      <c r="C154" s="169"/>
      <c r="D154" s="170"/>
      <c r="E154" s="170"/>
      <c r="F154" s="170"/>
      <c r="G154" s="170"/>
      <c r="H154" s="26"/>
    </row>
    <row r="155" spans="1:8">
      <c r="A155" s="169"/>
      <c r="B155" s="169"/>
      <c r="C155" s="169"/>
      <c r="D155" s="170"/>
      <c r="E155" s="170"/>
      <c r="F155" s="170"/>
      <c r="G155" s="170"/>
      <c r="H155" s="26"/>
    </row>
    <row r="156" spans="1:8">
      <c r="A156" s="169"/>
      <c r="B156" s="169"/>
      <c r="C156" s="169"/>
      <c r="D156" s="170"/>
      <c r="E156" s="170"/>
      <c r="F156" s="170"/>
      <c r="G156" s="170"/>
      <c r="H156" s="26"/>
    </row>
    <row r="157" spans="1:8">
      <c r="A157" s="169"/>
      <c r="B157" s="169"/>
      <c r="C157" s="169"/>
      <c r="D157" s="170"/>
      <c r="E157" s="170"/>
      <c r="F157" s="170"/>
      <c r="G157" s="170"/>
      <c r="H157" s="26"/>
    </row>
    <row r="158" spans="1:8">
      <c r="A158" s="169"/>
      <c r="B158" s="169"/>
      <c r="C158" s="169"/>
      <c r="D158" s="170"/>
      <c r="E158" s="170"/>
      <c r="F158" s="170"/>
      <c r="G158" s="170"/>
      <c r="H158" s="26"/>
    </row>
    <row r="159" spans="1:8">
      <c r="A159" s="169"/>
      <c r="B159" s="169"/>
      <c r="C159" s="169"/>
      <c r="D159" s="170"/>
      <c r="E159" s="170"/>
      <c r="F159" s="170"/>
      <c r="G159" s="170"/>
      <c r="H159" s="26"/>
    </row>
    <row r="160" spans="1:8">
      <c r="A160" s="169"/>
      <c r="B160" s="169"/>
      <c r="C160" s="169"/>
      <c r="D160" s="170"/>
      <c r="E160" s="170"/>
      <c r="F160" s="170"/>
      <c r="G160" s="170"/>
      <c r="H160" s="26"/>
    </row>
    <row r="161" spans="1:8">
      <c r="A161" s="169"/>
      <c r="B161" s="169"/>
      <c r="C161" s="169"/>
      <c r="D161" s="170"/>
      <c r="E161" s="170"/>
      <c r="F161" s="170"/>
      <c r="G161" s="170"/>
      <c r="H161" s="26"/>
    </row>
    <row r="162" spans="1:8">
      <c r="A162" s="169"/>
      <c r="B162" s="169"/>
      <c r="C162" s="169"/>
      <c r="D162" s="170"/>
      <c r="E162" s="170"/>
      <c r="F162" s="170"/>
      <c r="G162" s="170"/>
      <c r="H162" s="26"/>
    </row>
    <row r="163" spans="1:8">
      <c r="A163" s="169"/>
      <c r="B163" s="169"/>
      <c r="C163" s="169"/>
      <c r="D163" s="170"/>
      <c r="E163" s="170"/>
      <c r="F163" s="170"/>
      <c r="G163" s="170"/>
      <c r="H163" s="26"/>
    </row>
    <row r="164" spans="1:8">
      <c r="D164" s="62"/>
      <c r="E164" s="62"/>
      <c r="F164" s="62"/>
      <c r="G164" s="62"/>
    </row>
    <row r="165" spans="1:8">
      <c r="D165" s="62"/>
      <c r="E165" s="62"/>
      <c r="F165" s="62"/>
      <c r="G165" s="62"/>
    </row>
    <row r="166" spans="1:8">
      <c r="D166" s="62"/>
      <c r="E166" s="62"/>
      <c r="F166" s="62"/>
      <c r="G166" s="62"/>
    </row>
    <row r="167" spans="1:8">
      <c r="D167" s="62"/>
      <c r="E167" s="62"/>
      <c r="F167" s="62"/>
      <c r="G167" s="62"/>
    </row>
    <row r="168" spans="1:8">
      <c r="D168" s="62"/>
      <c r="E168" s="62"/>
      <c r="F168" s="62"/>
      <c r="G168" s="62"/>
    </row>
    <row r="169" spans="1:8">
      <c r="D169" s="62"/>
      <c r="E169" s="62"/>
      <c r="F169" s="62"/>
      <c r="G169" s="62"/>
    </row>
    <row r="170" spans="1:8">
      <c r="D170" s="62"/>
      <c r="E170" s="62"/>
      <c r="F170" s="62"/>
      <c r="G170" s="62"/>
    </row>
    <row r="171" spans="1:8">
      <c r="D171" s="62"/>
      <c r="E171" s="62"/>
      <c r="F171" s="62"/>
      <c r="G171" s="62"/>
    </row>
    <row r="172" spans="1:8">
      <c r="D172" s="62"/>
      <c r="E172" s="62"/>
      <c r="F172" s="62"/>
      <c r="G172" s="62"/>
    </row>
    <row r="173" spans="1:8">
      <c r="D173" s="62"/>
      <c r="E173" s="62"/>
      <c r="F173" s="62"/>
      <c r="G173" s="62"/>
    </row>
    <row r="174" spans="1:8">
      <c r="D174" s="62"/>
      <c r="E174" s="62"/>
      <c r="F174" s="62"/>
      <c r="G174" s="62"/>
    </row>
    <row r="175" spans="1:8">
      <c r="D175" s="62"/>
      <c r="E175" s="62"/>
      <c r="F175" s="62"/>
      <c r="G175" s="62"/>
    </row>
    <row r="176" spans="1:8">
      <c r="D176" s="62"/>
      <c r="E176" s="62"/>
      <c r="F176" s="62"/>
      <c r="G176" s="62"/>
    </row>
    <row r="177" spans="4:7">
      <c r="D177" s="62"/>
      <c r="E177" s="62"/>
      <c r="F177" s="62"/>
      <c r="G177" s="62"/>
    </row>
    <row r="178" spans="4:7">
      <c r="D178" s="62"/>
      <c r="E178" s="62"/>
      <c r="F178" s="62"/>
      <c r="G178" s="62"/>
    </row>
    <row r="179" spans="4:7">
      <c r="D179" s="62"/>
      <c r="E179" s="62"/>
      <c r="F179" s="62"/>
      <c r="G179" s="62"/>
    </row>
    <row r="180" spans="4:7">
      <c r="D180" s="62"/>
      <c r="E180" s="62"/>
      <c r="F180" s="62"/>
      <c r="G180" s="62"/>
    </row>
    <row r="181" spans="4:7">
      <c r="D181" s="62"/>
      <c r="E181" s="62"/>
      <c r="F181" s="62"/>
      <c r="G181" s="62"/>
    </row>
    <row r="182" spans="4:7">
      <c r="D182" s="62"/>
      <c r="E182" s="62"/>
      <c r="F182" s="62"/>
      <c r="G182" s="62"/>
    </row>
    <row r="183" spans="4:7">
      <c r="D183" s="62"/>
      <c r="E183" s="62"/>
      <c r="F183" s="62"/>
      <c r="G183" s="62"/>
    </row>
    <row r="184" spans="4:7">
      <c r="D184" s="62"/>
      <c r="E184" s="62"/>
      <c r="F184" s="62"/>
      <c r="G184" s="62"/>
    </row>
    <row r="185" spans="4:7">
      <c r="D185" s="62"/>
      <c r="E185" s="62"/>
      <c r="F185" s="62"/>
      <c r="G185" s="62"/>
    </row>
    <row r="186" spans="4:7">
      <c r="D186" s="62"/>
      <c r="E186" s="62"/>
      <c r="F186" s="62"/>
      <c r="G186" s="62"/>
    </row>
    <row r="187" spans="4:7">
      <c r="D187" s="62"/>
      <c r="E187" s="62"/>
      <c r="F187" s="62"/>
      <c r="G187" s="62"/>
    </row>
    <row r="188" spans="4:7">
      <c r="D188" s="62"/>
      <c r="E188" s="62"/>
      <c r="F188" s="62"/>
      <c r="G188" s="62"/>
    </row>
    <row r="189" spans="4:7">
      <c r="D189" s="62"/>
      <c r="E189" s="62"/>
      <c r="F189" s="62"/>
      <c r="G189" s="62"/>
    </row>
    <row r="190" spans="4:7">
      <c r="D190" s="62"/>
      <c r="E190" s="62"/>
      <c r="F190" s="62"/>
      <c r="G190" s="62"/>
    </row>
    <row r="191" spans="4:7">
      <c r="D191" s="62"/>
      <c r="E191" s="62"/>
      <c r="F191" s="62"/>
      <c r="G191" s="62"/>
    </row>
    <row r="192" spans="4:7">
      <c r="D192" s="62"/>
      <c r="E192" s="62"/>
      <c r="F192" s="62"/>
      <c r="G192" s="62"/>
    </row>
    <row r="193" spans="4:7">
      <c r="D193" s="62"/>
      <c r="E193" s="62"/>
      <c r="F193" s="62"/>
      <c r="G193" s="62"/>
    </row>
    <row r="194" spans="4:7">
      <c r="D194" s="62"/>
      <c r="E194" s="62"/>
      <c r="F194" s="62"/>
      <c r="G194" s="62"/>
    </row>
    <row r="195" spans="4:7">
      <c r="D195" s="62"/>
      <c r="E195" s="62"/>
      <c r="F195" s="62"/>
      <c r="G195" s="62"/>
    </row>
    <row r="196" spans="4:7">
      <c r="D196" s="62"/>
      <c r="E196" s="62"/>
      <c r="F196" s="62"/>
      <c r="G196" s="62"/>
    </row>
    <row r="197" spans="4:7">
      <c r="D197" s="62"/>
      <c r="E197" s="62"/>
      <c r="F197" s="62"/>
      <c r="G197" s="62"/>
    </row>
    <row r="198" spans="4:7">
      <c r="D198" s="62"/>
      <c r="E198" s="62"/>
      <c r="F198" s="62"/>
      <c r="G198" s="62"/>
    </row>
    <row r="199" spans="4:7">
      <c r="D199" s="62"/>
      <c r="E199" s="62"/>
      <c r="F199" s="62"/>
      <c r="G199" s="62"/>
    </row>
    <row r="200" spans="4:7">
      <c r="D200" s="62"/>
      <c r="E200" s="62"/>
      <c r="F200" s="62"/>
      <c r="G200" s="62"/>
    </row>
    <row r="201" spans="4:7">
      <c r="D201" s="62"/>
      <c r="E201" s="62"/>
      <c r="F201" s="62"/>
      <c r="G201" s="62"/>
    </row>
    <row r="202" spans="4:7">
      <c r="D202" s="62"/>
      <c r="E202" s="62"/>
      <c r="F202" s="62"/>
      <c r="G202" s="62"/>
    </row>
    <row r="203" spans="4:7">
      <c r="D203" s="62"/>
      <c r="E203" s="62"/>
      <c r="F203" s="62"/>
      <c r="G203" s="62"/>
    </row>
    <row r="204" spans="4:7">
      <c r="D204" s="62"/>
      <c r="E204" s="62"/>
      <c r="F204" s="62"/>
      <c r="G204" s="62"/>
    </row>
    <row r="205" spans="4:7">
      <c r="D205" s="62"/>
      <c r="E205" s="62"/>
      <c r="F205" s="62"/>
      <c r="G205" s="62"/>
    </row>
    <row r="206" spans="4:7">
      <c r="D206" s="62"/>
      <c r="E206" s="62"/>
      <c r="F206" s="62"/>
      <c r="G206" s="62"/>
    </row>
    <row r="207" spans="4:7">
      <c r="D207" s="62"/>
      <c r="E207" s="62"/>
      <c r="F207" s="62"/>
      <c r="G207" s="62"/>
    </row>
    <row r="208" spans="4:7">
      <c r="D208" s="62"/>
      <c r="E208" s="62"/>
      <c r="F208" s="62"/>
      <c r="G208" s="62"/>
    </row>
    <row r="209" spans="4:7">
      <c r="D209" s="62"/>
      <c r="E209" s="62"/>
      <c r="F209" s="62"/>
      <c r="G209" s="62"/>
    </row>
    <row r="210" spans="4:7">
      <c r="D210" s="62"/>
      <c r="E210" s="62"/>
      <c r="F210" s="62"/>
      <c r="G210" s="62"/>
    </row>
    <row r="211" spans="4:7">
      <c r="D211" s="62"/>
      <c r="E211" s="62"/>
      <c r="F211" s="62"/>
      <c r="G211" s="62"/>
    </row>
    <row r="212" spans="4:7">
      <c r="D212" s="62"/>
      <c r="E212" s="62"/>
      <c r="F212" s="62"/>
      <c r="G212" s="62"/>
    </row>
    <row r="213" spans="4:7">
      <c r="D213" s="62"/>
      <c r="E213" s="62"/>
      <c r="F213" s="62"/>
      <c r="G213" s="62"/>
    </row>
    <row r="214" spans="4:7">
      <c r="D214" s="62"/>
      <c r="E214" s="62"/>
      <c r="F214" s="62"/>
      <c r="G214" s="62"/>
    </row>
    <row r="215" spans="4:7">
      <c r="D215" s="62"/>
      <c r="E215" s="62"/>
      <c r="F215" s="62"/>
      <c r="G215" s="62"/>
    </row>
    <row r="216" spans="4:7">
      <c r="D216" s="62"/>
      <c r="E216" s="62"/>
      <c r="F216" s="62"/>
      <c r="G216" s="62"/>
    </row>
    <row r="217" spans="4:7">
      <c r="D217" s="62"/>
      <c r="E217" s="62"/>
      <c r="F217" s="62"/>
      <c r="G217" s="62"/>
    </row>
    <row r="218" spans="4:7">
      <c r="D218" s="62"/>
      <c r="E218" s="62"/>
      <c r="F218" s="62"/>
      <c r="G218" s="62"/>
    </row>
    <row r="219" spans="4:7">
      <c r="D219" s="62"/>
      <c r="E219" s="62"/>
      <c r="F219" s="62"/>
      <c r="G219" s="62"/>
    </row>
    <row r="220" spans="4:7">
      <c r="D220" s="62"/>
      <c r="E220" s="62"/>
      <c r="F220" s="62"/>
      <c r="G220" s="62"/>
    </row>
    <row r="221" spans="4:7">
      <c r="D221" s="62"/>
      <c r="E221" s="62"/>
      <c r="F221" s="62"/>
      <c r="G221" s="62"/>
    </row>
    <row r="222" spans="4:7">
      <c r="D222" s="62"/>
      <c r="E222" s="62"/>
      <c r="F222" s="62"/>
      <c r="G222" s="62"/>
    </row>
    <row r="223" spans="4:7">
      <c r="D223" s="62"/>
      <c r="E223" s="62"/>
      <c r="F223" s="62"/>
      <c r="G223" s="62"/>
    </row>
    <row r="224" spans="4:7">
      <c r="D224" s="62"/>
      <c r="E224" s="62"/>
      <c r="F224" s="62"/>
      <c r="G224" s="62"/>
    </row>
    <row r="225" spans="4:7">
      <c r="D225" s="62"/>
      <c r="E225" s="62"/>
      <c r="F225" s="62"/>
      <c r="G225" s="62"/>
    </row>
    <row r="226" spans="4:7">
      <c r="D226" s="62"/>
      <c r="E226" s="62"/>
      <c r="F226" s="62"/>
      <c r="G226" s="62"/>
    </row>
    <row r="227" spans="4:7">
      <c r="D227" s="62"/>
      <c r="E227" s="62"/>
      <c r="F227" s="62"/>
      <c r="G227" s="62"/>
    </row>
    <row r="228" spans="4:7">
      <c r="D228" s="62"/>
      <c r="E228" s="62"/>
      <c r="F228" s="62"/>
      <c r="G228" s="62"/>
    </row>
    <row r="229" spans="4:7">
      <c r="D229" s="62"/>
      <c r="E229" s="62"/>
      <c r="F229" s="62"/>
      <c r="G229" s="62"/>
    </row>
    <row r="230" spans="4:7">
      <c r="D230" s="62"/>
      <c r="E230" s="62"/>
      <c r="F230" s="62"/>
      <c r="G230" s="62"/>
    </row>
    <row r="231" spans="4:7">
      <c r="D231" s="62"/>
      <c r="E231" s="62"/>
      <c r="F231" s="62"/>
      <c r="G231" s="62"/>
    </row>
    <row r="232" spans="4:7">
      <c r="D232" s="62"/>
      <c r="E232" s="62"/>
      <c r="F232" s="62"/>
      <c r="G232" s="62"/>
    </row>
    <row r="233" spans="4:7">
      <c r="D233" s="62"/>
      <c r="E233" s="62"/>
      <c r="F233" s="62"/>
      <c r="G233" s="62"/>
    </row>
    <row r="234" spans="4:7">
      <c r="D234" s="62"/>
      <c r="E234" s="62"/>
      <c r="F234" s="62"/>
      <c r="G234" s="62"/>
    </row>
    <row r="235" spans="4:7">
      <c r="D235" s="62"/>
      <c r="E235" s="62"/>
      <c r="F235" s="62"/>
      <c r="G235" s="62"/>
    </row>
    <row r="236" spans="4:7">
      <c r="D236" s="62"/>
      <c r="E236" s="62"/>
      <c r="F236" s="62"/>
      <c r="G236" s="62"/>
    </row>
    <row r="237" spans="4:7">
      <c r="D237" s="62"/>
      <c r="E237" s="62"/>
      <c r="F237" s="62"/>
      <c r="G237" s="62"/>
    </row>
    <row r="238" spans="4:7">
      <c r="D238" s="62"/>
      <c r="E238" s="62"/>
      <c r="F238" s="62"/>
      <c r="G238" s="62"/>
    </row>
    <row r="239" spans="4:7">
      <c r="D239" s="62"/>
      <c r="E239" s="62"/>
      <c r="F239" s="62"/>
      <c r="G239" s="62"/>
    </row>
    <row r="240" spans="4:7">
      <c r="D240" s="62"/>
      <c r="E240" s="62"/>
      <c r="F240" s="62"/>
      <c r="G240" s="62"/>
    </row>
    <row r="241" spans="4:7">
      <c r="D241" s="62"/>
      <c r="E241" s="62"/>
      <c r="F241" s="62"/>
      <c r="G241" s="62"/>
    </row>
    <row r="242" spans="4:7">
      <c r="D242" s="62"/>
      <c r="E242" s="62"/>
      <c r="F242" s="62"/>
      <c r="G242" s="62"/>
    </row>
    <row r="243" spans="4:7">
      <c r="D243" s="62"/>
      <c r="E243" s="62"/>
      <c r="F243" s="62"/>
      <c r="G243" s="62"/>
    </row>
    <row r="244" spans="4:7">
      <c r="D244" s="62"/>
      <c r="E244" s="62"/>
      <c r="F244" s="62"/>
      <c r="G244" s="62"/>
    </row>
    <row r="245" spans="4:7">
      <c r="D245" s="62"/>
      <c r="E245" s="62"/>
      <c r="F245" s="62"/>
      <c r="G245" s="62"/>
    </row>
    <row r="246" spans="4:7">
      <c r="D246" s="62"/>
      <c r="E246" s="62"/>
      <c r="F246" s="62"/>
      <c r="G246" s="62"/>
    </row>
    <row r="247" spans="4:7">
      <c r="D247" s="62"/>
      <c r="E247" s="62"/>
      <c r="F247" s="62"/>
      <c r="G247" s="62"/>
    </row>
    <row r="248" spans="4:7">
      <c r="D248" s="62"/>
      <c r="E248" s="62"/>
      <c r="F248" s="62"/>
      <c r="G248" s="62"/>
    </row>
    <row r="249" spans="4:7">
      <c r="D249" s="62"/>
      <c r="E249" s="62"/>
      <c r="F249" s="62"/>
      <c r="G249" s="62"/>
    </row>
    <row r="250" spans="4:7">
      <c r="D250" s="62"/>
      <c r="E250" s="62"/>
      <c r="F250" s="62"/>
      <c r="G250" s="62"/>
    </row>
    <row r="251" spans="4:7">
      <c r="D251" s="62"/>
      <c r="E251" s="62"/>
      <c r="F251" s="62"/>
      <c r="G251" s="62"/>
    </row>
    <row r="252" spans="4:7">
      <c r="D252" s="62"/>
      <c r="E252" s="62"/>
      <c r="F252" s="62"/>
      <c r="G252" s="62"/>
    </row>
    <row r="253" spans="4:7">
      <c r="D253" s="62"/>
      <c r="E253" s="62"/>
      <c r="F253" s="62"/>
      <c r="G253" s="62"/>
    </row>
    <row r="254" spans="4:7">
      <c r="D254" s="62"/>
      <c r="E254" s="62"/>
      <c r="F254" s="62"/>
      <c r="G254" s="62"/>
    </row>
    <row r="255" spans="4:7">
      <c r="D255" s="62"/>
      <c r="E255" s="62"/>
      <c r="F255" s="62"/>
      <c r="G255" s="62"/>
    </row>
    <row r="256" spans="4:7">
      <c r="D256" s="62"/>
      <c r="E256" s="62"/>
      <c r="F256" s="62"/>
      <c r="G256" s="62"/>
    </row>
    <row r="257" spans="4:7">
      <c r="D257" s="62"/>
      <c r="E257" s="62"/>
      <c r="F257" s="62"/>
      <c r="G257" s="62"/>
    </row>
    <row r="258" spans="4:7">
      <c r="D258" s="62"/>
      <c r="E258" s="62"/>
      <c r="F258" s="62"/>
      <c r="G258" s="62"/>
    </row>
    <row r="259" spans="4:7">
      <c r="D259" s="62"/>
      <c r="E259" s="62"/>
      <c r="F259" s="62"/>
      <c r="G259" s="62"/>
    </row>
    <row r="260" spans="4:7">
      <c r="D260" s="62"/>
      <c r="E260" s="62"/>
      <c r="F260" s="62"/>
      <c r="G260" s="62"/>
    </row>
    <row r="261" spans="4:7">
      <c r="D261" s="62"/>
      <c r="E261" s="62"/>
      <c r="F261" s="62"/>
      <c r="G261" s="62"/>
    </row>
    <row r="262" spans="4:7">
      <c r="D262" s="62"/>
      <c r="E262" s="62"/>
      <c r="F262" s="62"/>
      <c r="G262" s="62"/>
    </row>
    <row r="263" spans="4:7">
      <c r="D263" s="62"/>
      <c r="E263" s="62"/>
      <c r="F263" s="62"/>
      <c r="G263" s="62"/>
    </row>
    <row r="264" spans="4:7">
      <c r="D264" s="62"/>
      <c r="E264" s="62"/>
      <c r="F264" s="62"/>
      <c r="G264" s="62"/>
    </row>
    <row r="265" spans="4:7">
      <c r="D265" s="62"/>
      <c r="E265" s="62"/>
      <c r="F265" s="62"/>
      <c r="G265" s="62"/>
    </row>
    <row r="266" spans="4:7">
      <c r="D266" s="62"/>
      <c r="E266" s="62"/>
      <c r="F266" s="62"/>
      <c r="G266" s="62"/>
    </row>
    <row r="267" spans="4:7">
      <c r="D267" s="62"/>
      <c r="E267" s="62"/>
      <c r="F267" s="62"/>
      <c r="G267" s="62"/>
    </row>
    <row r="268" spans="4:7">
      <c r="D268" s="62"/>
      <c r="E268" s="62"/>
      <c r="F268" s="62"/>
      <c r="G268" s="62"/>
    </row>
    <row r="269" spans="4:7">
      <c r="D269" s="62"/>
      <c r="E269" s="62"/>
      <c r="F269" s="62"/>
      <c r="G269" s="62"/>
    </row>
    <row r="270" spans="4:7">
      <c r="D270" s="62"/>
      <c r="E270" s="62"/>
      <c r="F270" s="62"/>
      <c r="G270" s="62"/>
    </row>
    <row r="271" spans="4:7">
      <c r="D271" s="62"/>
      <c r="E271" s="62"/>
      <c r="F271" s="62"/>
      <c r="G271" s="62"/>
    </row>
    <row r="272" spans="4:7">
      <c r="D272" s="62"/>
      <c r="E272" s="62"/>
      <c r="F272" s="62"/>
      <c r="G272" s="62"/>
    </row>
    <row r="273" spans="4:7">
      <c r="D273" s="62"/>
      <c r="E273" s="62"/>
      <c r="F273" s="62"/>
      <c r="G273" s="62"/>
    </row>
    <row r="274" spans="4:7">
      <c r="D274" s="62"/>
      <c r="E274" s="62"/>
      <c r="F274" s="62"/>
      <c r="G274" s="62"/>
    </row>
    <row r="275" spans="4:7">
      <c r="D275" s="62"/>
      <c r="E275" s="62"/>
      <c r="F275" s="62"/>
      <c r="G275" s="62"/>
    </row>
    <row r="276" spans="4:7">
      <c r="D276" s="62"/>
      <c r="E276" s="62"/>
      <c r="F276" s="62"/>
      <c r="G276" s="62"/>
    </row>
    <row r="277" spans="4:7">
      <c r="D277" s="62"/>
      <c r="E277" s="62"/>
      <c r="F277" s="62"/>
      <c r="G277" s="62"/>
    </row>
    <row r="278" spans="4:7">
      <c r="D278" s="62"/>
      <c r="E278" s="62"/>
      <c r="F278" s="62"/>
      <c r="G278" s="62"/>
    </row>
  </sheetData>
  <mergeCells count="9">
    <mergeCell ref="D1:G1"/>
    <mergeCell ref="A2:I2"/>
    <mergeCell ref="A3:I3"/>
    <mergeCell ref="A4:I4"/>
    <mergeCell ref="H5:H6"/>
    <mergeCell ref="I5:I6"/>
    <mergeCell ref="E5:G5"/>
    <mergeCell ref="A5:A6"/>
    <mergeCell ref="B5:B6"/>
  </mergeCells>
  <phoneticPr fontId="13" type="noConversion"/>
  <pageMargins left="0.84" right="0.37" top="0.51" bottom="0.53" header="0.5" footer="0.5"/>
  <pageSetup paperSize="9" scale="5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4"/>
  <sheetViews>
    <sheetView view="pageBreakPreview" topLeftCell="C41" zoomScaleNormal="100" workbookViewId="0">
      <selection activeCell="X47" sqref="X47"/>
    </sheetView>
  </sheetViews>
  <sheetFormatPr defaultRowHeight="16.5"/>
  <cols>
    <col min="1" max="1" width="4.85546875" style="352" customWidth="1"/>
    <col min="2" max="2" width="51.42578125" style="352" customWidth="1"/>
    <col min="3" max="4" width="17.5703125" style="352" customWidth="1"/>
    <col min="5" max="6" width="17.42578125" style="424" customWidth="1"/>
    <col min="7" max="7" width="18.5703125" style="424" customWidth="1"/>
    <col min="8" max="8" width="7.5703125" style="424" customWidth="1"/>
    <col min="9" max="10" width="8.140625" style="424" customWidth="1"/>
    <col min="11" max="11" width="8.140625" style="352" customWidth="1"/>
    <col min="12" max="12" width="8.42578125" style="352" customWidth="1"/>
    <col min="13" max="13" width="20.7109375" style="351" hidden="1" customWidth="1"/>
    <col min="14" max="14" width="15" style="351" hidden="1" customWidth="1"/>
    <col min="15" max="15" width="0" style="352" hidden="1" customWidth="1"/>
    <col min="16" max="16" width="21" style="352" hidden="1" customWidth="1"/>
    <col min="17" max="17" width="20.85546875" style="352" hidden="1" customWidth="1"/>
    <col min="18" max="18" width="23.7109375" style="352" hidden="1" customWidth="1"/>
    <col min="19" max="19" width="0" style="352" hidden="1" customWidth="1"/>
    <col min="20" max="20" width="23" style="352" hidden="1" customWidth="1"/>
    <col min="21" max="21" width="16.7109375" style="352" hidden="1" customWidth="1"/>
    <col min="22" max="16384" width="9.140625" style="352"/>
  </cols>
  <sheetData>
    <row r="1" spans="1:12" ht="24.75" hidden="1" customHeight="1">
      <c r="A1" s="1173"/>
      <c r="B1" s="1173"/>
      <c r="C1" s="928"/>
      <c r="D1" s="349"/>
      <c r="E1" s="350"/>
      <c r="F1" s="350"/>
      <c r="G1" s="1174" t="s">
        <v>627</v>
      </c>
      <c r="H1" s="1174"/>
      <c r="I1" s="1174"/>
      <c r="J1" s="1174"/>
      <c r="K1" s="1174"/>
      <c r="L1" s="1174"/>
    </row>
    <row r="2" spans="1:12" ht="25.5" hidden="1" customHeight="1">
      <c r="A2" s="1165" t="s">
        <v>628</v>
      </c>
      <c r="B2" s="1165"/>
      <c r="C2" s="1165"/>
      <c r="D2" s="1165"/>
      <c r="E2" s="1165"/>
      <c r="F2" s="1165"/>
      <c r="G2" s="1165"/>
      <c r="H2" s="1165"/>
      <c r="I2" s="1165"/>
      <c r="J2" s="1165"/>
      <c r="K2" s="1165"/>
      <c r="L2" s="1165"/>
    </row>
    <row r="3" spans="1:12" ht="19.5" hidden="1" customHeight="1">
      <c r="A3" s="1175" t="s">
        <v>629</v>
      </c>
      <c r="B3" s="1175"/>
      <c r="C3" s="1175"/>
      <c r="D3" s="1175"/>
      <c r="E3" s="1175"/>
      <c r="F3" s="1175"/>
      <c r="G3" s="1175"/>
      <c r="H3" s="1175"/>
      <c r="I3" s="1175"/>
      <c r="J3" s="1175"/>
      <c r="K3" s="1175"/>
      <c r="L3" s="1175"/>
    </row>
    <row r="4" spans="1:12" ht="22.5" hidden="1" customHeight="1">
      <c r="A4" s="353"/>
      <c r="B4" s="354"/>
      <c r="C4" s="354"/>
      <c r="D4" s="354"/>
      <c r="E4" s="12"/>
      <c r="F4" s="12"/>
      <c r="G4" s="12"/>
      <c r="H4" s="12"/>
      <c r="I4" s="12"/>
      <c r="J4" s="12"/>
      <c r="K4" s="1176"/>
      <c r="L4" s="1176"/>
    </row>
    <row r="5" spans="1:12" ht="33.75" hidden="1" customHeight="1">
      <c r="A5" s="1155" t="s">
        <v>214</v>
      </c>
      <c r="B5" s="1155" t="s">
        <v>243</v>
      </c>
      <c r="C5" s="929"/>
      <c r="D5" s="1157" t="s">
        <v>630</v>
      </c>
      <c r="E5" s="355"/>
      <c r="F5" s="931"/>
      <c r="G5" s="1159" t="s">
        <v>631</v>
      </c>
      <c r="H5" s="426"/>
      <c r="I5" s="426"/>
      <c r="J5" s="944"/>
      <c r="K5" s="1163" t="s">
        <v>632</v>
      </c>
      <c r="L5" s="1164"/>
    </row>
    <row r="6" spans="1:12" ht="45" hidden="1" customHeight="1">
      <c r="A6" s="1156"/>
      <c r="B6" s="1156"/>
      <c r="C6" s="930"/>
      <c r="D6" s="1158"/>
      <c r="E6" s="356"/>
      <c r="F6" s="932"/>
      <c r="G6" s="1160"/>
      <c r="H6" s="426"/>
      <c r="I6" s="426"/>
      <c r="J6" s="426"/>
      <c r="K6" s="357" t="s">
        <v>633</v>
      </c>
      <c r="L6" s="357" t="s">
        <v>634</v>
      </c>
    </row>
    <row r="7" spans="1:12" hidden="1">
      <c r="A7" s="358" t="s">
        <v>218</v>
      </c>
      <c r="B7" s="358" t="s">
        <v>219</v>
      </c>
      <c r="C7" s="358"/>
      <c r="D7" s="358">
        <v>1</v>
      </c>
      <c r="E7" s="359"/>
      <c r="F7" s="359"/>
      <c r="G7" s="359">
        <v>2</v>
      </c>
      <c r="H7" s="359"/>
      <c r="I7" s="359"/>
      <c r="J7" s="359"/>
      <c r="K7" s="358" t="s">
        <v>635</v>
      </c>
      <c r="L7" s="358" t="s">
        <v>636</v>
      </c>
    </row>
    <row r="8" spans="1:12" ht="30" hidden="1" customHeight="1">
      <c r="A8" s="360" t="s">
        <v>218</v>
      </c>
      <c r="B8" s="361" t="s">
        <v>637</v>
      </c>
      <c r="C8" s="361"/>
      <c r="D8" s="362">
        <f>D9+D29</f>
        <v>44280</v>
      </c>
      <c r="E8" s="363"/>
      <c r="F8" s="363"/>
      <c r="G8" s="363">
        <f>G9+G29</f>
        <v>15761</v>
      </c>
      <c r="H8" s="363"/>
      <c r="I8" s="363"/>
      <c r="J8" s="363"/>
      <c r="K8" s="364">
        <f>G8/D8</f>
        <v>0.35593947606142728</v>
      </c>
      <c r="L8" s="364" t="e">
        <f>G8/#REF!</f>
        <v>#REF!</v>
      </c>
    </row>
    <row r="9" spans="1:12" ht="21.75" hidden="1" customHeight="1">
      <c r="A9" s="365" t="s">
        <v>220</v>
      </c>
      <c r="B9" s="366" t="s">
        <v>221</v>
      </c>
      <c r="C9" s="366"/>
      <c r="D9" s="367">
        <f>SUM(D10:D17)+D24+D25+D28</f>
        <v>44280</v>
      </c>
      <c r="E9" s="368"/>
      <c r="F9" s="368"/>
      <c r="G9" s="368">
        <f>SUM(G10:G17)+G24+G25+G28</f>
        <v>15761</v>
      </c>
      <c r="H9" s="363"/>
      <c r="I9" s="363"/>
      <c r="J9" s="363"/>
      <c r="K9" s="364">
        <f>G9/D9</f>
        <v>0.35593947606142728</v>
      </c>
      <c r="L9" s="364" t="e">
        <f>G9/#REF!</f>
        <v>#REF!</v>
      </c>
    </row>
    <row r="10" spans="1:12" ht="21.75" hidden="1" customHeight="1">
      <c r="A10" s="369">
        <v>1</v>
      </c>
      <c r="B10" s="370" t="s">
        <v>638</v>
      </c>
      <c r="C10" s="370"/>
      <c r="D10" s="371"/>
      <c r="E10" s="372"/>
      <c r="F10" s="372"/>
      <c r="G10" s="372"/>
      <c r="H10" s="427"/>
      <c r="I10" s="427"/>
      <c r="J10" s="427"/>
      <c r="K10" s="364"/>
      <c r="L10" s="364"/>
    </row>
    <row r="11" spans="1:12" ht="33" hidden="1" customHeight="1">
      <c r="A11" s="369">
        <v>2</v>
      </c>
      <c r="B11" s="370" t="s">
        <v>639</v>
      </c>
      <c r="C11" s="370"/>
      <c r="D11" s="371"/>
      <c r="E11" s="372"/>
      <c r="F11" s="372"/>
      <c r="G11" s="372"/>
      <c r="H11" s="427"/>
      <c r="I11" s="427"/>
      <c r="J11" s="427"/>
      <c r="K11" s="364"/>
      <c r="L11" s="364"/>
    </row>
    <row r="12" spans="1:12" ht="21.75" hidden="1" customHeight="1">
      <c r="A12" s="369">
        <v>3</v>
      </c>
      <c r="B12" s="370" t="s">
        <v>640</v>
      </c>
      <c r="C12" s="370"/>
      <c r="D12" s="371">
        <v>20000</v>
      </c>
      <c r="E12" s="372"/>
      <c r="F12" s="372"/>
      <c r="G12" s="372">
        <v>8440</v>
      </c>
      <c r="H12" s="427"/>
      <c r="I12" s="427"/>
      <c r="J12" s="427"/>
      <c r="K12" s="373">
        <f>G12/D12</f>
        <v>0.42199999999999999</v>
      </c>
      <c r="L12" s="373" t="e">
        <f>G12/#REF!</f>
        <v>#REF!</v>
      </c>
    </row>
    <row r="13" spans="1:12" ht="21.75" hidden="1" customHeight="1">
      <c r="A13" s="369">
        <v>4</v>
      </c>
      <c r="B13" s="370" t="s">
        <v>641</v>
      </c>
      <c r="C13" s="370"/>
      <c r="D13" s="371">
        <v>2100</v>
      </c>
      <c r="E13" s="372"/>
      <c r="F13" s="372"/>
      <c r="G13" s="372">
        <v>650</v>
      </c>
      <c r="H13" s="427"/>
      <c r="I13" s="427"/>
      <c r="J13" s="427"/>
      <c r="K13" s="373">
        <f>G13/D13</f>
        <v>0.30952380952380953</v>
      </c>
      <c r="L13" s="373" t="e">
        <f>G13/#REF!</f>
        <v>#REF!</v>
      </c>
    </row>
    <row r="14" spans="1:12" ht="21.75" hidden="1" customHeight="1">
      <c r="A14" s="369">
        <v>5</v>
      </c>
      <c r="B14" s="370" t="s">
        <v>642</v>
      </c>
      <c r="C14" s="370"/>
      <c r="D14" s="371"/>
      <c r="E14" s="372"/>
      <c r="F14" s="372"/>
      <c r="G14" s="372"/>
      <c r="H14" s="427"/>
      <c r="I14" s="427"/>
      <c r="J14" s="427"/>
      <c r="K14" s="373"/>
      <c r="L14" s="373"/>
    </row>
    <row r="15" spans="1:12" ht="21.75" hidden="1" customHeight="1">
      <c r="A15" s="369">
        <v>6</v>
      </c>
      <c r="B15" s="370" t="s">
        <v>643</v>
      </c>
      <c r="C15" s="370"/>
      <c r="D15" s="371">
        <v>5500</v>
      </c>
      <c r="E15" s="372"/>
      <c r="F15" s="372"/>
      <c r="G15" s="372">
        <v>2100</v>
      </c>
      <c r="H15" s="427"/>
      <c r="I15" s="427"/>
      <c r="J15" s="427"/>
      <c r="K15" s="373">
        <f>G15/D15</f>
        <v>0.38181818181818183</v>
      </c>
      <c r="L15" s="373" t="e">
        <f>G15/#REF!</f>
        <v>#REF!</v>
      </c>
    </row>
    <row r="16" spans="1:12" ht="21.75" hidden="1" customHeight="1">
      <c r="A16" s="369">
        <v>7</v>
      </c>
      <c r="B16" s="370" t="s">
        <v>644</v>
      </c>
      <c r="C16" s="370"/>
      <c r="D16" s="371">
        <v>900</v>
      </c>
      <c r="E16" s="372"/>
      <c r="F16" s="372"/>
      <c r="G16" s="372">
        <v>500</v>
      </c>
      <c r="H16" s="427"/>
      <c r="I16" s="427"/>
      <c r="J16" s="427"/>
      <c r="K16" s="373">
        <f>G16/D16</f>
        <v>0.55555555555555558</v>
      </c>
      <c r="L16" s="373" t="e">
        <f>G16/#REF!</f>
        <v>#REF!</v>
      </c>
    </row>
    <row r="17" spans="1:12" ht="21.75" hidden="1" customHeight="1">
      <c r="A17" s="369">
        <v>8</v>
      </c>
      <c r="B17" s="370" t="s">
        <v>645</v>
      </c>
      <c r="C17" s="370"/>
      <c r="D17" s="371">
        <f>SUM(D18:D23)</f>
        <v>13630</v>
      </c>
      <c r="E17" s="372"/>
      <c r="F17" s="372"/>
      <c r="G17" s="372">
        <f>SUM(G18:G23)</f>
        <v>3360</v>
      </c>
      <c r="H17" s="427"/>
      <c r="I17" s="427"/>
      <c r="J17" s="427"/>
      <c r="K17" s="373">
        <f>G17/D17</f>
        <v>0.24651504035216434</v>
      </c>
      <c r="L17" s="373" t="e">
        <f>G17/#REF!</f>
        <v>#REF!</v>
      </c>
    </row>
    <row r="18" spans="1:12" ht="21.75" hidden="1" customHeight="1">
      <c r="A18" s="369" t="s">
        <v>646</v>
      </c>
      <c r="B18" s="370" t="s">
        <v>647</v>
      </c>
      <c r="C18" s="370"/>
      <c r="D18" s="371"/>
      <c r="E18" s="372"/>
      <c r="F18" s="372"/>
      <c r="G18" s="372"/>
      <c r="H18" s="427"/>
      <c r="I18" s="427"/>
      <c r="J18" s="427"/>
      <c r="K18" s="373"/>
      <c r="L18" s="373"/>
    </row>
    <row r="19" spans="1:12" ht="21.75" hidden="1" customHeight="1">
      <c r="A19" s="369" t="s">
        <v>646</v>
      </c>
      <c r="B19" s="370" t="s">
        <v>648</v>
      </c>
      <c r="C19" s="370"/>
      <c r="D19" s="371">
        <v>50</v>
      </c>
      <c r="E19" s="372"/>
      <c r="F19" s="372"/>
      <c r="G19" s="372">
        <v>10</v>
      </c>
      <c r="H19" s="427"/>
      <c r="I19" s="427"/>
      <c r="J19" s="427"/>
      <c r="K19" s="373">
        <f>G19/D19</f>
        <v>0.2</v>
      </c>
      <c r="L19" s="373" t="e">
        <f>G19/#REF!</f>
        <v>#REF!</v>
      </c>
    </row>
    <row r="20" spans="1:12" ht="21.75" hidden="1" customHeight="1">
      <c r="A20" s="369" t="s">
        <v>646</v>
      </c>
      <c r="B20" s="370" t="s">
        <v>649</v>
      </c>
      <c r="C20" s="370"/>
      <c r="D20" s="371">
        <v>13400</v>
      </c>
      <c r="E20" s="372"/>
      <c r="F20" s="372"/>
      <c r="G20" s="372">
        <v>3350</v>
      </c>
      <c r="H20" s="427"/>
      <c r="I20" s="427"/>
      <c r="J20" s="427"/>
      <c r="K20" s="373">
        <f>G20/D20</f>
        <v>0.25</v>
      </c>
      <c r="L20" s="373" t="e">
        <f>G20/#REF!</f>
        <v>#REF!</v>
      </c>
    </row>
    <row r="21" spans="1:12" ht="21.75" hidden="1" customHeight="1">
      <c r="A21" s="369" t="s">
        <v>646</v>
      </c>
      <c r="B21" s="370" t="s">
        <v>650</v>
      </c>
      <c r="C21" s="370"/>
      <c r="D21" s="371"/>
      <c r="E21" s="372"/>
      <c r="F21" s="372"/>
      <c r="G21" s="372"/>
      <c r="H21" s="427"/>
      <c r="I21" s="427"/>
      <c r="J21" s="427"/>
      <c r="K21" s="364"/>
      <c r="L21" s="364"/>
    </row>
    <row r="22" spans="1:12" ht="34.5" hidden="1" customHeight="1">
      <c r="A22" s="369" t="s">
        <v>646</v>
      </c>
      <c r="B22" s="370" t="s">
        <v>651</v>
      </c>
      <c r="C22" s="370"/>
      <c r="D22" s="371"/>
      <c r="E22" s="372"/>
      <c r="F22" s="372"/>
      <c r="G22" s="372"/>
      <c r="H22" s="427"/>
      <c r="I22" s="427"/>
      <c r="J22" s="427"/>
      <c r="K22" s="364"/>
      <c r="L22" s="364"/>
    </row>
    <row r="23" spans="1:12" ht="21.75" hidden="1" customHeight="1">
      <c r="A23" s="369" t="s">
        <v>646</v>
      </c>
      <c r="B23" s="370" t="s">
        <v>652</v>
      </c>
      <c r="C23" s="370"/>
      <c r="D23" s="371">
        <v>180</v>
      </c>
      <c r="E23" s="372"/>
      <c r="F23" s="372"/>
      <c r="G23" s="372"/>
      <c r="H23" s="427"/>
      <c r="I23" s="427"/>
      <c r="J23" s="427"/>
      <c r="K23" s="364"/>
      <c r="L23" s="364"/>
    </row>
    <row r="24" spans="1:12" ht="21.75" hidden="1" customHeight="1">
      <c r="A24" s="369">
        <v>9</v>
      </c>
      <c r="B24" s="370" t="s">
        <v>653</v>
      </c>
      <c r="C24" s="370"/>
      <c r="D24" s="371"/>
      <c r="E24" s="372"/>
      <c r="F24" s="372"/>
      <c r="G24" s="372"/>
      <c r="H24" s="427"/>
      <c r="I24" s="427"/>
      <c r="J24" s="427"/>
      <c r="K24" s="364"/>
      <c r="L24" s="364"/>
    </row>
    <row r="25" spans="1:12" ht="21.75" hidden="1" customHeight="1">
      <c r="A25" s="369">
        <v>10</v>
      </c>
      <c r="B25" s="370" t="s">
        <v>654</v>
      </c>
      <c r="C25" s="370"/>
      <c r="D25" s="371">
        <f>D26+D27</f>
        <v>2000</v>
      </c>
      <c r="E25" s="372"/>
      <c r="F25" s="372"/>
      <c r="G25" s="372">
        <f>G26+G27</f>
        <v>711</v>
      </c>
      <c r="H25" s="427"/>
      <c r="I25" s="427"/>
      <c r="J25" s="427"/>
      <c r="K25" s="373">
        <f>G25/D25</f>
        <v>0.35549999999999998</v>
      </c>
      <c r="L25" s="373" t="e">
        <f>G25/#REF!</f>
        <v>#REF!</v>
      </c>
    </row>
    <row r="26" spans="1:12" ht="21.75" hidden="1" customHeight="1">
      <c r="A26" s="369" t="s">
        <v>646</v>
      </c>
      <c r="B26" s="370" t="s">
        <v>655</v>
      </c>
      <c r="C26" s="370"/>
      <c r="D26" s="371">
        <v>1500</v>
      </c>
      <c r="E26" s="372"/>
      <c r="F26" s="372"/>
      <c r="G26" s="372">
        <v>400</v>
      </c>
      <c r="H26" s="427"/>
      <c r="I26" s="427"/>
      <c r="J26" s="427"/>
      <c r="K26" s="373">
        <f>G26/D26</f>
        <v>0.26666666666666666</v>
      </c>
      <c r="L26" s="373" t="e">
        <f>G26/#REF!</f>
        <v>#REF!</v>
      </c>
    </row>
    <row r="27" spans="1:12" ht="21.75" hidden="1" customHeight="1">
      <c r="A27" s="369" t="s">
        <v>646</v>
      </c>
      <c r="B27" s="370" t="s">
        <v>656</v>
      </c>
      <c r="C27" s="370"/>
      <c r="D27" s="371">
        <v>500</v>
      </c>
      <c r="E27" s="372"/>
      <c r="F27" s="372"/>
      <c r="G27" s="372">
        <f>11+300</f>
        <v>311</v>
      </c>
      <c r="H27" s="427"/>
      <c r="I27" s="427"/>
      <c r="J27" s="427"/>
      <c r="K27" s="373">
        <f>G27/D27</f>
        <v>0.622</v>
      </c>
      <c r="L27" s="373" t="e">
        <f>G27/#REF!</f>
        <v>#REF!</v>
      </c>
    </row>
    <row r="28" spans="1:12" ht="33" hidden="1" customHeight="1">
      <c r="A28" s="369">
        <v>11</v>
      </c>
      <c r="B28" s="370" t="s">
        <v>657</v>
      </c>
      <c r="C28" s="370"/>
      <c r="D28" s="371">
        <v>150</v>
      </c>
      <c r="E28" s="372"/>
      <c r="F28" s="372"/>
      <c r="G28" s="372"/>
      <c r="H28" s="427"/>
      <c r="I28" s="427"/>
      <c r="J28" s="427"/>
      <c r="K28" s="364"/>
      <c r="L28" s="364"/>
    </row>
    <row r="29" spans="1:12" ht="21.75" hidden="1" customHeight="1">
      <c r="A29" s="365" t="s">
        <v>223</v>
      </c>
      <c r="B29" s="366" t="s">
        <v>658</v>
      </c>
      <c r="C29" s="366"/>
      <c r="D29" s="371"/>
      <c r="E29" s="372"/>
      <c r="F29" s="372"/>
      <c r="G29" s="372"/>
      <c r="H29" s="427"/>
      <c r="I29" s="427"/>
      <c r="J29" s="427"/>
      <c r="K29" s="364"/>
      <c r="L29" s="364"/>
    </row>
    <row r="30" spans="1:12" ht="41.25" hidden="1" customHeight="1">
      <c r="A30" s="365" t="s">
        <v>219</v>
      </c>
      <c r="B30" s="366" t="s">
        <v>659</v>
      </c>
      <c r="C30" s="366"/>
      <c r="D30" s="367">
        <f>D31+D32</f>
        <v>517691</v>
      </c>
      <c r="E30" s="368"/>
      <c r="F30" s="368"/>
      <c r="G30" s="368">
        <f>G31+G32</f>
        <v>273182.90000000002</v>
      </c>
      <c r="H30" s="363"/>
      <c r="I30" s="363"/>
      <c r="J30" s="363"/>
      <c r="K30" s="364">
        <f>G30/D30</f>
        <v>0.52769489908072575</v>
      </c>
      <c r="L30" s="364" t="e">
        <f>G30/#REF!</f>
        <v>#REF!</v>
      </c>
    </row>
    <row r="31" spans="1:12" ht="21.75" hidden="1" customHeight="1">
      <c r="A31" s="369">
        <v>1</v>
      </c>
      <c r="B31" s="370" t="s">
        <v>660</v>
      </c>
      <c r="C31" s="370"/>
      <c r="D31" s="371">
        <v>42180</v>
      </c>
      <c r="E31" s="372"/>
      <c r="F31" s="372"/>
      <c r="G31" s="372">
        <v>13285</v>
      </c>
      <c r="H31" s="427"/>
      <c r="I31" s="427"/>
      <c r="J31" s="427"/>
      <c r="K31" s="373">
        <f>G31/D31</f>
        <v>0.31495969653864392</v>
      </c>
      <c r="L31" s="373" t="e">
        <f>G31/#REF!</f>
        <v>#REF!</v>
      </c>
    </row>
    <row r="32" spans="1:12" ht="37.5" hidden="1" customHeight="1">
      <c r="A32" s="374">
        <v>2</v>
      </c>
      <c r="B32" s="375" t="s">
        <v>661</v>
      </c>
      <c r="C32" s="375"/>
      <c r="D32" s="376">
        <v>475511</v>
      </c>
      <c r="E32" s="377"/>
      <c r="F32" s="377"/>
      <c r="G32" s="377">
        <v>259897.9</v>
      </c>
      <c r="H32" s="428"/>
      <c r="I32" s="428"/>
      <c r="J32" s="428"/>
      <c r="K32" s="378">
        <f>G32/D32</f>
        <v>0.54656548428953278</v>
      </c>
      <c r="L32" s="378" t="e">
        <f>G32/#REF!</f>
        <v>#REF!</v>
      </c>
    </row>
    <row r="33" spans="1:21" ht="26.25" hidden="1" customHeight="1">
      <c r="A33" s="379"/>
      <c r="B33" s="380"/>
      <c r="C33" s="380"/>
      <c r="D33" s="381"/>
      <c r="E33" s="381"/>
      <c r="F33" s="381"/>
      <c r="G33" s="381"/>
      <c r="H33" s="381"/>
      <c r="I33" s="381"/>
      <c r="J33" s="381"/>
      <c r="K33" s="382"/>
      <c r="L33" s="382"/>
    </row>
    <row r="34" spans="1:21" ht="26.25" hidden="1" customHeight="1">
      <c r="A34" s="379"/>
      <c r="B34" s="380"/>
      <c r="C34" s="380"/>
      <c r="D34" s="381"/>
      <c r="E34" s="381"/>
      <c r="F34" s="381"/>
      <c r="G34" s="381"/>
      <c r="H34" s="381"/>
      <c r="I34" s="381"/>
      <c r="J34" s="381"/>
      <c r="K34" s="382"/>
      <c r="L34" s="382"/>
    </row>
    <row r="35" spans="1:21" ht="26.25" hidden="1" customHeight="1">
      <c r="A35" s="379"/>
      <c r="B35" s="380"/>
      <c r="C35" s="380"/>
      <c r="D35" s="381"/>
      <c r="E35" s="381"/>
      <c r="F35" s="381"/>
      <c r="G35" s="381"/>
      <c r="H35" s="381"/>
      <c r="I35" s="381"/>
      <c r="J35" s="381"/>
      <c r="K35" s="382"/>
      <c r="L35" s="382"/>
    </row>
    <row r="36" spans="1:21" ht="26.25" hidden="1" customHeight="1">
      <c r="A36" s="379"/>
      <c r="B36" s="380"/>
      <c r="C36" s="380"/>
      <c r="D36" s="381"/>
      <c r="E36" s="381"/>
      <c r="F36" s="381"/>
      <c r="G36" s="381"/>
      <c r="H36" s="381"/>
      <c r="I36" s="381"/>
      <c r="J36" s="381"/>
      <c r="K36" s="382"/>
      <c r="L36" s="382"/>
    </row>
    <row r="37" spans="1:21" ht="26.25" hidden="1" customHeight="1">
      <c r="A37" s="379"/>
      <c r="B37" s="380"/>
      <c r="C37" s="380"/>
      <c r="D37" s="381"/>
      <c r="E37" s="381"/>
      <c r="F37" s="381"/>
      <c r="G37" s="381"/>
      <c r="H37" s="381"/>
      <c r="I37" s="381"/>
      <c r="J37" s="381"/>
      <c r="K37" s="382"/>
      <c r="L37" s="382"/>
    </row>
    <row r="38" spans="1:21" ht="26.25" customHeight="1">
      <c r="A38" s="1172" t="s">
        <v>1352</v>
      </c>
      <c r="B38" s="1172"/>
      <c r="C38" s="1172"/>
      <c r="D38" s="1172"/>
      <c r="E38" s="1172"/>
      <c r="F38" s="1172"/>
      <c r="G38" s="1172"/>
      <c r="H38" s="1172"/>
      <c r="I38" s="1172"/>
      <c r="J38" s="1172"/>
      <c r="K38" s="1172"/>
      <c r="L38" s="1172"/>
    </row>
    <row r="39" spans="1:21" ht="32.25" customHeight="1">
      <c r="A39" s="1165" t="s">
        <v>1316</v>
      </c>
      <c r="B39" s="1165"/>
      <c r="C39" s="1165"/>
      <c r="D39" s="1165"/>
      <c r="E39" s="1165"/>
      <c r="F39" s="1165"/>
      <c r="G39" s="1165"/>
      <c r="H39" s="1165"/>
      <c r="I39" s="1165"/>
      <c r="J39" s="1165"/>
      <c r="K39" s="1165"/>
      <c r="L39" s="1165"/>
    </row>
    <row r="40" spans="1:21" ht="28.5" customHeight="1">
      <c r="A40" s="1143" t="s">
        <v>1347</v>
      </c>
      <c r="B40" s="1143"/>
      <c r="C40" s="1143"/>
      <c r="D40" s="1143"/>
      <c r="E40" s="1143"/>
      <c r="F40" s="1143"/>
      <c r="G40" s="1143"/>
      <c r="H40" s="1143"/>
      <c r="I40" s="1143"/>
      <c r="J40" s="1143"/>
      <c r="K40" s="1143"/>
      <c r="L40" s="1143"/>
    </row>
    <row r="41" spans="1:21" ht="22.5" customHeight="1">
      <c r="A41" s="1162" t="s">
        <v>797</v>
      </c>
      <c r="B41" s="1162"/>
      <c r="C41" s="1162"/>
      <c r="D41" s="1162"/>
      <c r="E41" s="1162"/>
      <c r="F41" s="1162"/>
      <c r="G41" s="1162"/>
      <c r="H41" s="1162"/>
      <c r="I41" s="1162"/>
      <c r="J41" s="1162"/>
      <c r="K41" s="1162"/>
      <c r="L41" s="1162"/>
    </row>
    <row r="42" spans="1:21" ht="30" customHeight="1">
      <c r="A42" s="1169" t="s">
        <v>214</v>
      </c>
      <c r="B42" s="1169" t="s">
        <v>243</v>
      </c>
      <c r="C42" s="1170" t="s">
        <v>1341</v>
      </c>
      <c r="D42" s="1161" t="s">
        <v>662</v>
      </c>
      <c r="E42" s="1154" t="s">
        <v>1078</v>
      </c>
      <c r="F42" s="1154" t="s">
        <v>1342</v>
      </c>
      <c r="G42" s="1154" t="s">
        <v>1080</v>
      </c>
      <c r="H42" s="1166" t="s">
        <v>1333</v>
      </c>
      <c r="I42" s="1167"/>
      <c r="J42" s="1167"/>
      <c r="K42" s="1167"/>
      <c r="L42" s="1168"/>
    </row>
    <row r="43" spans="1:21" ht="65.25" customHeight="1">
      <c r="A43" s="1169"/>
      <c r="B43" s="1169"/>
      <c r="C43" s="1171"/>
      <c r="D43" s="1161"/>
      <c r="E43" s="1154"/>
      <c r="F43" s="1154"/>
      <c r="G43" s="1154"/>
      <c r="H43" s="927" t="s">
        <v>1343</v>
      </c>
      <c r="I43" s="927" t="s">
        <v>1344</v>
      </c>
      <c r="J43" s="927" t="s">
        <v>1348</v>
      </c>
      <c r="K43" s="927" t="s">
        <v>1349</v>
      </c>
      <c r="L43" s="548" t="s">
        <v>634</v>
      </c>
      <c r="R43" s="549"/>
      <c r="T43" s="392">
        <f>G45-'ƯỚC CHI SỐ 02'!F8</f>
        <v>268833731</v>
      </c>
    </row>
    <row r="44" spans="1:21" s="386" customFormat="1">
      <c r="A44" s="383" t="s">
        <v>218</v>
      </c>
      <c r="B44" s="383" t="s">
        <v>219</v>
      </c>
      <c r="C44" s="383">
        <v>1</v>
      </c>
      <c r="D44" s="383">
        <v>2</v>
      </c>
      <c r="E44" s="384">
        <v>3</v>
      </c>
      <c r="F44" s="384">
        <v>4</v>
      </c>
      <c r="G44" s="384">
        <v>5</v>
      </c>
      <c r="H44" s="384" t="s">
        <v>1320</v>
      </c>
      <c r="I44" s="384" t="s">
        <v>1345</v>
      </c>
      <c r="J44" s="384" t="s">
        <v>1346</v>
      </c>
      <c r="K44" s="383" t="s">
        <v>1350</v>
      </c>
      <c r="L44" s="383" t="s">
        <v>1351</v>
      </c>
      <c r="M44" s="385"/>
      <c r="N44" s="385"/>
    </row>
    <row r="45" spans="1:21" ht="36.75" customHeight="1">
      <c r="A45" s="387"/>
      <c r="B45" s="939" t="s">
        <v>665</v>
      </c>
      <c r="C45" s="389">
        <f>C47+C69+C72</f>
        <v>559155000000</v>
      </c>
      <c r="D45" s="389">
        <f>D47+D69+D72</f>
        <v>559905000000</v>
      </c>
      <c r="E45" s="389">
        <f>E47+E69+E72+E73+E74</f>
        <v>723109698443</v>
      </c>
      <c r="F45" s="389">
        <f>F47+F69+F72</f>
        <v>763585274887</v>
      </c>
      <c r="G45" s="389">
        <f>G47+G69+G72+G73</f>
        <v>780830858297</v>
      </c>
      <c r="H45" s="429">
        <f>F45/C45</f>
        <v>1.3656057352379931</v>
      </c>
      <c r="I45" s="429">
        <f>F45/D45</f>
        <v>1.3637764886668273</v>
      </c>
      <c r="J45" s="429">
        <f>G45/C45</f>
        <v>1.396447958610761</v>
      </c>
      <c r="K45" s="390">
        <f>G45/D45</f>
        <v>1.3945773984818852</v>
      </c>
      <c r="L45" s="391">
        <f>G45/E45</f>
        <v>1.0798235177571054</v>
      </c>
      <c r="P45" s="392"/>
      <c r="R45" s="392"/>
      <c r="U45" s="392">
        <f>G46-'ƯỚC CHI SỐ 02'!F8</f>
        <v>0</v>
      </c>
    </row>
    <row r="46" spans="1:21" ht="29.25" customHeight="1">
      <c r="A46" s="387"/>
      <c r="B46" s="388" t="s">
        <v>1317</v>
      </c>
      <c r="C46" s="389">
        <f>C48+C69+C72</f>
        <v>558605000000</v>
      </c>
      <c r="D46" s="389">
        <f>D48+D69+D72</f>
        <v>559355000000</v>
      </c>
      <c r="E46" s="389">
        <f>E48+E69+E72+E73+E74</f>
        <v>721681629015</v>
      </c>
      <c r="F46" s="389">
        <f>F48+F69+F72+F73+F74</f>
        <v>762927792584</v>
      </c>
      <c r="G46" s="389">
        <f>G48+G69+G72+G73+G74</f>
        <v>780562024566</v>
      </c>
      <c r="H46" s="429">
        <f t="shared" ref="H46:H71" si="0">F46/C46</f>
        <v>1.3657732970238361</v>
      </c>
      <c r="I46" s="429">
        <f t="shared" ref="I46:I71" si="1">F46/D46</f>
        <v>1.3639420271276739</v>
      </c>
      <c r="J46" s="429">
        <f t="shared" ref="J46:J71" si="2">G46/C46</f>
        <v>1.3973416359789117</v>
      </c>
      <c r="K46" s="390">
        <f>G46/D46</f>
        <v>1.3954680383048332</v>
      </c>
      <c r="L46" s="391">
        <f>G46/E46</f>
        <v>1.0815877710942483</v>
      </c>
      <c r="M46" s="393">
        <f>G47/M47</f>
        <v>1.1840344285714286</v>
      </c>
      <c r="N46" s="351" t="s">
        <v>666</v>
      </c>
      <c r="R46" s="392">
        <f>G46-'ƯỚC CHI SỐ 02'!F8</f>
        <v>0</v>
      </c>
      <c r="T46" s="392">
        <f>11421590291+666266263</f>
        <v>12087856554</v>
      </c>
    </row>
    <row r="47" spans="1:21" ht="24.75" customHeight="1">
      <c r="A47" s="387" t="s">
        <v>220</v>
      </c>
      <c r="B47" s="388" t="s">
        <v>667</v>
      </c>
      <c r="C47" s="394">
        <f>C49+C50+C54+C55+C56+C57+C58+C59+C64</f>
        <v>15300000000</v>
      </c>
      <c r="D47" s="394">
        <f>D49+D50+D54+D55+D56+D57+D58+D59+D64</f>
        <v>16050000000</v>
      </c>
      <c r="E47" s="394">
        <f>E49+E50+E54+E55+E56+E57+E58+E59+E64</f>
        <v>15502852501</v>
      </c>
      <c r="F47" s="394">
        <f>F49+F50+F54+F55+F56+F57+F58+F59+F64</f>
        <v>13486505126</v>
      </c>
      <c r="G47" s="394">
        <f>G49+G50+G54+G55+G56+G57+G58+G59+G64</f>
        <v>16576482000</v>
      </c>
      <c r="H47" s="429">
        <f t="shared" si="0"/>
        <v>0.88147092326797383</v>
      </c>
      <c r="I47" s="429">
        <f>F47/D47</f>
        <v>0.84028069320872278</v>
      </c>
      <c r="J47" s="429">
        <f t="shared" si="2"/>
        <v>1.0834301960784314</v>
      </c>
      <c r="K47" s="391">
        <f>G47/D47</f>
        <v>1.0328026168224298</v>
      </c>
      <c r="L47" s="391">
        <f>G47/E47</f>
        <v>1.0692536743757799</v>
      </c>
      <c r="M47" s="395">
        <v>14000000000</v>
      </c>
      <c r="P47" s="392">
        <f>G48-15700000000</f>
        <v>-623518000</v>
      </c>
    </row>
    <row r="48" spans="1:21" s="402" customFormat="1" ht="21.75" customHeight="1">
      <c r="A48" s="396" t="s">
        <v>668</v>
      </c>
      <c r="B48" s="397" t="s">
        <v>669</v>
      </c>
      <c r="C48" s="398">
        <f>C47-C65</f>
        <v>14750000000</v>
      </c>
      <c r="D48" s="398">
        <f>D47-D65</f>
        <v>15500000000</v>
      </c>
      <c r="E48" s="399">
        <v>14074783073</v>
      </c>
      <c r="F48" s="399">
        <v>12087856554</v>
      </c>
      <c r="G48" s="399">
        <f>G50+G54+G55+G56+G57+G58+G62+G67+G68</f>
        <v>15076482000</v>
      </c>
      <c r="H48" s="429">
        <f t="shared" si="0"/>
        <v>0.81951569857627116</v>
      </c>
      <c r="I48" s="429">
        <f>F48/D48</f>
        <v>0.77986171316129027</v>
      </c>
      <c r="J48" s="429">
        <f t="shared" si="2"/>
        <v>1.0221343728813559</v>
      </c>
      <c r="K48" s="390">
        <f>G48/D48</f>
        <v>0.97267625806451607</v>
      </c>
      <c r="L48" s="391">
        <f>G48/E48</f>
        <v>1.0711697595483076</v>
      </c>
      <c r="M48" s="400">
        <v>13550000000</v>
      </c>
      <c r="N48" s="401"/>
      <c r="P48" s="425">
        <f>13550000000-1000000000</f>
        <v>12550000000</v>
      </c>
      <c r="Q48" s="425">
        <f>15000000000-G48</f>
        <v>-76482000</v>
      </c>
      <c r="T48" s="940">
        <f>380825286</f>
        <v>380825286</v>
      </c>
    </row>
    <row r="49" spans="1:20" s="405" customFormat="1" ht="29.25" hidden="1" customHeight="1">
      <c r="A49" s="387">
        <v>1</v>
      </c>
      <c r="B49" s="388" t="s">
        <v>638</v>
      </c>
      <c r="C49" s="388"/>
      <c r="D49" s="403"/>
      <c r="E49" s="394"/>
      <c r="F49" s="394"/>
      <c r="G49" s="394"/>
      <c r="H49" s="429" t="e">
        <f t="shared" si="0"/>
        <v>#DIV/0!</v>
      </c>
      <c r="I49" s="429" t="e">
        <f t="shared" si="1"/>
        <v>#DIV/0!</v>
      </c>
      <c r="J49" s="429" t="e">
        <f t="shared" si="2"/>
        <v>#DIV/0!</v>
      </c>
      <c r="K49" s="390"/>
      <c r="L49" s="391"/>
      <c r="M49" s="404"/>
      <c r="N49" s="404"/>
      <c r="T49" s="941"/>
    </row>
    <row r="50" spans="1:20" s="409" customFormat="1" ht="23.25" customHeight="1">
      <c r="A50" s="406">
        <v>1</v>
      </c>
      <c r="B50" s="64" t="s">
        <v>670</v>
      </c>
      <c r="C50" s="394">
        <f>SUM(C51:C53)</f>
        <v>9800000000</v>
      </c>
      <c r="D50" s="394">
        <f>SUM(D51:D53)</f>
        <v>10210000000</v>
      </c>
      <c r="E50" s="394">
        <f>SUM(E51:E53)</f>
        <v>10322668773</v>
      </c>
      <c r="F50" s="394">
        <f>SUM(F51:F53)</f>
        <v>6471639871</v>
      </c>
      <c r="G50" s="394">
        <f>SUM(G51:G53)</f>
        <v>8375000000</v>
      </c>
      <c r="H50" s="429">
        <f t="shared" si="0"/>
        <v>0.66037141540816324</v>
      </c>
      <c r="I50" s="429">
        <f t="shared" si="1"/>
        <v>0.63385307257590595</v>
      </c>
      <c r="J50" s="429">
        <f t="shared" si="2"/>
        <v>0.85459183673469385</v>
      </c>
      <c r="K50" s="390">
        <f>G50/D50</f>
        <v>0.8202742409402547</v>
      </c>
      <c r="L50" s="391">
        <f t="shared" ref="L50:L57" si="3">G50/E50</f>
        <v>0.81132119843907735</v>
      </c>
      <c r="M50" s="407">
        <f>G48/M48</f>
        <v>1.1126554981549817</v>
      </c>
      <c r="N50" s="408" t="s">
        <v>105</v>
      </c>
      <c r="P50" s="431">
        <f>F48/P48</f>
        <v>0.96317582103585653</v>
      </c>
      <c r="Q50" s="409">
        <v>10126153584</v>
      </c>
      <c r="T50" s="432">
        <v>1005823286</v>
      </c>
    </row>
    <row r="51" spans="1:20" s="386" customFormat="1" ht="19.5" customHeight="1">
      <c r="A51" s="383" t="s">
        <v>646</v>
      </c>
      <c r="B51" s="410" t="s">
        <v>671</v>
      </c>
      <c r="C51" s="935">
        <v>6800000000</v>
      </c>
      <c r="D51" s="411">
        <v>7000000000</v>
      </c>
      <c r="E51" s="412">
        <f>7314704365+38718182+23846600</f>
        <v>7377269147</v>
      </c>
      <c r="F51" s="412">
        <f>20000000+3335921144</f>
        <v>3355921144</v>
      </c>
      <c r="G51" s="412">
        <v>4905000000</v>
      </c>
      <c r="H51" s="945">
        <f t="shared" si="0"/>
        <v>0.49351781529411765</v>
      </c>
      <c r="I51" s="945">
        <f t="shared" si="1"/>
        <v>0.47941730628571427</v>
      </c>
      <c r="J51" s="945">
        <f t="shared" si="2"/>
        <v>0.7213235294117647</v>
      </c>
      <c r="K51" s="413">
        <f>G51/D51</f>
        <v>0.70071428571428573</v>
      </c>
      <c r="L51" s="414">
        <f t="shared" si="3"/>
        <v>0.66488017479945682</v>
      </c>
      <c r="M51" s="385"/>
      <c r="N51" s="385"/>
      <c r="T51" s="942">
        <v>11112659380</v>
      </c>
    </row>
    <row r="52" spans="1:20" s="386" customFormat="1" ht="19.5" customHeight="1">
      <c r="A52" s="383" t="s">
        <v>646</v>
      </c>
      <c r="B52" s="410" t="s">
        <v>672</v>
      </c>
      <c r="C52" s="935">
        <v>300000000</v>
      </c>
      <c r="D52" s="411">
        <v>310000000</v>
      </c>
      <c r="E52" s="412">
        <f>16669900+374193546</f>
        <v>390863446</v>
      </c>
      <c r="F52" s="412">
        <f>20200000+135991848</f>
        <v>156191848</v>
      </c>
      <c r="G52" s="412">
        <f>170000000</f>
        <v>170000000</v>
      </c>
      <c r="H52" s="945">
        <f t="shared" si="0"/>
        <v>0.52063949333333337</v>
      </c>
      <c r="I52" s="945">
        <f t="shared" si="1"/>
        <v>0.50384467096774188</v>
      </c>
      <c r="J52" s="945">
        <f t="shared" si="2"/>
        <v>0.56666666666666665</v>
      </c>
      <c r="K52" s="413">
        <f>G52/D52</f>
        <v>0.54838709677419351</v>
      </c>
      <c r="L52" s="414">
        <f t="shared" si="3"/>
        <v>0.43493450651304955</v>
      </c>
      <c r="M52" s="415">
        <f>M48-D59</f>
        <v>11550000000</v>
      </c>
      <c r="N52" s="385"/>
      <c r="T52" s="942">
        <v>595716263</v>
      </c>
    </row>
    <row r="53" spans="1:20" s="386" customFormat="1" ht="19.5" customHeight="1">
      <c r="A53" s="383" t="s">
        <v>646</v>
      </c>
      <c r="B53" s="410" t="s">
        <v>673</v>
      </c>
      <c r="C53" s="935">
        <v>2700000000</v>
      </c>
      <c r="D53" s="411">
        <v>2900000000</v>
      </c>
      <c r="E53" s="412">
        <f>10906800+2543629380</f>
        <v>2554536180</v>
      </c>
      <c r="F53" s="412">
        <f>7592400+2951934479</f>
        <v>2959526879</v>
      </c>
      <c r="G53" s="412">
        <v>3300000000</v>
      </c>
      <c r="H53" s="945">
        <f t="shared" si="0"/>
        <v>1.0961210662962964</v>
      </c>
      <c r="I53" s="945">
        <f t="shared" si="1"/>
        <v>1.0205265100000001</v>
      </c>
      <c r="J53" s="945">
        <f t="shared" si="2"/>
        <v>1.2222222222222223</v>
      </c>
      <c r="K53" s="413">
        <f>G53/D53</f>
        <v>1.1379310344827587</v>
      </c>
      <c r="L53" s="414">
        <f t="shared" si="3"/>
        <v>1.2918196367060262</v>
      </c>
      <c r="M53" s="385"/>
      <c r="N53" s="385"/>
      <c r="T53" s="942">
        <f>T48+T50+T51+T52</f>
        <v>13095024215</v>
      </c>
    </row>
    <row r="54" spans="1:20" s="409" customFormat="1" ht="19.5" customHeight="1">
      <c r="A54" s="406">
        <v>2</v>
      </c>
      <c r="B54" s="64" t="s">
        <v>643</v>
      </c>
      <c r="C54" s="936">
        <v>1100000000</v>
      </c>
      <c r="D54" s="394">
        <v>1320000000</v>
      </c>
      <c r="E54" s="394">
        <v>1047858710</v>
      </c>
      <c r="F54" s="394">
        <v>1997732959</v>
      </c>
      <c r="G54" s="394">
        <f>2200000000</f>
        <v>2200000000</v>
      </c>
      <c r="H54" s="429">
        <f t="shared" si="0"/>
        <v>1.8161208718181818</v>
      </c>
      <c r="I54" s="429">
        <f t="shared" si="1"/>
        <v>1.5134340598484848</v>
      </c>
      <c r="J54" s="429">
        <f t="shared" si="2"/>
        <v>2</v>
      </c>
      <c r="K54" s="390">
        <f>G54/D54</f>
        <v>1.6666666666666667</v>
      </c>
      <c r="L54" s="391">
        <f t="shared" si="3"/>
        <v>2.0995196957421864</v>
      </c>
      <c r="M54" s="408"/>
      <c r="N54" s="408"/>
      <c r="P54" s="432">
        <v>1920000000</v>
      </c>
      <c r="T54" s="432">
        <f>T51+T52</f>
        <v>11708375643</v>
      </c>
    </row>
    <row r="55" spans="1:20" s="409" customFormat="1" ht="19.5" customHeight="1">
      <c r="A55" s="406">
        <v>3</v>
      </c>
      <c r="B55" s="64" t="s">
        <v>648</v>
      </c>
      <c r="C55" s="936"/>
      <c r="D55" s="394"/>
      <c r="E55" s="394">
        <v>27147207</v>
      </c>
      <c r="F55" s="394">
        <v>1570461</v>
      </c>
      <c r="G55" s="394">
        <v>2000000</v>
      </c>
      <c r="H55" s="429"/>
      <c r="I55" s="429"/>
      <c r="J55" s="429"/>
      <c r="K55" s="390"/>
      <c r="L55" s="391">
        <f t="shared" si="3"/>
        <v>7.3672403941959855E-2</v>
      </c>
      <c r="M55" s="416">
        <f>G48/M52</f>
        <v>1.305323116883117</v>
      </c>
      <c r="N55" s="408" t="s">
        <v>674</v>
      </c>
      <c r="T55" s="943">
        <f>T53-F47</f>
        <v>-391480911</v>
      </c>
    </row>
    <row r="56" spans="1:20" s="409" customFormat="1" ht="19.5" customHeight="1">
      <c r="A56" s="406">
        <v>4</v>
      </c>
      <c r="B56" s="64" t="s">
        <v>641</v>
      </c>
      <c r="C56" s="936">
        <v>1000000000</v>
      </c>
      <c r="D56" s="394">
        <v>1000000000</v>
      </c>
      <c r="E56" s="394">
        <v>1302237335</v>
      </c>
      <c r="F56" s="394">
        <v>1493360540</v>
      </c>
      <c r="G56" s="394">
        <v>1500000000</v>
      </c>
      <c r="H56" s="429">
        <f t="shared" si="0"/>
        <v>1.4933605400000001</v>
      </c>
      <c r="I56" s="429">
        <f>F56/D56</f>
        <v>1.4933605400000001</v>
      </c>
      <c r="J56" s="429">
        <f t="shared" si="2"/>
        <v>1.5</v>
      </c>
      <c r="K56" s="390">
        <f>G56/D56</f>
        <v>1.5</v>
      </c>
      <c r="L56" s="391">
        <f t="shared" si="3"/>
        <v>1.1518637652943655</v>
      </c>
      <c r="M56" s="408"/>
      <c r="N56" s="408"/>
    </row>
    <row r="57" spans="1:20" s="405" customFormat="1" ht="21" customHeight="1">
      <c r="A57" s="387">
        <v>5</v>
      </c>
      <c r="B57" s="388" t="s">
        <v>652</v>
      </c>
      <c r="C57" s="937">
        <v>50000000</v>
      </c>
      <c r="D57" s="389">
        <v>50000000</v>
      </c>
      <c r="E57" s="394">
        <v>111618500</v>
      </c>
      <c r="F57" s="394">
        <f>73482000</f>
        <v>73482000</v>
      </c>
      <c r="G57" s="394">
        <v>73482000</v>
      </c>
      <c r="H57" s="429">
        <f t="shared" si="0"/>
        <v>1.4696400000000001</v>
      </c>
      <c r="I57" s="429">
        <f t="shared" si="1"/>
        <v>1.4696400000000001</v>
      </c>
      <c r="J57" s="429">
        <f t="shared" si="2"/>
        <v>1.4696400000000001</v>
      </c>
      <c r="K57" s="390">
        <f>G57/D57</f>
        <v>1.4696400000000001</v>
      </c>
      <c r="L57" s="391">
        <f t="shared" si="3"/>
        <v>0.65833172816334207</v>
      </c>
      <c r="M57" s="404"/>
      <c r="N57" s="404"/>
      <c r="T57" s="947">
        <f>D48-D59</f>
        <v>13500000000</v>
      </c>
    </row>
    <row r="58" spans="1:20" s="405" customFormat="1" ht="19.5" customHeight="1">
      <c r="A58" s="387">
        <v>6</v>
      </c>
      <c r="B58" s="388" t="s">
        <v>644</v>
      </c>
      <c r="C58" s="937">
        <v>600000000</v>
      </c>
      <c r="D58" s="389">
        <v>620000000</v>
      </c>
      <c r="E58" s="394">
        <v>651922206</v>
      </c>
      <c r="F58" s="394">
        <f>632112418+7450000</f>
        <v>639562418</v>
      </c>
      <c r="G58" s="394">
        <v>650000000</v>
      </c>
      <c r="H58" s="429">
        <f t="shared" si="0"/>
        <v>1.0659373633333333</v>
      </c>
      <c r="I58" s="429">
        <f t="shared" si="1"/>
        <v>1.0315522870967742</v>
      </c>
      <c r="J58" s="429">
        <f t="shared" si="2"/>
        <v>1.0833333333333333</v>
      </c>
      <c r="K58" s="390">
        <f>G58/D58</f>
        <v>1.0483870967741935</v>
      </c>
      <c r="L58" s="391">
        <f>G58/E58</f>
        <v>0.99705147948281425</v>
      </c>
      <c r="M58" s="404"/>
      <c r="N58" s="404"/>
      <c r="T58" s="947">
        <f>F48-F62</f>
        <v>11256056554</v>
      </c>
    </row>
    <row r="59" spans="1:20" s="405" customFormat="1" ht="19.5" customHeight="1">
      <c r="A59" s="387">
        <v>7</v>
      </c>
      <c r="B59" s="388" t="s">
        <v>649</v>
      </c>
      <c r="C59" s="937">
        <f>C60</f>
        <v>2000000000</v>
      </c>
      <c r="D59" s="394">
        <f>D60+D63</f>
        <v>2000000000</v>
      </c>
      <c r="E59" s="394">
        <f>E60</f>
        <v>1351552439</v>
      </c>
      <c r="F59" s="394">
        <f>F60</f>
        <v>1837623286</v>
      </c>
      <c r="G59" s="394">
        <f>G60</f>
        <v>2771000000</v>
      </c>
      <c r="H59" s="429">
        <f t="shared" si="0"/>
        <v>0.91881164299999996</v>
      </c>
      <c r="I59" s="429">
        <f t="shared" si="1"/>
        <v>0.91881164299999996</v>
      </c>
      <c r="J59" s="429">
        <f t="shared" si="2"/>
        <v>1.3855</v>
      </c>
      <c r="K59" s="390">
        <f>G59/D59</f>
        <v>1.3855</v>
      </c>
      <c r="L59" s="391">
        <f>G59/E59</f>
        <v>2.0502349150804942</v>
      </c>
      <c r="M59" s="404"/>
      <c r="N59" s="404"/>
      <c r="T59" s="948">
        <f>T58/T57</f>
        <v>0.83378196696296292</v>
      </c>
    </row>
    <row r="60" spans="1:20" ht="21" hidden="1" customHeight="1">
      <c r="A60" s="417" t="s">
        <v>414</v>
      </c>
      <c r="B60" s="418" t="s">
        <v>649</v>
      </c>
      <c r="C60" s="419">
        <f>C61+C62</f>
        <v>2000000000</v>
      </c>
      <c r="D60" s="419">
        <f>D61+D62</f>
        <v>2000000000</v>
      </c>
      <c r="E60" s="419">
        <f>E61+E62</f>
        <v>1351552439</v>
      </c>
      <c r="F60" s="419">
        <f>F61+F62</f>
        <v>1837623286</v>
      </c>
      <c r="G60" s="419">
        <f t="shared" ref="G60" si="4">G61+G62</f>
        <v>2771000000</v>
      </c>
      <c r="H60" s="430">
        <f t="shared" si="0"/>
        <v>0.91881164299999996</v>
      </c>
      <c r="I60" s="430">
        <f t="shared" si="1"/>
        <v>0.91881164299999996</v>
      </c>
      <c r="J60" s="429">
        <f t="shared" si="2"/>
        <v>1.3855</v>
      </c>
      <c r="K60" s="420">
        <f>G60/D60</f>
        <v>1.3855</v>
      </c>
      <c r="L60" s="421">
        <f>G60/E60</f>
        <v>2.0502349150804942</v>
      </c>
    </row>
    <row r="61" spans="1:20" s="386" customFormat="1" ht="21" customHeight="1">
      <c r="A61" s="410" t="s">
        <v>414</v>
      </c>
      <c r="B61" s="410" t="s">
        <v>675</v>
      </c>
      <c r="C61" s="935"/>
      <c r="D61" s="411"/>
      <c r="E61" s="412">
        <f>1351552439-298000000</f>
        <v>1053552439</v>
      </c>
      <c r="F61" s="419">
        <v>1005823286</v>
      </c>
      <c r="G61" s="412">
        <f>1100000000</f>
        <v>1100000000</v>
      </c>
      <c r="H61" s="429"/>
      <c r="I61" s="430"/>
      <c r="J61" s="429"/>
      <c r="K61" s="420"/>
      <c r="L61" s="421">
        <f>G61/E61</f>
        <v>1.0440866152273223</v>
      </c>
      <c r="M61" s="385"/>
      <c r="N61" s="385"/>
    </row>
    <row r="62" spans="1:20" s="386" customFormat="1" ht="21" customHeight="1">
      <c r="A62" s="410" t="s">
        <v>414</v>
      </c>
      <c r="B62" s="410" t="s">
        <v>676</v>
      </c>
      <c r="C62" s="935">
        <f>D62</f>
        <v>2000000000</v>
      </c>
      <c r="D62" s="411">
        <v>2000000000</v>
      </c>
      <c r="E62" s="412">
        <v>298000000</v>
      </c>
      <c r="F62" s="412">
        <f>676200000+155600000</f>
        <v>831800000</v>
      </c>
      <c r="G62" s="412">
        <f>831000000+840000000</f>
        <v>1671000000</v>
      </c>
      <c r="H62" s="430">
        <f t="shared" si="0"/>
        <v>0.41589999999999999</v>
      </c>
      <c r="I62" s="430">
        <f t="shared" si="1"/>
        <v>0.41589999999999999</v>
      </c>
      <c r="J62" s="430">
        <f t="shared" si="2"/>
        <v>0.83550000000000002</v>
      </c>
      <c r="K62" s="420">
        <f>G62/D62</f>
        <v>0.83550000000000002</v>
      </c>
      <c r="L62" s="421"/>
      <c r="M62" s="385"/>
      <c r="N62" s="385"/>
    </row>
    <row r="63" spans="1:20" ht="19.5" hidden="1" customHeight="1">
      <c r="A63" s="417" t="s">
        <v>646</v>
      </c>
      <c r="B63" s="418" t="s">
        <v>650</v>
      </c>
      <c r="C63" s="938"/>
      <c r="D63" s="419"/>
      <c r="E63" s="422"/>
      <c r="F63" s="422"/>
      <c r="G63" s="422"/>
      <c r="H63" s="429" t="e">
        <f t="shared" si="0"/>
        <v>#DIV/0!</v>
      </c>
      <c r="I63" s="429"/>
      <c r="J63" s="429" t="e">
        <f t="shared" si="2"/>
        <v>#DIV/0!</v>
      </c>
      <c r="K63" s="420"/>
      <c r="L63" s="421"/>
    </row>
    <row r="64" spans="1:20" s="405" customFormat="1" ht="21.75" customHeight="1">
      <c r="A64" s="387">
        <v>8</v>
      </c>
      <c r="B64" s="388" t="s">
        <v>654</v>
      </c>
      <c r="C64" s="394">
        <f>SUM(C65:C67)</f>
        <v>750000000</v>
      </c>
      <c r="D64" s="394">
        <f>SUM(D65:D67)</f>
        <v>850000000</v>
      </c>
      <c r="E64" s="394">
        <f>E65+E67+E68</f>
        <v>687847331</v>
      </c>
      <c r="F64" s="394">
        <f>F65+F66+F67+F68</f>
        <v>971533591</v>
      </c>
      <c r="G64" s="394">
        <f>SUM(G65:G68)</f>
        <v>1005000000</v>
      </c>
      <c r="H64" s="429">
        <f t="shared" si="0"/>
        <v>1.2953781213333333</v>
      </c>
      <c r="I64" s="429">
        <f t="shared" si="1"/>
        <v>1.1429806952941177</v>
      </c>
      <c r="J64" s="429">
        <f t="shared" si="2"/>
        <v>1.34</v>
      </c>
      <c r="K64" s="390">
        <f>G64/D64</f>
        <v>1.1823529411764706</v>
      </c>
      <c r="L64" s="391">
        <f t="shared" ref="L64:L71" si="5">G64/E64</f>
        <v>1.4610800314350569</v>
      </c>
      <c r="M64" s="404"/>
      <c r="N64" s="404"/>
    </row>
    <row r="65" spans="1:18" ht="19.5" customHeight="1">
      <c r="A65" s="417" t="s">
        <v>646</v>
      </c>
      <c r="B65" s="418" t="s">
        <v>677</v>
      </c>
      <c r="C65" s="938">
        <v>550000000</v>
      </c>
      <c r="D65" s="419">
        <v>550000000</v>
      </c>
      <c r="E65" s="422">
        <f>278352807+30000000</f>
        <v>308352807</v>
      </c>
      <c r="F65" s="422">
        <v>385375286</v>
      </c>
      <c r="G65" s="422">
        <v>400000000</v>
      </c>
      <c r="H65" s="430">
        <f t="shared" si="0"/>
        <v>0.70068233818181813</v>
      </c>
      <c r="I65" s="430">
        <f t="shared" si="1"/>
        <v>0.70068233818181813</v>
      </c>
      <c r="J65" s="430">
        <f t="shared" si="2"/>
        <v>0.72727272727272729</v>
      </c>
      <c r="K65" s="420">
        <f>G65/D65</f>
        <v>0.72727272727272729</v>
      </c>
      <c r="L65" s="421">
        <f t="shared" si="5"/>
        <v>1.2972153679794458</v>
      </c>
    </row>
    <row r="66" spans="1:18" s="386" customFormat="1" ht="19.5" hidden="1" customHeight="1">
      <c r="A66" s="423" t="s">
        <v>646</v>
      </c>
      <c r="B66" s="410" t="s">
        <v>678</v>
      </c>
      <c r="C66" s="935"/>
      <c r="D66" s="411"/>
      <c r="E66" s="412"/>
      <c r="F66" s="412"/>
      <c r="G66" s="412"/>
      <c r="H66" s="430"/>
      <c r="I66" s="430"/>
      <c r="J66" s="429"/>
      <c r="K66" s="413"/>
      <c r="L66" s="414" t="e">
        <f t="shared" si="5"/>
        <v>#DIV/0!</v>
      </c>
      <c r="M66" s="385"/>
      <c r="N66" s="385"/>
    </row>
    <row r="67" spans="1:18" ht="19.5" customHeight="1">
      <c r="A67" s="946" t="s">
        <v>646</v>
      </c>
      <c r="B67" s="418" t="s">
        <v>1318</v>
      </c>
      <c r="C67" s="938">
        <v>200000000</v>
      </c>
      <c r="D67" s="419">
        <v>300000000</v>
      </c>
      <c r="E67" s="422">
        <v>287944524</v>
      </c>
      <c r="F67" s="422">
        <v>499142305</v>
      </c>
      <c r="G67" s="422">
        <v>510000000</v>
      </c>
      <c r="H67" s="430">
        <f t="shared" si="0"/>
        <v>2.4957115249999999</v>
      </c>
      <c r="I67" s="430">
        <f t="shared" si="1"/>
        <v>1.6638076833333333</v>
      </c>
      <c r="J67" s="430">
        <f t="shared" si="2"/>
        <v>2.5499999999999998</v>
      </c>
      <c r="K67" s="420">
        <f t="shared" ref="K67:K71" si="6">G67/D67</f>
        <v>1.7</v>
      </c>
      <c r="L67" s="421">
        <f t="shared" si="5"/>
        <v>1.7711745058225175</v>
      </c>
    </row>
    <row r="68" spans="1:18" s="386" customFormat="1" ht="19.5" customHeight="1">
      <c r="A68" s="423" t="s">
        <v>646</v>
      </c>
      <c r="B68" s="410" t="s">
        <v>1319</v>
      </c>
      <c r="C68" s="935"/>
      <c r="D68" s="411"/>
      <c r="E68" s="412">
        <v>91550000</v>
      </c>
      <c r="F68" s="412">
        <f>83486000+3530000</f>
        <v>87016000</v>
      </c>
      <c r="G68" s="412">
        <v>95000000</v>
      </c>
      <c r="H68" s="430"/>
      <c r="I68" s="430"/>
      <c r="J68" s="429"/>
      <c r="K68" s="413"/>
      <c r="L68" s="414">
        <f t="shared" si="5"/>
        <v>1.0376843255051884</v>
      </c>
      <c r="M68" s="385"/>
      <c r="N68" s="385"/>
    </row>
    <row r="69" spans="1:18" s="405" customFormat="1" ht="21.75" customHeight="1">
      <c r="A69" s="387" t="s">
        <v>223</v>
      </c>
      <c r="B69" s="388" t="s">
        <v>57</v>
      </c>
      <c r="C69" s="389">
        <f>C70+C71</f>
        <v>543855000000</v>
      </c>
      <c r="D69" s="389">
        <f>D70+D71</f>
        <v>543855000000</v>
      </c>
      <c r="E69" s="394">
        <f>E70+E71</f>
        <v>688445718372</v>
      </c>
      <c r="F69" s="394">
        <f>F70+F71</f>
        <v>680474854921</v>
      </c>
      <c r="G69" s="394">
        <f>G70+G71</f>
        <v>693604854921</v>
      </c>
      <c r="H69" s="429">
        <f t="shared" si="0"/>
        <v>1.2512063967803919</v>
      </c>
      <c r="I69" s="429">
        <f t="shared" si="1"/>
        <v>1.2512063967803919</v>
      </c>
      <c r="J69" s="429">
        <f t="shared" si="2"/>
        <v>1.2753488612240396</v>
      </c>
      <c r="K69" s="390">
        <f t="shared" si="6"/>
        <v>1.2753488612240396</v>
      </c>
      <c r="L69" s="391">
        <f t="shared" si="5"/>
        <v>1.0074938900937609</v>
      </c>
      <c r="M69" s="404"/>
      <c r="N69" s="404"/>
    </row>
    <row r="70" spans="1:18" ht="21.75" customHeight="1">
      <c r="A70" s="417">
        <v>1</v>
      </c>
      <c r="B70" s="418" t="s">
        <v>679</v>
      </c>
      <c r="C70" s="938">
        <v>417306000000</v>
      </c>
      <c r="D70" s="419">
        <f>376640000000+40666000000</f>
        <v>417306000000</v>
      </c>
      <c r="E70" s="422">
        <v>448863699506</v>
      </c>
      <c r="F70" s="422">
        <f>461883569000</f>
        <v>461883569000</v>
      </c>
      <c r="G70" s="422">
        <f>F70+1000000000</f>
        <v>462883569000</v>
      </c>
      <c r="H70" s="430">
        <f t="shared" si="0"/>
        <v>1.1068222575280489</v>
      </c>
      <c r="I70" s="430">
        <f t="shared" si="1"/>
        <v>1.1068222575280489</v>
      </c>
      <c r="J70" s="430">
        <f t="shared" si="2"/>
        <v>1.1092185806099122</v>
      </c>
      <c r="K70" s="420">
        <f t="shared" si="6"/>
        <v>1.1092185806099122</v>
      </c>
      <c r="L70" s="421">
        <f t="shared" si="5"/>
        <v>1.0312341352384469</v>
      </c>
    </row>
    <row r="71" spans="1:18" ht="21.75" customHeight="1">
      <c r="A71" s="417">
        <v>2</v>
      </c>
      <c r="B71" s="418" t="s">
        <v>680</v>
      </c>
      <c r="C71" s="938">
        <v>126549000000</v>
      </c>
      <c r="D71" s="419">
        <v>126549000000</v>
      </c>
      <c r="E71" s="422">
        <v>239582018866</v>
      </c>
      <c r="F71" s="422">
        <f>218591285921</f>
        <v>218591285921</v>
      </c>
      <c r="G71" s="422">
        <f>F71+12130000000</f>
        <v>230721285921</v>
      </c>
      <c r="H71" s="430">
        <f t="shared" si="0"/>
        <v>1.7273252725900639</v>
      </c>
      <c r="I71" s="430">
        <f t="shared" si="1"/>
        <v>1.7273252725900639</v>
      </c>
      <c r="J71" s="430">
        <f t="shared" si="2"/>
        <v>1.8231774721333238</v>
      </c>
      <c r="K71" s="420">
        <f t="shared" si="6"/>
        <v>1.8231774721333238</v>
      </c>
      <c r="L71" s="421">
        <f t="shared" si="5"/>
        <v>0.96301586827367092</v>
      </c>
      <c r="R71" s="549"/>
    </row>
    <row r="72" spans="1:18" s="405" customFormat="1" ht="21.75" customHeight="1">
      <c r="A72" s="387" t="s">
        <v>226</v>
      </c>
      <c r="B72" s="388" t="s">
        <v>681</v>
      </c>
      <c r="C72" s="937"/>
      <c r="D72" s="389"/>
      <c r="E72" s="394">
        <v>17795793764</v>
      </c>
      <c r="F72" s="394">
        <v>69623914840</v>
      </c>
      <c r="G72" s="394">
        <v>69623914840</v>
      </c>
      <c r="H72" s="429"/>
      <c r="I72" s="429"/>
      <c r="J72" s="429"/>
      <c r="K72" s="390"/>
      <c r="L72" s="391"/>
      <c r="M72" s="404"/>
      <c r="N72" s="404"/>
    </row>
    <row r="73" spans="1:18" s="405" customFormat="1" ht="21.75" customHeight="1">
      <c r="A73" s="387" t="s">
        <v>227</v>
      </c>
      <c r="B73" s="388" t="s">
        <v>393</v>
      </c>
      <c r="C73" s="937"/>
      <c r="D73" s="389"/>
      <c r="E73" s="394">
        <v>1166251894</v>
      </c>
      <c r="F73" s="394"/>
      <c r="G73" s="394">
        <v>1025606536</v>
      </c>
      <c r="H73" s="429"/>
      <c r="I73" s="429"/>
      <c r="J73" s="429"/>
      <c r="K73" s="390"/>
      <c r="L73" s="391"/>
      <c r="M73" s="404"/>
      <c r="N73" s="404"/>
    </row>
    <row r="74" spans="1:18" s="405" customFormat="1" ht="21.75" customHeight="1">
      <c r="A74" s="387" t="s">
        <v>228</v>
      </c>
      <c r="B74" s="388" t="s">
        <v>682</v>
      </c>
      <c r="C74" s="937"/>
      <c r="D74" s="389"/>
      <c r="E74" s="394">
        <v>199081912</v>
      </c>
      <c r="F74" s="394">
        <v>741166269</v>
      </c>
      <c r="G74" s="394">
        <f>F74+490000000</f>
        <v>1231166269</v>
      </c>
      <c r="H74" s="429"/>
      <c r="I74" s="429"/>
      <c r="J74" s="429"/>
      <c r="K74" s="390"/>
      <c r="L74" s="391"/>
      <c r="M74" s="404"/>
      <c r="N74" s="404"/>
    </row>
  </sheetData>
  <mergeCells count="22">
    <mergeCell ref="A38:L38"/>
    <mergeCell ref="A1:B1"/>
    <mergeCell ref="G1:L1"/>
    <mergeCell ref="A2:L2"/>
    <mergeCell ref="A3:L3"/>
    <mergeCell ref="K4:L4"/>
    <mergeCell ref="E42:E43"/>
    <mergeCell ref="B5:B6"/>
    <mergeCell ref="D5:D6"/>
    <mergeCell ref="G5:G6"/>
    <mergeCell ref="A5:A6"/>
    <mergeCell ref="D42:D43"/>
    <mergeCell ref="A41:L41"/>
    <mergeCell ref="A40:L40"/>
    <mergeCell ref="K5:L5"/>
    <mergeCell ref="A39:L39"/>
    <mergeCell ref="H42:L42"/>
    <mergeCell ref="G42:G43"/>
    <mergeCell ref="F42:F43"/>
    <mergeCell ref="A42:A43"/>
    <mergeCell ref="B42:B43"/>
    <mergeCell ref="C42:C43"/>
  </mergeCells>
  <phoneticPr fontId="13" type="noConversion"/>
  <pageMargins left="0.55118110236220474" right="0.31496062992125984" top="0.98425196850393704" bottom="0.98425196850393704" header="0.51181102362204722" footer="0.51181102362204722"/>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76"/>
  <sheetViews>
    <sheetView view="pageBreakPreview" topLeftCell="A64" zoomScale="115" zoomScaleNormal="100" zoomScaleSheetLayoutView="115" workbookViewId="0">
      <selection activeCell="F22" sqref="F22"/>
    </sheetView>
  </sheetViews>
  <sheetFormatPr defaultRowHeight="15.75"/>
  <cols>
    <col min="1" max="1" width="5.28515625" style="554" customWidth="1"/>
    <col min="2" max="2" width="46.42578125" style="554" customWidth="1"/>
    <col min="3" max="3" width="18.28515625" style="554" customWidth="1"/>
    <col min="4" max="5" width="18" style="554" customWidth="1"/>
    <col min="6" max="6" width="17.85546875" style="554" customWidth="1"/>
    <col min="7" max="7" width="8.5703125" style="554" customWidth="1"/>
    <col min="8" max="9" width="8.28515625" style="554" customWidth="1"/>
    <col min="10" max="10" width="23.140625" style="553" hidden="1" customWidth="1"/>
    <col min="11" max="11" width="17" style="553" hidden="1" customWidth="1"/>
    <col min="12" max="12" width="15.140625" style="554" hidden="1" customWidth="1"/>
    <col min="13" max="15" width="0" style="554" hidden="1" customWidth="1"/>
    <col min="16" max="16" width="18.140625" style="554" hidden="1" customWidth="1"/>
    <col min="17" max="17" width="16.85546875" style="554" hidden="1" customWidth="1"/>
    <col min="18" max="18" width="0" style="554" hidden="1" customWidth="1"/>
    <col min="19" max="19" width="9.140625" style="554"/>
    <col min="20" max="20" width="13.5703125" style="554" bestFit="1" customWidth="1"/>
    <col min="21" max="16384" width="9.140625" style="554"/>
  </cols>
  <sheetData>
    <row r="1" spans="1:20" ht="18.75">
      <c r="A1" s="1177" t="s">
        <v>1353</v>
      </c>
      <c r="B1" s="1177"/>
      <c r="C1" s="1177"/>
      <c r="D1" s="1177"/>
      <c r="E1" s="1177"/>
      <c r="F1" s="1177"/>
      <c r="G1" s="1177"/>
      <c r="H1" s="1177"/>
      <c r="I1" s="1177"/>
    </row>
    <row r="2" spans="1:20" ht="27" customHeight="1">
      <c r="A2" s="1179" t="s">
        <v>1321</v>
      </c>
      <c r="B2" s="1179"/>
      <c r="C2" s="1179"/>
      <c r="D2" s="1179"/>
      <c r="E2" s="1179"/>
      <c r="F2" s="1179"/>
      <c r="G2" s="1179"/>
      <c r="H2" s="1179"/>
      <c r="I2" s="1179"/>
    </row>
    <row r="3" spans="1:20" ht="20.25" customHeight="1">
      <c r="A3" s="1180" t="s">
        <v>1323</v>
      </c>
      <c r="B3" s="1180"/>
      <c r="C3" s="1180"/>
      <c r="D3" s="1180"/>
      <c r="E3" s="1180"/>
      <c r="F3" s="1180"/>
      <c r="G3" s="1180"/>
      <c r="H3" s="1180"/>
      <c r="I3" s="1180"/>
    </row>
    <row r="4" spans="1:20" ht="26.25" customHeight="1">
      <c r="A4" s="1181" t="s">
        <v>797</v>
      </c>
      <c r="B4" s="1181"/>
      <c r="C4" s="1181"/>
      <c r="D4" s="1181"/>
      <c r="E4" s="1181"/>
      <c r="F4" s="1181"/>
      <c r="G4" s="1181"/>
      <c r="H4" s="1181"/>
      <c r="I4" s="1181"/>
    </row>
    <row r="5" spans="1:20" ht="33" customHeight="1">
      <c r="A5" s="1178" t="s">
        <v>214</v>
      </c>
      <c r="B5" s="1178" t="s">
        <v>243</v>
      </c>
      <c r="C5" s="1182" t="s">
        <v>662</v>
      </c>
      <c r="D5" s="1178" t="s">
        <v>1078</v>
      </c>
      <c r="E5" s="1178" t="s">
        <v>1342</v>
      </c>
      <c r="F5" s="1178" t="s">
        <v>1322</v>
      </c>
      <c r="G5" s="1178" t="s">
        <v>1332</v>
      </c>
      <c r="H5" s="1178"/>
      <c r="I5" s="1178"/>
    </row>
    <row r="6" spans="1:20" ht="79.5" customHeight="1">
      <c r="A6" s="1178"/>
      <c r="B6" s="1178"/>
      <c r="C6" s="1182"/>
      <c r="D6" s="1178"/>
      <c r="E6" s="1178"/>
      <c r="F6" s="1178"/>
      <c r="G6" s="934" t="s">
        <v>1472</v>
      </c>
      <c r="H6" s="934" t="s">
        <v>1080</v>
      </c>
      <c r="I6" s="933" t="s">
        <v>634</v>
      </c>
    </row>
    <row r="7" spans="1:20" s="558" customFormat="1" ht="22.5" customHeight="1">
      <c r="A7" s="555" t="s">
        <v>218</v>
      </c>
      <c r="B7" s="555" t="s">
        <v>219</v>
      </c>
      <c r="C7" s="555">
        <v>1</v>
      </c>
      <c r="D7" s="555">
        <v>2</v>
      </c>
      <c r="E7" s="555">
        <v>3</v>
      </c>
      <c r="F7" s="555">
        <v>4</v>
      </c>
      <c r="G7" s="556"/>
      <c r="H7" s="555" t="s">
        <v>663</v>
      </c>
      <c r="I7" s="555" t="s">
        <v>664</v>
      </c>
      <c r="J7" s="557"/>
      <c r="K7" s="557"/>
    </row>
    <row r="8" spans="1:20" ht="24.95" customHeight="1">
      <c r="A8" s="559"/>
      <c r="B8" s="560" t="s">
        <v>684</v>
      </c>
      <c r="C8" s="561">
        <f>C9+C28+C51</f>
        <v>559355000000</v>
      </c>
      <c r="D8" s="561">
        <f>D9+D28+D51+D73+D76</f>
        <v>720656022479</v>
      </c>
      <c r="E8" s="561">
        <f>E9+E28+E51+E73+E76</f>
        <v>663441799218</v>
      </c>
      <c r="F8" s="561">
        <f>F9+F28+F51+F73+F76</f>
        <v>780562024566</v>
      </c>
      <c r="G8" s="562">
        <f>E8/C8</f>
        <v>1.1860836127647023</v>
      </c>
      <c r="H8" s="562">
        <f>F8/C8</f>
        <v>1.3954680383048332</v>
      </c>
      <c r="I8" s="562">
        <f>F8/D8</f>
        <v>1.0831270401112143</v>
      </c>
      <c r="L8" s="563"/>
      <c r="P8" s="949"/>
      <c r="T8" s="949"/>
    </row>
    <row r="9" spans="1:20" ht="24.95" customHeight="1">
      <c r="A9" s="559" t="s">
        <v>218</v>
      </c>
      <c r="B9" s="560" t="s">
        <v>685</v>
      </c>
      <c r="C9" s="561">
        <f>C10+C14+C26+C25</f>
        <v>432806000000</v>
      </c>
      <c r="D9" s="561">
        <f>D10+D14+D26+D25+D27</f>
        <v>495636965458</v>
      </c>
      <c r="E9" s="561">
        <f>E10+E14+E26+E25+E27</f>
        <v>413240389191</v>
      </c>
      <c r="F9" s="561">
        <f>F10+F14+F26+F25+F27</f>
        <v>464254322305</v>
      </c>
      <c r="G9" s="562">
        <f>E9/C9</f>
        <v>0.95479357770224993</v>
      </c>
      <c r="H9" s="562">
        <f t="shared" ref="H9:H68" si="0">F9/C9</f>
        <v>1.0726614748986845</v>
      </c>
      <c r="I9" s="562">
        <f t="shared" ref="I9:I18" si="1">F9/D9</f>
        <v>0.93668219818108112</v>
      </c>
    </row>
    <row r="10" spans="1:20" ht="24.95" customHeight="1">
      <c r="A10" s="559">
        <v>1</v>
      </c>
      <c r="B10" s="564" t="s">
        <v>686</v>
      </c>
      <c r="C10" s="561">
        <f>C12</f>
        <v>1800000000</v>
      </c>
      <c r="D10" s="561">
        <f>D11+D12+D13</f>
        <v>2210709995</v>
      </c>
      <c r="E10" s="561">
        <f t="shared" ref="E10:F10" si="2">E11+E12+E13</f>
        <v>885936515</v>
      </c>
      <c r="F10" s="561">
        <f t="shared" si="2"/>
        <v>1671000000</v>
      </c>
      <c r="G10" s="562">
        <f t="shared" ref="G10:G68" si="3">E10/C10</f>
        <v>0.4921869527777778</v>
      </c>
      <c r="H10" s="562">
        <f t="shared" si="0"/>
        <v>0.92833333333333334</v>
      </c>
      <c r="I10" s="562">
        <f t="shared" si="1"/>
        <v>0.75586576429261587</v>
      </c>
    </row>
    <row r="11" spans="1:20" s="558" customFormat="1" ht="24.95" customHeight="1">
      <c r="A11" s="555" t="s">
        <v>414</v>
      </c>
      <c r="B11" s="565" t="s">
        <v>719</v>
      </c>
      <c r="C11" s="566"/>
      <c r="D11" s="566">
        <v>48781000</v>
      </c>
      <c r="E11" s="566"/>
      <c r="F11" s="566"/>
      <c r="G11" s="567"/>
      <c r="H11" s="567"/>
      <c r="I11" s="568">
        <f t="shared" si="1"/>
        <v>0</v>
      </c>
      <c r="J11" s="557"/>
      <c r="K11" s="557"/>
    </row>
    <row r="12" spans="1:20" s="558" customFormat="1" ht="24.95" customHeight="1">
      <c r="A12" s="555" t="s">
        <v>414</v>
      </c>
      <c r="B12" s="569" t="s">
        <v>687</v>
      </c>
      <c r="C12" s="566">
        <v>1800000000</v>
      </c>
      <c r="D12" s="566">
        <v>883989995</v>
      </c>
      <c r="E12" s="566">
        <v>885936515</v>
      </c>
      <c r="F12" s="566">
        <f>'UOC THU SÔ 01'!G62</f>
        <v>1671000000</v>
      </c>
      <c r="G12" s="568">
        <f t="shared" si="3"/>
        <v>0.4921869527777778</v>
      </c>
      <c r="H12" s="568">
        <f t="shared" si="0"/>
        <v>0.92833333333333334</v>
      </c>
      <c r="I12" s="568">
        <f t="shared" si="1"/>
        <v>1.8902928873080742</v>
      </c>
      <c r="J12" s="557"/>
      <c r="K12" s="557"/>
    </row>
    <row r="13" spans="1:20" s="558" customFormat="1" ht="24.95" customHeight="1">
      <c r="A13" s="570" t="s">
        <v>414</v>
      </c>
      <c r="B13" s="569" t="s">
        <v>1328</v>
      </c>
      <c r="C13" s="566"/>
      <c r="D13" s="566">
        <v>1277939000</v>
      </c>
      <c r="E13" s="566"/>
      <c r="F13" s="566"/>
      <c r="G13" s="562"/>
      <c r="H13" s="562"/>
      <c r="I13" s="568">
        <f t="shared" si="1"/>
        <v>0</v>
      </c>
      <c r="J13" s="557"/>
      <c r="K13" s="557"/>
    </row>
    <row r="14" spans="1:20" s="572" customFormat="1" ht="24.95" customHeight="1">
      <c r="A14" s="559">
        <v>2</v>
      </c>
      <c r="B14" s="560" t="s">
        <v>231</v>
      </c>
      <c r="C14" s="561">
        <f>SUM(C15:C24)</f>
        <v>422895000000</v>
      </c>
      <c r="D14" s="561">
        <f>SUM(D15:D24)</f>
        <v>423802340623</v>
      </c>
      <c r="E14" s="561">
        <f>SUM(E15:E24)</f>
        <v>412354452676</v>
      </c>
      <c r="F14" s="561">
        <f>SUM(F15:F24)</f>
        <v>462583322305</v>
      </c>
      <c r="G14" s="562">
        <f t="shared" si="3"/>
        <v>0.97507526141477197</v>
      </c>
      <c r="H14" s="562">
        <f t="shared" si="0"/>
        <v>1.093849116932099</v>
      </c>
      <c r="I14" s="562">
        <f t="shared" si="1"/>
        <v>1.0915072380794097</v>
      </c>
      <c r="J14" s="571">
        <v>288771229440</v>
      </c>
      <c r="K14" s="571"/>
    </row>
    <row r="15" spans="1:20" s="558" customFormat="1" ht="24.95" customHeight="1">
      <c r="A15" s="555" t="s">
        <v>688</v>
      </c>
      <c r="B15" s="569" t="s">
        <v>92</v>
      </c>
      <c r="C15" s="566">
        <v>5170600000</v>
      </c>
      <c r="D15" s="566">
        <v>12348720628</v>
      </c>
      <c r="E15" s="566">
        <f>1010792000+3777011788</f>
        <v>4787803788</v>
      </c>
      <c r="F15" s="566">
        <f>C15+399900000</f>
        <v>5570500000</v>
      </c>
      <c r="G15" s="568">
        <f t="shared" si="3"/>
        <v>0.92596677136115735</v>
      </c>
      <c r="H15" s="568">
        <f t="shared" si="0"/>
        <v>1.077341120953081</v>
      </c>
      <c r="I15" s="568">
        <f t="shared" si="1"/>
        <v>0.45109936225856612</v>
      </c>
      <c r="J15" s="573">
        <v>4216751899</v>
      </c>
      <c r="K15" s="573">
        <f>J14-F14</f>
        <v>-173812092865</v>
      </c>
      <c r="L15" s="574"/>
      <c r="M15" s="575"/>
    </row>
    <row r="16" spans="1:20" s="558" customFormat="1" ht="24.95" customHeight="1">
      <c r="A16" s="555" t="s">
        <v>689</v>
      </c>
      <c r="B16" s="569" t="s">
        <v>93</v>
      </c>
      <c r="C16" s="566">
        <v>1858500000</v>
      </c>
      <c r="D16" s="566">
        <v>3788160418</v>
      </c>
      <c r="E16" s="566">
        <f>1736023005</f>
        <v>1736023005</v>
      </c>
      <c r="F16" s="566">
        <f>C16+300000000-268833731</f>
        <v>1889666269</v>
      </c>
      <c r="G16" s="568">
        <f t="shared" si="3"/>
        <v>0.93409900726392248</v>
      </c>
      <c r="H16" s="568">
        <f t="shared" si="0"/>
        <v>1.0167695824589722</v>
      </c>
      <c r="I16" s="568">
        <f t="shared" si="1"/>
        <v>0.49883480647254891</v>
      </c>
      <c r="J16" s="573">
        <v>1291168205</v>
      </c>
      <c r="K16" s="573">
        <f>333194+333194</f>
        <v>666388</v>
      </c>
      <c r="L16" s="574"/>
      <c r="M16" s="575"/>
    </row>
    <row r="17" spans="1:16" s="558" customFormat="1" ht="24.95" customHeight="1">
      <c r="A17" s="555" t="s">
        <v>690</v>
      </c>
      <c r="B17" s="569" t="s">
        <v>691</v>
      </c>
      <c r="C17" s="566">
        <f>247364000000+5769800000</f>
        <v>253133800000</v>
      </c>
      <c r="D17" s="566">
        <v>254798888288</v>
      </c>
      <c r="E17" s="566">
        <v>239594277723</v>
      </c>
      <c r="F17" s="566">
        <f>C17+8500678000</f>
        <v>261634478000</v>
      </c>
      <c r="G17" s="568">
        <f t="shared" si="3"/>
        <v>0.94651238879596478</v>
      </c>
      <c r="H17" s="568">
        <f t="shared" si="0"/>
        <v>1.0335817579477731</v>
      </c>
      <c r="I17" s="568">
        <f t="shared" si="1"/>
        <v>1.026827392214811</v>
      </c>
      <c r="J17" s="573">
        <v>153438051968</v>
      </c>
      <c r="K17" s="573"/>
      <c r="L17" s="574"/>
      <c r="M17" s="575"/>
    </row>
    <row r="18" spans="1:16" s="558" customFormat="1" ht="24.95" customHeight="1">
      <c r="A18" s="555" t="s">
        <v>692</v>
      </c>
      <c r="B18" s="569" t="s">
        <v>693</v>
      </c>
      <c r="C18" s="566">
        <v>250000000</v>
      </c>
      <c r="D18" s="566">
        <v>55580000</v>
      </c>
      <c r="E18" s="566">
        <v>58620000</v>
      </c>
      <c r="F18" s="566">
        <f>E18</f>
        <v>58620000</v>
      </c>
      <c r="G18" s="568">
        <f t="shared" si="3"/>
        <v>0.23447999999999999</v>
      </c>
      <c r="H18" s="568">
        <f t="shared" si="0"/>
        <v>0.23447999999999999</v>
      </c>
      <c r="I18" s="568">
        <f t="shared" si="1"/>
        <v>1.0546959337891328</v>
      </c>
      <c r="J18" s="573"/>
      <c r="K18" s="573"/>
      <c r="L18" s="574"/>
      <c r="M18" s="575"/>
    </row>
    <row r="19" spans="1:16" s="558" customFormat="1" ht="24.95" customHeight="1">
      <c r="A19" s="555" t="s">
        <v>694</v>
      </c>
      <c r="B19" s="569" t="s">
        <v>1324</v>
      </c>
      <c r="C19" s="566">
        <v>4420200000</v>
      </c>
      <c r="D19" s="566">
        <f>1913726201+1963489790+563598000</f>
        <v>4440813991</v>
      </c>
      <c r="E19" s="566">
        <f>3261637993+600000000</f>
        <v>3861637993</v>
      </c>
      <c r="F19" s="566">
        <f>C19+250000000</f>
        <v>4670200000</v>
      </c>
      <c r="G19" s="568">
        <f t="shared" si="3"/>
        <v>0.87363422311207639</v>
      </c>
      <c r="H19" s="568">
        <f t="shared" si="0"/>
        <v>1.0565585267634949</v>
      </c>
      <c r="I19" s="568">
        <f t="shared" ref="I19:I24" si="4">F19/D19</f>
        <v>1.0516540457368595</v>
      </c>
      <c r="J19" s="573">
        <v>6816106322</v>
      </c>
      <c r="K19" s="573">
        <f>J14-E14</f>
        <v>-123583223236</v>
      </c>
      <c r="L19" s="574"/>
      <c r="M19" s="575"/>
    </row>
    <row r="20" spans="1:16" s="558" customFormat="1" ht="24.95" customHeight="1">
      <c r="A20" s="555" t="s">
        <v>695</v>
      </c>
      <c r="B20" s="569" t="s">
        <v>683</v>
      </c>
      <c r="C20" s="566">
        <v>2000000000</v>
      </c>
      <c r="D20" s="566">
        <v>1949875000</v>
      </c>
      <c r="E20" s="566">
        <v>1529537000</v>
      </c>
      <c r="F20" s="566">
        <v>2000000000</v>
      </c>
      <c r="G20" s="568">
        <f t="shared" si="3"/>
        <v>0.76476849999999996</v>
      </c>
      <c r="H20" s="568">
        <f t="shared" si="0"/>
        <v>1</v>
      </c>
      <c r="I20" s="568">
        <f t="shared" si="4"/>
        <v>1.0257067760753895</v>
      </c>
      <c r="J20" s="573">
        <v>895395000</v>
      </c>
      <c r="K20" s="573"/>
      <c r="L20" s="574"/>
      <c r="M20" s="575"/>
    </row>
    <row r="21" spans="1:16" s="558" customFormat="1" ht="24.95" customHeight="1">
      <c r="A21" s="555" t="s">
        <v>696</v>
      </c>
      <c r="B21" s="569" t="s">
        <v>699</v>
      </c>
      <c r="C21" s="566">
        <f>19837840000+300000000+28607500000</f>
        <v>48745340000</v>
      </c>
      <c r="D21" s="566">
        <v>27911012872</v>
      </c>
      <c r="E21" s="566">
        <f>30100592141+9423000000</f>
        <v>39523592141</v>
      </c>
      <c r="F21" s="566">
        <f>59403361109-10242165345</f>
        <v>49161195764</v>
      </c>
      <c r="G21" s="568">
        <f t="shared" si="3"/>
        <v>0.81081785748135105</v>
      </c>
      <c r="H21" s="568">
        <f t="shared" si="0"/>
        <v>1.0085311901404319</v>
      </c>
      <c r="I21" s="568">
        <f t="shared" si="4"/>
        <v>1.7613547738110906</v>
      </c>
      <c r="J21" s="573">
        <v>30100592141</v>
      </c>
      <c r="K21" s="573"/>
      <c r="L21" s="574"/>
      <c r="M21" s="575"/>
    </row>
    <row r="22" spans="1:16" s="558" customFormat="1" ht="24.95" customHeight="1">
      <c r="A22" s="555" t="s">
        <v>697</v>
      </c>
      <c r="B22" s="569" t="s">
        <v>701</v>
      </c>
      <c r="C22" s="566">
        <f>(95062760000+35000000)-193000000-57000000</f>
        <v>94847760000</v>
      </c>
      <c r="D22" s="566">
        <v>105414994056</v>
      </c>
      <c r="E22" s="566">
        <f>38503019643+43659052642</f>
        <v>82162072285</v>
      </c>
      <c r="F22" s="566">
        <f>C22+2342356789+57000000</f>
        <v>97247116789</v>
      </c>
      <c r="G22" s="568">
        <f t="shared" si="3"/>
        <v>0.86625211059280682</v>
      </c>
      <c r="H22" s="568">
        <f t="shared" si="0"/>
        <v>1.0252969262426439</v>
      </c>
      <c r="I22" s="568">
        <f t="shared" si="4"/>
        <v>0.9225169309153407</v>
      </c>
      <c r="J22" s="573">
        <v>57916035374</v>
      </c>
      <c r="K22" s="573"/>
      <c r="L22" s="574"/>
      <c r="M22" s="575"/>
    </row>
    <row r="23" spans="1:16" s="558" customFormat="1" ht="24.95" customHeight="1">
      <c r="A23" s="555" t="s">
        <v>698</v>
      </c>
      <c r="B23" s="569" t="s">
        <v>702</v>
      </c>
      <c r="C23" s="566">
        <f>11013000000+655800000</f>
        <v>11668800000</v>
      </c>
      <c r="D23" s="566">
        <f>11901295370+658000000</f>
        <v>12559295370</v>
      </c>
      <c r="E23" s="566">
        <v>38300888741</v>
      </c>
      <c r="F23" s="566">
        <f>E23+1250656742</f>
        <v>39551545483</v>
      </c>
      <c r="G23" s="568">
        <f t="shared" si="3"/>
        <v>3.2823331226004386</v>
      </c>
      <c r="H23" s="568">
        <f t="shared" si="0"/>
        <v>3.3895126733682983</v>
      </c>
      <c r="I23" s="568">
        <f t="shared" si="4"/>
        <v>3.1491850711207534</v>
      </c>
      <c r="J23" s="573">
        <v>34038933828</v>
      </c>
      <c r="K23" s="573"/>
      <c r="L23" s="574"/>
      <c r="M23" s="575"/>
    </row>
    <row r="24" spans="1:16" s="558" customFormat="1" ht="24.95" customHeight="1">
      <c r="A24" s="555" t="s">
        <v>700</v>
      </c>
      <c r="B24" s="569" t="s">
        <v>309</v>
      </c>
      <c r="C24" s="566">
        <v>800000000</v>
      </c>
      <c r="D24" s="566">
        <v>535000000</v>
      </c>
      <c r="E24" s="566">
        <v>800000000</v>
      </c>
      <c r="F24" s="566">
        <v>800000000</v>
      </c>
      <c r="G24" s="568">
        <f t="shared" si="3"/>
        <v>1</v>
      </c>
      <c r="H24" s="568">
        <f t="shared" si="0"/>
        <v>1</v>
      </c>
      <c r="I24" s="568">
        <f t="shared" si="4"/>
        <v>1.4953271028037383</v>
      </c>
      <c r="J24" s="573">
        <v>58194703</v>
      </c>
      <c r="K24" s="573"/>
      <c r="L24" s="574"/>
      <c r="M24" s="575"/>
    </row>
    <row r="25" spans="1:16" s="572" customFormat="1" ht="24.95" customHeight="1">
      <c r="A25" s="559">
        <v>3</v>
      </c>
      <c r="B25" s="560" t="s">
        <v>703</v>
      </c>
      <c r="C25" s="561">
        <v>750000000</v>
      </c>
      <c r="D25" s="561"/>
      <c r="E25" s="561"/>
      <c r="F25" s="561"/>
      <c r="G25" s="562">
        <f t="shared" si="3"/>
        <v>0</v>
      </c>
      <c r="H25" s="562">
        <f t="shared" si="0"/>
        <v>0</v>
      </c>
      <c r="I25" s="562"/>
      <c r="J25" s="571"/>
      <c r="K25" s="571"/>
    </row>
    <row r="26" spans="1:16" s="572" customFormat="1" ht="24.95" customHeight="1">
      <c r="A26" s="559">
        <v>4</v>
      </c>
      <c r="B26" s="560" t="s">
        <v>66</v>
      </c>
      <c r="C26" s="561">
        <v>7361000000</v>
      </c>
      <c r="D26" s="561"/>
      <c r="E26" s="561"/>
      <c r="F26" s="561"/>
      <c r="G26" s="562">
        <f t="shared" si="3"/>
        <v>0</v>
      </c>
      <c r="H26" s="562">
        <f t="shared" si="0"/>
        <v>0</v>
      </c>
      <c r="I26" s="562"/>
      <c r="J26" s="571"/>
      <c r="K26" s="571"/>
    </row>
    <row r="27" spans="1:16" s="572" customFormat="1" ht="24.95" customHeight="1">
      <c r="A27" s="559" t="s">
        <v>223</v>
      </c>
      <c r="B27" s="560" t="s">
        <v>720</v>
      </c>
      <c r="C27" s="561"/>
      <c r="D27" s="561">
        <v>69623914840</v>
      </c>
      <c r="E27" s="561"/>
      <c r="F27" s="561"/>
      <c r="G27" s="562"/>
      <c r="H27" s="562"/>
      <c r="I27" s="562"/>
      <c r="J27" s="571"/>
      <c r="K27" s="571"/>
    </row>
    <row r="28" spans="1:16" s="572" customFormat="1" ht="34.5" customHeight="1">
      <c r="A28" s="559" t="s">
        <v>219</v>
      </c>
      <c r="B28" s="560" t="s">
        <v>704</v>
      </c>
      <c r="C28" s="561">
        <f>C29+C45</f>
        <v>118496000000</v>
      </c>
      <c r="D28" s="561">
        <f>D29+D45</f>
        <v>91384647560</v>
      </c>
      <c r="E28" s="561">
        <f>E29+E45</f>
        <v>133683507953</v>
      </c>
      <c r="F28" s="561">
        <f>F29+F45</f>
        <v>178056185602</v>
      </c>
      <c r="G28" s="562">
        <f t="shared" si="3"/>
        <v>1.1281689504540238</v>
      </c>
      <c r="H28" s="562">
        <f t="shared" si="0"/>
        <v>1.502634566584526</v>
      </c>
      <c r="I28" s="562">
        <f>F28/D28</f>
        <v>1.9484255874061829</v>
      </c>
      <c r="J28" s="571"/>
      <c r="K28" s="571"/>
      <c r="P28" s="950"/>
    </row>
    <row r="29" spans="1:16" s="572" customFormat="1" ht="25.5" customHeight="1">
      <c r="A29" s="933" t="s">
        <v>220</v>
      </c>
      <c r="B29" s="576" t="s">
        <v>705</v>
      </c>
      <c r="C29" s="561">
        <f>C30+C35</f>
        <v>72271000000</v>
      </c>
      <c r="D29" s="561">
        <f>D30+D35</f>
        <v>67399060039</v>
      </c>
      <c r="E29" s="561">
        <f>E30+E35</f>
        <v>98930808850</v>
      </c>
      <c r="F29" s="561">
        <f>F30+F35</f>
        <v>131242460431</v>
      </c>
      <c r="G29" s="562">
        <f t="shared" si="3"/>
        <v>1.3688866744614023</v>
      </c>
      <c r="H29" s="562">
        <f t="shared" si="0"/>
        <v>1.8159768154723195</v>
      </c>
      <c r="I29" s="562">
        <f>F29/D29</f>
        <v>1.9472446701045603</v>
      </c>
      <c r="J29" s="571"/>
      <c r="K29" s="571"/>
      <c r="P29" s="950"/>
    </row>
    <row r="30" spans="1:16" s="572" customFormat="1" ht="19.5" customHeight="1">
      <c r="A30" s="933">
        <v>1</v>
      </c>
      <c r="B30" s="577" t="s">
        <v>706</v>
      </c>
      <c r="C30" s="561">
        <f>C31+C33</f>
        <v>56663000000</v>
      </c>
      <c r="D30" s="561">
        <f>D31+D33</f>
        <v>53450929590</v>
      </c>
      <c r="E30" s="561">
        <f>E31+E33</f>
        <v>85947450495</v>
      </c>
      <c r="F30" s="561">
        <f>F31+F33</f>
        <v>116341773526</v>
      </c>
      <c r="G30" s="562">
        <f t="shared" si="3"/>
        <v>1.5168178616557542</v>
      </c>
      <c r="H30" s="562">
        <f t="shared" si="0"/>
        <v>2.0532229766514303</v>
      </c>
      <c r="I30" s="562">
        <f>F30/D30</f>
        <v>2.1766089835744613</v>
      </c>
      <c r="J30" s="571"/>
      <c r="K30" s="571"/>
    </row>
    <row r="31" spans="1:16" ht="21" customHeight="1">
      <c r="A31" s="933" t="s">
        <v>222</v>
      </c>
      <c r="B31" s="578" t="s">
        <v>402</v>
      </c>
      <c r="C31" s="561">
        <f>C32</f>
        <v>44505000000</v>
      </c>
      <c r="D31" s="561">
        <f>D32</f>
        <v>40568150851</v>
      </c>
      <c r="E31" s="561">
        <f>E32</f>
        <v>76013648000</v>
      </c>
      <c r="F31" s="561">
        <f>F32</f>
        <v>104119551098</v>
      </c>
      <c r="G31" s="562">
        <f t="shared" si="3"/>
        <v>1.7079799573081675</v>
      </c>
      <c r="H31" s="562">
        <f t="shared" si="0"/>
        <v>2.3395023277833951</v>
      </c>
      <c r="I31" s="562">
        <f>F31/D31</f>
        <v>2.566534311125336</v>
      </c>
    </row>
    <row r="32" spans="1:16" s="558" customFormat="1" ht="21" customHeight="1">
      <c r="A32" s="579"/>
      <c r="B32" s="580" t="s">
        <v>707</v>
      </c>
      <c r="C32" s="566">
        <v>44505000000</v>
      </c>
      <c r="D32" s="566">
        <v>40568150851</v>
      </c>
      <c r="E32" s="566">
        <f>73583766000+2122630000+305252000+2000000</f>
        <v>76013648000</v>
      </c>
      <c r="F32" s="566">
        <f>65845000000+47987624691+473093000-10186166593</f>
        <v>104119551098</v>
      </c>
      <c r="G32" s="581">
        <f t="shared" si="3"/>
        <v>1.7079799573081675</v>
      </c>
      <c r="H32" s="581">
        <f t="shared" si="0"/>
        <v>2.3395023277833951</v>
      </c>
      <c r="I32" s="581">
        <f>F32/D32</f>
        <v>2.566534311125336</v>
      </c>
      <c r="J32" s="557"/>
      <c r="K32" s="557"/>
    </row>
    <row r="33" spans="1:17" ht="21" customHeight="1">
      <c r="A33" s="933" t="s">
        <v>237</v>
      </c>
      <c r="B33" s="578" t="s">
        <v>8</v>
      </c>
      <c r="C33" s="561">
        <f>C34</f>
        <v>12158000000</v>
      </c>
      <c r="D33" s="561">
        <f>D34</f>
        <v>12882778739</v>
      </c>
      <c r="E33" s="561">
        <f>E34</f>
        <v>9933802495</v>
      </c>
      <c r="F33" s="561">
        <f>F34</f>
        <v>12222222428</v>
      </c>
      <c r="G33" s="562">
        <f t="shared" si="3"/>
        <v>0.81705893197894386</v>
      </c>
      <c r="H33" s="562">
        <f t="shared" si="0"/>
        <v>1.0052823184734332</v>
      </c>
      <c r="I33" s="562">
        <f t="shared" ref="I33:I61" si="5">F33/D33</f>
        <v>0.94872563409008182</v>
      </c>
      <c r="Q33" s="949"/>
    </row>
    <row r="34" spans="1:17" s="558" customFormat="1" ht="21" customHeight="1">
      <c r="A34" s="582"/>
      <c r="B34" s="580" t="s">
        <v>707</v>
      </c>
      <c r="C34" s="566">
        <f>12158000000</f>
        <v>12158000000</v>
      </c>
      <c r="D34" s="566">
        <v>12882778739</v>
      </c>
      <c r="E34" s="566">
        <f>270002000+377787000+1141777208+501454287+7642782000</f>
        <v>9933802495</v>
      </c>
      <c r="F34" s="566">
        <f>C34+64222428</f>
        <v>12222222428</v>
      </c>
      <c r="G34" s="581">
        <f t="shared" si="3"/>
        <v>0.81705893197894386</v>
      </c>
      <c r="H34" s="581">
        <f t="shared" si="0"/>
        <v>1.0052823184734332</v>
      </c>
      <c r="I34" s="581">
        <f t="shared" si="5"/>
        <v>0.94872563409008182</v>
      </c>
      <c r="J34" s="557"/>
      <c r="K34" s="557"/>
    </row>
    <row r="35" spans="1:17" ht="21" customHeight="1">
      <c r="A35" s="933">
        <v>2</v>
      </c>
      <c r="B35" s="577" t="s">
        <v>708</v>
      </c>
      <c r="C35" s="561">
        <f>C36+C40+C43+C44</f>
        <v>15608000000</v>
      </c>
      <c r="D35" s="561">
        <f>D36+D40+D43+D44</f>
        <v>13948130449</v>
      </c>
      <c r="E35" s="561">
        <f>E36+E40+E43+E44</f>
        <v>12983358355</v>
      </c>
      <c r="F35" s="561">
        <f>F36+F40+F43+F44</f>
        <v>14900686905</v>
      </c>
      <c r="G35" s="562">
        <f t="shared" si="3"/>
        <v>0.83183997661455666</v>
      </c>
      <c r="H35" s="562">
        <f t="shared" si="0"/>
        <v>0.95468265665043572</v>
      </c>
      <c r="I35" s="562">
        <f t="shared" si="5"/>
        <v>1.0682927693774396</v>
      </c>
    </row>
    <row r="36" spans="1:17" ht="24.95" customHeight="1">
      <c r="A36" s="933" t="s">
        <v>688</v>
      </c>
      <c r="B36" s="583" t="s">
        <v>723</v>
      </c>
      <c r="C36" s="561">
        <f>SUM(C37:C39)</f>
        <v>11023000000</v>
      </c>
      <c r="D36" s="561">
        <f>SUM(D37:D39)</f>
        <v>9657571508</v>
      </c>
      <c r="E36" s="561">
        <f>SUM(E37:E39)</f>
        <v>9237908500</v>
      </c>
      <c r="F36" s="561">
        <f>SUM(F37:F39)</f>
        <v>10364017402</v>
      </c>
      <c r="G36" s="562">
        <f t="shared" si="3"/>
        <v>0.83805756146239685</v>
      </c>
      <c r="H36" s="562">
        <f t="shared" si="0"/>
        <v>0.94021749088269979</v>
      </c>
      <c r="I36" s="952">
        <f t="shared" si="5"/>
        <v>1.0731494344530408</v>
      </c>
      <c r="P36" s="949"/>
    </row>
    <row r="37" spans="1:17" s="558" customFormat="1" ht="39.950000000000003" customHeight="1">
      <c r="A37" s="579" t="s">
        <v>414</v>
      </c>
      <c r="B37" s="584" t="s">
        <v>709</v>
      </c>
      <c r="C37" s="566">
        <v>2224000000</v>
      </c>
      <c r="D37" s="566">
        <v>1726370608</v>
      </c>
      <c r="E37" s="566">
        <f>1581550000</f>
        <v>1581550000</v>
      </c>
      <c r="F37" s="566">
        <f>C37</f>
        <v>2224000000</v>
      </c>
      <c r="G37" s="568">
        <f t="shared" si="3"/>
        <v>0.71112859712230214</v>
      </c>
      <c r="H37" s="568">
        <f t="shared" si="0"/>
        <v>1</v>
      </c>
      <c r="I37" s="568">
        <f t="shared" si="5"/>
        <v>1.2882517749630269</v>
      </c>
      <c r="J37" s="557"/>
      <c r="K37" s="557"/>
      <c r="P37" s="951"/>
    </row>
    <row r="38" spans="1:17" s="558" customFormat="1" ht="52.5" customHeight="1">
      <c r="A38" s="579" t="s">
        <v>414</v>
      </c>
      <c r="B38" s="584" t="s">
        <v>710</v>
      </c>
      <c r="C38" s="566">
        <v>8229000000</v>
      </c>
      <c r="D38" s="566">
        <v>7920450900</v>
      </c>
      <c r="E38" s="566">
        <f>5591550000+1634200000+430608500</f>
        <v>7656358500</v>
      </c>
      <c r="F38" s="566">
        <f>C38-88982598</f>
        <v>8140017402</v>
      </c>
      <c r="G38" s="568">
        <f t="shared" si="3"/>
        <v>0.93041177542836306</v>
      </c>
      <c r="H38" s="568">
        <f t="shared" si="0"/>
        <v>0.98918670579657308</v>
      </c>
      <c r="I38" s="568">
        <f t="shared" si="5"/>
        <v>1.0277214649484161</v>
      </c>
      <c r="J38" s="557"/>
      <c r="K38" s="557"/>
    </row>
    <row r="39" spans="1:17" s="558" customFormat="1" ht="56.25" customHeight="1">
      <c r="A39" s="579" t="s">
        <v>414</v>
      </c>
      <c r="B39" s="584" t="s">
        <v>711</v>
      </c>
      <c r="C39" s="566">
        <v>570000000</v>
      </c>
      <c r="D39" s="566">
        <v>10750000</v>
      </c>
      <c r="E39" s="566"/>
      <c r="F39" s="566"/>
      <c r="G39" s="568">
        <f t="shared" si="3"/>
        <v>0</v>
      </c>
      <c r="H39" s="568">
        <f t="shared" si="0"/>
        <v>0</v>
      </c>
      <c r="I39" s="568">
        <f t="shared" si="5"/>
        <v>0</v>
      </c>
      <c r="J39" s="557"/>
      <c r="K39" s="557"/>
    </row>
    <row r="40" spans="1:17" ht="24.95" customHeight="1">
      <c r="A40" s="933" t="s">
        <v>689</v>
      </c>
      <c r="B40" s="583" t="s">
        <v>724</v>
      </c>
      <c r="C40" s="561">
        <f>SUM(C41:C42)</f>
        <v>4357000000</v>
      </c>
      <c r="D40" s="561">
        <f>SUM(D41:D42)</f>
        <v>4134558941</v>
      </c>
      <c r="E40" s="561">
        <f>SUM(E41:E42)</f>
        <v>3604129855</v>
      </c>
      <c r="F40" s="561">
        <f>SUM(F41:F42)</f>
        <v>4308669503</v>
      </c>
      <c r="G40" s="581">
        <f t="shared" si="3"/>
        <v>0.8272044652283681</v>
      </c>
      <c r="H40" s="581">
        <f t="shared" si="0"/>
        <v>0.98890739109478998</v>
      </c>
      <c r="I40" s="562">
        <f t="shared" si="5"/>
        <v>1.0421110363849087</v>
      </c>
    </row>
    <row r="41" spans="1:17" s="558" customFormat="1" ht="58.5" customHeight="1">
      <c r="A41" s="579" t="s">
        <v>414</v>
      </c>
      <c r="B41" s="584" t="s">
        <v>712</v>
      </c>
      <c r="C41" s="566">
        <v>881000000</v>
      </c>
      <c r="D41" s="566">
        <v>914457541</v>
      </c>
      <c r="E41" s="566">
        <v>278246455</v>
      </c>
      <c r="F41" s="566">
        <f>C41-3213897</f>
        <v>877786103</v>
      </c>
      <c r="G41" s="568">
        <f t="shared" si="3"/>
        <v>0.31583025539160048</v>
      </c>
      <c r="H41" s="568">
        <f t="shared" si="0"/>
        <v>0.99635198978433603</v>
      </c>
      <c r="I41" s="568"/>
      <c r="J41" s="557"/>
      <c r="K41" s="557"/>
    </row>
    <row r="42" spans="1:17" s="558" customFormat="1" ht="64.5" customHeight="1">
      <c r="A42" s="579" t="s">
        <v>414</v>
      </c>
      <c r="B42" s="584" t="s">
        <v>713</v>
      </c>
      <c r="C42" s="566">
        <v>3476000000</v>
      </c>
      <c r="D42" s="566">
        <v>3220101400</v>
      </c>
      <c r="E42" s="566">
        <f>555233400+2770650000+59994555-287246455+227251900</f>
        <v>3325883400</v>
      </c>
      <c r="F42" s="566">
        <f>E42+105000000</f>
        <v>3430883400</v>
      </c>
      <c r="G42" s="568">
        <f t="shared" si="3"/>
        <v>0.9568134062140391</v>
      </c>
      <c r="H42" s="568">
        <f>F42/C42</f>
        <v>0.98702054085155355</v>
      </c>
      <c r="I42" s="568">
        <f t="shared" si="5"/>
        <v>1.0654581871241695</v>
      </c>
      <c r="J42" s="557"/>
      <c r="K42" s="557"/>
    </row>
    <row r="43" spans="1:17" ht="33.75" customHeight="1">
      <c r="A43" s="933" t="s">
        <v>690</v>
      </c>
      <c r="B43" s="583" t="s">
        <v>725</v>
      </c>
      <c r="C43" s="561">
        <v>132000000</v>
      </c>
      <c r="D43" s="561">
        <v>72000000</v>
      </c>
      <c r="E43" s="561">
        <v>108000000</v>
      </c>
      <c r="F43" s="561">
        <f>C43</f>
        <v>132000000</v>
      </c>
      <c r="G43" s="562">
        <f t="shared" si="3"/>
        <v>0.81818181818181823</v>
      </c>
      <c r="H43" s="562">
        <f t="shared" si="0"/>
        <v>1</v>
      </c>
      <c r="I43" s="581">
        <f t="shared" si="5"/>
        <v>1.8333333333333333</v>
      </c>
    </row>
    <row r="44" spans="1:17" ht="39.75" customHeight="1">
      <c r="A44" s="933" t="s">
        <v>692</v>
      </c>
      <c r="B44" s="583" t="s">
        <v>726</v>
      </c>
      <c r="C44" s="561">
        <v>96000000</v>
      </c>
      <c r="D44" s="561">
        <v>84000000</v>
      </c>
      <c r="E44" s="561">
        <v>33320000</v>
      </c>
      <c r="F44" s="561">
        <f>C44</f>
        <v>96000000</v>
      </c>
      <c r="G44" s="562">
        <f t="shared" si="3"/>
        <v>0.34708333333333335</v>
      </c>
      <c r="H44" s="562">
        <f t="shared" si="0"/>
        <v>1</v>
      </c>
      <c r="I44" s="581">
        <f t="shared" si="5"/>
        <v>1.1428571428571428</v>
      </c>
    </row>
    <row r="45" spans="1:17" ht="33.75" customHeight="1">
      <c r="A45" s="933" t="s">
        <v>223</v>
      </c>
      <c r="B45" s="583" t="s">
        <v>714</v>
      </c>
      <c r="C45" s="561">
        <f>C46+C48</f>
        <v>46225000000</v>
      </c>
      <c r="D45" s="561">
        <f>D46+D48</f>
        <v>23985587521</v>
      </c>
      <c r="E45" s="561">
        <f>E46+E48</f>
        <v>34752699103</v>
      </c>
      <c r="F45" s="561">
        <f>F46+F48</f>
        <v>46813725171</v>
      </c>
      <c r="G45" s="562">
        <f t="shared" si="3"/>
        <v>0.75181609741481881</v>
      </c>
      <c r="H45" s="562">
        <f t="shared" si="0"/>
        <v>1.0127360772525689</v>
      </c>
      <c r="I45" s="562">
        <f t="shared" si="5"/>
        <v>1.9517439433165178</v>
      </c>
    </row>
    <row r="46" spans="1:17" s="572" customFormat="1" ht="19.5" customHeight="1">
      <c r="A46" s="933">
        <v>1</v>
      </c>
      <c r="B46" s="577" t="s">
        <v>706</v>
      </c>
      <c r="C46" s="561">
        <f>C47</f>
        <v>40011000000</v>
      </c>
      <c r="D46" s="561">
        <f>D47</f>
        <v>17778013521</v>
      </c>
      <c r="E46" s="561">
        <f>E47</f>
        <v>31498255603</v>
      </c>
      <c r="F46" s="561">
        <f>F47</f>
        <v>40642768479</v>
      </c>
      <c r="G46" s="562">
        <f t="shared" si="3"/>
        <v>0.78723989910274672</v>
      </c>
      <c r="H46" s="562">
        <f t="shared" si="0"/>
        <v>1.0157898697608159</v>
      </c>
      <c r="I46" s="562">
        <f t="shared" si="5"/>
        <v>2.2861254116491341</v>
      </c>
      <c r="J46" s="571"/>
      <c r="K46" s="571"/>
    </row>
    <row r="47" spans="1:17" s="558" customFormat="1" ht="19.5" customHeight="1">
      <c r="A47" s="579"/>
      <c r="B47" s="580" t="s">
        <v>707</v>
      </c>
      <c r="C47" s="566">
        <v>40011000000</v>
      </c>
      <c r="D47" s="585">
        <v>17778013521</v>
      </c>
      <c r="E47" s="585">
        <v>31498255603</v>
      </c>
      <c r="F47" s="566">
        <f>C47+631768479</f>
        <v>40642768479</v>
      </c>
      <c r="G47" s="581">
        <f t="shared" si="3"/>
        <v>0.78723989910274672</v>
      </c>
      <c r="H47" s="562">
        <f t="shared" si="0"/>
        <v>1.0157898697608159</v>
      </c>
      <c r="I47" s="562">
        <f t="shared" si="5"/>
        <v>2.2861254116491341</v>
      </c>
      <c r="J47" s="557"/>
      <c r="K47" s="557"/>
    </row>
    <row r="48" spans="1:17" s="572" customFormat="1" ht="19.5" customHeight="1">
      <c r="A48" s="933">
        <v>2</v>
      </c>
      <c r="B48" s="578" t="s">
        <v>708</v>
      </c>
      <c r="C48" s="561">
        <f>SUM(C49:C50)</f>
        <v>6214000000</v>
      </c>
      <c r="D48" s="561">
        <f>SUM(D49:D50)</f>
        <v>6207574000</v>
      </c>
      <c r="E48" s="561">
        <f>SUM(E49:E50)</f>
        <v>3254443500</v>
      </c>
      <c r="F48" s="561">
        <f>SUM(F49:F50)</f>
        <v>6170956692</v>
      </c>
      <c r="G48" s="562">
        <f t="shared" si="3"/>
        <v>0.5237276311554554</v>
      </c>
      <c r="H48" s="562">
        <f t="shared" si="0"/>
        <v>0.99307317219182489</v>
      </c>
      <c r="I48" s="562">
        <f t="shared" si="5"/>
        <v>0.99410118864471053</v>
      </c>
      <c r="J48" s="571"/>
      <c r="K48" s="571"/>
    </row>
    <row r="49" spans="1:11" ht="126" customHeight="1">
      <c r="A49" s="579" t="s">
        <v>414</v>
      </c>
      <c r="B49" s="586" t="s">
        <v>715</v>
      </c>
      <c r="C49" s="587">
        <v>5863000000</v>
      </c>
      <c r="D49" s="587">
        <f>6207574000-159931000</f>
        <v>6047643000</v>
      </c>
      <c r="E49" s="587">
        <f>3175524500+53774000+145000</f>
        <v>3229443500</v>
      </c>
      <c r="F49" s="587">
        <f>C49-33145987</f>
        <v>5829854013</v>
      </c>
      <c r="G49" s="581">
        <f t="shared" si="3"/>
        <v>0.55081758485417021</v>
      </c>
      <c r="H49" s="581">
        <f t="shared" si="0"/>
        <v>0.99434658246631413</v>
      </c>
      <c r="I49" s="581">
        <f t="shared" si="5"/>
        <v>0.96398779044993232</v>
      </c>
    </row>
    <row r="50" spans="1:11" s="572" customFormat="1" ht="24.95" customHeight="1">
      <c r="A50" s="579" t="s">
        <v>414</v>
      </c>
      <c r="B50" s="580" t="s">
        <v>716</v>
      </c>
      <c r="C50" s="587">
        <v>351000000</v>
      </c>
      <c r="D50" s="587">
        <v>159931000</v>
      </c>
      <c r="E50" s="587">
        <v>25000000</v>
      </c>
      <c r="F50" s="587">
        <f>C50-9897321</f>
        <v>341102679</v>
      </c>
      <c r="G50" s="581">
        <f t="shared" si="3"/>
        <v>7.1225071225071226E-2</v>
      </c>
      <c r="H50" s="581">
        <f t="shared" si="0"/>
        <v>0.97180250427350423</v>
      </c>
      <c r="I50" s="581"/>
      <c r="J50" s="571"/>
      <c r="K50" s="571"/>
    </row>
    <row r="51" spans="1:11" ht="42.75" customHeight="1">
      <c r="A51" s="933" t="s">
        <v>238</v>
      </c>
      <c r="B51" s="588" t="s">
        <v>622</v>
      </c>
      <c r="C51" s="561">
        <f>C52+C58</f>
        <v>8053000000</v>
      </c>
      <c r="D51" s="561">
        <f>D52+D58</f>
        <v>14183082434</v>
      </c>
      <c r="E51" s="561">
        <f>E52+E58</f>
        <v>3160604000</v>
      </c>
      <c r="F51" s="561">
        <f>F52+F58</f>
        <v>3716774000</v>
      </c>
      <c r="G51" s="562">
        <f t="shared" si="3"/>
        <v>0.39247535080094376</v>
      </c>
      <c r="H51" s="562">
        <f t="shared" si="0"/>
        <v>0.46153905376878179</v>
      </c>
      <c r="I51" s="562">
        <f t="shared" si="5"/>
        <v>0.26205685663153638</v>
      </c>
    </row>
    <row r="52" spans="1:11" s="572" customFormat="1" ht="30" customHeight="1">
      <c r="A52" s="933" t="s">
        <v>220</v>
      </c>
      <c r="B52" s="589" t="s">
        <v>717</v>
      </c>
      <c r="C52" s="561">
        <f>C53</f>
        <v>0</v>
      </c>
      <c r="D52" s="561">
        <f>SUM(D53:D57)</f>
        <v>11162784434</v>
      </c>
      <c r="E52" s="561">
        <f>SUM(E53:E57)</f>
        <v>2097554000</v>
      </c>
      <c r="F52" s="561">
        <f>SUM(F53:F57)</f>
        <v>2097554000</v>
      </c>
      <c r="G52" s="562"/>
      <c r="H52" s="562"/>
      <c r="I52" s="562">
        <f t="shared" si="5"/>
        <v>0.18790598460462934</v>
      </c>
      <c r="J52" s="571"/>
      <c r="K52" s="571"/>
    </row>
    <row r="53" spans="1:11" s="558" customFormat="1" ht="56.25" customHeight="1">
      <c r="A53" s="579"/>
      <c r="B53" s="590" t="s">
        <v>623</v>
      </c>
      <c r="C53" s="566"/>
      <c r="D53" s="566">
        <v>11162784434</v>
      </c>
      <c r="E53" s="566">
        <v>2097554000</v>
      </c>
      <c r="F53" s="566">
        <f>E53</f>
        <v>2097554000</v>
      </c>
      <c r="G53" s="581"/>
      <c r="H53" s="581"/>
      <c r="I53" s="581">
        <f t="shared" si="5"/>
        <v>0.18790598460462934</v>
      </c>
      <c r="J53" s="557"/>
      <c r="K53" s="557"/>
    </row>
    <row r="54" spans="1:11" s="558" customFormat="1" ht="36.75" hidden="1" customHeight="1">
      <c r="A54" s="579"/>
      <c r="B54" s="590"/>
      <c r="C54" s="566"/>
      <c r="D54" s="566"/>
      <c r="E54" s="566"/>
      <c r="F54" s="566"/>
      <c r="G54" s="562"/>
      <c r="H54" s="562"/>
      <c r="I54" s="581"/>
      <c r="J54" s="557"/>
      <c r="K54" s="557"/>
    </row>
    <row r="55" spans="1:11" s="558" customFormat="1" ht="46.5" hidden="1" customHeight="1">
      <c r="A55" s="579"/>
      <c r="B55" s="590"/>
      <c r="C55" s="566"/>
      <c r="D55" s="566"/>
      <c r="E55" s="566"/>
      <c r="F55" s="566"/>
      <c r="G55" s="562"/>
      <c r="H55" s="562"/>
      <c r="I55" s="581"/>
      <c r="J55" s="557"/>
      <c r="K55" s="557"/>
    </row>
    <row r="56" spans="1:11" s="558" customFormat="1" ht="34.5" hidden="1" customHeight="1">
      <c r="A56" s="579"/>
      <c r="B56" s="590"/>
      <c r="C56" s="566"/>
      <c r="D56" s="566"/>
      <c r="E56" s="566"/>
      <c r="F56" s="566"/>
      <c r="G56" s="562"/>
      <c r="H56" s="562"/>
      <c r="I56" s="581"/>
      <c r="J56" s="557"/>
      <c r="K56" s="557"/>
    </row>
    <row r="57" spans="1:11" s="558" customFormat="1" ht="24.95" hidden="1" customHeight="1">
      <c r="A57" s="579"/>
      <c r="B57" s="590"/>
      <c r="C57" s="566"/>
      <c r="D57" s="566"/>
      <c r="E57" s="566"/>
      <c r="F57" s="566"/>
      <c r="G57" s="562"/>
      <c r="H57" s="562"/>
      <c r="I57" s="581"/>
      <c r="J57" s="557"/>
      <c r="K57" s="557"/>
    </row>
    <row r="58" spans="1:11" ht="24" customHeight="1">
      <c r="A58" s="933" t="s">
        <v>223</v>
      </c>
      <c r="B58" s="589" t="s">
        <v>718</v>
      </c>
      <c r="C58" s="561">
        <f>C59+C62+C63+C64+C65+C70+C71+C72</f>
        <v>8053000000</v>
      </c>
      <c r="D58" s="561">
        <f>D59+D62+D63+D64+D65+D70+D71+D72</f>
        <v>3020298000</v>
      </c>
      <c r="E58" s="561">
        <f t="shared" ref="E58" si="6">E59+E62+E63+E64+E65+E70+E71+E72</f>
        <v>1063050000</v>
      </c>
      <c r="F58" s="561">
        <f>F59+F62+F63+F64+F65+F70+F71+F72</f>
        <v>1619220000</v>
      </c>
      <c r="G58" s="562">
        <f t="shared" si="3"/>
        <v>0.13200670557556191</v>
      </c>
      <c r="H58" s="562">
        <f t="shared" si="0"/>
        <v>0.20107040854339997</v>
      </c>
      <c r="I58" s="562">
        <f t="shared" si="5"/>
        <v>0.53611266173072991</v>
      </c>
    </row>
    <row r="59" spans="1:11" s="572" customFormat="1" ht="52.5" customHeight="1">
      <c r="A59" s="933">
        <v>1</v>
      </c>
      <c r="B59" s="589" t="s">
        <v>310</v>
      </c>
      <c r="C59" s="561">
        <f>C60+C61</f>
        <v>113000000</v>
      </c>
      <c r="D59" s="561">
        <f>D60+D61</f>
        <v>115000000</v>
      </c>
      <c r="E59" s="561">
        <f>E60+E61</f>
        <v>113000000</v>
      </c>
      <c r="F59" s="561">
        <f>F60+F61</f>
        <v>113000000</v>
      </c>
      <c r="G59" s="562">
        <f t="shared" si="3"/>
        <v>1</v>
      </c>
      <c r="H59" s="562">
        <f t="shared" si="0"/>
        <v>1</v>
      </c>
      <c r="I59" s="581">
        <f t="shared" si="5"/>
        <v>0.9826086956521739</v>
      </c>
      <c r="J59" s="571"/>
      <c r="K59" s="571"/>
    </row>
    <row r="60" spans="1:11" s="572" customFormat="1" ht="24.95" customHeight="1">
      <c r="A60" s="591" t="s">
        <v>414</v>
      </c>
      <c r="B60" s="590" t="s">
        <v>313</v>
      </c>
      <c r="C60" s="587">
        <v>93000000</v>
      </c>
      <c r="D60" s="587">
        <v>95000000</v>
      </c>
      <c r="E60" s="587">
        <v>93000000</v>
      </c>
      <c r="F60" s="587">
        <f>C60</f>
        <v>93000000</v>
      </c>
      <c r="G60" s="581">
        <f t="shared" si="3"/>
        <v>1</v>
      </c>
      <c r="H60" s="562">
        <f t="shared" si="0"/>
        <v>1</v>
      </c>
      <c r="I60" s="581">
        <f t="shared" si="5"/>
        <v>0.97894736842105268</v>
      </c>
      <c r="J60" s="571"/>
      <c r="K60" s="571"/>
    </row>
    <row r="61" spans="1:11" s="572" customFormat="1" ht="24.95" customHeight="1">
      <c r="A61" s="591" t="s">
        <v>414</v>
      </c>
      <c r="B61" s="590" t="s">
        <v>314</v>
      </c>
      <c r="C61" s="587">
        <v>20000000</v>
      </c>
      <c r="D61" s="587">
        <v>20000000</v>
      </c>
      <c r="E61" s="587">
        <v>20000000</v>
      </c>
      <c r="F61" s="587">
        <v>20000000</v>
      </c>
      <c r="G61" s="581">
        <f t="shared" si="3"/>
        <v>1</v>
      </c>
      <c r="H61" s="562">
        <f t="shared" si="0"/>
        <v>1</v>
      </c>
      <c r="I61" s="581">
        <f t="shared" si="5"/>
        <v>1</v>
      </c>
      <c r="J61" s="571"/>
      <c r="K61" s="571"/>
    </row>
    <row r="62" spans="1:11" s="572" customFormat="1" ht="24.95" customHeight="1">
      <c r="A62" s="592">
        <v>2</v>
      </c>
      <c r="B62" s="593" t="s">
        <v>472</v>
      </c>
      <c r="C62" s="594">
        <v>18000000</v>
      </c>
      <c r="D62" s="594">
        <v>26000000</v>
      </c>
      <c r="E62" s="594"/>
      <c r="F62" s="594">
        <f>C62</f>
        <v>18000000</v>
      </c>
      <c r="G62" s="562">
        <f t="shared" si="3"/>
        <v>0</v>
      </c>
      <c r="H62" s="562">
        <f t="shared" si="0"/>
        <v>1</v>
      </c>
      <c r="I62" s="593"/>
      <c r="J62" s="571"/>
      <c r="K62" s="571"/>
    </row>
    <row r="63" spans="1:11" s="572" customFormat="1" ht="55.5" customHeight="1">
      <c r="A63" s="933">
        <v>3</v>
      </c>
      <c r="B63" s="588" t="s">
        <v>623</v>
      </c>
      <c r="C63" s="561">
        <v>100000000</v>
      </c>
      <c r="D63" s="561">
        <v>40000000</v>
      </c>
      <c r="E63" s="561">
        <v>460000000</v>
      </c>
      <c r="F63" s="561">
        <v>460000000</v>
      </c>
      <c r="G63" s="562">
        <f t="shared" si="3"/>
        <v>4.5999999999999996</v>
      </c>
      <c r="H63" s="562">
        <f t="shared" si="0"/>
        <v>4.5999999999999996</v>
      </c>
      <c r="I63" s="581"/>
      <c r="J63" s="571"/>
      <c r="K63" s="571"/>
    </row>
    <row r="64" spans="1:11" s="572" customFormat="1" ht="29.25" customHeight="1">
      <c r="A64" s="592">
        <v>4</v>
      </c>
      <c r="B64" s="593" t="s">
        <v>474</v>
      </c>
      <c r="C64" s="594">
        <v>7211000000</v>
      </c>
      <c r="D64" s="594"/>
      <c r="E64" s="594"/>
      <c r="F64" s="594"/>
      <c r="G64" s="562">
        <f t="shared" si="3"/>
        <v>0</v>
      </c>
      <c r="H64" s="562">
        <f t="shared" si="0"/>
        <v>0</v>
      </c>
      <c r="I64" s="593"/>
      <c r="J64" s="571"/>
      <c r="K64" s="571"/>
    </row>
    <row r="65" spans="1:11" s="572" customFormat="1" ht="67.5" customHeight="1">
      <c r="A65" s="933">
        <v>5</v>
      </c>
      <c r="B65" s="595" t="s">
        <v>475</v>
      </c>
      <c r="C65" s="561">
        <f>C66+C69</f>
        <v>111000000</v>
      </c>
      <c r="D65" s="561">
        <f t="shared" ref="D65:F65" si="7">D66+D69</f>
        <v>77128000</v>
      </c>
      <c r="E65" s="561">
        <f t="shared" si="7"/>
        <v>0</v>
      </c>
      <c r="F65" s="561">
        <f t="shared" si="7"/>
        <v>111000000</v>
      </c>
      <c r="G65" s="562">
        <f t="shared" si="3"/>
        <v>0</v>
      </c>
      <c r="H65" s="562">
        <f t="shared" si="0"/>
        <v>1</v>
      </c>
      <c r="I65" s="581"/>
      <c r="J65" s="571"/>
      <c r="K65" s="571"/>
    </row>
    <row r="66" spans="1:11" s="572" customFormat="1" ht="42" customHeight="1">
      <c r="A66" s="933" t="s">
        <v>1325</v>
      </c>
      <c r="B66" s="595" t="s">
        <v>1326</v>
      </c>
      <c r="C66" s="561">
        <f>C67+C68</f>
        <v>86000000</v>
      </c>
      <c r="D66" s="561">
        <f t="shared" ref="D66:F66" si="8">D67+D68</f>
        <v>57828000</v>
      </c>
      <c r="E66" s="561">
        <f t="shared" si="8"/>
        <v>0</v>
      </c>
      <c r="F66" s="561">
        <f t="shared" si="8"/>
        <v>86000000</v>
      </c>
      <c r="G66" s="562"/>
      <c r="H66" s="562"/>
      <c r="I66" s="581"/>
      <c r="J66" s="571"/>
      <c r="K66" s="571"/>
    </row>
    <row r="67" spans="1:11" s="558" customFormat="1" ht="24.95" customHeight="1">
      <c r="A67" s="579" t="s">
        <v>414</v>
      </c>
      <c r="B67" s="590" t="s">
        <v>476</v>
      </c>
      <c r="C67" s="566">
        <v>61000000</v>
      </c>
      <c r="D67" s="566">
        <v>57828000</v>
      </c>
      <c r="E67" s="566"/>
      <c r="F67" s="566">
        <f>C67</f>
        <v>61000000</v>
      </c>
      <c r="G67" s="568">
        <f t="shared" si="3"/>
        <v>0</v>
      </c>
      <c r="H67" s="568">
        <f t="shared" si="0"/>
        <v>1</v>
      </c>
      <c r="I67" s="568"/>
      <c r="J67" s="557"/>
      <c r="K67" s="557"/>
    </row>
    <row r="68" spans="1:11" s="558" customFormat="1" ht="39" customHeight="1">
      <c r="A68" s="579" t="s">
        <v>414</v>
      </c>
      <c r="B68" s="590" t="s">
        <v>312</v>
      </c>
      <c r="C68" s="566">
        <v>25000000</v>
      </c>
      <c r="D68" s="566"/>
      <c r="E68" s="566"/>
      <c r="F68" s="566">
        <f>C68</f>
        <v>25000000</v>
      </c>
      <c r="G68" s="568">
        <f t="shared" si="3"/>
        <v>0</v>
      </c>
      <c r="H68" s="568">
        <f t="shared" si="0"/>
        <v>1</v>
      </c>
      <c r="I68" s="568"/>
      <c r="J68" s="557"/>
      <c r="K68" s="557"/>
    </row>
    <row r="69" spans="1:11" s="572" customFormat="1" ht="39" customHeight="1">
      <c r="A69" s="933" t="s">
        <v>1327</v>
      </c>
      <c r="B69" s="588" t="s">
        <v>1329</v>
      </c>
      <c r="C69" s="561">
        <v>25000000</v>
      </c>
      <c r="D69" s="561">
        <v>19300000</v>
      </c>
      <c r="E69" s="561"/>
      <c r="F69" s="561">
        <f>C69</f>
        <v>25000000</v>
      </c>
      <c r="G69" s="568">
        <f t="shared" ref="G69:G70" si="9">E69/C69</f>
        <v>0</v>
      </c>
      <c r="H69" s="568">
        <f t="shared" ref="H69:H70" si="10">F69/C69</f>
        <v>1</v>
      </c>
      <c r="I69" s="568"/>
      <c r="J69" s="571"/>
      <c r="K69" s="571"/>
    </row>
    <row r="70" spans="1:11" s="572" customFormat="1" ht="39" customHeight="1">
      <c r="A70" s="933">
        <v>6</v>
      </c>
      <c r="B70" s="588" t="s">
        <v>1331</v>
      </c>
      <c r="C70" s="561">
        <v>500000000</v>
      </c>
      <c r="D70" s="561"/>
      <c r="E70" s="561">
        <v>490050000</v>
      </c>
      <c r="F70" s="561">
        <f>E70</f>
        <v>490050000</v>
      </c>
      <c r="G70" s="568">
        <f t="shared" si="9"/>
        <v>0.98009999999999997</v>
      </c>
      <c r="H70" s="568">
        <f t="shared" si="10"/>
        <v>0.98009999999999997</v>
      </c>
      <c r="I70" s="568"/>
      <c r="J70" s="571"/>
      <c r="K70" s="571"/>
    </row>
    <row r="71" spans="1:11" s="572" customFormat="1" ht="34.5" customHeight="1">
      <c r="A71" s="933">
        <v>6</v>
      </c>
      <c r="B71" s="595" t="s">
        <v>311</v>
      </c>
      <c r="C71" s="561"/>
      <c r="D71" s="561">
        <v>427170000</v>
      </c>
      <c r="E71" s="561"/>
      <c r="F71" s="561">
        <f>D71</f>
        <v>427170000</v>
      </c>
      <c r="G71" s="568"/>
      <c r="H71" s="568"/>
      <c r="I71" s="568"/>
      <c r="J71" s="571"/>
      <c r="K71" s="571"/>
    </row>
    <row r="72" spans="1:11" s="572" customFormat="1" ht="34.5" customHeight="1">
      <c r="A72" s="933">
        <v>7</v>
      </c>
      <c r="B72" s="595" t="s">
        <v>1330</v>
      </c>
      <c r="C72" s="561"/>
      <c r="D72" s="561">
        <v>2335000000</v>
      </c>
      <c r="E72" s="561"/>
      <c r="F72" s="561"/>
      <c r="G72" s="568"/>
      <c r="H72" s="568"/>
      <c r="I72" s="568"/>
      <c r="J72" s="571"/>
      <c r="K72" s="571"/>
    </row>
    <row r="73" spans="1:11" s="572" customFormat="1" ht="24.95" customHeight="1">
      <c r="A73" s="592" t="s">
        <v>74</v>
      </c>
      <c r="B73" s="593" t="s">
        <v>721</v>
      </c>
      <c r="C73" s="593"/>
      <c r="D73" s="594">
        <f>D74+D75</f>
        <v>118073499506</v>
      </c>
      <c r="E73" s="594">
        <f>E74+E75</f>
        <v>111497254921</v>
      </c>
      <c r="F73" s="594">
        <f>F74+F75</f>
        <v>132674699506</v>
      </c>
      <c r="G73" s="562"/>
      <c r="H73" s="562"/>
      <c r="I73" s="593"/>
      <c r="J73" s="571"/>
      <c r="K73" s="571"/>
    </row>
    <row r="74" spans="1:11" s="558" customFormat="1" ht="24.95" customHeight="1">
      <c r="A74" s="596"/>
      <c r="B74" s="596" t="s">
        <v>679</v>
      </c>
      <c r="C74" s="596"/>
      <c r="D74" s="597">
        <v>69544699506</v>
      </c>
      <c r="E74" s="597">
        <v>51624469000</v>
      </c>
      <c r="F74" s="597">
        <f>D74+2345000000</f>
        <v>71889699506</v>
      </c>
      <c r="G74" s="567"/>
      <c r="H74" s="567"/>
      <c r="I74" s="596"/>
      <c r="J74" s="557"/>
      <c r="K74" s="557"/>
    </row>
    <row r="75" spans="1:11" s="558" customFormat="1" ht="24.95" customHeight="1">
      <c r="A75" s="596"/>
      <c r="B75" s="596" t="s">
        <v>680</v>
      </c>
      <c r="C75" s="596"/>
      <c r="D75" s="597">
        <v>48528800000</v>
      </c>
      <c r="E75" s="597">
        <v>59872785921</v>
      </c>
      <c r="F75" s="597">
        <f>55000000000+5785000000</f>
        <v>60785000000</v>
      </c>
      <c r="G75" s="567"/>
      <c r="H75" s="567"/>
      <c r="I75" s="596"/>
      <c r="J75" s="557"/>
      <c r="K75" s="557"/>
    </row>
    <row r="76" spans="1:11" s="572" customFormat="1" ht="24.95" customHeight="1">
      <c r="A76" s="593" t="s">
        <v>75</v>
      </c>
      <c r="B76" s="593" t="s">
        <v>722</v>
      </c>
      <c r="C76" s="593"/>
      <c r="D76" s="594">
        <v>1377827521</v>
      </c>
      <c r="E76" s="594">
        <v>1860043153</v>
      </c>
      <c r="F76" s="594">
        <v>1860043153</v>
      </c>
      <c r="G76" s="562"/>
      <c r="H76" s="562"/>
      <c r="I76" s="593"/>
      <c r="J76" s="571"/>
      <c r="K76" s="571"/>
    </row>
  </sheetData>
  <mergeCells count="11">
    <mergeCell ref="A1:I1"/>
    <mergeCell ref="G5:I5"/>
    <mergeCell ref="A2:I2"/>
    <mergeCell ref="A3:I3"/>
    <mergeCell ref="A4:I4"/>
    <mergeCell ref="F5:F6"/>
    <mergeCell ref="A5:A6"/>
    <mergeCell ref="B5:B6"/>
    <mergeCell ref="C5:C6"/>
    <mergeCell ref="D5:D6"/>
    <mergeCell ref="E5:E6"/>
  </mergeCells>
  <phoneticPr fontId="13" type="noConversion"/>
  <pageMargins left="0.94488188976377963" right="0.42" top="0.51181102362204722" bottom="0.51181102362204722" header="0.51181102362204722" footer="0.51181102362204722"/>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2"/>
  <sheetViews>
    <sheetView topLeftCell="A13" workbookViewId="0">
      <selection activeCell="K14" sqref="K14"/>
    </sheetView>
  </sheetViews>
  <sheetFormatPr defaultRowHeight="12.75"/>
  <cols>
    <col min="1" max="1" width="3.7109375" style="442" customWidth="1"/>
    <col min="2" max="2" width="26.85546875" style="442" customWidth="1"/>
    <col min="3" max="3" width="7.140625" style="442" customWidth="1"/>
    <col min="4" max="4" width="8.28515625" style="442" customWidth="1"/>
    <col min="5" max="7" width="11" style="442" customWidth="1"/>
    <col min="8" max="8" width="9.7109375" style="442" customWidth="1"/>
    <col min="9" max="9" width="8.5703125" style="442" customWidth="1"/>
    <col min="10" max="10" width="7.85546875" style="442" customWidth="1"/>
    <col min="11" max="11" width="9.85546875" style="442" customWidth="1"/>
    <col min="12" max="12" width="10.28515625" style="442" customWidth="1"/>
    <col min="13" max="13" width="9.7109375" style="442" customWidth="1"/>
    <col min="14" max="14" width="8.85546875" style="472" customWidth="1"/>
    <col min="15" max="15" width="9" style="442" customWidth="1"/>
    <col min="16" max="16" width="9.5703125" style="442" customWidth="1"/>
    <col min="17" max="17" width="10" style="442" customWidth="1"/>
    <col min="18" max="18" width="7.7109375" style="442" customWidth="1"/>
    <col min="19" max="19" width="6.7109375" style="442" customWidth="1"/>
    <col min="20" max="20" width="9.28515625" style="442" customWidth="1"/>
    <col min="21" max="21" width="10" style="442" customWidth="1"/>
    <col min="22" max="22" width="9.28515625" style="442" customWidth="1"/>
    <col min="23" max="23" width="12.140625" style="442" customWidth="1"/>
    <col min="24" max="197" width="10.42578125" style="442" bestFit="1" customWidth="1"/>
    <col min="198" max="198" width="10.5703125" style="442" bestFit="1" customWidth="1"/>
    <col min="199" max="220" width="10.42578125" style="442" bestFit="1" customWidth="1"/>
    <col min="221" max="221" width="10.5703125" style="442" bestFit="1" customWidth="1"/>
    <col min="222" max="256" width="9.140625" style="442"/>
    <col min="257" max="257" width="3.7109375" style="442" customWidth="1"/>
    <col min="258" max="258" width="26.85546875" style="442" customWidth="1"/>
    <col min="259" max="259" width="7.140625" style="442" customWidth="1"/>
    <col min="260" max="260" width="8.28515625" style="442" customWidth="1"/>
    <col min="261" max="263" width="11" style="442" customWidth="1"/>
    <col min="264" max="264" width="9.7109375" style="442" customWidth="1"/>
    <col min="265" max="265" width="8.5703125" style="442" customWidth="1"/>
    <col min="266" max="266" width="7.85546875" style="442" customWidth="1"/>
    <col min="267" max="267" width="9.85546875" style="442" customWidth="1"/>
    <col min="268" max="268" width="10.28515625" style="442" customWidth="1"/>
    <col min="269" max="269" width="9.7109375" style="442" customWidth="1"/>
    <col min="270" max="270" width="8.85546875" style="442" customWidth="1"/>
    <col min="271" max="271" width="9" style="442" customWidth="1"/>
    <col min="272" max="272" width="9.5703125" style="442" customWidth="1"/>
    <col min="273" max="273" width="10" style="442" customWidth="1"/>
    <col min="274" max="274" width="7.7109375" style="442" customWidth="1"/>
    <col min="275" max="275" width="6.7109375" style="442" customWidth="1"/>
    <col min="276" max="276" width="9.28515625" style="442" customWidth="1"/>
    <col min="277" max="277" width="10" style="442" customWidth="1"/>
    <col min="278" max="279" width="9.28515625" style="442" customWidth="1"/>
    <col min="280" max="453" width="10.42578125" style="442" bestFit="1" customWidth="1"/>
    <col min="454" max="454" width="10.5703125" style="442" bestFit="1" customWidth="1"/>
    <col min="455" max="476" width="10.42578125" style="442" bestFit="1" customWidth="1"/>
    <col min="477" max="477" width="10.5703125" style="442" bestFit="1" customWidth="1"/>
    <col min="478" max="512" width="9.140625" style="442"/>
    <col min="513" max="513" width="3.7109375" style="442" customWidth="1"/>
    <col min="514" max="514" width="26.85546875" style="442" customWidth="1"/>
    <col min="515" max="515" width="7.140625" style="442" customWidth="1"/>
    <col min="516" max="516" width="8.28515625" style="442" customWidth="1"/>
    <col min="517" max="519" width="11" style="442" customWidth="1"/>
    <col min="520" max="520" width="9.7109375" style="442" customWidth="1"/>
    <col min="521" max="521" width="8.5703125" style="442" customWidth="1"/>
    <col min="522" max="522" width="7.85546875" style="442" customWidth="1"/>
    <col min="523" max="523" width="9.85546875" style="442" customWidth="1"/>
    <col min="524" max="524" width="10.28515625" style="442" customWidth="1"/>
    <col min="525" max="525" width="9.7109375" style="442" customWidth="1"/>
    <col min="526" max="526" width="8.85546875" style="442" customWidth="1"/>
    <col min="527" max="527" width="9" style="442" customWidth="1"/>
    <col min="528" max="528" width="9.5703125" style="442" customWidth="1"/>
    <col min="529" max="529" width="10" style="442" customWidth="1"/>
    <col min="530" max="530" width="7.7109375" style="442" customWidth="1"/>
    <col min="531" max="531" width="6.7109375" style="442" customWidth="1"/>
    <col min="532" max="532" width="9.28515625" style="442" customWidth="1"/>
    <col min="533" max="533" width="10" style="442" customWidth="1"/>
    <col min="534" max="535" width="9.28515625" style="442" customWidth="1"/>
    <col min="536" max="709" width="10.42578125" style="442" bestFit="1" customWidth="1"/>
    <col min="710" max="710" width="10.5703125" style="442" bestFit="1" customWidth="1"/>
    <col min="711" max="732" width="10.42578125" style="442" bestFit="1" customWidth="1"/>
    <col min="733" max="733" width="10.5703125" style="442" bestFit="1" customWidth="1"/>
    <col min="734" max="768" width="9.140625" style="442"/>
    <col min="769" max="769" width="3.7109375" style="442" customWidth="1"/>
    <col min="770" max="770" width="26.85546875" style="442" customWidth="1"/>
    <col min="771" max="771" width="7.140625" style="442" customWidth="1"/>
    <col min="772" max="772" width="8.28515625" style="442" customWidth="1"/>
    <col min="773" max="775" width="11" style="442" customWidth="1"/>
    <col min="776" max="776" width="9.7109375" style="442" customWidth="1"/>
    <col min="777" max="777" width="8.5703125" style="442" customWidth="1"/>
    <col min="778" max="778" width="7.85546875" style="442" customWidth="1"/>
    <col min="779" max="779" width="9.85546875" style="442" customWidth="1"/>
    <col min="780" max="780" width="10.28515625" style="442" customWidth="1"/>
    <col min="781" max="781" width="9.7109375" style="442" customWidth="1"/>
    <col min="782" max="782" width="8.85546875" style="442" customWidth="1"/>
    <col min="783" max="783" width="9" style="442" customWidth="1"/>
    <col min="784" max="784" width="9.5703125" style="442" customWidth="1"/>
    <col min="785" max="785" width="10" style="442" customWidth="1"/>
    <col min="786" max="786" width="7.7109375" style="442" customWidth="1"/>
    <col min="787" max="787" width="6.7109375" style="442" customWidth="1"/>
    <col min="788" max="788" width="9.28515625" style="442" customWidth="1"/>
    <col min="789" max="789" width="10" style="442" customWidth="1"/>
    <col min="790" max="791" width="9.28515625" style="442" customWidth="1"/>
    <col min="792" max="965" width="10.42578125" style="442" bestFit="1" customWidth="1"/>
    <col min="966" max="966" width="10.5703125" style="442" bestFit="1" customWidth="1"/>
    <col min="967" max="988" width="10.42578125" style="442" bestFit="1" customWidth="1"/>
    <col min="989" max="989" width="10.5703125" style="442" bestFit="1" customWidth="1"/>
    <col min="990" max="1024" width="9.140625" style="442"/>
    <col min="1025" max="1025" width="3.7109375" style="442" customWidth="1"/>
    <col min="1026" max="1026" width="26.85546875" style="442" customWidth="1"/>
    <col min="1027" max="1027" width="7.140625" style="442" customWidth="1"/>
    <col min="1028" max="1028" width="8.28515625" style="442" customWidth="1"/>
    <col min="1029" max="1031" width="11" style="442" customWidth="1"/>
    <col min="1032" max="1032" width="9.7109375" style="442" customWidth="1"/>
    <col min="1033" max="1033" width="8.5703125" style="442" customWidth="1"/>
    <col min="1034" max="1034" width="7.85546875" style="442" customWidth="1"/>
    <col min="1035" max="1035" width="9.85546875" style="442" customWidth="1"/>
    <col min="1036" max="1036" width="10.28515625" style="442" customWidth="1"/>
    <col min="1037" max="1037" width="9.7109375" style="442" customWidth="1"/>
    <col min="1038" max="1038" width="8.85546875" style="442" customWidth="1"/>
    <col min="1039" max="1039" width="9" style="442" customWidth="1"/>
    <col min="1040" max="1040" width="9.5703125" style="442" customWidth="1"/>
    <col min="1041" max="1041" width="10" style="442" customWidth="1"/>
    <col min="1042" max="1042" width="7.7109375" style="442" customWidth="1"/>
    <col min="1043" max="1043" width="6.7109375" style="442" customWidth="1"/>
    <col min="1044" max="1044" width="9.28515625" style="442" customWidth="1"/>
    <col min="1045" max="1045" width="10" style="442" customWidth="1"/>
    <col min="1046" max="1047" width="9.28515625" style="442" customWidth="1"/>
    <col min="1048" max="1221" width="10.42578125" style="442" bestFit="1" customWidth="1"/>
    <col min="1222" max="1222" width="10.5703125" style="442" bestFit="1" customWidth="1"/>
    <col min="1223" max="1244" width="10.42578125" style="442" bestFit="1" customWidth="1"/>
    <col min="1245" max="1245" width="10.5703125" style="442" bestFit="1" customWidth="1"/>
    <col min="1246" max="1280" width="9.140625" style="442"/>
    <col min="1281" max="1281" width="3.7109375" style="442" customWidth="1"/>
    <col min="1282" max="1282" width="26.85546875" style="442" customWidth="1"/>
    <col min="1283" max="1283" width="7.140625" style="442" customWidth="1"/>
    <col min="1284" max="1284" width="8.28515625" style="442" customWidth="1"/>
    <col min="1285" max="1287" width="11" style="442" customWidth="1"/>
    <col min="1288" max="1288" width="9.7109375" style="442" customWidth="1"/>
    <col min="1289" max="1289" width="8.5703125" style="442" customWidth="1"/>
    <col min="1290" max="1290" width="7.85546875" style="442" customWidth="1"/>
    <col min="1291" max="1291" width="9.85546875" style="442" customWidth="1"/>
    <col min="1292" max="1292" width="10.28515625" style="442" customWidth="1"/>
    <col min="1293" max="1293" width="9.7109375" style="442" customWidth="1"/>
    <col min="1294" max="1294" width="8.85546875" style="442" customWidth="1"/>
    <col min="1295" max="1295" width="9" style="442" customWidth="1"/>
    <col min="1296" max="1296" width="9.5703125" style="442" customWidth="1"/>
    <col min="1297" max="1297" width="10" style="442" customWidth="1"/>
    <col min="1298" max="1298" width="7.7109375" style="442" customWidth="1"/>
    <col min="1299" max="1299" width="6.7109375" style="442" customWidth="1"/>
    <col min="1300" max="1300" width="9.28515625" style="442" customWidth="1"/>
    <col min="1301" max="1301" width="10" style="442" customWidth="1"/>
    <col min="1302" max="1303" width="9.28515625" style="442" customWidth="1"/>
    <col min="1304" max="1477" width="10.42578125" style="442" bestFit="1" customWidth="1"/>
    <col min="1478" max="1478" width="10.5703125" style="442" bestFit="1" customWidth="1"/>
    <col min="1479" max="1500" width="10.42578125" style="442" bestFit="1" customWidth="1"/>
    <col min="1501" max="1501" width="10.5703125" style="442" bestFit="1" customWidth="1"/>
    <col min="1502" max="1536" width="9.140625" style="442"/>
    <col min="1537" max="1537" width="3.7109375" style="442" customWidth="1"/>
    <col min="1538" max="1538" width="26.85546875" style="442" customWidth="1"/>
    <col min="1539" max="1539" width="7.140625" style="442" customWidth="1"/>
    <col min="1540" max="1540" width="8.28515625" style="442" customWidth="1"/>
    <col min="1541" max="1543" width="11" style="442" customWidth="1"/>
    <col min="1544" max="1544" width="9.7109375" style="442" customWidth="1"/>
    <col min="1545" max="1545" width="8.5703125" style="442" customWidth="1"/>
    <col min="1546" max="1546" width="7.85546875" style="442" customWidth="1"/>
    <col min="1547" max="1547" width="9.85546875" style="442" customWidth="1"/>
    <col min="1548" max="1548" width="10.28515625" style="442" customWidth="1"/>
    <col min="1549" max="1549" width="9.7109375" style="442" customWidth="1"/>
    <col min="1550" max="1550" width="8.85546875" style="442" customWidth="1"/>
    <col min="1551" max="1551" width="9" style="442" customWidth="1"/>
    <col min="1552" max="1552" width="9.5703125" style="442" customWidth="1"/>
    <col min="1553" max="1553" width="10" style="442" customWidth="1"/>
    <col min="1554" max="1554" width="7.7109375" style="442" customWidth="1"/>
    <col min="1555" max="1555" width="6.7109375" style="442" customWidth="1"/>
    <col min="1556" max="1556" width="9.28515625" style="442" customWidth="1"/>
    <col min="1557" max="1557" width="10" style="442" customWidth="1"/>
    <col min="1558" max="1559" width="9.28515625" style="442" customWidth="1"/>
    <col min="1560" max="1733" width="10.42578125" style="442" bestFit="1" customWidth="1"/>
    <col min="1734" max="1734" width="10.5703125" style="442" bestFit="1" customWidth="1"/>
    <col min="1735" max="1756" width="10.42578125" style="442" bestFit="1" customWidth="1"/>
    <col min="1757" max="1757" width="10.5703125" style="442" bestFit="1" customWidth="1"/>
    <col min="1758" max="1792" width="9.140625" style="442"/>
    <col min="1793" max="1793" width="3.7109375" style="442" customWidth="1"/>
    <col min="1794" max="1794" width="26.85546875" style="442" customWidth="1"/>
    <col min="1795" max="1795" width="7.140625" style="442" customWidth="1"/>
    <col min="1796" max="1796" width="8.28515625" style="442" customWidth="1"/>
    <col min="1797" max="1799" width="11" style="442" customWidth="1"/>
    <col min="1800" max="1800" width="9.7109375" style="442" customWidth="1"/>
    <col min="1801" max="1801" width="8.5703125" style="442" customWidth="1"/>
    <col min="1802" max="1802" width="7.85546875" style="442" customWidth="1"/>
    <col min="1803" max="1803" width="9.85546875" style="442" customWidth="1"/>
    <col min="1804" max="1804" width="10.28515625" style="442" customWidth="1"/>
    <col min="1805" max="1805" width="9.7109375" style="442" customWidth="1"/>
    <col min="1806" max="1806" width="8.85546875" style="442" customWidth="1"/>
    <col min="1807" max="1807" width="9" style="442" customWidth="1"/>
    <col min="1808" max="1808" width="9.5703125" style="442" customWidth="1"/>
    <col min="1809" max="1809" width="10" style="442" customWidth="1"/>
    <col min="1810" max="1810" width="7.7109375" style="442" customWidth="1"/>
    <col min="1811" max="1811" width="6.7109375" style="442" customWidth="1"/>
    <col min="1812" max="1812" width="9.28515625" style="442" customWidth="1"/>
    <col min="1813" max="1813" width="10" style="442" customWidth="1"/>
    <col min="1814" max="1815" width="9.28515625" style="442" customWidth="1"/>
    <col min="1816" max="1989" width="10.42578125" style="442" bestFit="1" customWidth="1"/>
    <col min="1990" max="1990" width="10.5703125" style="442" bestFit="1" customWidth="1"/>
    <col min="1991" max="2012" width="10.42578125" style="442" bestFit="1" customWidth="1"/>
    <col min="2013" max="2013" width="10.5703125" style="442" bestFit="1" customWidth="1"/>
    <col min="2014" max="2048" width="9.140625" style="442"/>
    <col min="2049" max="2049" width="3.7109375" style="442" customWidth="1"/>
    <col min="2050" max="2050" width="26.85546875" style="442" customWidth="1"/>
    <col min="2051" max="2051" width="7.140625" style="442" customWidth="1"/>
    <col min="2052" max="2052" width="8.28515625" style="442" customWidth="1"/>
    <col min="2053" max="2055" width="11" style="442" customWidth="1"/>
    <col min="2056" max="2056" width="9.7109375" style="442" customWidth="1"/>
    <col min="2057" max="2057" width="8.5703125" style="442" customWidth="1"/>
    <col min="2058" max="2058" width="7.85546875" style="442" customWidth="1"/>
    <col min="2059" max="2059" width="9.85546875" style="442" customWidth="1"/>
    <col min="2060" max="2060" width="10.28515625" style="442" customWidth="1"/>
    <col min="2061" max="2061" width="9.7109375" style="442" customWidth="1"/>
    <col min="2062" max="2062" width="8.85546875" style="442" customWidth="1"/>
    <col min="2063" max="2063" width="9" style="442" customWidth="1"/>
    <col min="2064" max="2064" width="9.5703125" style="442" customWidth="1"/>
    <col min="2065" max="2065" width="10" style="442" customWidth="1"/>
    <col min="2066" max="2066" width="7.7109375" style="442" customWidth="1"/>
    <col min="2067" max="2067" width="6.7109375" style="442" customWidth="1"/>
    <col min="2068" max="2068" width="9.28515625" style="442" customWidth="1"/>
    <col min="2069" max="2069" width="10" style="442" customWidth="1"/>
    <col min="2070" max="2071" width="9.28515625" style="442" customWidth="1"/>
    <col min="2072" max="2245" width="10.42578125" style="442" bestFit="1" customWidth="1"/>
    <col min="2246" max="2246" width="10.5703125" style="442" bestFit="1" customWidth="1"/>
    <col min="2247" max="2268" width="10.42578125" style="442" bestFit="1" customWidth="1"/>
    <col min="2269" max="2269" width="10.5703125" style="442" bestFit="1" customWidth="1"/>
    <col min="2270" max="2304" width="9.140625" style="442"/>
    <col min="2305" max="2305" width="3.7109375" style="442" customWidth="1"/>
    <col min="2306" max="2306" width="26.85546875" style="442" customWidth="1"/>
    <col min="2307" max="2307" width="7.140625" style="442" customWidth="1"/>
    <col min="2308" max="2308" width="8.28515625" style="442" customWidth="1"/>
    <col min="2309" max="2311" width="11" style="442" customWidth="1"/>
    <col min="2312" max="2312" width="9.7109375" style="442" customWidth="1"/>
    <col min="2313" max="2313" width="8.5703125" style="442" customWidth="1"/>
    <col min="2314" max="2314" width="7.85546875" style="442" customWidth="1"/>
    <col min="2315" max="2315" width="9.85546875" style="442" customWidth="1"/>
    <col min="2316" max="2316" width="10.28515625" style="442" customWidth="1"/>
    <col min="2317" max="2317" width="9.7109375" style="442" customWidth="1"/>
    <col min="2318" max="2318" width="8.85546875" style="442" customWidth="1"/>
    <col min="2319" max="2319" width="9" style="442" customWidth="1"/>
    <col min="2320" max="2320" width="9.5703125" style="442" customWidth="1"/>
    <col min="2321" max="2321" width="10" style="442" customWidth="1"/>
    <col min="2322" max="2322" width="7.7109375" style="442" customWidth="1"/>
    <col min="2323" max="2323" width="6.7109375" style="442" customWidth="1"/>
    <col min="2324" max="2324" width="9.28515625" style="442" customWidth="1"/>
    <col min="2325" max="2325" width="10" style="442" customWidth="1"/>
    <col min="2326" max="2327" width="9.28515625" style="442" customWidth="1"/>
    <col min="2328" max="2501" width="10.42578125" style="442" bestFit="1" customWidth="1"/>
    <col min="2502" max="2502" width="10.5703125" style="442" bestFit="1" customWidth="1"/>
    <col min="2503" max="2524" width="10.42578125" style="442" bestFit="1" customWidth="1"/>
    <col min="2525" max="2525" width="10.5703125" style="442" bestFit="1" customWidth="1"/>
    <col min="2526" max="2560" width="9.140625" style="442"/>
    <col min="2561" max="2561" width="3.7109375" style="442" customWidth="1"/>
    <col min="2562" max="2562" width="26.85546875" style="442" customWidth="1"/>
    <col min="2563" max="2563" width="7.140625" style="442" customWidth="1"/>
    <col min="2564" max="2564" width="8.28515625" style="442" customWidth="1"/>
    <col min="2565" max="2567" width="11" style="442" customWidth="1"/>
    <col min="2568" max="2568" width="9.7109375" style="442" customWidth="1"/>
    <col min="2569" max="2569" width="8.5703125" style="442" customWidth="1"/>
    <col min="2570" max="2570" width="7.85546875" style="442" customWidth="1"/>
    <col min="2571" max="2571" width="9.85546875" style="442" customWidth="1"/>
    <col min="2572" max="2572" width="10.28515625" style="442" customWidth="1"/>
    <col min="2573" max="2573" width="9.7109375" style="442" customWidth="1"/>
    <col min="2574" max="2574" width="8.85546875" style="442" customWidth="1"/>
    <col min="2575" max="2575" width="9" style="442" customWidth="1"/>
    <col min="2576" max="2576" width="9.5703125" style="442" customWidth="1"/>
    <col min="2577" max="2577" width="10" style="442" customWidth="1"/>
    <col min="2578" max="2578" width="7.7109375" style="442" customWidth="1"/>
    <col min="2579" max="2579" width="6.7109375" style="442" customWidth="1"/>
    <col min="2580" max="2580" width="9.28515625" style="442" customWidth="1"/>
    <col min="2581" max="2581" width="10" style="442" customWidth="1"/>
    <col min="2582" max="2583" width="9.28515625" style="442" customWidth="1"/>
    <col min="2584" max="2757" width="10.42578125" style="442" bestFit="1" customWidth="1"/>
    <col min="2758" max="2758" width="10.5703125" style="442" bestFit="1" customWidth="1"/>
    <col min="2759" max="2780" width="10.42578125" style="442" bestFit="1" customWidth="1"/>
    <col min="2781" max="2781" width="10.5703125" style="442" bestFit="1" customWidth="1"/>
    <col min="2782" max="2816" width="9.140625" style="442"/>
    <col min="2817" max="2817" width="3.7109375" style="442" customWidth="1"/>
    <col min="2818" max="2818" width="26.85546875" style="442" customWidth="1"/>
    <col min="2819" max="2819" width="7.140625" style="442" customWidth="1"/>
    <col min="2820" max="2820" width="8.28515625" style="442" customWidth="1"/>
    <col min="2821" max="2823" width="11" style="442" customWidth="1"/>
    <col min="2824" max="2824" width="9.7109375" style="442" customWidth="1"/>
    <col min="2825" max="2825" width="8.5703125" style="442" customWidth="1"/>
    <col min="2826" max="2826" width="7.85546875" style="442" customWidth="1"/>
    <col min="2827" max="2827" width="9.85546875" style="442" customWidth="1"/>
    <col min="2828" max="2828" width="10.28515625" style="442" customWidth="1"/>
    <col min="2829" max="2829" width="9.7109375" style="442" customWidth="1"/>
    <col min="2830" max="2830" width="8.85546875" style="442" customWidth="1"/>
    <col min="2831" max="2831" width="9" style="442" customWidth="1"/>
    <col min="2832" max="2832" width="9.5703125" style="442" customWidth="1"/>
    <col min="2833" max="2833" width="10" style="442" customWidth="1"/>
    <col min="2834" max="2834" width="7.7109375" style="442" customWidth="1"/>
    <col min="2835" max="2835" width="6.7109375" style="442" customWidth="1"/>
    <col min="2836" max="2836" width="9.28515625" style="442" customWidth="1"/>
    <col min="2837" max="2837" width="10" style="442" customWidth="1"/>
    <col min="2838" max="2839" width="9.28515625" style="442" customWidth="1"/>
    <col min="2840" max="3013" width="10.42578125" style="442" bestFit="1" customWidth="1"/>
    <col min="3014" max="3014" width="10.5703125" style="442" bestFit="1" customWidth="1"/>
    <col min="3015" max="3036" width="10.42578125" style="442" bestFit="1" customWidth="1"/>
    <col min="3037" max="3037" width="10.5703125" style="442" bestFit="1" customWidth="1"/>
    <col min="3038" max="3072" width="9.140625" style="442"/>
    <col min="3073" max="3073" width="3.7109375" style="442" customWidth="1"/>
    <col min="3074" max="3074" width="26.85546875" style="442" customWidth="1"/>
    <col min="3075" max="3075" width="7.140625" style="442" customWidth="1"/>
    <col min="3076" max="3076" width="8.28515625" style="442" customWidth="1"/>
    <col min="3077" max="3079" width="11" style="442" customWidth="1"/>
    <col min="3080" max="3080" width="9.7109375" style="442" customWidth="1"/>
    <col min="3081" max="3081" width="8.5703125" style="442" customWidth="1"/>
    <col min="3082" max="3082" width="7.85546875" style="442" customWidth="1"/>
    <col min="3083" max="3083" width="9.85546875" style="442" customWidth="1"/>
    <col min="3084" max="3084" width="10.28515625" style="442" customWidth="1"/>
    <col min="3085" max="3085" width="9.7109375" style="442" customWidth="1"/>
    <col min="3086" max="3086" width="8.85546875" style="442" customWidth="1"/>
    <col min="3087" max="3087" width="9" style="442" customWidth="1"/>
    <col min="3088" max="3088" width="9.5703125" style="442" customWidth="1"/>
    <col min="3089" max="3089" width="10" style="442" customWidth="1"/>
    <col min="3090" max="3090" width="7.7109375" style="442" customWidth="1"/>
    <col min="3091" max="3091" width="6.7109375" style="442" customWidth="1"/>
    <col min="3092" max="3092" width="9.28515625" style="442" customWidth="1"/>
    <col min="3093" max="3093" width="10" style="442" customWidth="1"/>
    <col min="3094" max="3095" width="9.28515625" style="442" customWidth="1"/>
    <col min="3096" max="3269" width="10.42578125" style="442" bestFit="1" customWidth="1"/>
    <col min="3270" max="3270" width="10.5703125" style="442" bestFit="1" customWidth="1"/>
    <col min="3271" max="3292" width="10.42578125" style="442" bestFit="1" customWidth="1"/>
    <col min="3293" max="3293" width="10.5703125" style="442" bestFit="1" customWidth="1"/>
    <col min="3294" max="3328" width="9.140625" style="442"/>
    <col min="3329" max="3329" width="3.7109375" style="442" customWidth="1"/>
    <col min="3330" max="3330" width="26.85546875" style="442" customWidth="1"/>
    <col min="3331" max="3331" width="7.140625" style="442" customWidth="1"/>
    <col min="3332" max="3332" width="8.28515625" style="442" customWidth="1"/>
    <col min="3333" max="3335" width="11" style="442" customWidth="1"/>
    <col min="3336" max="3336" width="9.7109375" style="442" customWidth="1"/>
    <col min="3337" max="3337" width="8.5703125" style="442" customWidth="1"/>
    <col min="3338" max="3338" width="7.85546875" style="442" customWidth="1"/>
    <col min="3339" max="3339" width="9.85546875" style="442" customWidth="1"/>
    <col min="3340" max="3340" width="10.28515625" style="442" customWidth="1"/>
    <col min="3341" max="3341" width="9.7109375" style="442" customWidth="1"/>
    <col min="3342" max="3342" width="8.85546875" style="442" customWidth="1"/>
    <col min="3343" max="3343" width="9" style="442" customWidth="1"/>
    <col min="3344" max="3344" width="9.5703125" style="442" customWidth="1"/>
    <col min="3345" max="3345" width="10" style="442" customWidth="1"/>
    <col min="3346" max="3346" width="7.7109375" style="442" customWidth="1"/>
    <col min="3347" max="3347" width="6.7109375" style="442" customWidth="1"/>
    <col min="3348" max="3348" width="9.28515625" style="442" customWidth="1"/>
    <col min="3349" max="3349" width="10" style="442" customWidth="1"/>
    <col min="3350" max="3351" width="9.28515625" style="442" customWidth="1"/>
    <col min="3352" max="3525" width="10.42578125" style="442" bestFit="1" customWidth="1"/>
    <col min="3526" max="3526" width="10.5703125" style="442" bestFit="1" customWidth="1"/>
    <col min="3527" max="3548" width="10.42578125" style="442" bestFit="1" customWidth="1"/>
    <col min="3549" max="3549" width="10.5703125" style="442" bestFit="1" customWidth="1"/>
    <col min="3550" max="3584" width="9.140625" style="442"/>
    <col min="3585" max="3585" width="3.7109375" style="442" customWidth="1"/>
    <col min="3586" max="3586" width="26.85546875" style="442" customWidth="1"/>
    <col min="3587" max="3587" width="7.140625" style="442" customWidth="1"/>
    <col min="3588" max="3588" width="8.28515625" style="442" customWidth="1"/>
    <col min="3589" max="3591" width="11" style="442" customWidth="1"/>
    <col min="3592" max="3592" width="9.7109375" style="442" customWidth="1"/>
    <col min="3593" max="3593" width="8.5703125" style="442" customWidth="1"/>
    <col min="3594" max="3594" width="7.85546875" style="442" customWidth="1"/>
    <col min="3595" max="3595" width="9.85546875" style="442" customWidth="1"/>
    <col min="3596" max="3596" width="10.28515625" style="442" customWidth="1"/>
    <col min="3597" max="3597" width="9.7109375" style="442" customWidth="1"/>
    <col min="3598" max="3598" width="8.85546875" style="442" customWidth="1"/>
    <col min="3599" max="3599" width="9" style="442" customWidth="1"/>
    <col min="3600" max="3600" width="9.5703125" style="442" customWidth="1"/>
    <col min="3601" max="3601" width="10" style="442" customWidth="1"/>
    <col min="3602" max="3602" width="7.7109375" style="442" customWidth="1"/>
    <col min="3603" max="3603" width="6.7109375" style="442" customWidth="1"/>
    <col min="3604" max="3604" width="9.28515625" style="442" customWidth="1"/>
    <col min="3605" max="3605" width="10" style="442" customWidth="1"/>
    <col min="3606" max="3607" width="9.28515625" style="442" customWidth="1"/>
    <col min="3608" max="3781" width="10.42578125" style="442" bestFit="1" customWidth="1"/>
    <col min="3782" max="3782" width="10.5703125" style="442" bestFit="1" customWidth="1"/>
    <col min="3783" max="3804" width="10.42578125" style="442" bestFit="1" customWidth="1"/>
    <col min="3805" max="3805" width="10.5703125" style="442" bestFit="1" customWidth="1"/>
    <col min="3806" max="3840" width="9.140625" style="442"/>
    <col min="3841" max="3841" width="3.7109375" style="442" customWidth="1"/>
    <col min="3842" max="3842" width="26.85546875" style="442" customWidth="1"/>
    <col min="3843" max="3843" width="7.140625" style="442" customWidth="1"/>
    <col min="3844" max="3844" width="8.28515625" style="442" customWidth="1"/>
    <col min="3845" max="3847" width="11" style="442" customWidth="1"/>
    <col min="3848" max="3848" width="9.7109375" style="442" customWidth="1"/>
    <col min="3849" max="3849" width="8.5703125" style="442" customWidth="1"/>
    <col min="3850" max="3850" width="7.85546875" style="442" customWidth="1"/>
    <col min="3851" max="3851" width="9.85546875" style="442" customWidth="1"/>
    <col min="3852" max="3852" width="10.28515625" style="442" customWidth="1"/>
    <col min="3853" max="3853" width="9.7109375" style="442" customWidth="1"/>
    <col min="3854" max="3854" width="8.85546875" style="442" customWidth="1"/>
    <col min="3855" max="3855" width="9" style="442" customWidth="1"/>
    <col min="3856" max="3856" width="9.5703125" style="442" customWidth="1"/>
    <col min="3857" max="3857" width="10" style="442" customWidth="1"/>
    <col min="3858" max="3858" width="7.7109375" style="442" customWidth="1"/>
    <col min="3859" max="3859" width="6.7109375" style="442" customWidth="1"/>
    <col min="3860" max="3860" width="9.28515625" style="442" customWidth="1"/>
    <col min="3861" max="3861" width="10" style="442" customWidth="1"/>
    <col min="3862" max="3863" width="9.28515625" style="442" customWidth="1"/>
    <col min="3864" max="4037" width="10.42578125" style="442" bestFit="1" customWidth="1"/>
    <col min="4038" max="4038" width="10.5703125" style="442" bestFit="1" customWidth="1"/>
    <col min="4039" max="4060" width="10.42578125" style="442" bestFit="1" customWidth="1"/>
    <col min="4061" max="4061" width="10.5703125" style="442" bestFit="1" customWidth="1"/>
    <col min="4062" max="4096" width="9.140625" style="442"/>
    <col min="4097" max="4097" width="3.7109375" style="442" customWidth="1"/>
    <col min="4098" max="4098" width="26.85546875" style="442" customWidth="1"/>
    <col min="4099" max="4099" width="7.140625" style="442" customWidth="1"/>
    <col min="4100" max="4100" width="8.28515625" style="442" customWidth="1"/>
    <col min="4101" max="4103" width="11" style="442" customWidth="1"/>
    <col min="4104" max="4104" width="9.7109375" style="442" customWidth="1"/>
    <col min="4105" max="4105" width="8.5703125" style="442" customWidth="1"/>
    <col min="4106" max="4106" width="7.85546875" style="442" customWidth="1"/>
    <col min="4107" max="4107" width="9.85546875" style="442" customWidth="1"/>
    <col min="4108" max="4108" width="10.28515625" style="442" customWidth="1"/>
    <col min="4109" max="4109" width="9.7109375" style="442" customWidth="1"/>
    <col min="4110" max="4110" width="8.85546875" style="442" customWidth="1"/>
    <col min="4111" max="4111" width="9" style="442" customWidth="1"/>
    <col min="4112" max="4112" width="9.5703125" style="442" customWidth="1"/>
    <col min="4113" max="4113" width="10" style="442" customWidth="1"/>
    <col min="4114" max="4114" width="7.7109375" style="442" customWidth="1"/>
    <col min="4115" max="4115" width="6.7109375" style="442" customWidth="1"/>
    <col min="4116" max="4116" width="9.28515625" style="442" customWidth="1"/>
    <col min="4117" max="4117" width="10" style="442" customWidth="1"/>
    <col min="4118" max="4119" width="9.28515625" style="442" customWidth="1"/>
    <col min="4120" max="4293" width="10.42578125" style="442" bestFit="1" customWidth="1"/>
    <col min="4294" max="4294" width="10.5703125" style="442" bestFit="1" customWidth="1"/>
    <col min="4295" max="4316" width="10.42578125" style="442" bestFit="1" customWidth="1"/>
    <col min="4317" max="4317" width="10.5703125" style="442" bestFit="1" customWidth="1"/>
    <col min="4318" max="4352" width="9.140625" style="442"/>
    <col min="4353" max="4353" width="3.7109375" style="442" customWidth="1"/>
    <col min="4354" max="4354" width="26.85546875" style="442" customWidth="1"/>
    <col min="4355" max="4355" width="7.140625" style="442" customWidth="1"/>
    <col min="4356" max="4356" width="8.28515625" style="442" customWidth="1"/>
    <col min="4357" max="4359" width="11" style="442" customWidth="1"/>
    <col min="4360" max="4360" width="9.7109375" style="442" customWidth="1"/>
    <col min="4361" max="4361" width="8.5703125" style="442" customWidth="1"/>
    <col min="4362" max="4362" width="7.85546875" style="442" customWidth="1"/>
    <col min="4363" max="4363" width="9.85546875" style="442" customWidth="1"/>
    <col min="4364" max="4364" width="10.28515625" style="442" customWidth="1"/>
    <col min="4365" max="4365" width="9.7109375" style="442" customWidth="1"/>
    <col min="4366" max="4366" width="8.85546875" style="442" customWidth="1"/>
    <col min="4367" max="4367" width="9" style="442" customWidth="1"/>
    <col min="4368" max="4368" width="9.5703125" style="442" customWidth="1"/>
    <col min="4369" max="4369" width="10" style="442" customWidth="1"/>
    <col min="4370" max="4370" width="7.7109375" style="442" customWidth="1"/>
    <col min="4371" max="4371" width="6.7109375" style="442" customWidth="1"/>
    <col min="4372" max="4372" width="9.28515625" style="442" customWidth="1"/>
    <col min="4373" max="4373" width="10" style="442" customWidth="1"/>
    <col min="4374" max="4375" width="9.28515625" style="442" customWidth="1"/>
    <col min="4376" max="4549" width="10.42578125" style="442" bestFit="1" customWidth="1"/>
    <col min="4550" max="4550" width="10.5703125" style="442" bestFit="1" customWidth="1"/>
    <col min="4551" max="4572" width="10.42578125" style="442" bestFit="1" customWidth="1"/>
    <col min="4573" max="4573" width="10.5703125" style="442" bestFit="1" customWidth="1"/>
    <col min="4574" max="4608" width="9.140625" style="442"/>
    <col min="4609" max="4609" width="3.7109375" style="442" customWidth="1"/>
    <col min="4610" max="4610" width="26.85546875" style="442" customWidth="1"/>
    <col min="4611" max="4611" width="7.140625" style="442" customWidth="1"/>
    <col min="4612" max="4612" width="8.28515625" style="442" customWidth="1"/>
    <col min="4613" max="4615" width="11" style="442" customWidth="1"/>
    <col min="4616" max="4616" width="9.7109375" style="442" customWidth="1"/>
    <col min="4617" max="4617" width="8.5703125" style="442" customWidth="1"/>
    <col min="4618" max="4618" width="7.85546875" style="442" customWidth="1"/>
    <col min="4619" max="4619" width="9.85546875" style="442" customWidth="1"/>
    <col min="4620" max="4620" width="10.28515625" style="442" customWidth="1"/>
    <col min="4621" max="4621" width="9.7109375" style="442" customWidth="1"/>
    <col min="4622" max="4622" width="8.85546875" style="442" customWidth="1"/>
    <col min="4623" max="4623" width="9" style="442" customWidth="1"/>
    <col min="4624" max="4624" width="9.5703125" style="442" customWidth="1"/>
    <col min="4625" max="4625" width="10" style="442" customWidth="1"/>
    <col min="4626" max="4626" width="7.7109375" style="442" customWidth="1"/>
    <col min="4627" max="4627" width="6.7109375" style="442" customWidth="1"/>
    <col min="4628" max="4628" width="9.28515625" style="442" customWidth="1"/>
    <col min="4629" max="4629" width="10" style="442" customWidth="1"/>
    <col min="4630" max="4631" width="9.28515625" style="442" customWidth="1"/>
    <col min="4632" max="4805" width="10.42578125" style="442" bestFit="1" customWidth="1"/>
    <col min="4806" max="4806" width="10.5703125" style="442" bestFit="1" customWidth="1"/>
    <col min="4807" max="4828" width="10.42578125" style="442" bestFit="1" customWidth="1"/>
    <col min="4829" max="4829" width="10.5703125" style="442" bestFit="1" customWidth="1"/>
    <col min="4830" max="4864" width="9.140625" style="442"/>
    <col min="4865" max="4865" width="3.7109375" style="442" customWidth="1"/>
    <col min="4866" max="4866" width="26.85546875" style="442" customWidth="1"/>
    <col min="4867" max="4867" width="7.140625" style="442" customWidth="1"/>
    <col min="4868" max="4868" width="8.28515625" style="442" customWidth="1"/>
    <col min="4869" max="4871" width="11" style="442" customWidth="1"/>
    <col min="4872" max="4872" width="9.7109375" style="442" customWidth="1"/>
    <col min="4873" max="4873" width="8.5703125" style="442" customWidth="1"/>
    <col min="4874" max="4874" width="7.85546875" style="442" customWidth="1"/>
    <col min="4875" max="4875" width="9.85546875" style="442" customWidth="1"/>
    <col min="4876" max="4876" width="10.28515625" style="442" customWidth="1"/>
    <col min="4877" max="4877" width="9.7109375" style="442" customWidth="1"/>
    <col min="4878" max="4878" width="8.85546875" style="442" customWidth="1"/>
    <col min="4879" max="4879" width="9" style="442" customWidth="1"/>
    <col min="4880" max="4880" width="9.5703125" style="442" customWidth="1"/>
    <col min="4881" max="4881" width="10" style="442" customWidth="1"/>
    <col min="4882" max="4882" width="7.7109375" style="442" customWidth="1"/>
    <col min="4883" max="4883" width="6.7109375" style="442" customWidth="1"/>
    <col min="4884" max="4884" width="9.28515625" style="442" customWidth="1"/>
    <col min="4885" max="4885" width="10" style="442" customWidth="1"/>
    <col min="4886" max="4887" width="9.28515625" style="442" customWidth="1"/>
    <col min="4888" max="5061" width="10.42578125" style="442" bestFit="1" customWidth="1"/>
    <col min="5062" max="5062" width="10.5703125" style="442" bestFit="1" customWidth="1"/>
    <col min="5063" max="5084" width="10.42578125" style="442" bestFit="1" customWidth="1"/>
    <col min="5085" max="5085" width="10.5703125" style="442" bestFit="1" customWidth="1"/>
    <col min="5086" max="5120" width="9.140625" style="442"/>
    <col min="5121" max="5121" width="3.7109375" style="442" customWidth="1"/>
    <col min="5122" max="5122" width="26.85546875" style="442" customWidth="1"/>
    <col min="5123" max="5123" width="7.140625" style="442" customWidth="1"/>
    <col min="5124" max="5124" width="8.28515625" style="442" customWidth="1"/>
    <col min="5125" max="5127" width="11" style="442" customWidth="1"/>
    <col min="5128" max="5128" width="9.7109375" style="442" customWidth="1"/>
    <col min="5129" max="5129" width="8.5703125" style="442" customWidth="1"/>
    <col min="5130" max="5130" width="7.85546875" style="442" customWidth="1"/>
    <col min="5131" max="5131" width="9.85546875" style="442" customWidth="1"/>
    <col min="5132" max="5132" width="10.28515625" style="442" customWidth="1"/>
    <col min="5133" max="5133" width="9.7109375" style="442" customWidth="1"/>
    <col min="5134" max="5134" width="8.85546875" style="442" customWidth="1"/>
    <col min="5135" max="5135" width="9" style="442" customWidth="1"/>
    <col min="5136" max="5136" width="9.5703125" style="442" customWidth="1"/>
    <col min="5137" max="5137" width="10" style="442" customWidth="1"/>
    <col min="5138" max="5138" width="7.7109375" style="442" customWidth="1"/>
    <col min="5139" max="5139" width="6.7109375" style="442" customWidth="1"/>
    <col min="5140" max="5140" width="9.28515625" style="442" customWidth="1"/>
    <col min="5141" max="5141" width="10" style="442" customWidth="1"/>
    <col min="5142" max="5143" width="9.28515625" style="442" customWidth="1"/>
    <col min="5144" max="5317" width="10.42578125" style="442" bestFit="1" customWidth="1"/>
    <col min="5318" max="5318" width="10.5703125" style="442" bestFit="1" customWidth="1"/>
    <col min="5319" max="5340" width="10.42578125" style="442" bestFit="1" customWidth="1"/>
    <col min="5341" max="5341" width="10.5703125" style="442" bestFit="1" customWidth="1"/>
    <col min="5342" max="5376" width="9.140625" style="442"/>
    <col min="5377" max="5377" width="3.7109375" style="442" customWidth="1"/>
    <col min="5378" max="5378" width="26.85546875" style="442" customWidth="1"/>
    <col min="5379" max="5379" width="7.140625" style="442" customWidth="1"/>
    <col min="5380" max="5380" width="8.28515625" style="442" customWidth="1"/>
    <col min="5381" max="5383" width="11" style="442" customWidth="1"/>
    <col min="5384" max="5384" width="9.7109375" style="442" customWidth="1"/>
    <col min="5385" max="5385" width="8.5703125" style="442" customWidth="1"/>
    <col min="5386" max="5386" width="7.85546875" style="442" customWidth="1"/>
    <col min="5387" max="5387" width="9.85546875" style="442" customWidth="1"/>
    <col min="5388" max="5388" width="10.28515625" style="442" customWidth="1"/>
    <col min="5389" max="5389" width="9.7109375" style="442" customWidth="1"/>
    <col min="5390" max="5390" width="8.85546875" style="442" customWidth="1"/>
    <col min="5391" max="5391" width="9" style="442" customWidth="1"/>
    <col min="5392" max="5392" width="9.5703125" style="442" customWidth="1"/>
    <col min="5393" max="5393" width="10" style="442" customWidth="1"/>
    <col min="5394" max="5394" width="7.7109375" style="442" customWidth="1"/>
    <col min="5395" max="5395" width="6.7109375" style="442" customWidth="1"/>
    <col min="5396" max="5396" width="9.28515625" style="442" customWidth="1"/>
    <col min="5397" max="5397" width="10" style="442" customWidth="1"/>
    <col min="5398" max="5399" width="9.28515625" style="442" customWidth="1"/>
    <col min="5400" max="5573" width="10.42578125" style="442" bestFit="1" customWidth="1"/>
    <col min="5574" max="5574" width="10.5703125" style="442" bestFit="1" customWidth="1"/>
    <col min="5575" max="5596" width="10.42578125" style="442" bestFit="1" customWidth="1"/>
    <col min="5597" max="5597" width="10.5703125" style="442" bestFit="1" customWidth="1"/>
    <col min="5598" max="5632" width="9.140625" style="442"/>
    <col min="5633" max="5633" width="3.7109375" style="442" customWidth="1"/>
    <col min="5634" max="5634" width="26.85546875" style="442" customWidth="1"/>
    <col min="5635" max="5635" width="7.140625" style="442" customWidth="1"/>
    <col min="5636" max="5636" width="8.28515625" style="442" customWidth="1"/>
    <col min="5637" max="5639" width="11" style="442" customWidth="1"/>
    <col min="5640" max="5640" width="9.7109375" style="442" customWidth="1"/>
    <col min="5641" max="5641" width="8.5703125" style="442" customWidth="1"/>
    <col min="5642" max="5642" width="7.85546875" style="442" customWidth="1"/>
    <col min="5643" max="5643" width="9.85546875" style="442" customWidth="1"/>
    <col min="5644" max="5644" width="10.28515625" style="442" customWidth="1"/>
    <col min="5645" max="5645" width="9.7109375" style="442" customWidth="1"/>
    <col min="5646" max="5646" width="8.85546875" style="442" customWidth="1"/>
    <col min="5647" max="5647" width="9" style="442" customWidth="1"/>
    <col min="5648" max="5648" width="9.5703125" style="442" customWidth="1"/>
    <col min="5649" max="5649" width="10" style="442" customWidth="1"/>
    <col min="5650" max="5650" width="7.7109375" style="442" customWidth="1"/>
    <col min="5651" max="5651" width="6.7109375" style="442" customWidth="1"/>
    <col min="5652" max="5652" width="9.28515625" style="442" customWidth="1"/>
    <col min="5653" max="5653" width="10" style="442" customWidth="1"/>
    <col min="5654" max="5655" width="9.28515625" style="442" customWidth="1"/>
    <col min="5656" max="5829" width="10.42578125" style="442" bestFit="1" customWidth="1"/>
    <col min="5830" max="5830" width="10.5703125" style="442" bestFit="1" customWidth="1"/>
    <col min="5831" max="5852" width="10.42578125" style="442" bestFit="1" customWidth="1"/>
    <col min="5853" max="5853" width="10.5703125" style="442" bestFit="1" customWidth="1"/>
    <col min="5854" max="5888" width="9.140625" style="442"/>
    <col min="5889" max="5889" width="3.7109375" style="442" customWidth="1"/>
    <col min="5890" max="5890" width="26.85546875" style="442" customWidth="1"/>
    <col min="5891" max="5891" width="7.140625" style="442" customWidth="1"/>
    <col min="5892" max="5892" width="8.28515625" style="442" customWidth="1"/>
    <col min="5893" max="5895" width="11" style="442" customWidth="1"/>
    <col min="5896" max="5896" width="9.7109375" style="442" customWidth="1"/>
    <col min="5897" max="5897" width="8.5703125" style="442" customWidth="1"/>
    <col min="5898" max="5898" width="7.85546875" style="442" customWidth="1"/>
    <col min="5899" max="5899" width="9.85546875" style="442" customWidth="1"/>
    <col min="5900" max="5900" width="10.28515625" style="442" customWidth="1"/>
    <col min="5901" max="5901" width="9.7109375" style="442" customWidth="1"/>
    <col min="5902" max="5902" width="8.85546875" style="442" customWidth="1"/>
    <col min="5903" max="5903" width="9" style="442" customWidth="1"/>
    <col min="5904" max="5904" width="9.5703125" style="442" customWidth="1"/>
    <col min="5905" max="5905" width="10" style="442" customWidth="1"/>
    <col min="5906" max="5906" width="7.7109375" style="442" customWidth="1"/>
    <col min="5907" max="5907" width="6.7109375" style="442" customWidth="1"/>
    <col min="5908" max="5908" width="9.28515625" style="442" customWidth="1"/>
    <col min="5909" max="5909" width="10" style="442" customWidth="1"/>
    <col min="5910" max="5911" width="9.28515625" style="442" customWidth="1"/>
    <col min="5912" max="6085" width="10.42578125" style="442" bestFit="1" customWidth="1"/>
    <col min="6086" max="6086" width="10.5703125" style="442" bestFit="1" customWidth="1"/>
    <col min="6087" max="6108" width="10.42578125" style="442" bestFit="1" customWidth="1"/>
    <col min="6109" max="6109" width="10.5703125" style="442" bestFit="1" customWidth="1"/>
    <col min="6110" max="6144" width="9.140625" style="442"/>
    <col min="6145" max="6145" width="3.7109375" style="442" customWidth="1"/>
    <col min="6146" max="6146" width="26.85546875" style="442" customWidth="1"/>
    <col min="6147" max="6147" width="7.140625" style="442" customWidth="1"/>
    <col min="6148" max="6148" width="8.28515625" style="442" customWidth="1"/>
    <col min="6149" max="6151" width="11" style="442" customWidth="1"/>
    <col min="6152" max="6152" width="9.7109375" style="442" customWidth="1"/>
    <col min="6153" max="6153" width="8.5703125" style="442" customWidth="1"/>
    <col min="6154" max="6154" width="7.85546875" style="442" customWidth="1"/>
    <col min="6155" max="6155" width="9.85546875" style="442" customWidth="1"/>
    <col min="6156" max="6156" width="10.28515625" style="442" customWidth="1"/>
    <col min="6157" max="6157" width="9.7109375" style="442" customWidth="1"/>
    <col min="6158" max="6158" width="8.85546875" style="442" customWidth="1"/>
    <col min="6159" max="6159" width="9" style="442" customWidth="1"/>
    <col min="6160" max="6160" width="9.5703125" style="442" customWidth="1"/>
    <col min="6161" max="6161" width="10" style="442" customWidth="1"/>
    <col min="6162" max="6162" width="7.7109375" style="442" customWidth="1"/>
    <col min="6163" max="6163" width="6.7109375" style="442" customWidth="1"/>
    <col min="6164" max="6164" width="9.28515625" style="442" customWidth="1"/>
    <col min="6165" max="6165" width="10" style="442" customWidth="1"/>
    <col min="6166" max="6167" width="9.28515625" style="442" customWidth="1"/>
    <col min="6168" max="6341" width="10.42578125" style="442" bestFit="1" customWidth="1"/>
    <col min="6342" max="6342" width="10.5703125" style="442" bestFit="1" customWidth="1"/>
    <col min="6343" max="6364" width="10.42578125" style="442" bestFit="1" customWidth="1"/>
    <col min="6365" max="6365" width="10.5703125" style="442" bestFit="1" customWidth="1"/>
    <col min="6366" max="6400" width="9.140625" style="442"/>
    <col min="6401" max="6401" width="3.7109375" style="442" customWidth="1"/>
    <col min="6402" max="6402" width="26.85546875" style="442" customWidth="1"/>
    <col min="6403" max="6403" width="7.140625" style="442" customWidth="1"/>
    <col min="6404" max="6404" width="8.28515625" style="442" customWidth="1"/>
    <col min="6405" max="6407" width="11" style="442" customWidth="1"/>
    <col min="6408" max="6408" width="9.7109375" style="442" customWidth="1"/>
    <col min="6409" max="6409" width="8.5703125" style="442" customWidth="1"/>
    <col min="6410" max="6410" width="7.85546875" style="442" customWidth="1"/>
    <col min="6411" max="6411" width="9.85546875" style="442" customWidth="1"/>
    <col min="6412" max="6412" width="10.28515625" style="442" customWidth="1"/>
    <col min="6413" max="6413" width="9.7109375" style="442" customWidth="1"/>
    <col min="6414" max="6414" width="8.85546875" style="442" customWidth="1"/>
    <col min="6415" max="6415" width="9" style="442" customWidth="1"/>
    <col min="6416" max="6416" width="9.5703125" style="442" customWidth="1"/>
    <col min="6417" max="6417" width="10" style="442" customWidth="1"/>
    <col min="6418" max="6418" width="7.7109375" style="442" customWidth="1"/>
    <col min="6419" max="6419" width="6.7109375" style="442" customWidth="1"/>
    <col min="6420" max="6420" width="9.28515625" style="442" customWidth="1"/>
    <col min="6421" max="6421" width="10" style="442" customWidth="1"/>
    <col min="6422" max="6423" width="9.28515625" style="442" customWidth="1"/>
    <col min="6424" max="6597" width="10.42578125" style="442" bestFit="1" customWidth="1"/>
    <col min="6598" max="6598" width="10.5703125" style="442" bestFit="1" customWidth="1"/>
    <col min="6599" max="6620" width="10.42578125" style="442" bestFit="1" customWidth="1"/>
    <col min="6621" max="6621" width="10.5703125" style="442" bestFit="1" customWidth="1"/>
    <col min="6622" max="6656" width="9.140625" style="442"/>
    <col min="6657" max="6657" width="3.7109375" style="442" customWidth="1"/>
    <col min="6658" max="6658" width="26.85546875" style="442" customWidth="1"/>
    <col min="6659" max="6659" width="7.140625" style="442" customWidth="1"/>
    <col min="6660" max="6660" width="8.28515625" style="442" customWidth="1"/>
    <col min="6661" max="6663" width="11" style="442" customWidth="1"/>
    <col min="6664" max="6664" width="9.7109375" style="442" customWidth="1"/>
    <col min="6665" max="6665" width="8.5703125" style="442" customWidth="1"/>
    <col min="6666" max="6666" width="7.85546875" style="442" customWidth="1"/>
    <col min="6667" max="6667" width="9.85546875" style="442" customWidth="1"/>
    <col min="6668" max="6668" width="10.28515625" style="442" customWidth="1"/>
    <col min="6669" max="6669" width="9.7109375" style="442" customWidth="1"/>
    <col min="6670" max="6670" width="8.85546875" style="442" customWidth="1"/>
    <col min="6671" max="6671" width="9" style="442" customWidth="1"/>
    <col min="6672" max="6672" width="9.5703125" style="442" customWidth="1"/>
    <col min="6673" max="6673" width="10" style="442" customWidth="1"/>
    <col min="6674" max="6674" width="7.7109375" style="442" customWidth="1"/>
    <col min="6675" max="6675" width="6.7109375" style="442" customWidth="1"/>
    <col min="6676" max="6676" width="9.28515625" style="442" customWidth="1"/>
    <col min="6677" max="6677" width="10" style="442" customWidth="1"/>
    <col min="6678" max="6679" width="9.28515625" style="442" customWidth="1"/>
    <col min="6680" max="6853" width="10.42578125" style="442" bestFit="1" customWidth="1"/>
    <col min="6854" max="6854" width="10.5703125" style="442" bestFit="1" customWidth="1"/>
    <col min="6855" max="6876" width="10.42578125" style="442" bestFit="1" customWidth="1"/>
    <col min="6877" max="6877" width="10.5703125" style="442" bestFit="1" customWidth="1"/>
    <col min="6878" max="6912" width="9.140625" style="442"/>
    <col min="6913" max="6913" width="3.7109375" style="442" customWidth="1"/>
    <col min="6914" max="6914" width="26.85546875" style="442" customWidth="1"/>
    <col min="6915" max="6915" width="7.140625" style="442" customWidth="1"/>
    <col min="6916" max="6916" width="8.28515625" style="442" customWidth="1"/>
    <col min="6917" max="6919" width="11" style="442" customWidth="1"/>
    <col min="6920" max="6920" width="9.7109375" style="442" customWidth="1"/>
    <col min="6921" max="6921" width="8.5703125" style="442" customWidth="1"/>
    <col min="6922" max="6922" width="7.85546875" style="442" customWidth="1"/>
    <col min="6923" max="6923" width="9.85546875" style="442" customWidth="1"/>
    <col min="6924" max="6924" width="10.28515625" style="442" customWidth="1"/>
    <col min="6925" max="6925" width="9.7109375" style="442" customWidth="1"/>
    <col min="6926" max="6926" width="8.85546875" style="442" customWidth="1"/>
    <col min="6927" max="6927" width="9" style="442" customWidth="1"/>
    <col min="6928" max="6928" width="9.5703125" style="442" customWidth="1"/>
    <col min="6929" max="6929" width="10" style="442" customWidth="1"/>
    <col min="6930" max="6930" width="7.7109375" style="442" customWidth="1"/>
    <col min="6931" max="6931" width="6.7109375" style="442" customWidth="1"/>
    <col min="6932" max="6932" width="9.28515625" style="442" customWidth="1"/>
    <col min="6933" max="6933" width="10" style="442" customWidth="1"/>
    <col min="6934" max="6935" width="9.28515625" style="442" customWidth="1"/>
    <col min="6936" max="7109" width="10.42578125" style="442" bestFit="1" customWidth="1"/>
    <col min="7110" max="7110" width="10.5703125" style="442" bestFit="1" customWidth="1"/>
    <col min="7111" max="7132" width="10.42578125" style="442" bestFit="1" customWidth="1"/>
    <col min="7133" max="7133" width="10.5703125" style="442" bestFit="1" customWidth="1"/>
    <col min="7134" max="7168" width="9.140625" style="442"/>
    <col min="7169" max="7169" width="3.7109375" style="442" customWidth="1"/>
    <col min="7170" max="7170" width="26.85546875" style="442" customWidth="1"/>
    <col min="7171" max="7171" width="7.140625" style="442" customWidth="1"/>
    <col min="7172" max="7172" width="8.28515625" style="442" customWidth="1"/>
    <col min="7173" max="7175" width="11" style="442" customWidth="1"/>
    <col min="7176" max="7176" width="9.7109375" style="442" customWidth="1"/>
    <col min="7177" max="7177" width="8.5703125" style="442" customWidth="1"/>
    <col min="7178" max="7178" width="7.85546875" style="442" customWidth="1"/>
    <col min="7179" max="7179" width="9.85546875" style="442" customWidth="1"/>
    <col min="7180" max="7180" width="10.28515625" style="442" customWidth="1"/>
    <col min="7181" max="7181" width="9.7109375" style="442" customWidth="1"/>
    <col min="7182" max="7182" width="8.85546875" style="442" customWidth="1"/>
    <col min="7183" max="7183" width="9" style="442" customWidth="1"/>
    <col min="7184" max="7184" width="9.5703125" style="442" customWidth="1"/>
    <col min="7185" max="7185" width="10" style="442" customWidth="1"/>
    <col min="7186" max="7186" width="7.7109375" style="442" customWidth="1"/>
    <col min="7187" max="7187" width="6.7109375" style="442" customWidth="1"/>
    <col min="7188" max="7188" width="9.28515625" style="442" customWidth="1"/>
    <col min="7189" max="7189" width="10" style="442" customWidth="1"/>
    <col min="7190" max="7191" width="9.28515625" style="442" customWidth="1"/>
    <col min="7192" max="7365" width="10.42578125" style="442" bestFit="1" customWidth="1"/>
    <col min="7366" max="7366" width="10.5703125" style="442" bestFit="1" customWidth="1"/>
    <col min="7367" max="7388" width="10.42578125" style="442" bestFit="1" customWidth="1"/>
    <col min="7389" max="7389" width="10.5703125" style="442" bestFit="1" customWidth="1"/>
    <col min="7390" max="7424" width="9.140625" style="442"/>
    <col min="7425" max="7425" width="3.7109375" style="442" customWidth="1"/>
    <col min="7426" max="7426" width="26.85546875" style="442" customWidth="1"/>
    <col min="7427" max="7427" width="7.140625" style="442" customWidth="1"/>
    <col min="7428" max="7428" width="8.28515625" style="442" customWidth="1"/>
    <col min="7429" max="7431" width="11" style="442" customWidth="1"/>
    <col min="7432" max="7432" width="9.7109375" style="442" customWidth="1"/>
    <col min="7433" max="7433" width="8.5703125" style="442" customWidth="1"/>
    <col min="7434" max="7434" width="7.85546875" style="442" customWidth="1"/>
    <col min="7435" max="7435" width="9.85546875" style="442" customWidth="1"/>
    <col min="7436" max="7436" width="10.28515625" style="442" customWidth="1"/>
    <col min="7437" max="7437" width="9.7109375" style="442" customWidth="1"/>
    <col min="7438" max="7438" width="8.85546875" style="442" customWidth="1"/>
    <col min="7439" max="7439" width="9" style="442" customWidth="1"/>
    <col min="7440" max="7440" width="9.5703125" style="442" customWidth="1"/>
    <col min="7441" max="7441" width="10" style="442" customWidth="1"/>
    <col min="7442" max="7442" width="7.7109375" style="442" customWidth="1"/>
    <col min="7443" max="7443" width="6.7109375" style="442" customWidth="1"/>
    <col min="7444" max="7444" width="9.28515625" style="442" customWidth="1"/>
    <col min="7445" max="7445" width="10" style="442" customWidth="1"/>
    <col min="7446" max="7447" width="9.28515625" style="442" customWidth="1"/>
    <col min="7448" max="7621" width="10.42578125" style="442" bestFit="1" customWidth="1"/>
    <col min="7622" max="7622" width="10.5703125" style="442" bestFit="1" customWidth="1"/>
    <col min="7623" max="7644" width="10.42578125" style="442" bestFit="1" customWidth="1"/>
    <col min="7645" max="7645" width="10.5703125" style="442" bestFit="1" customWidth="1"/>
    <col min="7646" max="7680" width="9.140625" style="442"/>
    <col min="7681" max="7681" width="3.7109375" style="442" customWidth="1"/>
    <col min="7682" max="7682" width="26.85546875" style="442" customWidth="1"/>
    <col min="7683" max="7683" width="7.140625" style="442" customWidth="1"/>
    <col min="7684" max="7684" width="8.28515625" style="442" customWidth="1"/>
    <col min="7685" max="7687" width="11" style="442" customWidth="1"/>
    <col min="7688" max="7688" width="9.7109375" style="442" customWidth="1"/>
    <col min="7689" max="7689" width="8.5703125" style="442" customWidth="1"/>
    <col min="7690" max="7690" width="7.85546875" style="442" customWidth="1"/>
    <col min="7691" max="7691" width="9.85546875" style="442" customWidth="1"/>
    <col min="7692" max="7692" width="10.28515625" style="442" customWidth="1"/>
    <col min="7693" max="7693" width="9.7109375" style="442" customWidth="1"/>
    <col min="7694" max="7694" width="8.85546875" style="442" customWidth="1"/>
    <col min="7695" max="7695" width="9" style="442" customWidth="1"/>
    <col min="7696" max="7696" width="9.5703125" style="442" customWidth="1"/>
    <col min="7697" max="7697" width="10" style="442" customWidth="1"/>
    <col min="7698" max="7698" width="7.7109375" style="442" customWidth="1"/>
    <col min="7699" max="7699" width="6.7109375" style="442" customWidth="1"/>
    <col min="7700" max="7700" width="9.28515625" style="442" customWidth="1"/>
    <col min="7701" max="7701" width="10" style="442" customWidth="1"/>
    <col min="7702" max="7703" width="9.28515625" style="442" customWidth="1"/>
    <col min="7704" max="7877" width="10.42578125" style="442" bestFit="1" customWidth="1"/>
    <col min="7878" max="7878" width="10.5703125" style="442" bestFit="1" customWidth="1"/>
    <col min="7879" max="7900" width="10.42578125" style="442" bestFit="1" customWidth="1"/>
    <col min="7901" max="7901" width="10.5703125" style="442" bestFit="1" customWidth="1"/>
    <col min="7902" max="7936" width="9.140625" style="442"/>
    <col min="7937" max="7937" width="3.7109375" style="442" customWidth="1"/>
    <col min="7938" max="7938" width="26.85546875" style="442" customWidth="1"/>
    <col min="7939" max="7939" width="7.140625" style="442" customWidth="1"/>
    <col min="7940" max="7940" width="8.28515625" style="442" customWidth="1"/>
    <col min="7941" max="7943" width="11" style="442" customWidth="1"/>
    <col min="7944" max="7944" width="9.7109375" style="442" customWidth="1"/>
    <col min="7945" max="7945" width="8.5703125" style="442" customWidth="1"/>
    <col min="7946" max="7946" width="7.85546875" style="442" customWidth="1"/>
    <col min="7947" max="7947" width="9.85546875" style="442" customWidth="1"/>
    <col min="7948" max="7948" width="10.28515625" style="442" customWidth="1"/>
    <col min="7949" max="7949" width="9.7109375" style="442" customWidth="1"/>
    <col min="7950" max="7950" width="8.85546875" style="442" customWidth="1"/>
    <col min="7951" max="7951" width="9" style="442" customWidth="1"/>
    <col min="7952" max="7952" width="9.5703125" style="442" customWidth="1"/>
    <col min="7953" max="7953" width="10" style="442" customWidth="1"/>
    <col min="7954" max="7954" width="7.7109375" style="442" customWidth="1"/>
    <col min="7955" max="7955" width="6.7109375" style="442" customWidth="1"/>
    <col min="7956" max="7956" width="9.28515625" style="442" customWidth="1"/>
    <col min="7957" max="7957" width="10" style="442" customWidth="1"/>
    <col min="7958" max="7959" width="9.28515625" style="442" customWidth="1"/>
    <col min="7960" max="8133" width="10.42578125" style="442" bestFit="1" customWidth="1"/>
    <col min="8134" max="8134" width="10.5703125" style="442" bestFit="1" customWidth="1"/>
    <col min="8135" max="8156" width="10.42578125" style="442" bestFit="1" customWidth="1"/>
    <col min="8157" max="8157" width="10.5703125" style="442" bestFit="1" customWidth="1"/>
    <col min="8158" max="8192" width="9.140625" style="442"/>
    <col min="8193" max="8193" width="3.7109375" style="442" customWidth="1"/>
    <col min="8194" max="8194" width="26.85546875" style="442" customWidth="1"/>
    <col min="8195" max="8195" width="7.140625" style="442" customWidth="1"/>
    <col min="8196" max="8196" width="8.28515625" style="442" customWidth="1"/>
    <col min="8197" max="8199" width="11" style="442" customWidth="1"/>
    <col min="8200" max="8200" width="9.7109375" style="442" customWidth="1"/>
    <col min="8201" max="8201" width="8.5703125" style="442" customWidth="1"/>
    <col min="8202" max="8202" width="7.85546875" style="442" customWidth="1"/>
    <col min="8203" max="8203" width="9.85546875" style="442" customWidth="1"/>
    <col min="8204" max="8204" width="10.28515625" style="442" customWidth="1"/>
    <col min="8205" max="8205" width="9.7109375" style="442" customWidth="1"/>
    <col min="8206" max="8206" width="8.85546875" style="442" customWidth="1"/>
    <col min="8207" max="8207" width="9" style="442" customWidth="1"/>
    <col min="8208" max="8208" width="9.5703125" style="442" customWidth="1"/>
    <col min="8209" max="8209" width="10" style="442" customWidth="1"/>
    <col min="8210" max="8210" width="7.7109375" style="442" customWidth="1"/>
    <col min="8211" max="8211" width="6.7109375" style="442" customWidth="1"/>
    <col min="8212" max="8212" width="9.28515625" style="442" customWidth="1"/>
    <col min="8213" max="8213" width="10" style="442" customWidth="1"/>
    <col min="8214" max="8215" width="9.28515625" style="442" customWidth="1"/>
    <col min="8216" max="8389" width="10.42578125" style="442" bestFit="1" customWidth="1"/>
    <col min="8390" max="8390" width="10.5703125" style="442" bestFit="1" customWidth="1"/>
    <col min="8391" max="8412" width="10.42578125" style="442" bestFit="1" customWidth="1"/>
    <col min="8413" max="8413" width="10.5703125" style="442" bestFit="1" customWidth="1"/>
    <col min="8414" max="8448" width="9.140625" style="442"/>
    <col min="8449" max="8449" width="3.7109375" style="442" customWidth="1"/>
    <col min="8450" max="8450" width="26.85546875" style="442" customWidth="1"/>
    <col min="8451" max="8451" width="7.140625" style="442" customWidth="1"/>
    <col min="8452" max="8452" width="8.28515625" style="442" customWidth="1"/>
    <col min="8453" max="8455" width="11" style="442" customWidth="1"/>
    <col min="8456" max="8456" width="9.7109375" style="442" customWidth="1"/>
    <col min="8457" max="8457" width="8.5703125" style="442" customWidth="1"/>
    <col min="8458" max="8458" width="7.85546875" style="442" customWidth="1"/>
    <col min="8459" max="8459" width="9.85546875" style="442" customWidth="1"/>
    <col min="8460" max="8460" width="10.28515625" style="442" customWidth="1"/>
    <col min="8461" max="8461" width="9.7109375" style="442" customWidth="1"/>
    <col min="8462" max="8462" width="8.85546875" style="442" customWidth="1"/>
    <col min="8463" max="8463" width="9" style="442" customWidth="1"/>
    <col min="8464" max="8464" width="9.5703125" style="442" customWidth="1"/>
    <col min="8465" max="8465" width="10" style="442" customWidth="1"/>
    <col min="8466" max="8466" width="7.7109375" style="442" customWidth="1"/>
    <col min="8467" max="8467" width="6.7109375" style="442" customWidth="1"/>
    <col min="8468" max="8468" width="9.28515625" style="442" customWidth="1"/>
    <col min="8469" max="8469" width="10" style="442" customWidth="1"/>
    <col min="8470" max="8471" width="9.28515625" style="442" customWidth="1"/>
    <col min="8472" max="8645" width="10.42578125" style="442" bestFit="1" customWidth="1"/>
    <col min="8646" max="8646" width="10.5703125" style="442" bestFit="1" customWidth="1"/>
    <col min="8647" max="8668" width="10.42578125" style="442" bestFit="1" customWidth="1"/>
    <col min="8669" max="8669" width="10.5703125" style="442" bestFit="1" customWidth="1"/>
    <col min="8670" max="8704" width="9.140625" style="442"/>
    <col min="8705" max="8705" width="3.7109375" style="442" customWidth="1"/>
    <col min="8706" max="8706" width="26.85546875" style="442" customWidth="1"/>
    <col min="8707" max="8707" width="7.140625" style="442" customWidth="1"/>
    <col min="8708" max="8708" width="8.28515625" style="442" customWidth="1"/>
    <col min="8709" max="8711" width="11" style="442" customWidth="1"/>
    <col min="8712" max="8712" width="9.7109375" style="442" customWidth="1"/>
    <col min="8713" max="8713" width="8.5703125" style="442" customWidth="1"/>
    <col min="8714" max="8714" width="7.85546875" style="442" customWidth="1"/>
    <col min="8715" max="8715" width="9.85546875" style="442" customWidth="1"/>
    <col min="8716" max="8716" width="10.28515625" style="442" customWidth="1"/>
    <col min="8717" max="8717" width="9.7109375" style="442" customWidth="1"/>
    <col min="8718" max="8718" width="8.85546875" style="442" customWidth="1"/>
    <col min="8719" max="8719" width="9" style="442" customWidth="1"/>
    <col min="8720" max="8720" width="9.5703125" style="442" customWidth="1"/>
    <col min="8721" max="8721" width="10" style="442" customWidth="1"/>
    <col min="8722" max="8722" width="7.7109375" style="442" customWidth="1"/>
    <col min="8723" max="8723" width="6.7109375" style="442" customWidth="1"/>
    <col min="8724" max="8724" width="9.28515625" style="442" customWidth="1"/>
    <col min="8725" max="8725" width="10" style="442" customWidth="1"/>
    <col min="8726" max="8727" width="9.28515625" style="442" customWidth="1"/>
    <col min="8728" max="8901" width="10.42578125" style="442" bestFit="1" customWidth="1"/>
    <col min="8902" max="8902" width="10.5703125" style="442" bestFit="1" customWidth="1"/>
    <col min="8903" max="8924" width="10.42578125" style="442" bestFit="1" customWidth="1"/>
    <col min="8925" max="8925" width="10.5703125" style="442" bestFit="1" customWidth="1"/>
    <col min="8926" max="8960" width="9.140625" style="442"/>
    <col min="8961" max="8961" width="3.7109375" style="442" customWidth="1"/>
    <col min="8962" max="8962" width="26.85546875" style="442" customWidth="1"/>
    <col min="8963" max="8963" width="7.140625" style="442" customWidth="1"/>
    <col min="8964" max="8964" width="8.28515625" style="442" customWidth="1"/>
    <col min="8965" max="8967" width="11" style="442" customWidth="1"/>
    <col min="8968" max="8968" width="9.7109375" style="442" customWidth="1"/>
    <col min="8969" max="8969" width="8.5703125" style="442" customWidth="1"/>
    <col min="8970" max="8970" width="7.85546875" style="442" customWidth="1"/>
    <col min="8971" max="8971" width="9.85546875" style="442" customWidth="1"/>
    <col min="8972" max="8972" width="10.28515625" style="442" customWidth="1"/>
    <col min="8973" max="8973" width="9.7109375" style="442" customWidth="1"/>
    <col min="8974" max="8974" width="8.85546875" style="442" customWidth="1"/>
    <col min="8975" max="8975" width="9" style="442" customWidth="1"/>
    <col min="8976" max="8976" width="9.5703125" style="442" customWidth="1"/>
    <col min="8977" max="8977" width="10" style="442" customWidth="1"/>
    <col min="8978" max="8978" width="7.7109375" style="442" customWidth="1"/>
    <col min="8979" max="8979" width="6.7109375" style="442" customWidth="1"/>
    <col min="8980" max="8980" width="9.28515625" style="442" customWidth="1"/>
    <col min="8981" max="8981" width="10" style="442" customWidth="1"/>
    <col min="8982" max="8983" width="9.28515625" style="442" customWidth="1"/>
    <col min="8984" max="9157" width="10.42578125" style="442" bestFit="1" customWidth="1"/>
    <col min="9158" max="9158" width="10.5703125" style="442" bestFit="1" customWidth="1"/>
    <col min="9159" max="9180" width="10.42578125" style="442" bestFit="1" customWidth="1"/>
    <col min="9181" max="9181" width="10.5703125" style="442" bestFit="1" customWidth="1"/>
    <col min="9182" max="9216" width="9.140625" style="442"/>
    <col min="9217" max="9217" width="3.7109375" style="442" customWidth="1"/>
    <col min="9218" max="9218" width="26.85546875" style="442" customWidth="1"/>
    <col min="9219" max="9219" width="7.140625" style="442" customWidth="1"/>
    <col min="9220" max="9220" width="8.28515625" style="442" customWidth="1"/>
    <col min="9221" max="9223" width="11" style="442" customWidth="1"/>
    <col min="9224" max="9224" width="9.7109375" style="442" customWidth="1"/>
    <col min="9225" max="9225" width="8.5703125" style="442" customWidth="1"/>
    <col min="9226" max="9226" width="7.85546875" style="442" customWidth="1"/>
    <col min="9227" max="9227" width="9.85546875" style="442" customWidth="1"/>
    <col min="9228" max="9228" width="10.28515625" style="442" customWidth="1"/>
    <col min="9229" max="9229" width="9.7109375" style="442" customWidth="1"/>
    <col min="9230" max="9230" width="8.85546875" style="442" customWidth="1"/>
    <col min="9231" max="9231" width="9" style="442" customWidth="1"/>
    <col min="9232" max="9232" width="9.5703125" style="442" customWidth="1"/>
    <col min="9233" max="9233" width="10" style="442" customWidth="1"/>
    <col min="9234" max="9234" width="7.7109375" style="442" customWidth="1"/>
    <col min="9235" max="9235" width="6.7109375" style="442" customWidth="1"/>
    <col min="9236" max="9236" width="9.28515625" style="442" customWidth="1"/>
    <col min="9237" max="9237" width="10" style="442" customWidth="1"/>
    <col min="9238" max="9239" width="9.28515625" style="442" customWidth="1"/>
    <col min="9240" max="9413" width="10.42578125" style="442" bestFit="1" customWidth="1"/>
    <col min="9414" max="9414" width="10.5703125" style="442" bestFit="1" customWidth="1"/>
    <col min="9415" max="9436" width="10.42578125" style="442" bestFit="1" customWidth="1"/>
    <col min="9437" max="9437" width="10.5703125" style="442" bestFit="1" customWidth="1"/>
    <col min="9438" max="9472" width="9.140625" style="442"/>
    <col min="9473" max="9473" width="3.7109375" style="442" customWidth="1"/>
    <col min="9474" max="9474" width="26.85546875" style="442" customWidth="1"/>
    <col min="9475" max="9475" width="7.140625" style="442" customWidth="1"/>
    <col min="9476" max="9476" width="8.28515625" style="442" customWidth="1"/>
    <col min="9477" max="9479" width="11" style="442" customWidth="1"/>
    <col min="9480" max="9480" width="9.7109375" style="442" customWidth="1"/>
    <col min="9481" max="9481" width="8.5703125" style="442" customWidth="1"/>
    <col min="9482" max="9482" width="7.85546875" style="442" customWidth="1"/>
    <col min="9483" max="9483" width="9.85546875" style="442" customWidth="1"/>
    <col min="9484" max="9484" width="10.28515625" style="442" customWidth="1"/>
    <col min="9485" max="9485" width="9.7109375" style="442" customWidth="1"/>
    <col min="9486" max="9486" width="8.85546875" style="442" customWidth="1"/>
    <col min="9487" max="9487" width="9" style="442" customWidth="1"/>
    <col min="9488" max="9488" width="9.5703125" style="442" customWidth="1"/>
    <col min="9489" max="9489" width="10" style="442" customWidth="1"/>
    <col min="9490" max="9490" width="7.7109375" style="442" customWidth="1"/>
    <col min="9491" max="9491" width="6.7109375" style="442" customWidth="1"/>
    <col min="9492" max="9492" width="9.28515625" style="442" customWidth="1"/>
    <col min="9493" max="9493" width="10" style="442" customWidth="1"/>
    <col min="9494" max="9495" width="9.28515625" style="442" customWidth="1"/>
    <col min="9496" max="9669" width="10.42578125" style="442" bestFit="1" customWidth="1"/>
    <col min="9670" max="9670" width="10.5703125" style="442" bestFit="1" customWidth="1"/>
    <col min="9671" max="9692" width="10.42578125" style="442" bestFit="1" customWidth="1"/>
    <col min="9693" max="9693" width="10.5703125" style="442" bestFit="1" customWidth="1"/>
    <col min="9694" max="9728" width="9.140625" style="442"/>
    <col min="9729" max="9729" width="3.7109375" style="442" customWidth="1"/>
    <col min="9730" max="9730" width="26.85546875" style="442" customWidth="1"/>
    <col min="9731" max="9731" width="7.140625" style="442" customWidth="1"/>
    <col min="9732" max="9732" width="8.28515625" style="442" customWidth="1"/>
    <col min="9733" max="9735" width="11" style="442" customWidth="1"/>
    <col min="9736" max="9736" width="9.7109375" style="442" customWidth="1"/>
    <col min="9737" max="9737" width="8.5703125" style="442" customWidth="1"/>
    <col min="9738" max="9738" width="7.85546875" style="442" customWidth="1"/>
    <col min="9739" max="9739" width="9.85546875" style="442" customWidth="1"/>
    <col min="9740" max="9740" width="10.28515625" style="442" customWidth="1"/>
    <col min="9741" max="9741" width="9.7109375" style="442" customWidth="1"/>
    <col min="9742" max="9742" width="8.85546875" style="442" customWidth="1"/>
    <col min="9743" max="9743" width="9" style="442" customWidth="1"/>
    <col min="9744" max="9744" width="9.5703125" style="442" customWidth="1"/>
    <col min="9745" max="9745" width="10" style="442" customWidth="1"/>
    <col min="9746" max="9746" width="7.7109375" style="442" customWidth="1"/>
    <col min="9747" max="9747" width="6.7109375" style="442" customWidth="1"/>
    <col min="9748" max="9748" width="9.28515625" style="442" customWidth="1"/>
    <col min="9749" max="9749" width="10" style="442" customWidth="1"/>
    <col min="9750" max="9751" width="9.28515625" style="442" customWidth="1"/>
    <col min="9752" max="9925" width="10.42578125" style="442" bestFit="1" customWidth="1"/>
    <col min="9926" max="9926" width="10.5703125" style="442" bestFit="1" customWidth="1"/>
    <col min="9927" max="9948" width="10.42578125" style="442" bestFit="1" customWidth="1"/>
    <col min="9949" max="9949" width="10.5703125" style="442" bestFit="1" customWidth="1"/>
    <col min="9950" max="9984" width="9.140625" style="442"/>
    <col min="9985" max="9985" width="3.7109375" style="442" customWidth="1"/>
    <col min="9986" max="9986" width="26.85546875" style="442" customWidth="1"/>
    <col min="9987" max="9987" width="7.140625" style="442" customWidth="1"/>
    <col min="9988" max="9988" width="8.28515625" style="442" customWidth="1"/>
    <col min="9989" max="9991" width="11" style="442" customWidth="1"/>
    <col min="9992" max="9992" width="9.7109375" style="442" customWidth="1"/>
    <col min="9993" max="9993" width="8.5703125" style="442" customWidth="1"/>
    <col min="9994" max="9994" width="7.85546875" style="442" customWidth="1"/>
    <col min="9995" max="9995" width="9.85546875" style="442" customWidth="1"/>
    <col min="9996" max="9996" width="10.28515625" style="442" customWidth="1"/>
    <col min="9997" max="9997" width="9.7109375" style="442" customWidth="1"/>
    <col min="9998" max="9998" width="8.85546875" style="442" customWidth="1"/>
    <col min="9999" max="9999" width="9" style="442" customWidth="1"/>
    <col min="10000" max="10000" width="9.5703125" style="442" customWidth="1"/>
    <col min="10001" max="10001" width="10" style="442" customWidth="1"/>
    <col min="10002" max="10002" width="7.7109375" style="442" customWidth="1"/>
    <col min="10003" max="10003" width="6.7109375" style="442" customWidth="1"/>
    <col min="10004" max="10004" width="9.28515625" style="442" customWidth="1"/>
    <col min="10005" max="10005" width="10" style="442" customWidth="1"/>
    <col min="10006" max="10007" width="9.28515625" style="442" customWidth="1"/>
    <col min="10008" max="10181" width="10.42578125" style="442" bestFit="1" customWidth="1"/>
    <col min="10182" max="10182" width="10.5703125" style="442" bestFit="1" customWidth="1"/>
    <col min="10183" max="10204" width="10.42578125" style="442" bestFit="1" customWidth="1"/>
    <col min="10205" max="10205" width="10.5703125" style="442" bestFit="1" customWidth="1"/>
    <col min="10206" max="10240" width="9.140625" style="442"/>
    <col min="10241" max="10241" width="3.7109375" style="442" customWidth="1"/>
    <col min="10242" max="10242" width="26.85546875" style="442" customWidth="1"/>
    <col min="10243" max="10243" width="7.140625" style="442" customWidth="1"/>
    <col min="10244" max="10244" width="8.28515625" style="442" customWidth="1"/>
    <col min="10245" max="10247" width="11" style="442" customWidth="1"/>
    <col min="10248" max="10248" width="9.7109375" style="442" customWidth="1"/>
    <col min="10249" max="10249" width="8.5703125" style="442" customWidth="1"/>
    <col min="10250" max="10250" width="7.85546875" style="442" customWidth="1"/>
    <col min="10251" max="10251" width="9.85546875" style="442" customWidth="1"/>
    <col min="10252" max="10252" width="10.28515625" style="442" customWidth="1"/>
    <col min="10253" max="10253" width="9.7109375" style="442" customWidth="1"/>
    <col min="10254" max="10254" width="8.85546875" style="442" customWidth="1"/>
    <col min="10255" max="10255" width="9" style="442" customWidth="1"/>
    <col min="10256" max="10256" width="9.5703125" style="442" customWidth="1"/>
    <col min="10257" max="10257" width="10" style="442" customWidth="1"/>
    <col min="10258" max="10258" width="7.7109375" style="442" customWidth="1"/>
    <col min="10259" max="10259" width="6.7109375" style="442" customWidth="1"/>
    <col min="10260" max="10260" width="9.28515625" style="442" customWidth="1"/>
    <col min="10261" max="10261" width="10" style="442" customWidth="1"/>
    <col min="10262" max="10263" width="9.28515625" style="442" customWidth="1"/>
    <col min="10264" max="10437" width="10.42578125" style="442" bestFit="1" customWidth="1"/>
    <col min="10438" max="10438" width="10.5703125" style="442" bestFit="1" customWidth="1"/>
    <col min="10439" max="10460" width="10.42578125" style="442" bestFit="1" customWidth="1"/>
    <col min="10461" max="10461" width="10.5703125" style="442" bestFit="1" customWidth="1"/>
    <col min="10462" max="10496" width="9.140625" style="442"/>
    <col min="10497" max="10497" width="3.7109375" style="442" customWidth="1"/>
    <col min="10498" max="10498" width="26.85546875" style="442" customWidth="1"/>
    <col min="10499" max="10499" width="7.140625" style="442" customWidth="1"/>
    <col min="10500" max="10500" width="8.28515625" style="442" customWidth="1"/>
    <col min="10501" max="10503" width="11" style="442" customWidth="1"/>
    <col min="10504" max="10504" width="9.7109375" style="442" customWidth="1"/>
    <col min="10505" max="10505" width="8.5703125" style="442" customWidth="1"/>
    <col min="10506" max="10506" width="7.85546875" style="442" customWidth="1"/>
    <col min="10507" max="10507" width="9.85546875" style="442" customWidth="1"/>
    <col min="10508" max="10508" width="10.28515625" style="442" customWidth="1"/>
    <col min="10509" max="10509" width="9.7109375" style="442" customWidth="1"/>
    <col min="10510" max="10510" width="8.85546875" style="442" customWidth="1"/>
    <col min="10511" max="10511" width="9" style="442" customWidth="1"/>
    <col min="10512" max="10512" width="9.5703125" style="442" customWidth="1"/>
    <col min="10513" max="10513" width="10" style="442" customWidth="1"/>
    <col min="10514" max="10514" width="7.7109375" style="442" customWidth="1"/>
    <col min="10515" max="10515" width="6.7109375" style="442" customWidth="1"/>
    <col min="10516" max="10516" width="9.28515625" style="442" customWidth="1"/>
    <col min="10517" max="10517" width="10" style="442" customWidth="1"/>
    <col min="10518" max="10519" width="9.28515625" style="442" customWidth="1"/>
    <col min="10520" max="10693" width="10.42578125" style="442" bestFit="1" customWidth="1"/>
    <col min="10694" max="10694" width="10.5703125" style="442" bestFit="1" customWidth="1"/>
    <col min="10695" max="10716" width="10.42578125" style="442" bestFit="1" customWidth="1"/>
    <col min="10717" max="10717" width="10.5703125" style="442" bestFit="1" customWidth="1"/>
    <col min="10718" max="10752" width="9.140625" style="442"/>
    <col min="10753" max="10753" width="3.7109375" style="442" customWidth="1"/>
    <col min="10754" max="10754" width="26.85546875" style="442" customWidth="1"/>
    <col min="10755" max="10755" width="7.140625" style="442" customWidth="1"/>
    <col min="10756" max="10756" width="8.28515625" style="442" customWidth="1"/>
    <col min="10757" max="10759" width="11" style="442" customWidth="1"/>
    <col min="10760" max="10760" width="9.7109375" style="442" customWidth="1"/>
    <col min="10761" max="10761" width="8.5703125" style="442" customWidth="1"/>
    <col min="10762" max="10762" width="7.85546875" style="442" customWidth="1"/>
    <col min="10763" max="10763" width="9.85546875" style="442" customWidth="1"/>
    <col min="10764" max="10764" width="10.28515625" style="442" customWidth="1"/>
    <col min="10765" max="10765" width="9.7109375" style="442" customWidth="1"/>
    <col min="10766" max="10766" width="8.85546875" style="442" customWidth="1"/>
    <col min="10767" max="10767" width="9" style="442" customWidth="1"/>
    <col min="10768" max="10768" width="9.5703125" style="442" customWidth="1"/>
    <col min="10769" max="10769" width="10" style="442" customWidth="1"/>
    <col min="10770" max="10770" width="7.7109375" style="442" customWidth="1"/>
    <col min="10771" max="10771" width="6.7109375" style="442" customWidth="1"/>
    <col min="10772" max="10772" width="9.28515625" style="442" customWidth="1"/>
    <col min="10773" max="10773" width="10" style="442" customWidth="1"/>
    <col min="10774" max="10775" width="9.28515625" style="442" customWidth="1"/>
    <col min="10776" max="10949" width="10.42578125" style="442" bestFit="1" customWidth="1"/>
    <col min="10950" max="10950" width="10.5703125" style="442" bestFit="1" customWidth="1"/>
    <col min="10951" max="10972" width="10.42578125" style="442" bestFit="1" customWidth="1"/>
    <col min="10973" max="10973" width="10.5703125" style="442" bestFit="1" customWidth="1"/>
    <col min="10974" max="11008" width="9.140625" style="442"/>
    <col min="11009" max="11009" width="3.7109375" style="442" customWidth="1"/>
    <col min="11010" max="11010" width="26.85546875" style="442" customWidth="1"/>
    <col min="11011" max="11011" width="7.140625" style="442" customWidth="1"/>
    <col min="11012" max="11012" width="8.28515625" style="442" customWidth="1"/>
    <col min="11013" max="11015" width="11" style="442" customWidth="1"/>
    <col min="11016" max="11016" width="9.7109375" style="442" customWidth="1"/>
    <col min="11017" max="11017" width="8.5703125" style="442" customWidth="1"/>
    <col min="11018" max="11018" width="7.85546875" style="442" customWidth="1"/>
    <col min="11019" max="11019" width="9.85546875" style="442" customWidth="1"/>
    <col min="11020" max="11020" width="10.28515625" style="442" customWidth="1"/>
    <col min="11021" max="11021" width="9.7109375" style="442" customWidth="1"/>
    <col min="11022" max="11022" width="8.85546875" style="442" customWidth="1"/>
    <col min="11023" max="11023" width="9" style="442" customWidth="1"/>
    <col min="11024" max="11024" width="9.5703125" style="442" customWidth="1"/>
    <col min="11025" max="11025" width="10" style="442" customWidth="1"/>
    <col min="11026" max="11026" width="7.7109375" style="442" customWidth="1"/>
    <col min="11027" max="11027" width="6.7109375" style="442" customWidth="1"/>
    <col min="11028" max="11028" width="9.28515625" style="442" customWidth="1"/>
    <col min="11029" max="11029" width="10" style="442" customWidth="1"/>
    <col min="11030" max="11031" width="9.28515625" style="442" customWidth="1"/>
    <col min="11032" max="11205" width="10.42578125" style="442" bestFit="1" customWidth="1"/>
    <col min="11206" max="11206" width="10.5703125" style="442" bestFit="1" customWidth="1"/>
    <col min="11207" max="11228" width="10.42578125" style="442" bestFit="1" customWidth="1"/>
    <col min="11229" max="11229" width="10.5703125" style="442" bestFit="1" customWidth="1"/>
    <col min="11230" max="11264" width="9.140625" style="442"/>
    <col min="11265" max="11265" width="3.7109375" style="442" customWidth="1"/>
    <col min="11266" max="11266" width="26.85546875" style="442" customWidth="1"/>
    <col min="11267" max="11267" width="7.140625" style="442" customWidth="1"/>
    <col min="11268" max="11268" width="8.28515625" style="442" customWidth="1"/>
    <col min="11269" max="11271" width="11" style="442" customWidth="1"/>
    <col min="11272" max="11272" width="9.7109375" style="442" customWidth="1"/>
    <col min="11273" max="11273" width="8.5703125" style="442" customWidth="1"/>
    <col min="11274" max="11274" width="7.85546875" style="442" customWidth="1"/>
    <col min="11275" max="11275" width="9.85546875" style="442" customWidth="1"/>
    <col min="11276" max="11276" width="10.28515625" style="442" customWidth="1"/>
    <col min="11277" max="11277" width="9.7109375" style="442" customWidth="1"/>
    <col min="11278" max="11278" width="8.85546875" style="442" customWidth="1"/>
    <col min="11279" max="11279" width="9" style="442" customWidth="1"/>
    <col min="11280" max="11280" width="9.5703125" style="442" customWidth="1"/>
    <col min="11281" max="11281" width="10" style="442" customWidth="1"/>
    <col min="11282" max="11282" width="7.7109375" style="442" customWidth="1"/>
    <col min="11283" max="11283" width="6.7109375" style="442" customWidth="1"/>
    <col min="11284" max="11284" width="9.28515625" style="442" customWidth="1"/>
    <col min="11285" max="11285" width="10" style="442" customWidth="1"/>
    <col min="11286" max="11287" width="9.28515625" style="442" customWidth="1"/>
    <col min="11288" max="11461" width="10.42578125" style="442" bestFit="1" customWidth="1"/>
    <col min="11462" max="11462" width="10.5703125" style="442" bestFit="1" customWidth="1"/>
    <col min="11463" max="11484" width="10.42578125" style="442" bestFit="1" customWidth="1"/>
    <col min="11485" max="11485" width="10.5703125" style="442" bestFit="1" customWidth="1"/>
    <col min="11486" max="11520" width="9.140625" style="442"/>
    <col min="11521" max="11521" width="3.7109375" style="442" customWidth="1"/>
    <col min="11522" max="11522" width="26.85546875" style="442" customWidth="1"/>
    <col min="11523" max="11523" width="7.140625" style="442" customWidth="1"/>
    <col min="11524" max="11524" width="8.28515625" style="442" customWidth="1"/>
    <col min="11525" max="11527" width="11" style="442" customWidth="1"/>
    <col min="11528" max="11528" width="9.7109375" style="442" customWidth="1"/>
    <col min="11529" max="11529" width="8.5703125" style="442" customWidth="1"/>
    <col min="11530" max="11530" width="7.85546875" style="442" customWidth="1"/>
    <col min="11531" max="11531" width="9.85546875" style="442" customWidth="1"/>
    <col min="11532" max="11532" width="10.28515625" style="442" customWidth="1"/>
    <col min="11533" max="11533" width="9.7109375" style="442" customWidth="1"/>
    <col min="11534" max="11534" width="8.85546875" style="442" customWidth="1"/>
    <col min="11535" max="11535" width="9" style="442" customWidth="1"/>
    <col min="11536" max="11536" width="9.5703125" style="442" customWidth="1"/>
    <col min="11537" max="11537" width="10" style="442" customWidth="1"/>
    <col min="11538" max="11538" width="7.7109375" style="442" customWidth="1"/>
    <col min="11539" max="11539" width="6.7109375" style="442" customWidth="1"/>
    <col min="11540" max="11540" width="9.28515625" style="442" customWidth="1"/>
    <col min="11541" max="11541" width="10" style="442" customWidth="1"/>
    <col min="11542" max="11543" width="9.28515625" style="442" customWidth="1"/>
    <col min="11544" max="11717" width="10.42578125" style="442" bestFit="1" customWidth="1"/>
    <col min="11718" max="11718" width="10.5703125" style="442" bestFit="1" customWidth="1"/>
    <col min="11719" max="11740" width="10.42578125" style="442" bestFit="1" customWidth="1"/>
    <col min="11741" max="11741" width="10.5703125" style="442" bestFit="1" customWidth="1"/>
    <col min="11742" max="11776" width="9.140625" style="442"/>
    <col min="11777" max="11777" width="3.7109375" style="442" customWidth="1"/>
    <col min="11778" max="11778" width="26.85546875" style="442" customWidth="1"/>
    <col min="11779" max="11779" width="7.140625" style="442" customWidth="1"/>
    <col min="11780" max="11780" width="8.28515625" style="442" customWidth="1"/>
    <col min="11781" max="11783" width="11" style="442" customWidth="1"/>
    <col min="11784" max="11784" width="9.7109375" style="442" customWidth="1"/>
    <col min="11785" max="11785" width="8.5703125" style="442" customWidth="1"/>
    <col min="11786" max="11786" width="7.85546875" style="442" customWidth="1"/>
    <col min="11787" max="11787" width="9.85546875" style="442" customWidth="1"/>
    <col min="11788" max="11788" width="10.28515625" style="442" customWidth="1"/>
    <col min="11789" max="11789" width="9.7109375" style="442" customWidth="1"/>
    <col min="11790" max="11790" width="8.85546875" style="442" customWidth="1"/>
    <col min="11791" max="11791" width="9" style="442" customWidth="1"/>
    <col min="11792" max="11792" width="9.5703125" style="442" customWidth="1"/>
    <col min="11793" max="11793" width="10" style="442" customWidth="1"/>
    <col min="11794" max="11794" width="7.7109375" style="442" customWidth="1"/>
    <col min="11795" max="11795" width="6.7109375" style="442" customWidth="1"/>
    <col min="11796" max="11796" width="9.28515625" style="442" customWidth="1"/>
    <col min="11797" max="11797" width="10" style="442" customWidth="1"/>
    <col min="11798" max="11799" width="9.28515625" style="442" customWidth="1"/>
    <col min="11800" max="11973" width="10.42578125" style="442" bestFit="1" customWidth="1"/>
    <col min="11974" max="11974" width="10.5703125" style="442" bestFit="1" customWidth="1"/>
    <col min="11975" max="11996" width="10.42578125" style="442" bestFit="1" customWidth="1"/>
    <col min="11997" max="11997" width="10.5703125" style="442" bestFit="1" customWidth="1"/>
    <col min="11998" max="12032" width="9.140625" style="442"/>
    <col min="12033" max="12033" width="3.7109375" style="442" customWidth="1"/>
    <col min="12034" max="12034" width="26.85546875" style="442" customWidth="1"/>
    <col min="12035" max="12035" width="7.140625" style="442" customWidth="1"/>
    <col min="12036" max="12036" width="8.28515625" style="442" customWidth="1"/>
    <col min="12037" max="12039" width="11" style="442" customWidth="1"/>
    <col min="12040" max="12040" width="9.7109375" style="442" customWidth="1"/>
    <col min="12041" max="12041" width="8.5703125" style="442" customWidth="1"/>
    <col min="12042" max="12042" width="7.85546875" style="442" customWidth="1"/>
    <col min="12043" max="12043" width="9.85546875" style="442" customWidth="1"/>
    <col min="12044" max="12044" width="10.28515625" style="442" customWidth="1"/>
    <col min="12045" max="12045" width="9.7109375" style="442" customWidth="1"/>
    <col min="12046" max="12046" width="8.85546875" style="442" customWidth="1"/>
    <col min="12047" max="12047" width="9" style="442" customWidth="1"/>
    <col min="12048" max="12048" width="9.5703125" style="442" customWidth="1"/>
    <col min="12049" max="12049" width="10" style="442" customWidth="1"/>
    <col min="12050" max="12050" width="7.7109375" style="442" customWidth="1"/>
    <col min="12051" max="12051" width="6.7109375" style="442" customWidth="1"/>
    <col min="12052" max="12052" width="9.28515625" style="442" customWidth="1"/>
    <col min="12053" max="12053" width="10" style="442" customWidth="1"/>
    <col min="12054" max="12055" width="9.28515625" style="442" customWidth="1"/>
    <col min="12056" max="12229" width="10.42578125" style="442" bestFit="1" customWidth="1"/>
    <col min="12230" max="12230" width="10.5703125" style="442" bestFit="1" customWidth="1"/>
    <col min="12231" max="12252" width="10.42578125" style="442" bestFit="1" customWidth="1"/>
    <col min="12253" max="12253" width="10.5703125" style="442" bestFit="1" customWidth="1"/>
    <col min="12254" max="12288" width="9.140625" style="442"/>
    <col min="12289" max="12289" width="3.7109375" style="442" customWidth="1"/>
    <col min="12290" max="12290" width="26.85546875" style="442" customWidth="1"/>
    <col min="12291" max="12291" width="7.140625" style="442" customWidth="1"/>
    <col min="12292" max="12292" width="8.28515625" style="442" customWidth="1"/>
    <col min="12293" max="12295" width="11" style="442" customWidth="1"/>
    <col min="12296" max="12296" width="9.7109375" style="442" customWidth="1"/>
    <col min="12297" max="12297" width="8.5703125" style="442" customWidth="1"/>
    <col min="12298" max="12298" width="7.85546875" style="442" customWidth="1"/>
    <col min="12299" max="12299" width="9.85546875" style="442" customWidth="1"/>
    <col min="12300" max="12300" width="10.28515625" style="442" customWidth="1"/>
    <col min="12301" max="12301" width="9.7109375" style="442" customWidth="1"/>
    <col min="12302" max="12302" width="8.85546875" style="442" customWidth="1"/>
    <col min="12303" max="12303" width="9" style="442" customWidth="1"/>
    <col min="12304" max="12304" width="9.5703125" style="442" customWidth="1"/>
    <col min="12305" max="12305" width="10" style="442" customWidth="1"/>
    <col min="12306" max="12306" width="7.7109375" style="442" customWidth="1"/>
    <col min="12307" max="12307" width="6.7109375" style="442" customWidth="1"/>
    <col min="12308" max="12308" width="9.28515625" style="442" customWidth="1"/>
    <col min="12309" max="12309" width="10" style="442" customWidth="1"/>
    <col min="12310" max="12311" width="9.28515625" style="442" customWidth="1"/>
    <col min="12312" max="12485" width="10.42578125" style="442" bestFit="1" customWidth="1"/>
    <col min="12486" max="12486" width="10.5703125" style="442" bestFit="1" customWidth="1"/>
    <col min="12487" max="12508" width="10.42578125" style="442" bestFit="1" customWidth="1"/>
    <col min="12509" max="12509" width="10.5703125" style="442" bestFit="1" customWidth="1"/>
    <col min="12510" max="12544" width="9.140625" style="442"/>
    <col min="12545" max="12545" width="3.7109375" style="442" customWidth="1"/>
    <col min="12546" max="12546" width="26.85546875" style="442" customWidth="1"/>
    <col min="12547" max="12547" width="7.140625" style="442" customWidth="1"/>
    <col min="12548" max="12548" width="8.28515625" style="442" customWidth="1"/>
    <col min="12549" max="12551" width="11" style="442" customWidth="1"/>
    <col min="12552" max="12552" width="9.7109375" style="442" customWidth="1"/>
    <col min="12553" max="12553" width="8.5703125" style="442" customWidth="1"/>
    <col min="12554" max="12554" width="7.85546875" style="442" customWidth="1"/>
    <col min="12555" max="12555" width="9.85546875" style="442" customWidth="1"/>
    <col min="12556" max="12556" width="10.28515625" style="442" customWidth="1"/>
    <col min="12557" max="12557" width="9.7109375" style="442" customWidth="1"/>
    <col min="12558" max="12558" width="8.85546875" style="442" customWidth="1"/>
    <col min="12559" max="12559" width="9" style="442" customWidth="1"/>
    <col min="12560" max="12560" width="9.5703125" style="442" customWidth="1"/>
    <col min="12561" max="12561" width="10" style="442" customWidth="1"/>
    <col min="12562" max="12562" width="7.7109375" style="442" customWidth="1"/>
    <col min="12563" max="12563" width="6.7109375" style="442" customWidth="1"/>
    <col min="12564" max="12564" width="9.28515625" style="442" customWidth="1"/>
    <col min="12565" max="12565" width="10" style="442" customWidth="1"/>
    <col min="12566" max="12567" width="9.28515625" style="442" customWidth="1"/>
    <col min="12568" max="12741" width="10.42578125" style="442" bestFit="1" customWidth="1"/>
    <col min="12742" max="12742" width="10.5703125" style="442" bestFit="1" customWidth="1"/>
    <col min="12743" max="12764" width="10.42578125" style="442" bestFit="1" customWidth="1"/>
    <col min="12765" max="12765" width="10.5703125" style="442" bestFit="1" customWidth="1"/>
    <col min="12766" max="12800" width="9.140625" style="442"/>
    <col min="12801" max="12801" width="3.7109375" style="442" customWidth="1"/>
    <col min="12802" max="12802" width="26.85546875" style="442" customWidth="1"/>
    <col min="12803" max="12803" width="7.140625" style="442" customWidth="1"/>
    <col min="12804" max="12804" width="8.28515625" style="442" customWidth="1"/>
    <col min="12805" max="12807" width="11" style="442" customWidth="1"/>
    <col min="12808" max="12808" width="9.7109375" style="442" customWidth="1"/>
    <col min="12809" max="12809" width="8.5703125" style="442" customWidth="1"/>
    <col min="12810" max="12810" width="7.85546875" style="442" customWidth="1"/>
    <col min="12811" max="12811" width="9.85546875" style="442" customWidth="1"/>
    <col min="12812" max="12812" width="10.28515625" style="442" customWidth="1"/>
    <col min="12813" max="12813" width="9.7109375" style="442" customWidth="1"/>
    <col min="12814" max="12814" width="8.85546875" style="442" customWidth="1"/>
    <col min="12815" max="12815" width="9" style="442" customWidth="1"/>
    <col min="12816" max="12816" width="9.5703125" style="442" customWidth="1"/>
    <col min="12817" max="12817" width="10" style="442" customWidth="1"/>
    <col min="12818" max="12818" width="7.7109375" style="442" customWidth="1"/>
    <col min="12819" max="12819" width="6.7109375" style="442" customWidth="1"/>
    <col min="12820" max="12820" width="9.28515625" style="442" customWidth="1"/>
    <col min="12821" max="12821" width="10" style="442" customWidth="1"/>
    <col min="12822" max="12823" width="9.28515625" style="442" customWidth="1"/>
    <col min="12824" max="12997" width="10.42578125" style="442" bestFit="1" customWidth="1"/>
    <col min="12998" max="12998" width="10.5703125" style="442" bestFit="1" customWidth="1"/>
    <col min="12999" max="13020" width="10.42578125" style="442" bestFit="1" customWidth="1"/>
    <col min="13021" max="13021" width="10.5703125" style="442" bestFit="1" customWidth="1"/>
    <col min="13022" max="13056" width="9.140625" style="442"/>
    <col min="13057" max="13057" width="3.7109375" style="442" customWidth="1"/>
    <col min="13058" max="13058" width="26.85546875" style="442" customWidth="1"/>
    <col min="13059" max="13059" width="7.140625" style="442" customWidth="1"/>
    <col min="13060" max="13060" width="8.28515625" style="442" customWidth="1"/>
    <col min="13061" max="13063" width="11" style="442" customWidth="1"/>
    <col min="13064" max="13064" width="9.7109375" style="442" customWidth="1"/>
    <col min="13065" max="13065" width="8.5703125" style="442" customWidth="1"/>
    <col min="13066" max="13066" width="7.85546875" style="442" customWidth="1"/>
    <col min="13067" max="13067" width="9.85546875" style="442" customWidth="1"/>
    <col min="13068" max="13068" width="10.28515625" style="442" customWidth="1"/>
    <col min="13069" max="13069" width="9.7109375" style="442" customWidth="1"/>
    <col min="13070" max="13070" width="8.85546875" style="442" customWidth="1"/>
    <col min="13071" max="13071" width="9" style="442" customWidth="1"/>
    <col min="13072" max="13072" width="9.5703125" style="442" customWidth="1"/>
    <col min="13073" max="13073" width="10" style="442" customWidth="1"/>
    <col min="13074" max="13074" width="7.7109375" style="442" customWidth="1"/>
    <col min="13075" max="13075" width="6.7109375" style="442" customWidth="1"/>
    <col min="13076" max="13076" width="9.28515625" style="442" customWidth="1"/>
    <col min="13077" max="13077" width="10" style="442" customWidth="1"/>
    <col min="13078" max="13079" width="9.28515625" style="442" customWidth="1"/>
    <col min="13080" max="13253" width="10.42578125" style="442" bestFit="1" customWidth="1"/>
    <col min="13254" max="13254" width="10.5703125" style="442" bestFit="1" customWidth="1"/>
    <col min="13255" max="13276" width="10.42578125" style="442" bestFit="1" customWidth="1"/>
    <col min="13277" max="13277" width="10.5703125" style="442" bestFit="1" customWidth="1"/>
    <col min="13278" max="13312" width="9.140625" style="442"/>
    <col min="13313" max="13313" width="3.7109375" style="442" customWidth="1"/>
    <col min="13314" max="13314" width="26.85546875" style="442" customWidth="1"/>
    <col min="13315" max="13315" width="7.140625" style="442" customWidth="1"/>
    <col min="13316" max="13316" width="8.28515625" style="442" customWidth="1"/>
    <col min="13317" max="13319" width="11" style="442" customWidth="1"/>
    <col min="13320" max="13320" width="9.7109375" style="442" customWidth="1"/>
    <col min="13321" max="13321" width="8.5703125" style="442" customWidth="1"/>
    <col min="13322" max="13322" width="7.85546875" style="442" customWidth="1"/>
    <col min="13323" max="13323" width="9.85546875" style="442" customWidth="1"/>
    <col min="13324" max="13324" width="10.28515625" style="442" customWidth="1"/>
    <col min="13325" max="13325" width="9.7109375" style="442" customWidth="1"/>
    <col min="13326" max="13326" width="8.85546875" style="442" customWidth="1"/>
    <col min="13327" max="13327" width="9" style="442" customWidth="1"/>
    <col min="13328" max="13328" width="9.5703125" style="442" customWidth="1"/>
    <col min="13329" max="13329" width="10" style="442" customWidth="1"/>
    <col min="13330" max="13330" width="7.7109375" style="442" customWidth="1"/>
    <col min="13331" max="13331" width="6.7109375" style="442" customWidth="1"/>
    <col min="13332" max="13332" width="9.28515625" style="442" customWidth="1"/>
    <col min="13333" max="13333" width="10" style="442" customWidth="1"/>
    <col min="13334" max="13335" width="9.28515625" style="442" customWidth="1"/>
    <col min="13336" max="13509" width="10.42578125" style="442" bestFit="1" customWidth="1"/>
    <col min="13510" max="13510" width="10.5703125" style="442" bestFit="1" customWidth="1"/>
    <col min="13511" max="13532" width="10.42578125" style="442" bestFit="1" customWidth="1"/>
    <col min="13533" max="13533" width="10.5703125" style="442" bestFit="1" customWidth="1"/>
    <col min="13534" max="13568" width="9.140625" style="442"/>
    <col min="13569" max="13569" width="3.7109375" style="442" customWidth="1"/>
    <col min="13570" max="13570" width="26.85546875" style="442" customWidth="1"/>
    <col min="13571" max="13571" width="7.140625" style="442" customWidth="1"/>
    <col min="13572" max="13572" width="8.28515625" style="442" customWidth="1"/>
    <col min="13573" max="13575" width="11" style="442" customWidth="1"/>
    <col min="13576" max="13576" width="9.7109375" style="442" customWidth="1"/>
    <col min="13577" max="13577" width="8.5703125" style="442" customWidth="1"/>
    <col min="13578" max="13578" width="7.85546875" style="442" customWidth="1"/>
    <col min="13579" max="13579" width="9.85546875" style="442" customWidth="1"/>
    <col min="13580" max="13580" width="10.28515625" style="442" customWidth="1"/>
    <col min="13581" max="13581" width="9.7109375" style="442" customWidth="1"/>
    <col min="13582" max="13582" width="8.85546875" style="442" customWidth="1"/>
    <col min="13583" max="13583" width="9" style="442" customWidth="1"/>
    <col min="13584" max="13584" width="9.5703125" style="442" customWidth="1"/>
    <col min="13585" max="13585" width="10" style="442" customWidth="1"/>
    <col min="13586" max="13586" width="7.7109375" style="442" customWidth="1"/>
    <col min="13587" max="13587" width="6.7109375" style="442" customWidth="1"/>
    <col min="13588" max="13588" width="9.28515625" style="442" customWidth="1"/>
    <col min="13589" max="13589" width="10" style="442" customWidth="1"/>
    <col min="13590" max="13591" width="9.28515625" style="442" customWidth="1"/>
    <col min="13592" max="13765" width="10.42578125" style="442" bestFit="1" customWidth="1"/>
    <col min="13766" max="13766" width="10.5703125" style="442" bestFit="1" customWidth="1"/>
    <col min="13767" max="13788" width="10.42578125" style="442" bestFit="1" customWidth="1"/>
    <col min="13789" max="13789" width="10.5703125" style="442" bestFit="1" customWidth="1"/>
    <col min="13790" max="13824" width="9.140625" style="442"/>
    <col min="13825" max="13825" width="3.7109375" style="442" customWidth="1"/>
    <col min="13826" max="13826" width="26.85546875" style="442" customWidth="1"/>
    <col min="13827" max="13827" width="7.140625" style="442" customWidth="1"/>
    <col min="13828" max="13828" width="8.28515625" style="442" customWidth="1"/>
    <col min="13829" max="13831" width="11" style="442" customWidth="1"/>
    <col min="13832" max="13832" width="9.7109375" style="442" customWidth="1"/>
    <col min="13833" max="13833" width="8.5703125" style="442" customWidth="1"/>
    <col min="13834" max="13834" width="7.85546875" style="442" customWidth="1"/>
    <col min="13835" max="13835" width="9.85546875" style="442" customWidth="1"/>
    <col min="13836" max="13836" width="10.28515625" style="442" customWidth="1"/>
    <col min="13837" max="13837" width="9.7109375" style="442" customWidth="1"/>
    <col min="13838" max="13838" width="8.85546875" style="442" customWidth="1"/>
    <col min="13839" max="13839" width="9" style="442" customWidth="1"/>
    <col min="13840" max="13840" width="9.5703125" style="442" customWidth="1"/>
    <col min="13841" max="13841" width="10" style="442" customWidth="1"/>
    <col min="13842" max="13842" width="7.7109375" style="442" customWidth="1"/>
    <col min="13843" max="13843" width="6.7109375" style="442" customWidth="1"/>
    <col min="13844" max="13844" width="9.28515625" style="442" customWidth="1"/>
    <col min="13845" max="13845" width="10" style="442" customWidth="1"/>
    <col min="13846" max="13847" width="9.28515625" style="442" customWidth="1"/>
    <col min="13848" max="14021" width="10.42578125" style="442" bestFit="1" customWidth="1"/>
    <col min="14022" max="14022" width="10.5703125" style="442" bestFit="1" customWidth="1"/>
    <col min="14023" max="14044" width="10.42578125" style="442" bestFit="1" customWidth="1"/>
    <col min="14045" max="14045" width="10.5703125" style="442" bestFit="1" customWidth="1"/>
    <col min="14046" max="14080" width="9.140625" style="442"/>
    <col min="14081" max="14081" width="3.7109375" style="442" customWidth="1"/>
    <col min="14082" max="14082" width="26.85546875" style="442" customWidth="1"/>
    <col min="14083" max="14083" width="7.140625" style="442" customWidth="1"/>
    <col min="14084" max="14084" width="8.28515625" style="442" customWidth="1"/>
    <col min="14085" max="14087" width="11" style="442" customWidth="1"/>
    <col min="14088" max="14088" width="9.7109375" style="442" customWidth="1"/>
    <col min="14089" max="14089" width="8.5703125" style="442" customWidth="1"/>
    <col min="14090" max="14090" width="7.85546875" style="442" customWidth="1"/>
    <col min="14091" max="14091" width="9.85546875" style="442" customWidth="1"/>
    <col min="14092" max="14092" width="10.28515625" style="442" customWidth="1"/>
    <col min="14093" max="14093" width="9.7109375" style="442" customWidth="1"/>
    <col min="14094" max="14094" width="8.85546875" style="442" customWidth="1"/>
    <col min="14095" max="14095" width="9" style="442" customWidth="1"/>
    <col min="14096" max="14096" width="9.5703125" style="442" customWidth="1"/>
    <col min="14097" max="14097" width="10" style="442" customWidth="1"/>
    <col min="14098" max="14098" width="7.7109375" style="442" customWidth="1"/>
    <col min="14099" max="14099" width="6.7109375" style="442" customWidth="1"/>
    <col min="14100" max="14100" width="9.28515625" style="442" customWidth="1"/>
    <col min="14101" max="14101" width="10" style="442" customWidth="1"/>
    <col min="14102" max="14103" width="9.28515625" style="442" customWidth="1"/>
    <col min="14104" max="14277" width="10.42578125" style="442" bestFit="1" customWidth="1"/>
    <col min="14278" max="14278" width="10.5703125" style="442" bestFit="1" customWidth="1"/>
    <col min="14279" max="14300" width="10.42578125" style="442" bestFit="1" customWidth="1"/>
    <col min="14301" max="14301" width="10.5703125" style="442" bestFit="1" customWidth="1"/>
    <col min="14302" max="14336" width="9.140625" style="442"/>
    <col min="14337" max="14337" width="3.7109375" style="442" customWidth="1"/>
    <col min="14338" max="14338" width="26.85546875" style="442" customWidth="1"/>
    <col min="14339" max="14339" width="7.140625" style="442" customWidth="1"/>
    <col min="14340" max="14340" width="8.28515625" style="442" customWidth="1"/>
    <col min="14341" max="14343" width="11" style="442" customWidth="1"/>
    <col min="14344" max="14344" width="9.7109375" style="442" customWidth="1"/>
    <col min="14345" max="14345" width="8.5703125" style="442" customWidth="1"/>
    <col min="14346" max="14346" width="7.85546875" style="442" customWidth="1"/>
    <col min="14347" max="14347" width="9.85546875" style="442" customWidth="1"/>
    <col min="14348" max="14348" width="10.28515625" style="442" customWidth="1"/>
    <col min="14349" max="14349" width="9.7109375" style="442" customWidth="1"/>
    <col min="14350" max="14350" width="8.85546875" style="442" customWidth="1"/>
    <col min="14351" max="14351" width="9" style="442" customWidth="1"/>
    <col min="14352" max="14352" width="9.5703125" style="442" customWidth="1"/>
    <col min="14353" max="14353" width="10" style="442" customWidth="1"/>
    <col min="14354" max="14354" width="7.7109375" style="442" customWidth="1"/>
    <col min="14355" max="14355" width="6.7109375" style="442" customWidth="1"/>
    <col min="14356" max="14356" width="9.28515625" style="442" customWidth="1"/>
    <col min="14357" max="14357" width="10" style="442" customWidth="1"/>
    <col min="14358" max="14359" width="9.28515625" style="442" customWidth="1"/>
    <col min="14360" max="14533" width="10.42578125" style="442" bestFit="1" customWidth="1"/>
    <col min="14534" max="14534" width="10.5703125" style="442" bestFit="1" customWidth="1"/>
    <col min="14535" max="14556" width="10.42578125" style="442" bestFit="1" customWidth="1"/>
    <col min="14557" max="14557" width="10.5703125" style="442" bestFit="1" customWidth="1"/>
    <col min="14558" max="14592" width="9.140625" style="442"/>
    <col min="14593" max="14593" width="3.7109375" style="442" customWidth="1"/>
    <col min="14594" max="14594" width="26.85546875" style="442" customWidth="1"/>
    <col min="14595" max="14595" width="7.140625" style="442" customWidth="1"/>
    <col min="14596" max="14596" width="8.28515625" style="442" customWidth="1"/>
    <col min="14597" max="14599" width="11" style="442" customWidth="1"/>
    <col min="14600" max="14600" width="9.7109375" style="442" customWidth="1"/>
    <col min="14601" max="14601" width="8.5703125" style="442" customWidth="1"/>
    <col min="14602" max="14602" width="7.85546875" style="442" customWidth="1"/>
    <col min="14603" max="14603" width="9.85546875" style="442" customWidth="1"/>
    <col min="14604" max="14604" width="10.28515625" style="442" customWidth="1"/>
    <col min="14605" max="14605" width="9.7109375" style="442" customWidth="1"/>
    <col min="14606" max="14606" width="8.85546875" style="442" customWidth="1"/>
    <col min="14607" max="14607" width="9" style="442" customWidth="1"/>
    <col min="14608" max="14608" width="9.5703125" style="442" customWidth="1"/>
    <col min="14609" max="14609" width="10" style="442" customWidth="1"/>
    <col min="14610" max="14610" width="7.7109375" style="442" customWidth="1"/>
    <col min="14611" max="14611" width="6.7109375" style="442" customWidth="1"/>
    <col min="14612" max="14612" width="9.28515625" style="442" customWidth="1"/>
    <col min="14613" max="14613" width="10" style="442" customWidth="1"/>
    <col min="14614" max="14615" width="9.28515625" style="442" customWidth="1"/>
    <col min="14616" max="14789" width="10.42578125" style="442" bestFit="1" customWidth="1"/>
    <col min="14790" max="14790" width="10.5703125" style="442" bestFit="1" customWidth="1"/>
    <col min="14791" max="14812" width="10.42578125" style="442" bestFit="1" customWidth="1"/>
    <col min="14813" max="14813" width="10.5703125" style="442" bestFit="1" customWidth="1"/>
    <col min="14814" max="14848" width="9.140625" style="442"/>
    <col min="14849" max="14849" width="3.7109375" style="442" customWidth="1"/>
    <col min="14850" max="14850" width="26.85546875" style="442" customWidth="1"/>
    <col min="14851" max="14851" width="7.140625" style="442" customWidth="1"/>
    <col min="14852" max="14852" width="8.28515625" style="442" customWidth="1"/>
    <col min="14853" max="14855" width="11" style="442" customWidth="1"/>
    <col min="14856" max="14856" width="9.7109375" style="442" customWidth="1"/>
    <col min="14857" max="14857" width="8.5703125" style="442" customWidth="1"/>
    <col min="14858" max="14858" width="7.85546875" style="442" customWidth="1"/>
    <col min="14859" max="14859" width="9.85546875" style="442" customWidth="1"/>
    <col min="14860" max="14860" width="10.28515625" style="442" customWidth="1"/>
    <col min="14861" max="14861" width="9.7109375" style="442" customWidth="1"/>
    <col min="14862" max="14862" width="8.85546875" style="442" customWidth="1"/>
    <col min="14863" max="14863" width="9" style="442" customWidth="1"/>
    <col min="14864" max="14864" width="9.5703125" style="442" customWidth="1"/>
    <col min="14865" max="14865" width="10" style="442" customWidth="1"/>
    <col min="14866" max="14866" width="7.7109375" style="442" customWidth="1"/>
    <col min="14867" max="14867" width="6.7109375" style="442" customWidth="1"/>
    <col min="14868" max="14868" width="9.28515625" style="442" customWidth="1"/>
    <col min="14869" max="14869" width="10" style="442" customWidth="1"/>
    <col min="14870" max="14871" width="9.28515625" style="442" customWidth="1"/>
    <col min="14872" max="15045" width="10.42578125" style="442" bestFit="1" customWidth="1"/>
    <col min="15046" max="15046" width="10.5703125" style="442" bestFit="1" customWidth="1"/>
    <col min="15047" max="15068" width="10.42578125" style="442" bestFit="1" customWidth="1"/>
    <col min="15069" max="15069" width="10.5703125" style="442" bestFit="1" customWidth="1"/>
    <col min="15070" max="15104" width="9.140625" style="442"/>
    <col min="15105" max="15105" width="3.7109375" style="442" customWidth="1"/>
    <col min="15106" max="15106" width="26.85546875" style="442" customWidth="1"/>
    <col min="15107" max="15107" width="7.140625" style="442" customWidth="1"/>
    <col min="15108" max="15108" width="8.28515625" style="442" customWidth="1"/>
    <col min="15109" max="15111" width="11" style="442" customWidth="1"/>
    <col min="15112" max="15112" width="9.7109375" style="442" customWidth="1"/>
    <col min="15113" max="15113" width="8.5703125" style="442" customWidth="1"/>
    <col min="15114" max="15114" width="7.85546875" style="442" customWidth="1"/>
    <col min="15115" max="15115" width="9.85546875" style="442" customWidth="1"/>
    <col min="15116" max="15116" width="10.28515625" style="442" customWidth="1"/>
    <col min="15117" max="15117" width="9.7109375" style="442" customWidth="1"/>
    <col min="15118" max="15118" width="8.85546875" style="442" customWidth="1"/>
    <col min="15119" max="15119" width="9" style="442" customWidth="1"/>
    <col min="15120" max="15120" width="9.5703125" style="442" customWidth="1"/>
    <col min="15121" max="15121" width="10" style="442" customWidth="1"/>
    <col min="15122" max="15122" width="7.7109375" style="442" customWidth="1"/>
    <col min="15123" max="15123" width="6.7109375" style="442" customWidth="1"/>
    <col min="15124" max="15124" width="9.28515625" style="442" customWidth="1"/>
    <col min="15125" max="15125" width="10" style="442" customWidth="1"/>
    <col min="15126" max="15127" width="9.28515625" style="442" customWidth="1"/>
    <col min="15128" max="15301" width="10.42578125" style="442" bestFit="1" customWidth="1"/>
    <col min="15302" max="15302" width="10.5703125" style="442" bestFit="1" customWidth="1"/>
    <col min="15303" max="15324" width="10.42578125" style="442" bestFit="1" customWidth="1"/>
    <col min="15325" max="15325" width="10.5703125" style="442" bestFit="1" customWidth="1"/>
    <col min="15326" max="15360" width="9.140625" style="442"/>
    <col min="15361" max="15361" width="3.7109375" style="442" customWidth="1"/>
    <col min="15362" max="15362" width="26.85546875" style="442" customWidth="1"/>
    <col min="15363" max="15363" width="7.140625" style="442" customWidth="1"/>
    <col min="15364" max="15364" width="8.28515625" style="442" customWidth="1"/>
    <col min="15365" max="15367" width="11" style="442" customWidth="1"/>
    <col min="15368" max="15368" width="9.7109375" style="442" customWidth="1"/>
    <col min="15369" max="15369" width="8.5703125" style="442" customWidth="1"/>
    <col min="15370" max="15370" width="7.85546875" style="442" customWidth="1"/>
    <col min="15371" max="15371" width="9.85546875" style="442" customWidth="1"/>
    <col min="15372" max="15372" width="10.28515625" style="442" customWidth="1"/>
    <col min="15373" max="15373" width="9.7109375" style="442" customWidth="1"/>
    <col min="15374" max="15374" width="8.85546875" style="442" customWidth="1"/>
    <col min="15375" max="15375" width="9" style="442" customWidth="1"/>
    <col min="15376" max="15376" width="9.5703125" style="442" customWidth="1"/>
    <col min="15377" max="15377" width="10" style="442" customWidth="1"/>
    <col min="15378" max="15378" width="7.7109375" style="442" customWidth="1"/>
    <col min="15379" max="15379" width="6.7109375" style="442" customWidth="1"/>
    <col min="15380" max="15380" width="9.28515625" style="442" customWidth="1"/>
    <col min="15381" max="15381" width="10" style="442" customWidth="1"/>
    <col min="15382" max="15383" width="9.28515625" style="442" customWidth="1"/>
    <col min="15384" max="15557" width="10.42578125" style="442" bestFit="1" customWidth="1"/>
    <col min="15558" max="15558" width="10.5703125" style="442" bestFit="1" customWidth="1"/>
    <col min="15559" max="15580" width="10.42578125" style="442" bestFit="1" customWidth="1"/>
    <col min="15581" max="15581" width="10.5703125" style="442" bestFit="1" customWidth="1"/>
    <col min="15582" max="15616" width="9.140625" style="442"/>
    <col min="15617" max="15617" width="3.7109375" style="442" customWidth="1"/>
    <col min="15618" max="15618" width="26.85546875" style="442" customWidth="1"/>
    <col min="15619" max="15619" width="7.140625" style="442" customWidth="1"/>
    <col min="15620" max="15620" width="8.28515625" style="442" customWidth="1"/>
    <col min="15621" max="15623" width="11" style="442" customWidth="1"/>
    <col min="15624" max="15624" width="9.7109375" style="442" customWidth="1"/>
    <col min="15625" max="15625" width="8.5703125" style="442" customWidth="1"/>
    <col min="15626" max="15626" width="7.85546875" style="442" customWidth="1"/>
    <col min="15627" max="15627" width="9.85546875" style="442" customWidth="1"/>
    <col min="15628" max="15628" width="10.28515625" style="442" customWidth="1"/>
    <col min="15629" max="15629" width="9.7109375" style="442" customWidth="1"/>
    <col min="15630" max="15630" width="8.85546875" style="442" customWidth="1"/>
    <col min="15631" max="15631" width="9" style="442" customWidth="1"/>
    <col min="15632" max="15632" width="9.5703125" style="442" customWidth="1"/>
    <col min="15633" max="15633" width="10" style="442" customWidth="1"/>
    <col min="15634" max="15634" width="7.7109375" style="442" customWidth="1"/>
    <col min="15635" max="15635" width="6.7109375" style="442" customWidth="1"/>
    <col min="15636" max="15636" width="9.28515625" style="442" customWidth="1"/>
    <col min="15637" max="15637" width="10" style="442" customWidth="1"/>
    <col min="15638" max="15639" width="9.28515625" style="442" customWidth="1"/>
    <col min="15640" max="15813" width="10.42578125" style="442" bestFit="1" customWidth="1"/>
    <col min="15814" max="15814" width="10.5703125" style="442" bestFit="1" customWidth="1"/>
    <col min="15815" max="15836" width="10.42578125" style="442" bestFit="1" customWidth="1"/>
    <col min="15837" max="15837" width="10.5703125" style="442" bestFit="1" customWidth="1"/>
    <col min="15838" max="15872" width="9.140625" style="442"/>
    <col min="15873" max="15873" width="3.7109375" style="442" customWidth="1"/>
    <col min="15874" max="15874" width="26.85546875" style="442" customWidth="1"/>
    <col min="15875" max="15875" width="7.140625" style="442" customWidth="1"/>
    <col min="15876" max="15876" width="8.28515625" style="442" customWidth="1"/>
    <col min="15877" max="15879" width="11" style="442" customWidth="1"/>
    <col min="15880" max="15880" width="9.7109375" style="442" customWidth="1"/>
    <col min="15881" max="15881" width="8.5703125" style="442" customWidth="1"/>
    <col min="15882" max="15882" width="7.85546875" style="442" customWidth="1"/>
    <col min="15883" max="15883" width="9.85546875" style="442" customWidth="1"/>
    <col min="15884" max="15884" width="10.28515625" style="442" customWidth="1"/>
    <col min="15885" max="15885" width="9.7109375" style="442" customWidth="1"/>
    <col min="15886" max="15886" width="8.85546875" style="442" customWidth="1"/>
    <col min="15887" max="15887" width="9" style="442" customWidth="1"/>
    <col min="15888" max="15888" width="9.5703125" style="442" customWidth="1"/>
    <col min="15889" max="15889" width="10" style="442" customWidth="1"/>
    <col min="15890" max="15890" width="7.7109375" style="442" customWidth="1"/>
    <col min="15891" max="15891" width="6.7109375" style="442" customWidth="1"/>
    <col min="15892" max="15892" width="9.28515625" style="442" customWidth="1"/>
    <col min="15893" max="15893" width="10" style="442" customWidth="1"/>
    <col min="15894" max="15895" width="9.28515625" style="442" customWidth="1"/>
    <col min="15896" max="16069" width="10.42578125" style="442" bestFit="1" customWidth="1"/>
    <col min="16070" max="16070" width="10.5703125" style="442" bestFit="1" customWidth="1"/>
    <col min="16071" max="16092" width="10.42578125" style="442" bestFit="1" customWidth="1"/>
    <col min="16093" max="16093" width="10.5703125" style="442" bestFit="1" customWidth="1"/>
    <col min="16094" max="16128" width="9.140625" style="442"/>
    <col min="16129" max="16129" width="3.7109375" style="442" customWidth="1"/>
    <col min="16130" max="16130" width="26.85546875" style="442" customWidth="1"/>
    <col min="16131" max="16131" width="7.140625" style="442" customWidth="1"/>
    <col min="16132" max="16132" width="8.28515625" style="442" customWidth="1"/>
    <col min="16133" max="16135" width="11" style="442" customWidth="1"/>
    <col min="16136" max="16136" width="9.7109375" style="442" customWidth="1"/>
    <col min="16137" max="16137" width="8.5703125" style="442" customWidth="1"/>
    <col min="16138" max="16138" width="7.85546875" style="442" customWidth="1"/>
    <col min="16139" max="16139" width="9.85546875" style="442" customWidth="1"/>
    <col min="16140" max="16140" width="10.28515625" style="442" customWidth="1"/>
    <col min="16141" max="16141" width="9.7109375" style="442" customWidth="1"/>
    <col min="16142" max="16142" width="8.85546875" style="442" customWidth="1"/>
    <col min="16143" max="16143" width="9" style="442" customWidth="1"/>
    <col min="16144" max="16144" width="9.5703125" style="442" customWidth="1"/>
    <col min="16145" max="16145" width="10" style="442" customWidth="1"/>
    <col min="16146" max="16146" width="7.7109375" style="442" customWidth="1"/>
    <col min="16147" max="16147" width="6.7109375" style="442" customWidth="1"/>
    <col min="16148" max="16148" width="9.28515625" style="442" customWidth="1"/>
    <col min="16149" max="16149" width="10" style="442" customWidth="1"/>
    <col min="16150" max="16151" width="9.28515625" style="442" customWidth="1"/>
    <col min="16152" max="16325" width="10.42578125" style="442" bestFit="1" customWidth="1"/>
    <col min="16326" max="16326" width="10.5703125" style="442" bestFit="1" customWidth="1"/>
    <col min="16327" max="16348" width="10.42578125" style="442" bestFit="1" customWidth="1"/>
    <col min="16349" max="16349" width="10.5703125" style="442" bestFit="1" customWidth="1"/>
    <col min="16350" max="16384" width="9.140625" style="442"/>
  </cols>
  <sheetData>
    <row r="1" spans="1:23" ht="25.5" customHeight="1">
      <c r="A1" s="439"/>
      <c r="B1" s="440"/>
      <c r="C1" s="441"/>
      <c r="D1" s="441"/>
      <c r="E1" s="440"/>
      <c r="F1" s="1183" t="s">
        <v>108</v>
      </c>
      <c r="G1" s="1183"/>
      <c r="H1" s="1183"/>
      <c r="I1" s="1183"/>
      <c r="J1" s="1183"/>
      <c r="K1" s="1183"/>
      <c r="L1" s="1183"/>
      <c r="M1" s="1183"/>
      <c r="N1" s="1183"/>
      <c r="O1" s="1183"/>
      <c r="P1" s="1183"/>
      <c r="Q1" s="1183"/>
      <c r="R1" s="1183"/>
      <c r="S1" s="1183"/>
      <c r="T1" s="1183"/>
      <c r="U1" s="1183"/>
      <c r="V1" s="1183"/>
      <c r="W1" s="1183"/>
    </row>
    <row r="2" spans="1:23" ht="20.25">
      <c r="A2" s="1189" t="s">
        <v>860</v>
      </c>
      <c r="B2" s="1189"/>
      <c r="C2" s="1189"/>
      <c r="D2" s="1189"/>
      <c r="E2" s="1189"/>
      <c r="F2" s="1189"/>
      <c r="G2" s="1189"/>
      <c r="H2" s="1189"/>
      <c r="I2" s="1189"/>
      <c r="J2" s="1189"/>
      <c r="K2" s="1189"/>
      <c r="L2" s="1189"/>
      <c r="M2" s="1189"/>
      <c r="N2" s="1189"/>
      <c r="O2" s="1189"/>
      <c r="P2" s="1189"/>
      <c r="Q2" s="1189"/>
      <c r="R2" s="1189"/>
      <c r="S2" s="1189"/>
      <c r="T2" s="1189"/>
      <c r="U2" s="1189"/>
      <c r="V2" s="1189"/>
      <c r="W2" s="1189"/>
    </row>
    <row r="3" spans="1:23" ht="26.25" hidden="1" customHeight="1">
      <c r="A3" s="443"/>
      <c r="B3" s="443"/>
      <c r="C3" s="444" t="e">
        <f>#REF!-#REF!</f>
        <v>#REF!</v>
      </c>
      <c r="D3" s="445" t="e">
        <f>#REF!-#REF!</f>
        <v>#REF!</v>
      </c>
      <c r="E3" s="445" t="e">
        <f>#REF!-#REF!</f>
        <v>#REF!</v>
      </c>
      <c r="F3" s="445" t="e">
        <f>#REF!-#REF!</f>
        <v>#REF!</v>
      </c>
      <c r="G3" s="443" t="e">
        <f>#REF!-#REF!</f>
        <v>#REF!</v>
      </c>
      <c r="H3" s="445" t="e">
        <f>#REF!-#REF!</f>
        <v>#REF!</v>
      </c>
      <c r="I3" s="445" t="e">
        <f>#REF!-#REF!</f>
        <v>#REF!</v>
      </c>
      <c r="J3" s="445" t="e">
        <f>#REF!-#REF!</f>
        <v>#REF!</v>
      </c>
      <c r="K3" s="445" t="e">
        <f>#REF!-#REF!</f>
        <v>#REF!</v>
      </c>
      <c r="L3" s="445" t="e">
        <f>#REF!-#REF!</f>
        <v>#REF!</v>
      </c>
      <c r="M3" s="445"/>
      <c r="N3" s="446"/>
      <c r="O3" s="445"/>
      <c r="P3" s="445"/>
      <c r="Q3" s="445" t="e">
        <f>#REF!-#REF!</f>
        <v>#REF!</v>
      </c>
      <c r="R3" s="445" t="e">
        <f>#REF!-#REF!</f>
        <v>#REF!</v>
      </c>
      <c r="S3" s="445" t="e">
        <f>#REF!-#REF!</f>
        <v>#REF!</v>
      </c>
      <c r="T3" s="445" t="e">
        <f>#REF!-#REF!</f>
        <v>#REF!</v>
      </c>
      <c r="U3" s="445" t="e">
        <f>#REF!-#REF!</f>
        <v>#REF!</v>
      </c>
      <c r="V3" s="447" t="e">
        <f>#REF!-#REF!</f>
        <v>#REF!</v>
      </c>
      <c r="W3" s="447"/>
    </row>
    <row r="4" spans="1:23" ht="18.75" customHeight="1">
      <c r="A4" s="1190" t="s">
        <v>1323</v>
      </c>
      <c r="B4" s="1190"/>
      <c r="C4" s="1190"/>
      <c r="D4" s="1190"/>
      <c r="E4" s="1190"/>
      <c r="F4" s="1190"/>
      <c r="G4" s="1190"/>
      <c r="H4" s="1190"/>
      <c r="I4" s="1190"/>
      <c r="J4" s="1190"/>
      <c r="K4" s="1190"/>
      <c r="L4" s="1190"/>
      <c r="M4" s="1190"/>
      <c r="N4" s="1190"/>
      <c r="O4" s="1190"/>
      <c r="P4" s="1190"/>
      <c r="Q4" s="1190"/>
      <c r="R4" s="1190"/>
      <c r="S4" s="1190"/>
      <c r="T4" s="1190"/>
      <c r="U4" s="1190"/>
      <c r="V4" s="1190"/>
      <c r="W4" s="1190"/>
    </row>
    <row r="5" spans="1:23" ht="13.5">
      <c r="A5" s="445"/>
      <c r="B5" s="443"/>
      <c r="C5" s="445"/>
      <c r="D5" s="445"/>
      <c r="E5" s="448"/>
      <c r="F5" s="448"/>
      <c r="G5" s="448"/>
      <c r="H5" s="448"/>
      <c r="I5" s="448"/>
      <c r="J5" s="448"/>
      <c r="K5" s="448"/>
      <c r="L5" s="448"/>
      <c r="M5" s="448"/>
      <c r="N5" s="448"/>
      <c r="O5" s="448"/>
      <c r="P5" s="448"/>
      <c r="Q5" s="448"/>
      <c r="R5" s="448"/>
      <c r="S5" s="448"/>
      <c r="T5" s="448"/>
      <c r="U5" s="1191" t="s">
        <v>861</v>
      </c>
      <c r="V5" s="1191"/>
      <c r="W5" s="1191"/>
    </row>
    <row r="6" spans="1:23" ht="37.5" customHeight="1">
      <c r="A6" s="1192" t="s">
        <v>862</v>
      </c>
      <c r="B6" s="1192" t="s">
        <v>863</v>
      </c>
      <c r="C6" s="1194" t="s">
        <v>864</v>
      </c>
      <c r="D6" s="1194" t="s">
        <v>865</v>
      </c>
      <c r="E6" s="1196" t="s">
        <v>866</v>
      </c>
      <c r="F6" s="1197"/>
      <c r="G6" s="1197"/>
      <c r="H6" s="1197"/>
      <c r="I6" s="1197"/>
      <c r="J6" s="1197"/>
      <c r="K6" s="1197"/>
      <c r="L6" s="1197"/>
      <c r="M6" s="1197"/>
      <c r="N6" s="1197"/>
      <c r="O6" s="1197"/>
      <c r="P6" s="1197"/>
      <c r="Q6" s="1197"/>
      <c r="R6" s="1197"/>
      <c r="S6" s="1197"/>
      <c r="T6" s="1197"/>
      <c r="U6" s="1197"/>
      <c r="V6" s="1198"/>
      <c r="W6" s="1184" t="s">
        <v>867</v>
      </c>
    </row>
    <row r="7" spans="1:23" ht="13.5" customHeight="1">
      <c r="A7" s="1193"/>
      <c r="B7" s="1193"/>
      <c r="C7" s="1195"/>
      <c r="D7" s="1195"/>
      <c r="E7" s="1184" t="s">
        <v>183</v>
      </c>
      <c r="F7" s="1184" t="s">
        <v>868</v>
      </c>
      <c r="G7" s="1184" t="s">
        <v>869</v>
      </c>
      <c r="H7" s="1186" t="s">
        <v>870</v>
      </c>
      <c r="I7" s="1187"/>
      <c r="J7" s="1187"/>
      <c r="K7" s="1187"/>
      <c r="L7" s="1187"/>
      <c r="M7" s="1187"/>
      <c r="N7" s="1187"/>
      <c r="O7" s="1187"/>
      <c r="P7" s="1187"/>
      <c r="Q7" s="1187"/>
      <c r="R7" s="1187"/>
      <c r="S7" s="1187"/>
      <c r="T7" s="1187"/>
      <c r="U7" s="1188"/>
      <c r="V7" s="1184" t="s">
        <v>871</v>
      </c>
      <c r="W7" s="1185"/>
    </row>
    <row r="8" spans="1:23" ht="97.5" customHeight="1">
      <c r="A8" s="1193"/>
      <c r="B8" s="1193"/>
      <c r="C8" s="1195"/>
      <c r="D8" s="1195"/>
      <c r="E8" s="1185"/>
      <c r="F8" s="1185"/>
      <c r="G8" s="1185"/>
      <c r="H8" s="449" t="s">
        <v>872</v>
      </c>
      <c r="I8" s="449" t="s">
        <v>873</v>
      </c>
      <c r="J8" s="449" t="s">
        <v>874</v>
      </c>
      <c r="K8" s="449" t="s">
        <v>875</v>
      </c>
      <c r="L8" s="449" t="s">
        <v>876</v>
      </c>
      <c r="M8" s="449" t="s">
        <v>877</v>
      </c>
      <c r="N8" s="450" t="s">
        <v>878</v>
      </c>
      <c r="O8" s="449" t="s">
        <v>879</v>
      </c>
      <c r="P8" s="449" t="s">
        <v>880</v>
      </c>
      <c r="Q8" s="449" t="s">
        <v>881</v>
      </c>
      <c r="R8" s="449" t="s">
        <v>882</v>
      </c>
      <c r="S8" s="449" t="s">
        <v>883</v>
      </c>
      <c r="T8" s="449" t="s">
        <v>884</v>
      </c>
      <c r="U8" s="449" t="s">
        <v>885</v>
      </c>
      <c r="V8" s="1185"/>
      <c r="W8" s="1199"/>
    </row>
    <row r="9" spans="1:23">
      <c r="A9" s="451">
        <v>1</v>
      </c>
      <c r="B9" s="451">
        <v>2</v>
      </c>
      <c r="C9" s="451">
        <v>3</v>
      </c>
      <c r="D9" s="451">
        <v>4</v>
      </c>
      <c r="E9" s="451">
        <v>23</v>
      </c>
      <c r="F9" s="451">
        <v>24</v>
      </c>
      <c r="G9" s="451">
        <v>25</v>
      </c>
      <c r="H9" s="451">
        <v>26</v>
      </c>
      <c r="I9" s="451">
        <v>27</v>
      </c>
      <c r="J9" s="451">
        <v>28</v>
      </c>
      <c r="K9" s="451">
        <v>29</v>
      </c>
      <c r="L9" s="451">
        <v>30</v>
      </c>
      <c r="M9" s="451">
        <v>31</v>
      </c>
      <c r="N9" s="451">
        <v>32</v>
      </c>
      <c r="O9" s="451">
        <v>33</v>
      </c>
      <c r="P9" s="451">
        <v>34</v>
      </c>
      <c r="Q9" s="451">
        <v>35</v>
      </c>
      <c r="R9" s="451">
        <v>36</v>
      </c>
      <c r="S9" s="451">
        <v>37</v>
      </c>
      <c r="T9" s="451">
        <v>38</v>
      </c>
      <c r="U9" s="451">
        <v>39</v>
      </c>
      <c r="V9" s="451">
        <v>40</v>
      </c>
      <c r="W9" s="451"/>
    </row>
    <row r="10" spans="1:23" s="452" customFormat="1" ht="20.100000000000001" customHeight="1">
      <c r="A10" s="773"/>
      <c r="B10" s="774" t="s">
        <v>1335</v>
      </c>
      <c r="C10" s="775">
        <f>C11+C26+C27+C31</f>
        <v>2220</v>
      </c>
      <c r="D10" s="775">
        <f>D11+D26+D27+D31</f>
        <v>2217</v>
      </c>
      <c r="E10" s="776">
        <f>E11+E26+E27+E31+E35</f>
        <v>21437.381893854857</v>
      </c>
      <c r="F10" s="776">
        <f t="shared" ref="F10:W10" si="0">F11+F26+F27+F31</f>
        <v>8663.8393350000006</v>
      </c>
      <c r="G10" s="776">
        <f t="shared" si="0"/>
        <v>10378.981531099998</v>
      </c>
      <c r="H10" s="776">
        <f t="shared" si="0"/>
        <v>1667.378999999999</v>
      </c>
      <c r="I10" s="776">
        <f t="shared" si="0"/>
        <v>204.39049999999997</v>
      </c>
      <c r="J10" s="776">
        <f t="shared" si="0"/>
        <v>31.977887680000002</v>
      </c>
      <c r="K10" s="776">
        <f t="shared" si="0"/>
        <v>4105.7057245000005</v>
      </c>
      <c r="L10" s="776">
        <f t="shared" si="0"/>
        <v>1038.1292812000002</v>
      </c>
      <c r="M10" s="776">
        <f t="shared" si="0"/>
        <v>1223.2259877999995</v>
      </c>
      <c r="N10" s="776">
        <f t="shared" si="0"/>
        <v>452.24592774999996</v>
      </c>
      <c r="O10" s="776">
        <f t="shared" si="0"/>
        <v>118.74968039999999</v>
      </c>
      <c r="P10" s="776">
        <f t="shared" si="0"/>
        <v>883.27054077000037</v>
      </c>
      <c r="Q10" s="776">
        <f t="shared" si="0"/>
        <v>0</v>
      </c>
      <c r="R10" s="776">
        <f t="shared" si="0"/>
        <v>8.11416</v>
      </c>
      <c r="S10" s="776">
        <f t="shared" si="0"/>
        <v>0</v>
      </c>
      <c r="T10" s="776">
        <f t="shared" si="0"/>
        <v>267.24999999999994</v>
      </c>
      <c r="U10" s="776">
        <f t="shared" si="0"/>
        <v>315.73934099999997</v>
      </c>
      <c r="V10" s="776">
        <f t="shared" si="0"/>
        <v>2336.8556277548591</v>
      </c>
      <c r="W10" s="776">
        <f t="shared" si="0"/>
        <v>256556.11792625833</v>
      </c>
    </row>
    <row r="11" spans="1:23" s="453" customFormat="1" ht="20.100000000000001" customHeight="1">
      <c r="A11" s="773" t="s">
        <v>220</v>
      </c>
      <c r="B11" s="777" t="s">
        <v>886</v>
      </c>
      <c r="C11" s="775">
        <f t="shared" ref="C11:V11" si="1">C12+C15+C16+C17+C18+C19+C20+C21+C22+C23</f>
        <v>1391</v>
      </c>
      <c r="D11" s="775">
        <f t="shared" si="1"/>
        <v>1388</v>
      </c>
      <c r="E11" s="776">
        <f t="shared" si="1"/>
        <v>19004.448672054859</v>
      </c>
      <c r="F11" s="776">
        <f t="shared" si="1"/>
        <v>7694.2427349999998</v>
      </c>
      <c r="G11" s="776">
        <f t="shared" si="1"/>
        <v>9208.0226182999995</v>
      </c>
      <c r="H11" s="776">
        <f t="shared" si="1"/>
        <v>1416.0159999999992</v>
      </c>
      <c r="I11" s="776">
        <f t="shared" si="1"/>
        <v>171.28269999999998</v>
      </c>
      <c r="J11" s="776">
        <f t="shared" si="1"/>
        <v>30.771647680000001</v>
      </c>
      <c r="K11" s="776">
        <f t="shared" si="1"/>
        <v>4105.7057245000005</v>
      </c>
      <c r="L11" s="776">
        <f t="shared" si="1"/>
        <v>914.48163120000015</v>
      </c>
      <c r="M11" s="776">
        <f t="shared" si="1"/>
        <v>1071.6419999999996</v>
      </c>
      <c r="N11" s="776">
        <f t="shared" si="1"/>
        <v>206.61124275000003</v>
      </c>
      <c r="O11" s="776">
        <f t="shared" si="1"/>
        <v>98.820930399999995</v>
      </c>
      <c r="P11" s="776">
        <f t="shared" si="1"/>
        <v>882.84440077000033</v>
      </c>
      <c r="Q11" s="776">
        <f t="shared" si="1"/>
        <v>0</v>
      </c>
      <c r="R11" s="776">
        <f t="shared" si="1"/>
        <v>8.11416</v>
      </c>
      <c r="S11" s="776">
        <f t="shared" si="1"/>
        <v>0</v>
      </c>
      <c r="T11" s="776">
        <f t="shared" si="1"/>
        <v>265.64699999999993</v>
      </c>
      <c r="U11" s="776">
        <f t="shared" si="1"/>
        <v>42.799121</v>
      </c>
      <c r="V11" s="776">
        <f t="shared" si="1"/>
        <v>2102.1833187548591</v>
      </c>
      <c r="W11" s="776">
        <f>E11*12</f>
        <v>228053.38406465831</v>
      </c>
    </row>
    <row r="12" spans="1:23" s="453" customFormat="1" ht="20.100000000000001" customHeight="1">
      <c r="A12" s="778">
        <v>1</v>
      </c>
      <c r="B12" s="779" t="s">
        <v>887</v>
      </c>
      <c r="C12" s="780">
        <f>C13+C14</f>
        <v>1183</v>
      </c>
      <c r="D12" s="780">
        <f>D13+D14</f>
        <v>1183</v>
      </c>
      <c r="E12" s="781">
        <f t="shared" ref="E12:E22" si="2">F12+G12+V12</f>
        <v>17053.711685479862</v>
      </c>
      <c r="F12" s="781">
        <f>F13+F14</f>
        <v>6644.1868400000003</v>
      </c>
      <c r="G12" s="781">
        <f>SUM(H12:U12)</f>
        <v>8582.8337841500015</v>
      </c>
      <c r="H12" s="781">
        <f t="shared" ref="H12:U12" si="3">H13+H14</f>
        <v>1208.4589999999994</v>
      </c>
      <c r="I12" s="781">
        <f t="shared" si="3"/>
        <v>137.6087</v>
      </c>
      <c r="J12" s="781">
        <f t="shared" si="3"/>
        <v>19.66137968</v>
      </c>
      <c r="K12" s="781">
        <f t="shared" si="3"/>
        <v>4086.6635245000011</v>
      </c>
      <c r="L12" s="781">
        <f t="shared" si="3"/>
        <v>908.66169120000018</v>
      </c>
      <c r="M12" s="781">
        <f t="shared" si="3"/>
        <v>1071.6419999999996</v>
      </c>
      <c r="N12" s="781">
        <f t="shared" si="3"/>
        <v>0</v>
      </c>
      <c r="O12" s="781">
        <f t="shared" si="3"/>
        <v>2.044</v>
      </c>
      <c r="P12" s="781">
        <f t="shared" si="3"/>
        <v>873.05837877000033</v>
      </c>
      <c r="Q12" s="781">
        <f t="shared" si="3"/>
        <v>0</v>
      </c>
      <c r="R12" s="781">
        <f t="shared" si="3"/>
        <v>4.8361600000000005</v>
      </c>
      <c r="S12" s="781">
        <f t="shared" si="3"/>
        <v>0</v>
      </c>
      <c r="T12" s="781">
        <f t="shared" si="3"/>
        <v>261.77299999999991</v>
      </c>
      <c r="U12" s="781">
        <f t="shared" si="3"/>
        <v>8.4259500000000003</v>
      </c>
      <c r="V12" s="781">
        <f>V13+V14</f>
        <v>1826.6910613298592</v>
      </c>
      <c r="W12" s="781">
        <f>W13+W14</f>
        <v>200190.7818311383</v>
      </c>
    </row>
    <row r="13" spans="1:23" ht="20.100000000000001" customHeight="1">
      <c r="A13" s="748" t="s">
        <v>414</v>
      </c>
      <c r="B13" s="782" t="s">
        <v>1087</v>
      </c>
      <c r="C13" s="783">
        <v>1156</v>
      </c>
      <c r="D13" s="783">
        <v>1156</v>
      </c>
      <c r="E13" s="784">
        <v>16860.042669249862</v>
      </c>
      <c r="F13" s="784">
        <v>6511.6061400000008</v>
      </c>
      <c r="G13" s="784">
        <v>8560.9168665700017</v>
      </c>
      <c r="H13" s="784">
        <v>1180.2139999999995</v>
      </c>
      <c r="I13" s="784">
        <v>134.5147</v>
      </c>
      <c r="J13" s="784">
        <v>17.967547679999999</v>
      </c>
      <c r="K13" s="784">
        <v>4066.400064500001</v>
      </c>
      <c r="L13" s="784">
        <v>908.66169120000018</v>
      </c>
      <c r="M13" s="784">
        <v>1071.6419999999996</v>
      </c>
      <c r="N13" s="784">
        <v>0</v>
      </c>
      <c r="O13" s="784">
        <v>0</v>
      </c>
      <c r="P13" s="784">
        <v>866.98012077000033</v>
      </c>
      <c r="Q13" s="784">
        <v>0</v>
      </c>
      <c r="R13" s="784">
        <v>3.6441600000000003</v>
      </c>
      <c r="S13" s="784">
        <v>0</v>
      </c>
      <c r="T13" s="784">
        <v>261.37499999999989</v>
      </c>
      <c r="U13" s="784">
        <v>8.4259500000000003</v>
      </c>
      <c r="V13" s="784">
        <v>1787.5196626798593</v>
      </c>
      <c r="W13" s="784">
        <v>199452.1209050183</v>
      </c>
    </row>
    <row r="14" spans="1:23" ht="20.100000000000001" customHeight="1">
      <c r="A14" s="748" t="s">
        <v>414</v>
      </c>
      <c r="B14" s="782" t="s">
        <v>820</v>
      </c>
      <c r="C14" s="785">
        <v>27</v>
      </c>
      <c r="D14" s="785">
        <v>27</v>
      </c>
      <c r="E14" s="785">
        <v>233.71764865</v>
      </c>
      <c r="F14" s="785">
        <v>132.58069999999998</v>
      </c>
      <c r="G14" s="785">
        <v>61.965550000000007</v>
      </c>
      <c r="H14" s="785">
        <v>28.24499999999999</v>
      </c>
      <c r="I14" s="785">
        <v>3.0940000000000003</v>
      </c>
      <c r="J14" s="785">
        <v>1.693832</v>
      </c>
      <c r="K14" s="785">
        <v>20.263459999999995</v>
      </c>
      <c r="L14" s="785">
        <v>0</v>
      </c>
      <c r="M14" s="785">
        <v>0</v>
      </c>
      <c r="N14" s="785">
        <v>0</v>
      </c>
      <c r="O14" s="785">
        <v>2.044</v>
      </c>
      <c r="P14" s="785">
        <v>6.0782580000000008</v>
      </c>
      <c r="Q14" s="785">
        <v>0</v>
      </c>
      <c r="R14" s="785">
        <v>1.1919999999999999</v>
      </c>
      <c r="S14" s="785">
        <v>0</v>
      </c>
      <c r="T14" s="785">
        <v>0.39800000000000002</v>
      </c>
      <c r="U14" s="785">
        <v>0</v>
      </c>
      <c r="V14" s="786">
        <v>39.17139865</v>
      </c>
      <c r="W14" s="787">
        <v>738.66092612</v>
      </c>
    </row>
    <row r="15" spans="1:23" ht="20.100000000000001" customHeight="1">
      <c r="A15" s="748">
        <v>2</v>
      </c>
      <c r="B15" s="782" t="s">
        <v>888</v>
      </c>
      <c r="C15" s="783"/>
      <c r="D15" s="783"/>
      <c r="E15" s="784">
        <f>F15+G15+V15</f>
        <v>0</v>
      </c>
      <c r="F15" s="784"/>
      <c r="G15" s="784">
        <f t="shared" ref="G15:G31" si="4">SUM(H15:U15)</f>
        <v>0</v>
      </c>
      <c r="H15" s="784"/>
      <c r="I15" s="784"/>
      <c r="J15" s="784"/>
      <c r="K15" s="784"/>
      <c r="L15" s="784"/>
      <c r="M15" s="784"/>
      <c r="N15" s="784"/>
      <c r="O15" s="784"/>
      <c r="P15" s="784"/>
      <c r="Q15" s="784"/>
      <c r="R15" s="784"/>
      <c r="S15" s="784"/>
      <c r="T15" s="784"/>
      <c r="U15" s="784"/>
      <c r="V15" s="784">
        <f t="shared" ref="V15:V22" si="5">(F15+I15+J15+P15+S15)*23.5%</f>
        <v>0</v>
      </c>
      <c r="W15" s="784"/>
    </row>
    <row r="16" spans="1:23" ht="20.100000000000001" customHeight="1">
      <c r="A16" s="748">
        <v>3</v>
      </c>
      <c r="B16" s="782" t="s">
        <v>889</v>
      </c>
      <c r="C16" s="785"/>
      <c r="D16" s="785"/>
      <c r="E16" s="788">
        <f t="shared" si="2"/>
        <v>0</v>
      </c>
      <c r="F16" s="784"/>
      <c r="G16" s="788">
        <f t="shared" si="4"/>
        <v>0</v>
      </c>
      <c r="H16" s="784"/>
      <c r="I16" s="784"/>
      <c r="J16" s="784"/>
      <c r="K16" s="784"/>
      <c r="L16" s="784"/>
      <c r="M16" s="784"/>
      <c r="N16" s="784"/>
      <c r="O16" s="784"/>
      <c r="P16" s="784"/>
      <c r="Q16" s="784"/>
      <c r="R16" s="784"/>
      <c r="S16" s="784"/>
      <c r="T16" s="784"/>
      <c r="U16" s="784"/>
      <c r="V16" s="784">
        <f t="shared" si="5"/>
        <v>0</v>
      </c>
      <c r="W16" s="784"/>
    </row>
    <row r="17" spans="1:23" ht="20.100000000000001" customHeight="1">
      <c r="A17" s="748">
        <v>4</v>
      </c>
      <c r="B17" s="782" t="s">
        <v>890</v>
      </c>
      <c r="C17" s="783">
        <v>8</v>
      </c>
      <c r="D17" s="783">
        <v>8</v>
      </c>
      <c r="E17" s="784">
        <v>55.702419259999992</v>
      </c>
      <c r="F17" s="784">
        <v>36.236799999999995</v>
      </c>
      <c r="G17" s="784">
        <v>10.680915999999998</v>
      </c>
      <c r="H17" s="784">
        <v>8.3439999999999994</v>
      </c>
      <c r="I17" s="784">
        <v>0.29799999999999999</v>
      </c>
      <c r="J17" s="784">
        <v>0.846916</v>
      </c>
      <c r="K17" s="784">
        <v>0</v>
      </c>
      <c r="L17" s="784">
        <v>0</v>
      </c>
      <c r="M17" s="784">
        <v>0</v>
      </c>
      <c r="N17" s="784">
        <v>0</v>
      </c>
      <c r="O17" s="784">
        <v>0.44700000000000001</v>
      </c>
      <c r="P17" s="784">
        <v>0</v>
      </c>
      <c r="Q17" s="784">
        <v>0</v>
      </c>
      <c r="R17" s="784">
        <v>0.59599999999999997</v>
      </c>
      <c r="S17" s="784">
        <v>0</v>
      </c>
      <c r="T17" s="784">
        <v>0.14899999999999999</v>
      </c>
      <c r="U17" s="784">
        <v>0</v>
      </c>
      <c r="V17" s="784">
        <v>8.7847032600000006</v>
      </c>
      <c r="W17" s="784">
        <v>668.42903111999988</v>
      </c>
    </row>
    <row r="18" spans="1:23" ht="20.100000000000001" customHeight="1">
      <c r="A18" s="748">
        <v>5</v>
      </c>
      <c r="B18" s="782" t="s">
        <v>891</v>
      </c>
      <c r="C18" s="783">
        <v>13</v>
      </c>
      <c r="D18" s="783">
        <v>13</v>
      </c>
      <c r="E18" s="784">
        <v>89.779497039999995</v>
      </c>
      <c r="F18" s="784">
        <v>57.528899999999993</v>
      </c>
      <c r="G18" s="784">
        <v>18.540964000000002</v>
      </c>
      <c r="H18" s="784">
        <v>13.558999999999996</v>
      </c>
      <c r="I18" s="784">
        <v>0.44700000000000001</v>
      </c>
      <c r="J18" s="784">
        <v>0.36296400000000001</v>
      </c>
      <c r="K18" s="784">
        <v>0</v>
      </c>
      <c r="L18" s="784">
        <v>5.819939999999999</v>
      </c>
      <c r="M18" s="784">
        <v>0</v>
      </c>
      <c r="N18" s="784">
        <v>0</v>
      </c>
      <c r="O18" s="784">
        <v>0.89400000000000002</v>
      </c>
      <c r="P18" s="784">
        <v>0</v>
      </c>
      <c r="Q18" s="784">
        <v>0</v>
      </c>
      <c r="R18" s="784">
        <v>2.6819999999999999</v>
      </c>
      <c r="S18" s="784">
        <v>0</v>
      </c>
      <c r="T18" s="784">
        <v>0.59599999999999997</v>
      </c>
      <c r="U18" s="784">
        <v>0</v>
      </c>
      <c r="V18" s="784">
        <v>13.709633039999998</v>
      </c>
      <c r="W18" s="784">
        <v>1077.3539644799998</v>
      </c>
    </row>
    <row r="19" spans="1:23" ht="20.100000000000001" customHeight="1">
      <c r="A19" s="748">
        <v>6</v>
      </c>
      <c r="B19" s="782" t="s">
        <v>892</v>
      </c>
      <c r="C19" s="785">
        <v>5</v>
      </c>
      <c r="D19" s="785">
        <v>3</v>
      </c>
      <c r="E19" s="788">
        <v>21.714515000000006</v>
      </c>
      <c r="F19" s="784">
        <v>15.049000000000003</v>
      </c>
      <c r="G19" s="788">
        <v>3.1289999999999996</v>
      </c>
      <c r="H19" s="784">
        <v>3.1289999999999996</v>
      </c>
      <c r="I19" s="784">
        <v>0</v>
      </c>
      <c r="J19" s="784">
        <v>0</v>
      </c>
      <c r="K19" s="784">
        <v>0</v>
      </c>
      <c r="L19" s="784">
        <v>0</v>
      </c>
      <c r="M19" s="784">
        <v>0</v>
      </c>
      <c r="N19" s="784">
        <v>0</v>
      </c>
      <c r="O19" s="784">
        <v>0</v>
      </c>
      <c r="P19" s="784">
        <v>0</v>
      </c>
      <c r="Q19" s="784">
        <v>0</v>
      </c>
      <c r="R19" s="784">
        <v>0</v>
      </c>
      <c r="S19" s="784">
        <v>0</v>
      </c>
      <c r="T19" s="784">
        <v>0</v>
      </c>
      <c r="U19" s="784">
        <v>0</v>
      </c>
      <c r="V19" s="784">
        <v>3.5365150000000001</v>
      </c>
      <c r="W19" s="784">
        <v>260.57418000000001</v>
      </c>
    </row>
    <row r="20" spans="1:23" ht="20.100000000000001" customHeight="1">
      <c r="A20" s="748">
        <v>7</v>
      </c>
      <c r="B20" s="782" t="s">
        <v>826</v>
      </c>
      <c r="C20" s="783">
        <v>1</v>
      </c>
      <c r="D20" s="783">
        <v>1</v>
      </c>
      <c r="E20" s="784">
        <v>6.1052005000000005</v>
      </c>
      <c r="F20" s="784">
        <v>3.9782999999999999</v>
      </c>
      <c r="G20" s="784">
        <v>1.1919999999999999</v>
      </c>
      <c r="H20" s="784">
        <v>1.0429999999999999</v>
      </c>
      <c r="I20" s="784">
        <v>0</v>
      </c>
      <c r="J20" s="784">
        <v>0</v>
      </c>
      <c r="K20" s="784">
        <v>0</v>
      </c>
      <c r="L20" s="784">
        <v>0</v>
      </c>
      <c r="M20" s="784">
        <v>0</v>
      </c>
      <c r="N20" s="784">
        <v>0</v>
      </c>
      <c r="O20" s="784">
        <v>0</v>
      </c>
      <c r="P20" s="784">
        <v>0</v>
      </c>
      <c r="Q20" s="784">
        <v>0</v>
      </c>
      <c r="R20" s="784">
        <v>0</v>
      </c>
      <c r="S20" s="784">
        <v>0</v>
      </c>
      <c r="T20" s="784">
        <v>0.14899999999999999</v>
      </c>
      <c r="U20" s="784">
        <v>0</v>
      </c>
      <c r="V20" s="784">
        <v>0.93490049999999991</v>
      </c>
      <c r="W20" s="784">
        <v>73.262405999999999</v>
      </c>
    </row>
    <row r="21" spans="1:23" ht="20.100000000000001" customHeight="1">
      <c r="A21" s="748">
        <v>8</v>
      </c>
      <c r="B21" s="782" t="s">
        <v>893</v>
      </c>
      <c r="C21" s="783">
        <v>32</v>
      </c>
      <c r="D21" s="783">
        <v>31</v>
      </c>
      <c r="E21" s="788">
        <v>204.26938949999999</v>
      </c>
      <c r="F21" s="784">
        <v>128.42309999999998</v>
      </c>
      <c r="G21" s="788">
        <v>45.165624999999999</v>
      </c>
      <c r="H21" s="784">
        <v>32.332999999999991</v>
      </c>
      <c r="I21" s="784">
        <v>2.3839999999999999</v>
      </c>
      <c r="J21" s="784">
        <v>0</v>
      </c>
      <c r="K21" s="784">
        <v>9.7036250000000024</v>
      </c>
      <c r="L21" s="784">
        <v>0</v>
      </c>
      <c r="M21" s="784">
        <v>0</v>
      </c>
      <c r="N21" s="784">
        <v>0</v>
      </c>
      <c r="O21" s="784">
        <v>0.44700000000000001</v>
      </c>
      <c r="P21" s="784">
        <v>0</v>
      </c>
      <c r="Q21" s="784">
        <v>0</v>
      </c>
      <c r="R21" s="784">
        <v>0</v>
      </c>
      <c r="S21" s="784">
        <v>0</v>
      </c>
      <c r="T21" s="784">
        <v>1.0429999999999999</v>
      </c>
      <c r="U21" s="784">
        <v>0</v>
      </c>
      <c r="V21" s="784">
        <v>30.680664499999999</v>
      </c>
      <c r="W21" s="784">
        <v>2451.9776739999998</v>
      </c>
    </row>
    <row r="22" spans="1:23" ht="20.100000000000001" customHeight="1">
      <c r="A22" s="748">
        <v>9</v>
      </c>
      <c r="B22" s="782" t="s">
        <v>822</v>
      </c>
      <c r="C22" s="785"/>
      <c r="D22" s="785"/>
      <c r="E22" s="788">
        <f t="shared" si="2"/>
        <v>0</v>
      </c>
      <c r="F22" s="784"/>
      <c r="G22" s="788">
        <f t="shared" si="4"/>
        <v>0</v>
      </c>
      <c r="H22" s="784"/>
      <c r="I22" s="784"/>
      <c r="J22" s="784"/>
      <c r="K22" s="784"/>
      <c r="L22" s="784"/>
      <c r="M22" s="784"/>
      <c r="N22" s="784"/>
      <c r="O22" s="784"/>
      <c r="P22" s="784"/>
      <c r="Q22" s="784"/>
      <c r="R22" s="784"/>
      <c r="S22" s="784"/>
      <c r="T22" s="784"/>
      <c r="U22" s="784"/>
      <c r="V22" s="784">
        <f t="shared" si="5"/>
        <v>0</v>
      </c>
      <c r="W22" s="784"/>
    </row>
    <row r="23" spans="1:23" s="453" customFormat="1" ht="20.100000000000001" customHeight="1">
      <c r="A23" s="778">
        <v>10</v>
      </c>
      <c r="B23" s="779" t="s">
        <v>835</v>
      </c>
      <c r="C23" s="789">
        <f>C24+C25</f>
        <v>149</v>
      </c>
      <c r="D23" s="789">
        <f t="shared" ref="D23:W23" si="6">D24+D25</f>
        <v>149</v>
      </c>
      <c r="E23" s="789">
        <f t="shared" si="6"/>
        <v>1573.165965275</v>
      </c>
      <c r="F23" s="789">
        <f t="shared" si="6"/>
        <v>808.83979500000009</v>
      </c>
      <c r="G23" s="789">
        <f t="shared" si="6"/>
        <v>546.4803291500001</v>
      </c>
      <c r="H23" s="789">
        <f t="shared" si="6"/>
        <v>149.14899999999994</v>
      </c>
      <c r="I23" s="789">
        <f t="shared" si="6"/>
        <v>30.544999999999995</v>
      </c>
      <c r="J23" s="789">
        <f t="shared" si="6"/>
        <v>9.9003879999999995</v>
      </c>
      <c r="K23" s="789">
        <f t="shared" si="6"/>
        <v>9.3385749999999952</v>
      </c>
      <c r="L23" s="789">
        <f t="shared" si="6"/>
        <v>0</v>
      </c>
      <c r="M23" s="789">
        <f t="shared" si="6"/>
        <v>0</v>
      </c>
      <c r="N23" s="789">
        <f t="shared" si="6"/>
        <v>206.61124275000003</v>
      </c>
      <c r="O23" s="789">
        <f t="shared" si="6"/>
        <v>94.988930400000001</v>
      </c>
      <c r="P23" s="789">
        <f t="shared" si="6"/>
        <v>9.7860219999999991</v>
      </c>
      <c r="Q23" s="789">
        <f t="shared" si="6"/>
        <v>0</v>
      </c>
      <c r="R23" s="789">
        <f t="shared" si="6"/>
        <v>0</v>
      </c>
      <c r="S23" s="789">
        <f t="shared" si="6"/>
        <v>0</v>
      </c>
      <c r="T23" s="789">
        <f t="shared" si="6"/>
        <v>1.9369999999999998</v>
      </c>
      <c r="U23" s="789">
        <f t="shared" si="6"/>
        <v>34.373170999999999</v>
      </c>
      <c r="V23" s="789">
        <f t="shared" si="6"/>
        <v>217.84584112499999</v>
      </c>
      <c r="W23" s="789">
        <f t="shared" si="6"/>
        <v>19873.961756100001</v>
      </c>
    </row>
    <row r="24" spans="1:23" ht="20.100000000000001" customHeight="1">
      <c r="A24" s="748"/>
      <c r="B24" s="782" t="s">
        <v>894</v>
      </c>
      <c r="C24" s="783">
        <v>99</v>
      </c>
      <c r="D24" s="783">
        <v>99</v>
      </c>
      <c r="E24" s="784">
        <v>954.81466897500013</v>
      </c>
      <c r="F24" s="784">
        <v>523.21350000000007</v>
      </c>
      <c r="G24" s="784">
        <v>300.59857725000006</v>
      </c>
      <c r="H24" s="784">
        <v>102.21399999999997</v>
      </c>
      <c r="I24" s="784">
        <v>17.432999999999996</v>
      </c>
      <c r="J24" s="784">
        <v>6.5396929999999998</v>
      </c>
      <c r="K24" s="784">
        <v>3.0805750000000005</v>
      </c>
      <c r="L24" s="784">
        <v>0</v>
      </c>
      <c r="M24" s="784">
        <v>0</v>
      </c>
      <c r="N24" s="784">
        <v>132.27849525000002</v>
      </c>
      <c r="O24" s="784">
        <v>16.986000000000001</v>
      </c>
      <c r="P24" s="784">
        <v>7.4628139999999998</v>
      </c>
      <c r="Q24" s="784">
        <v>0</v>
      </c>
      <c r="R24" s="784">
        <v>0</v>
      </c>
      <c r="S24" s="784">
        <v>0</v>
      </c>
      <c r="T24" s="784">
        <v>1.9369999999999998</v>
      </c>
      <c r="U24" s="784">
        <v>12.816000000000001</v>
      </c>
      <c r="V24" s="784">
        <v>131.002591725</v>
      </c>
      <c r="W24" s="784">
        <v>11411.627207700001</v>
      </c>
    </row>
    <row r="25" spans="1:23" ht="20.100000000000001" customHeight="1">
      <c r="A25" s="748"/>
      <c r="B25" s="782" t="s">
        <v>895</v>
      </c>
      <c r="C25" s="783">
        <v>50</v>
      </c>
      <c r="D25" s="783">
        <v>50</v>
      </c>
      <c r="E25" s="784">
        <v>618.35129629999994</v>
      </c>
      <c r="F25" s="784">
        <v>285.62629499999997</v>
      </c>
      <c r="G25" s="784">
        <v>245.88175190000004</v>
      </c>
      <c r="H25" s="784">
        <v>46.934999999999974</v>
      </c>
      <c r="I25" s="784">
        <v>13.111999999999997</v>
      </c>
      <c r="J25" s="784">
        <v>3.3606950000000002</v>
      </c>
      <c r="K25" s="784">
        <v>6.2579999999999956</v>
      </c>
      <c r="L25" s="784">
        <v>0</v>
      </c>
      <c r="M25" s="784">
        <v>0</v>
      </c>
      <c r="N25" s="784">
        <v>74.332747500000011</v>
      </c>
      <c r="O25" s="784">
        <v>78.002930399999997</v>
      </c>
      <c r="P25" s="784">
        <v>2.3232079999999997</v>
      </c>
      <c r="Q25" s="784">
        <v>0</v>
      </c>
      <c r="R25" s="784">
        <v>0</v>
      </c>
      <c r="S25" s="784">
        <v>0</v>
      </c>
      <c r="T25" s="784">
        <v>0</v>
      </c>
      <c r="U25" s="784">
        <v>21.557170999999997</v>
      </c>
      <c r="V25" s="784">
        <v>86.843249399999991</v>
      </c>
      <c r="W25" s="784">
        <v>8462.3345484000001</v>
      </c>
    </row>
    <row r="26" spans="1:23" s="454" customFormat="1" ht="28.5" customHeight="1">
      <c r="A26" s="757" t="s">
        <v>223</v>
      </c>
      <c r="B26" s="790" t="s">
        <v>896</v>
      </c>
      <c r="C26" s="791">
        <v>264</v>
      </c>
      <c r="D26" s="791">
        <v>264</v>
      </c>
      <c r="E26" s="792">
        <v>2100.3228217999999</v>
      </c>
      <c r="F26" s="792">
        <v>969.59660000000008</v>
      </c>
      <c r="G26" s="792">
        <v>906.78191279999999</v>
      </c>
      <c r="H26" s="792">
        <v>251.36299999999989</v>
      </c>
      <c r="I26" s="792">
        <v>33.107799999999997</v>
      </c>
      <c r="J26" s="792">
        <v>1.20624</v>
      </c>
      <c r="K26" s="792">
        <v>0</v>
      </c>
      <c r="L26" s="792">
        <v>123.64765000000001</v>
      </c>
      <c r="M26" s="792">
        <v>151.58398779999999</v>
      </c>
      <c r="N26" s="792">
        <v>245.63468499999996</v>
      </c>
      <c r="O26" s="792">
        <v>19.928749999999997</v>
      </c>
      <c r="P26" s="792">
        <v>0.42613999999999996</v>
      </c>
      <c r="Q26" s="792">
        <v>0</v>
      </c>
      <c r="R26" s="792">
        <v>0</v>
      </c>
      <c r="S26" s="792">
        <v>0</v>
      </c>
      <c r="T26" s="792">
        <v>1.6029999999999998</v>
      </c>
      <c r="U26" s="792">
        <v>8.7632200000000022</v>
      </c>
      <c r="V26" s="792">
        <v>223.94430900000003</v>
      </c>
      <c r="W26" s="792">
        <v>25203.873861600001</v>
      </c>
    </row>
    <row r="27" spans="1:23" s="452" customFormat="1" ht="26.25" customHeight="1">
      <c r="A27" s="773" t="s">
        <v>226</v>
      </c>
      <c r="B27" s="793" t="s">
        <v>897</v>
      </c>
      <c r="C27" s="794">
        <f>C28+C29+C30</f>
        <v>350</v>
      </c>
      <c r="D27" s="794">
        <f t="shared" ref="D27:V27" si="7">D28+D29+D30</f>
        <v>350</v>
      </c>
      <c r="E27" s="794">
        <f t="shared" si="7"/>
        <v>172.244</v>
      </c>
      <c r="F27" s="794">
        <f t="shared" si="7"/>
        <v>0</v>
      </c>
      <c r="G27" s="794">
        <f t="shared" si="7"/>
        <v>161.51599999999999</v>
      </c>
      <c r="H27" s="794">
        <f t="shared" si="7"/>
        <v>0</v>
      </c>
      <c r="I27" s="794">
        <f t="shared" si="7"/>
        <v>0</v>
      </c>
      <c r="J27" s="794">
        <f t="shared" si="7"/>
        <v>0</v>
      </c>
      <c r="K27" s="794">
        <f t="shared" si="7"/>
        <v>0</v>
      </c>
      <c r="L27" s="794">
        <f t="shared" si="7"/>
        <v>0</v>
      </c>
      <c r="M27" s="794">
        <f t="shared" si="7"/>
        <v>0</v>
      </c>
      <c r="N27" s="794">
        <f t="shared" si="7"/>
        <v>0</v>
      </c>
      <c r="O27" s="794">
        <f t="shared" si="7"/>
        <v>0</v>
      </c>
      <c r="P27" s="794">
        <f t="shared" si="7"/>
        <v>0</v>
      </c>
      <c r="Q27" s="794">
        <f t="shared" si="7"/>
        <v>0</v>
      </c>
      <c r="R27" s="794">
        <f t="shared" si="7"/>
        <v>0</v>
      </c>
      <c r="S27" s="794">
        <f t="shared" si="7"/>
        <v>0</v>
      </c>
      <c r="T27" s="794">
        <f t="shared" si="7"/>
        <v>0</v>
      </c>
      <c r="U27" s="794">
        <f t="shared" si="7"/>
        <v>161.51599999999999</v>
      </c>
      <c r="V27" s="794">
        <f t="shared" si="7"/>
        <v>10.728</v>
      </c>
      <c r="W27" s="794">
        <f>W28+W29+W30</f>
        <v>2066.9279999999999</v>
      </c>
    </row>
    <row r="28" spans="1:23" ht="20.100000000000001" customHeight="1">
      <c r="A28" s="451"/>
      <c r="B28" s="782" t="s">
        <v>898</v>
      </c>
      <c r="C28" s="783">
        <v>1</v>
      </c>
      <c r="D28" s="783">
        <v>1</v>
      </c>
      <c r="E28" s="784">
        <v>0.745</v>
      </c>
      <c r="F28" s="784"/>
      <c r="G28" s="784">
        <v>0.745</v>
      </c>
      <c r="H28" s="784"/>
      <c r="I28" s="784"/>
      <c r="J28" s="784"/>
      <c r="K28" s="784"/>
      <c r="L28" s="784"/>
      <c r="M28" s="784"/>
      <c r="N28" s="784"/>
      <c r="O28" s="784"/>
      <c r="P28" s="784"/>
      <c r="Q28" s="784"/>
      <c r="R28" s="784"/>
      <c r="S28" s="784"/>
      <c r="T28" s="784"/>
      <c r="U28" s="784">
        <v>0.745</v>
      </c>
      <c r="V28" s="784"/>
      <c r="W28" s="784">
        <v>8.94</v>
      </c>
    </row>
    <row r="29" spans="1:23" ht="20.100000000000001" customHeight="1">
      <c r="A29" s="451"/>
      <c r="B29" s="782" t="s">
        <v>899</v>
      </c>
      <c r="C29" s="783">
        <v>32</v>
      </c>
      <c r="D29" s="783">
        <v>32</v>
      </c>
      <c r="E29" s="784">
        <v>19.071999999999999</v>
      </c>
      <c r="F29" s="784"/>
      <c r="G29" s="784">
        <v>19.071999999999999</v>
      </c>
      <c r="H29" s="784"/>
      <c r="I29" s="784"/>
      <c r="J29" s="784"/>
      <c r="K29" s="784"/>
      <c r="L29" s="784"/>
      <c r="M29" s="784"/>
      <c r="N29" s="784"/>
      <c r="O29" s="784"/>
      <c r="P29" s="784"/>
      <c r="Q29" s="784"/>
      <c r="R29" s="784"/>
      <c r="S29" s="784"/>
      <c r="T29" s="784"/>
      <c r="U29" s="784">
        <v>19.071999999999999</v>
      </c>
      <c r="V29" s="784"/>
      <c r="W29" s="784">
        <v>228.86399999999998</v>
      </c>
    </row>
    <row r="30" spans="1:23" ht="20.100000000000001" customHeight="1">
      <c r="A30" s="451"/>
      <c r="B30" s="782" t="s">
        <v>900</v>
      </c>
      <c r="C30" s="783">
        <v>317</v>
      </c>
      <c r="D30" s="783">
        <v>317</v>
      </c>
      <c r="E30" s="784">
        <v>152.42699999999999</v>
      </c>
      <c r="F30" s="784"/>
      <c r="G30" s="784">
        <v>141.69899999999998</v>
      </c>
      <c r="H30" s="784"/>
      <c r="I30" s="784"/>
      <c r="J30" s="784"/>
      <c r="K30" s="784"/>
      <c r="L30" s="784"/>
      <c r="M30" s="784"/>
      <c r="N30" s="784"/>
      <c r="O30" s="784"/>
      <c r="P30" s="784"/>
      <c r="Q30" s="784"/>
      <c r="R30" s="784"/>
      <c r="S30" s="784"/>
      <c r="T30" s="784"/>
      <c r="U30" s="784">
        <v>141.69899999999998</v>
      </c>
      <c r="V30" s="784">
        <v>10.728</v>
      </c>
      <c r="W30" s="784">
        <v>1829.1239999999998</v>
      </c>
    </row>
    <row r="31" spans="1:23" s="452" customFormat="1" ht="30" customHeight="1">
      <c r="A31" s="773" t="s">
        <v>227</v>
      </c>
      <c r="B31" s="793" t="s">
        <v>901</v>
      </c>
      <c r="C31" s="775">
        <f>SUM(C32:C34)</f>
        <v>215</v>
      </c>
      <c r="D31" s="775">
        <f>SUM(D32:D34)</f>
        <v>215</v>
      </c>
      <c r="E31" s="795">
        <f>SUM(E32:E34)</f>
        <v>102.661</v>
      </c>
      <c r="F31" s="795"/>
      <c r="G31" s="776">
        <f t="shared" si="4"/>
        <v>102.661</v>
      </c>
      <c r="H31" s="795"/>
      <c r="I31" s="795"/>
      <c r="J31" s="795"/>
      <c r="K31" s="795"/>
      <c r="L31" s="795"/>
      <c r="M31" s="795"/>
      <c r="N31" s="795"/>
      <c r="O31" s="795"/>
      <c r="P31" s="795"/>
      <c r="Q31" s="795"/>
      <c r="R31" s="795"/>
      <c r="S31" s="795"/>
      <c r="T31" s="795"/>
      <c r="U31" s="795">
        <f>SUM(U32:U34)</f>
        <v>102.661</v>
      </c>
      <c r="V31" s="795">
        <f t="shared" ref="V31" si="8">SUM(V32:V34)</f>
        <v>0</v>
      </c>
      <c r="W31" s="795">
        <f>SUM(W32:W34)</f>
        <v>1231.932</v>
      </c>
    </row>
    <row r="32" spans="1:23" ht="20.100000000000001" customHeight="1">
      <c r="A32" s="451"/>
      <c r="B32" s="782" t="s">
        <v>902</v>
      </c>
      <c r="C32" s="783">
        <v>1</v>
      </c>
      <c r="D32" s="783">
        <v>1</v>
      </c>
      <c r="E32" s="784">
        <v>0.745</v>
      </c>
      <c r="F32" s="784"/>
      <c r="G32" s="784">
        <v>0.745</v>
      </c>
      <c r="H32" s="784"/>
      <c r="I32" s="784"/>
      <c r="J32" s="784"/>
      <c r="K32" s="784"/>
      <c r="L32" s="784"/>
      <c r="M32" s="784"/>
      <c r="N32" s="784"/>
      <c r="O32" s="784"/>
      <c r="P32" s="784"/>
      <c r="Q32" s="784"/>
      <c r="R32" s="784"/>
      <c r="S32" s="784"/>
      <c r="T32" s="784"/>
      <c r="U32" s="784">
        <v>0.745</v>
      </c>
      <c r="V32" s="784"/>
      <c r="W32" s="784">
        <v>8.94</v>
      </c>
    </row>
    <row r="33" spans="1:23" ht="20.100000000000001" customHeight="1">
      <c r="A33" s="451"/>
      <c r="B33" s="782" t="s">
        <v>903</v>
      </c>
      <c r="C33" s="783">
        <v>42</v>
      </c>
      <c r="D33" s="783">
        <v>42</v>
      </c>
      <c r="E33" s="784">
        <v>25.032</v>
      </c>
      <c r="F33" s="784"/>
      <c r="G33" s="784">
        <v>25.032</v>
      </c>
      <c r="H33" s="784"/>
      <c r="I33" s="784"/>
      <c r="J33" s="784"/>
      <c r="K33" s="784"/>
      <c r="L33" s="784"/>
      <c r="M33" s="784"/>
      <c r="N33" s="784"/>
      <c r="O33" s="784"/>
      <c r="P33" s="784"/>
      <c r="Q33" s="784"/>
      <c r="R33" s="784"/>
      <c r="S33" s="784"/>
      <c r="T33" s="784"/>
      <c r="U33" s="784">
        <v>25.032</v>
      </c>
      <c r="V33" s="784"/>
      <c r="W33" s="784">
        <v>300.38400000000001</v>
      </c>
    </row>
    <row r="34" spans="1:23" ht="20.100000000000001" customHeight="1">
      <c r="A34" s="451"/>
      <c r="B34" s="782" t="s">
        <v>904</v>
      </c>
      <c r="C34" s="783">
        <v>172</v>
      </c>
      <c r="D34" s="783">
        <v>172</v>
      </c>
      <c r="E34" s="784">
        <v>76.884</v>
      </c>
      <c r="F34" s="784"/>
      <c r="G34" s="784">
        <v>76.884</v>
      </c>
      <c r="H34" s="784"/>
      <c r="I34" s="784"/>
      <c r="J34" s="784"/>
      <c r="K34" s="784"/>
      <c r="L34" s="784"/>
      <c r="M34" s="784"/>
      <c r="N34" s="784"/>
      <c r="O34" s="784"/>
      <c r="P34" s="784"/>
      <c r="Q34" s="784"/>
      <c r="R34" s="784"/>
      <c r="S34" s="784"/>
      <c r="T34" s="784"/>
      <c r="U34" s="784">
        <v>76.884</v>
      </c>
      <c r="V34" s="784"/>
      <c r="W34" s="784">
        <v>922.60799999999995</v>
      </c>
    </row>
    <row r="35" spans="1:23" s="452" customFormat="1">
      <c r="A35" s="773" t="s">
        <v>228</v>
      </c>
      <c r="B35" s="793" t="s">
        <v>905</v>
      </c>
      <c r="C35" s="775">
        <f>SUM(C36:C38)</f>
        <v>28</v>
      </c>
      <c r="D35" s="775">
        <f>SUM(D36:D38)</f>
        <v>28</v>
      </c>
      <c r="E35" s="795">
        <f>SUM(E36:E38)</f>
        <v>57.705399999999997</v>
      </c>
      <c r="F35" s="795"/>
      <c r="G35" s="776">
        <f>SUM(H35:U35)</f>
        <v>55.827999999999996</v>
      </c>
      <c r="H35" s="795"/>
      <c r="I35" s="795"/>
      <c r="J35" s="795"/>
      <c r="K35" s="795"/>
      <c r="L35" s="795"/>
      <c r="M35" s="795"/>
      <c r="N35" s="795"/>
      <c r="O35" s="795"/>
      <c r="P35" s="795"/>
      <c r="Q35" s="795"/>
      <c r="R35" s="795"/>
      <c r="S35" s="795"/>
      <c r="T35" s="795"/>
      <c r="U35" s="795">
        <f>SUM(U36:U38)</f>
        <v>55.827999999999996</v>
      </c>
      <c r="V35" s="795">
        <f>SUM(V36:V38)</f>
        <v>1.8774000000000002</v>
      </c>
      <c r="W35" s="795">
        <f>SUM(W36:W38)</f>
        <v>692.46479999999997</v>
      </c>
    </row>
    <row r="36" spans="1:23" ht="20.100000000000001" customHeight="1">
      <c r="A36" s="451"/>
      <c r="B36" s="782" t="s">
        <v>1336</v>
      </c>
      <c r="C36" s="783">
        <v>9</v>
      </c>
      <c r="D36" s="783">
        <v>9</v>
      </c>
      <c r="E36" s="784">
        <v>19.647449999999999</v>
      </c>
      <c r="F36" s="784"/>
      <c r="G36" s="784">
        <v>19.044</v>
      </c>
      <c r="H36" s="784"/>
      <c r="I36" s="784"/>
      <c r="J36" s="784"/>
      <c r="K36" s="784"/>
      <c r="L36" s="784"/>
      <c r="M36" s="784"/>
      <c r="N36" s="784"/>
      <c r="O36" s="784"/>
      <c r="P36" s="784"/>
      <c r="Q36" s="784"/>
      <c r="R36" s="784"/>
      <c r="S36" s="784"/>
      <c r="T36" s="784"/>
      <c r="U36" s="784">
        <v>19.044</v>
      </c>
      <c r="V36" s="784">
        <v>0.60345000000000004</v>
      </c>
      <c r="W36" s="784">
        <v>235.76939999999999</v>
      </c>
    </row>
    <row r="37" spans="1:23" ht="62.25" customHeight="1">
      <c r="A37" s="451"/>
      <c r="B37" s="796" t="s">
        <v>1337</v>
      </c>
      <c r="C37" s="783">
        <v>5</v>
      </c>
      <c r="D37" s="783">
        <v>5</v>
      </c>
      <c r="E37" s="784">
        <v>10.57525</v>
      </c>
      <c r="F37" s="784"/>
      <c r="G37" s="784">
        <v>10.24</v>
      </c>
      <c r="H37" s="784"/>
      <c r="I37" s="784"/>
      <c r="J37" s="784"/>
      <c r="K37" s="784"/>
      <c r="L37" s="784"/>
      <c r="M37" s="784"/>
      <c r="N37" s="784"/>
      <c r="O37" s="784"/>
      <c r="P37" s="784"/>
      <c r="Q37" s="784"/>
      <c r="R37" s="784"/>
      <c r="S37" s="784"/>
      <c r="T37" s="784"/>
      <c r="U37" s="784">
        <v>10.24</v>
      </c>
      <c r="V37" s="784">
        <v>0.33524999999999999</v>
      </c>
      <c r="W37" s="784">
        <v>126.90300000000001</v>
      </c>
    </row>
    <row r="38" spans="1:23" ht="20.100000000000001" customHeight="1">
      <c r="A38" s="451"/>
      <c r="B38" s="782" t="s">
        <v>906</v>
      </c>
      <c r="C38" s="783">
        <v>14</v>
      </c>
      <c r="D38" s="783">
        <v>14</v>
      </c>
      <c r="E38" s="784">
        <v>27.482699999999998</v>
      </c>
      <c r="F38" s="784"/>
      <c r="G38" s="784">
        <v>26.543999999999997</v>
      </c>
      <c r="H38" s="784"/>
      <c r="I38" s="784"/>
      <c r="J38" s="784"/>
      <c r="K38" s="784"/>
      <c r="L38" s="784"/>
      <c r="M38" s="784"/>
      <c r="N38" s="784"/>
      <c r="O38" s="784"/>
      <c r="P38" s="784"/>
      <c r="Q38" s="784"/>
      <c r="R38" s="784"/>
      <c r="S38" s="784"/>
      <c r="T38" s="784"/>
      <c r="U38" s="784">
        <v>26.543999999999997</v>
      </c>
      <c r="V38" s="784">
        <v>0.93869999999999998</v>
      </c>
      <c r="W38" s="784">
        <v>329.79239999999999</v>
      </c>
    </row>
    <row r="39" spans="1:23" ht="24" customHeight="1">
      <c r="A39" s="441"/>
      <c r="B39" s="440"/>
      <c r="C39" s="455"/>
      <c r="D39" s="455"/>
      <c r="E39" s="456"/>
      <c r="F39" s="456"/>
      <c r="G39" s="456"/>
      <c r="H39" s="456"/>
      <c r="I39" s="456"/>
      <c r="J39" s="456"/>
      <c r="K39" s="456"/>
      <c r="L39" s="456"/>
      <c r="M39" s="456"/>
      <c r="N39" s="457"/>
      <c r="O39" s="456"/>
      <c r="P39" s="456"/>
      <c r="Q39" s="456"/>
      <c r="R39" s="456"/>
      <c r="S39" s="456"/>
      <c r="T39" s="456"/>
      <c r="U39" s="456"/>
      <c r="V39" s="440"/>
      <c r="W39" s="440"/>
    </row>
    <row r="40" spans="1:23" s="462" customFormat="1">
      <c r="A40" s="441"/>
      <c r="B40" s="458"/>
      <c r="C40" s="459"/>
      <c r="D40" s="459"/>
      <c r="E40" s="460"/>
      <c r="F40" s="460"/>
      <c r="G40" s="460"/>
      <c r="H40" s="460"/>
      <c r="I40" s="460"/>
      <c r="J40" s="460"/>
      <c r="K40" s="460"/>
      <c r="L40" s="460"/>
      <c r="M40" s="460"/>
      <c r="N40" s="460"/>
      <c r="O40" s="460"/>
      <c r="P40" s="460"/>
      <c r="Q40" s="460"/>
      <c r="R40" s="460"/>
      <c r="S40" s="460"/>
      <c r="T40" s="460"/>
      <c r="U40" s="460"/>
      <c r="V40" s="461"/>
      <c r="W40" s="461"/>
    </row>
    <row r="41" spans="1:23" s="462" customFormat="1">
      <c r="A41" s="441"/>
      <c r="B41" s="458"/>
      <c r="C41" s="459"/>
      <c r="D41" s="459"/>
      <c r="E41" s="460"/>
      <c r="F41" s="460"/>
      <c r="G41" s="460"/>
      <c r="H41" s="460"/>
      <c r="I41" s="460"/>
      <c r="J41" s="460"/>
      <c r="K41" s="460"/>
      <c r="L41" s="460"/>
      <c r="M41" s="460"/>
      <c r="N41" s="460"/>
      <c r="O41" s="460"/>
      <c r="P41" s="460"/>
      <c r="Q41" s="460"/>
      <c r="R41" s="460"/>
      <c r="S41" s="460"/>
      <c r="T41" s="460"/>
      <c r="U41" s="460"/>
      <c r="V41" s="461"/>
      <c r="W41" s="461"/>
    </row>
    <row r="42" spans="1:23" s="468" customFormat="1">
      <c r="A42" s="463"/>
      <c r="B42" s="464"/>
      <c r="C42" s="465"/>
      <c r="D42" s="465"/>
      <c r="E42" s="466"/>
      <c r="F42" s="466"/>
      <c r="G42" s="466"/>
      <c r="H42" s="466"/>
      <c r="I42" s="466"/>
      <c r="J42" s="466"/>
      <c r="K42" s="466"/>
      <c r="L42" s="466"/>
      <c r="M42" s="466"/>
      <c r="N42" s="466"/>
      <c r="O42" s="466"/>
      <c r="P42" s="466"/>
      <c r="Q42" s="466"/>
      <c r="R42" s="466"/>
      <c r="S42" s="466"/>
      <c r="T42" s="466"/>
      <c r="U42" s="466"/>
      <c r="V42" s="467"/>
      <c r="W42" s="467"/>
    </row>
    <row r="43" spans="1:23" s="468" customFormat="1">
      <c r="A43" s="463"/>
      <c r="B43" s="464"/>
      <c r="C43" s="465"/>
      <c r="D43" s="465"/>
      <c r="E43" s="466"/>
      <c r="F43" s="466"/>
      <c r="G43" s="466"/>
      <c r="H43" s="466"/>
      <c r="I43" s="466"/>
      <c r="J43" s="466"/>
      <c r="K43" s="466"/>
      <c r="L43" s="466"/>
      <c r="M43" s="466"/>
      <c r="N43" s="466"/>
      <c r="O43" s="466"/>
      <c r="P43" s="466"/>
      <c r="Q43" s="466"/>
      <c r="R43" s="466"/>
      <c r="S43" s="466"/>
      <c r="T43" s="466"/>
      <c r="U43" s="466"/>
      <c r="V43" s="467"/>
      <c r="W43" s="467"/>
    </row>
    <row r="44" spans="1:23" s="468" customFormat="1">
      <c r="A44" s="463"/>
      <c r="B44" s="464"/>
      <c r="C44" s="465"/>
      <c r="D44" s="465"/>
      <c r="E44" s="466"/>
      <c r="F44" s="466"/>
      <c r="G44" s="466"/>
      <c r="H44" s="466"/>
      <c r="I44" s="466"/>
      <c r="J44" s="466"/>
      <c r="K44" s="466"/>
      <c r="L44" s="466"/>
      <c r="M44" s="466"/>
      <c r="N44" s="466"/>
      <c r="O44" s="466"/>
      <c r="P44" s="466"/>
      <c r="Q44" s="466"/>
      <c r="R44" s="466"/>
      <c r="S44" s="466"/>
      <c r="T44" s="466"/>
      <c r="U44" s="466"/>
      <c r="V44" s="467"/>
      <c r="W44" s="467"/>
    </row>
    <row r="45" spans="1:23">
      <c r="A45" s="469"/>
      <c r="B45" s="470"/>
      <c r="C45" s="471"/>
      <c r="D45" s="471"/>
      <c r="E45" s="456"/>
      <c r="F45" s="456"/>
      <c r="G45" s="456"/>
      <c r="H45" s="456"/>
      <c r="I45" s="456"/>
      <c r="J45" s="456"/>
      <c r="K45" s="456"/>
      <c r="L45" s="456"/>
      <c r="M45" s="456"/>
      <c r="N45" s="457"/>
      <c r="O45" s="456"/>
      <c r="P45" s="456"/>
      <c r="Q45" s="456"/>
      <c r="R45" s="456"/>
      <c r="S45" s="456"/>
      <c r="T45" s="456"/>
      <c r="U45" s="456"/>
      <c r="V45" s="440"/>
      <c r="W45" s="440"/>
    </row>
    <row r="46" spans="1:23">
      <c r="A46" s="469"/>
      <c r="B46" s="470"/>
      <c r="C46" s="471"/>
      <c r="D46" s="471"/>
      <c r="E46" s="456"/>
      <c r="F46" s="456"/>
      <c r="G46" s="456"/>
      <c r="H46" s="456"/>
      <c r="I46" s="456"/>
      <c r="J46" s="456"/>
      <c r="K46" s="456"/>
      <c r="L46" s="456"/>
      <c r="M46" s="456"/>
      <c r="N46" s="457"/>
      <c r="O46" s="456"/>
      <c r="P46" s="456"/>
      <c r="Q46" s="456"/>
      <c r="R46" s="456"/>
      <c r="S46" s="456"/>
      <c r="T46" s="456"/>
      <c r="U46" s="456"/>
      <c r="V46" s="440"/>
      <c r="W46" s="440"/>
    </row>
    <row r="47" spans="1:23">
      <c r="A47" s="469"/>
      <c r="B47" s="470"/>
      <c r="C47" s="471"/>
      <c r="D47" s="471"/>
      <c r="E47" s="456"/>
      <c r="F47" s="456"/>
      <c r="G47" s="456"/>
      <c r="H47" s="456"/>
      <c r="I47" s="456"/>
      <c r="J47" s="456"/>
      <c r="K47" s="456"/>
      <c r="L47" s="456"/>
      <c r="M47" s="456"/>
      <c r="N47" s="457"/>
      <c r="O47" s="456"/>
      <c r="P47" s="456"/>
      <c r="Q47" s="456"/>
      <c r="R47" s="456"/>
      <c r="S47" s="456"/>
      <c r="T47" s="456"/>
      <c r="U47" s="456"/>
      <c r="V47" s="440"/>
      <c r="W47" s="440"/>
    </row>
    <row r="48" spans="1:23">
      <c r="A48" s="469"/>
      <c r="B48" s="470"/>
      <c r="C48" s="471"/>
      <c r="D48" s="471"/>
      <c r="E48" s="456"/>
      <c r="F48" s="456"/>
      <c r="G48" s="456"/>
      <c r="H48" s="456"/>
      <c r="I48" s="456"/>
      <c r="J48" s="456"/>
      <c r="K48" s="456"/>
      <c r="L48" s="456"/>
      <c r="M48" s="456"/>
      <c r="N48" s="457"/>
      <c r="O48" s="456"/>
      <c r="P48" s="456"/>
      <c r="Q48" s="456"/>
      <c r="R48" s="456"/>
      <c r="S48" s="456"/>
      <c r="T48" s="456"/>
      <c r="U48" s="456"/>
      <c r="V48" s="440"/>
      <c r="W48" s="440"/>
    </row>
    <row r="49" spans="1:23">
      <c r="A49" s="469"/>
      <c r="B49" s="470"/>
      <c r="C49" s="471"/>
      <c r="D49" s="471"/>
      <c r="E49" s="456"/>
      <c r="F49" s="456"/>
      <c r="G49" s="456"/>
      <c r="H49" s="456"/>
      <c r="I49" s="456"/>
      <c r="J49" s="456"/>
      <c r="K49" s="456"/>
      <c r="L49" s="456"/>
      <c r="M49" s="456"/>
      <c r="N49" s="457"/>
      <c r="O49" s="456"/>
      <c r="P49" s="456"/>
      <c r="Q49" s="456"/>
      <c r="R49" s="456"/>
      <c r="S49" s="456"/>
      <c r="T49" s="456"/>
      <c r="U49" s="456"/>
      <c r="V49" s="440"/>
      <c r="W49" s="440"/>
    </row>
    <row r="50" spans="1:23">
      <c r="A50" s="469"/>
      <c r="B50" s="470"/>
      <c r="C50" s="471"/>
      <c r="D50" s="471"/>
      <c r="E50" s="456"/>
      <c r="F50" s="456"/>
      <c r="G50" s="456"/>
      <c r="H50" s="456"/>
      <c r="I50" s="456"/>
      <c r="J50" s="456"/>
      <c r="K50" s="456"/>
      <c r="L50" s="456"/>
      <c r="M50" s="456"/>
      <c r="N50" s="457"/>
      <c r="O50" s="456"/>
      <c r="P50" s="456"/>
      <c r="Q50" s="456"/>
      <c r="R50" s="456"/>
      <c r="S50" s="456"/>
      <c r="T50" s="456"/>
      <c r="U50" s="456"/>
      <c r="V50" s="440"/>
      <c r="W50" s="440"/>
    </row>
    <row r="51" spans="1:23">
      <c r="A51" s="469"/>
      <c r="B51" s="470"/>
      <c r="C51" s="471"/>
      <c r="D51" s="471"/>
      <c r="E51" s="456"/>
      <c r="F51" s="456"/>
      <c r="G51" s="456"/>
      <c r="H51" s="456"/>
      <c r="I51" s="456"/>
      <c r="J51" s="456"/>
      <c r="K51" s="456"/>
      <c r="L51" s="456"/>
      <c r="M51" s="456"/>
      <c r="N51" s="457"/>
      <c r="O51" s="456"/>
      <c r="P51" s="456"/>
      <c r="Q51" s="456"/>
      <c r="R51" s="456"/>
      <c r="S51" s="456"/>
      <c r="T51" s="456"/>
      <c r="U51" s="456"/>
      <c r="V51" s="440"/>
      <c r="W51" s="440"/>
    </row>
    <row r="52" spans="1:23">
      <c r="A52" s="469"/>
      <c r="B52" s="470"/>
      <c r="C52" s="471"/>
      <c r="D52" s="471"/>
      <c r="E52" s="456"/>
      <c r="F52" s="456"/>
      <c r="G52" s="456"/>
      <c r="H52" s="456"/>
      <c r="I52" s="456"/>
      <c r="J52" s="456"/>
      <c r="K52" s="456"/>
      <c r="L52" s="456"/>
      <c r="M52" s="456"/>
      <c r="N52" s="457"/>
      <c r="O52" s="456"/>
      <c r="P52" s="456"/>
      <c r="Q52" s="456"/>
      <c r="R52" s="456"/>
      <c r="S52" s="456"/>
      <c r="T52" s="456"/>
      <c r="U52" s="456"/>
      <c r="V52" s="440"/>
      <c r="W52" s="440"/>
    </row>
  </sheetData>
  <mergeCells count="15">
    <mergeCell ref="F1:W1"/>
    <mergeCell ref="F7:F8"/>
    <mergeCell ref="G7:G8"/>
    <mergeCell ref="H7:U7"/>
    <mergeCell ref="V7:V8"/>
    <mergeCell ref="A2:W2"/>
    <mergeCell ref="A4:W4"/>
    <mergeCell ref="U5:W5"/>
    <mergeCell ref="A6:A8"/>
    <mergeCell ref="B6:B8"/>
    <mergeCell ref="C6:C8"/>
    <mergeCell ref="D6:D8"/>
    <mergeCell ref="E6:V6"/>
    <mergeCell ref="W6:W8"/>
    <mergeCell ref="E7:E8"/>
  </mergeCells>
  <pageMargins left="0.70866141732283472" right="0.48" top="0.74803149606299213" bottom="0.74803149606299213" header="0.31496062992125984" footer="0.31496062992125984"/>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9"/>
  <sheetViews>
    <sheetView topLeftCell="A31" workbookViewId="0">
      <selection activeCell="B78" sqref="B78"/>
    </sheetView>
  </sheetViews>
  <sheetFormatPr defaultColWidth="11.42578125" defaultRowHeight="16.5"/>
  <cols>
    <col min="1" max="1" width="5.42578125" style="474" customWidth="1"/>
    <col min="2" max="2" width="94.140625" style="474" customWidth="1"/>
    <col min="3" max="3" width="21.42578125" style="474" customWidth="1"/>
    <col min="4" max="13" width="0" style="474" hidden="1" customWidth="1"/>
    <col min="14" max="256" width="11.42578125" style="474"/>
    <col min="257" max="257" width="5.42578125" style="474" customWidth="1"/>
    <col min="258" max="258" width="94.140625" style="474" customWidth="1"/>
    <col min="259" max="259" width="15.5703125" style="474" customWidth="1"/>
    <col min="260" max="269" width="0" style="474" hidden="1" customWidth="1"/>
    <col min="270" max="512" width="11.42578125" style="474"/>
    <col min="513" max="513" width="5.42578125" style="474" customWidth="1"/>
    <col min="514" max="514" width="94.140625" style="474" customWidth="1"/>
    <col min="515" max="515" width="15.5703125" style="474" customWidth="1"/>
    <col min="516" max="525" width="0" style="474" hidden="1" customWidth="1"/>
    <col min="526" max="768" width="11.42578125" style="474"/>
    <col min="769" max="769" width="5.42578125" style="474" customWidth="1"/>
    <col min="770" max="770" width="94.140625" style="474" customWidth="1"/>
    <col min="771" max="771" width="15.5703125" style="474" customWidth="1"/>
    <col min="772" max="781" width="0" style="474" hidden="1" customWidth="1"/>
    <col min="782" max="1024" width="11.42578125" style="474"/>
    <col min="1025" max="1025" width="5.42578125" style="474" customWidth="1"/>
    <col min="1026" max="1026" width="94.140625" style="474" customWidth="1"/>
    <col min="1027" max="1027" width="15.5703125" style="474" customWidth="1"/>
    <col min="1028" max="1037" width="0" style="474" hidden="1" customWidth="1"/>
    <col min="1038" max="1280" width="11.42578125" style="474"/>
    <col min="1281" max="1281" width="5.42578125" style="474" customWidth="1"/>
    <col min="1282" max="1282" width="94.140625" style="474" customWidth="1"/>
    <col min="1283" max="1283" width="15.5703125" style="474" customWidth="1"/>
    <col min="1284" max="1293" width="0" style="474" hidden="1" customWidth="1"/>
    <col min="1294" max="1536" width="11.42578125" style="474"/>
    <col min="1537" max="1537" width="5.42578125" style="474" customWidth="1"/>
    <col min="1538" max="1538" width="94.140625" style="474" customWidth="1"/>
    <col min="1539" max="1539" width="15.5703125" style="474" customWidth="1"/>
    <col min="1540" max="1549" width="0" style="474" hidden="1" customWidth="1"/>
    <col min="1550" max="1792" width="11.42578125" style="474"/>
    <col min="1793" max="1793" width="5.42578125" style="474" customWidth="1"/>
    <col min="1794" max="1794" width="94.140625" style="474" customWidth="1"/>
    <col min="1795" max="1795" width="15.5703125" style="474" customWidth="1"/>
    <col min="1796" max="1805" width="0" style="474" hidden="1" customWidth="1"/>
    <col min="1806" max="2048" width="11.42578125" style="474"/>
    <col min="2049" max="2049" width="5.42578125" style="474" customWidth="1"/>
    <col min="2050" max="2050" width="94.140625" style="474" customWidth="1"/>
    <col min="2051" max="2051" width="15.5703125" style="474" customWidth="1"/>
    <col min="2052" max="2061" width="0" style="474" hidden="1" customWidth="1"/>
    <col min="2062" max="2304" width="11.42578125" style="474"/>
    <col min="2305" max="2305" width="5.42578125" style="474" customWidth="1"/>
    <col min="2306" max="2306" width="94.140625" style="474" customWidth="1"/>
    <col min="2307" max="2307" width="15.5703125" style="474" customWidth="1"/>
    <col min="2308" max="2317" width="0" style="474" hidden="1" customWidth="1"/>
    <col min="2318" max="2560" width="11.42578125" style="474"/>
    <col min="2561" max="2561" width="5.42578125" style="474" customWidth="1"/>
    <col min="2562" max="2562" width="94.140625" style="474" customWidth="1"/>
    <col min="2563" max="2563" width="15.5703125" style="474" customWidth="1"/>
    <col min="2564" max="2573" width="0" style="474" hidden="1" customWidth="1"/>
    <col min="2574" max="2816" width="11.42578125" style="474"/>
    <col min="2817" max="2817" width="5.42578125" style="474" customWidth="1"/>
    <col min="2818" max="2818" width="94.140625" style="474" customWidth="1"/>
    <col min="2819" max="2819" width="15.5703125" style="474" customWidth="1"/>
    <col min="2820" max="2829" width="0" style="474" hidden="1" customWidth="1"/>
    <col min="2830" max="3072" width="11.42578125" style="474"/>
    <col min="3073" max="3073" width="5.42578125" style="474" customWidth="1"/>
    <col min="3074" max="3074" width="94.140625" style="474" customWidth="1"/>
    <col min="3075" max="3075" width="15.5703125" style="474" customWidth="1"/>
    <col min="3076" max="3085" width="0" style="474" hidden="1" customWidth="1"/>
    <col min="3086" max="3328" width="11.42578125" style="474"/>
    <col min="3329" max="3329" width="5.42578125" style="474" customWidth="1"/>
    <col min="3330" max="3330" width="94.140625" style="474" customWidth="1"/>
    <col min="3331" max="3331" width="15.5703125" style="474" customWidth="1"/>
    <col min="3332" max="3341" width="0" style="474" hidden="1" customWidth="1"/>
    <col min="3342" max="3584" width="11.42578125" style="474"/>
    <col min="3585" max="3585" width="5.42578125" style="474" customWidth="1"/>
    <col min="3586" max="3586" width="94.140625" style="474" customWidth="1"/>
    <col min="3587" max="3587" width="15.5703125" style="474" customWidth="1"/>
    <col min="3588" max="3597" width="0" style="474" hidden="1" customWidth="1"/>
    <col min="3598" max="3840" width="11.42578125" style="474"/>
    <col min="3841" max="3841" width="5.42578125" style="474" customWidth="1"/>
    <col min="3842" max="3842" width="94.140625" style="474" customWidth="1"/>
    <col min="3843" max="3843" width="15.5703125" style="474" customWidth="1"/>
    <col min="3844" max="3853" width="0" style="474" hidden="1" customWidth="1"/>
    <col min="3854" max="4096" width="11.42578125" style="474"/>
    <col min="4097" max="4097" width="5.42578125" style="474" customWidth="1"/>
    <col min="4098" max="4098" width="94.140625" style="474" customWidth="1"/>
    <col min="4099" max="4099" width="15.5703125" style="474" customWidth="1"/>
    <col min="4100" max="4109" width="0" style="474" hidden="1" customWidth="1"/>
    <col min="4110" max="4352" width="11.42578125" style="474"/>
    <col min="4353" max="4353" width="5.42578125" style="474" customWidth="1"/>
    <col min="4354" max="4354" width="94.140625" style="474" customWidth="1"/>
    <col min="4355" max="4355" width="15.5703125" style="474" customWidth="1"/>
    <col min="4356" max="4365" width="0" style="474" hidden="1" customWidth="1"/>
    <col min="4366" max="4608" width="11.42578125" style="474"/>
    <col min="4609" max="4609" width="5.42578125" style="474" customWidth="1"/>
    <col min="4610" max="4610" width="94.140625" style="474" customWidth="1"/>
    <col min="4611" max="4611" width="15.5703125" style="474" customWidth="1"/>
    <col min="4612" max="4621" width="0" style="474" hidden="1" customWidth="1"/>
    <col min="4622" max="4864" width="11.42578125" style="474"/>
    <col min="4865" max="4865" width="5.42578125" style="474" customWidth="1"/>
    <col min="4866" max="4866" width="94.140625" style="474" customWidth="1"/>
    <col min="4867" max="4867" width="15.5703125" style="474" customWidth="1"/>
    <col min="4868" max="4877" width="0" style="474" hidden="1" customWidth="1"/>
    <col min="4878" max="5120" width="11.42578125" style="474"/>
    <col min="5121" max="5121" width="5.42578125" style="474" customWidth="1"/>
    <col min="5122" max="5122" width="94.140625" style="474" customWidth="1"/>
    <col min="5123" max="5123" width="15.5703125" style="474" customWidth="1"/>
    <col min="5124" max="5133" width="0" style="474" hidden="1" customWidth="1"/>
    <col min="5134" max="5376" width="11.42578125" style="474"/>
    <col min="5377" max="5377" width="5.42578125" style="474" customWidth="1"/>
    <col min="5378" max="5378" width="94.140625" style="474" customWidth="1"/>
    <col min="5379" max="5379" width="15.5703125" style="474" customWidth="1"/>
    <col min="5380" max="5389" width="0" style="474" hidden="1" customWidth="1"/>
    <col min="5390" max="5632" width="11.42578125" style="474"/>
    <col min="5633" max="5633" width="5.42578125" style="474" customWidth="1"/>
    <col min="5634" max="5634" width="94.140625" style="474" customWidth="1"/>
    <col min="5635" max="5635" width="15.5703125" style="474" customWidth="1"/>
    <col min="5636" max="5645" width="0" style="474" hidden="1" customWidth="1"/>
    <col min="5646" max="5888" width="11.42578125" style="474"/>
    <col min="5889" max="5889" width="5.42578125" style="474" customWidth="1"/>
    <col min="5890" max="5890" width="94.140625" style="474" customWidth="1"/>
    <col min="5891" max="5891" width="15.5703125" style="474" customWidth="1"/>
    <col min="5892" max="5901" width="0" style="474" hidden="1" customWidth="1"/>
    <col min="5902" max="6144" width="11.42578125" style="474"/>
    <col min="6145" max="6145" width="5.42578125" style="474" customWidth="1"/>
    <col min="6146" max="6146" width="94.140625" style="474" customWidth="1"/>
    <col min="6147" max="6147" width="15.5703125" style="474" customWidth="1"/>
    <col min="6148" max="6157" width="0" style="474" hidden="1" customWidth="1"/>
    <col min="6158" max="6400" width="11.42578125" style="474"/>
    <col min="6401" max="6401" width="5.42578125" style="474" customWidth="1"/>
    <col min="6402" max="6402" width="94.140625" style="474" customWidth="1"/>
    <col min="6403" max="6403" width="15.5703125" style="474" customWidth="1"/>
    <col min="6404" max="6413" width="0" style="474" hidden="1" customWidth="1"/>
    <col min="6414" max="6656" width="11.42578125" style="474"/>
    <col min="6657" max="6657" width="5.42578125" style="474" customWidth="1"/>
    <col min="6658" max="6658" width="94.140625" style="474" customWidth="1"/>
    <col min="6659" max="6659" width="15.5703125" style="474" customWidth="1"/>
    <col min="6660" max="6669" width="0" style="474" hidden="1" customWidth="1"/>
    <col min="6670" max="6912" width="11.42578125" style="474"/>
    <col min="6913" max="6913" width="5.42578125" style="474" customWidth="1"/>
    <col min="6914" max="6914" width="94.140625" style="474" customWidth="1"/>
    <col min="6915" max="6915" width="15.5703125" style="474" customWidth="1"/>
    <col min="6916" max="6925" width="0" style="474" hidden="1" customWidth="1"/>
    <col min="6926" max="7168" width="11.42578125" style="474"/>
    <col min="7169" max="7169" width="5.42578125" style="474" customWidth="1"/>
    <col min="7170" max="7170" width="94.140625" style="474" customWidth="1"/>
    <col min="7171" max="7171" width="15.5703125" style="474" customWidth="1"/>
    <col min="7172" max="7181" width="0" style="474" hidden="1" customWidth="1"/>
    <col min="7182" max="7424" width="11.42578125" style="474"/>
    <col min="7425" max="7425" width="5.42578125" style="474" customWidth="1"/>
    <col min="7426" max="7426" width="94.140625" style="474" customWidth="1"/>
    <col min="7427" max="7427" width="15.5703125" style="474" customWidth="1"/>
    <col min="7428" max="7437" width="0" style="474" hidden="1" customWidth="1"/>
    <col min="7438" max="7680" width="11.42578125" style="474"/>
    <col min="7681" max="7681" width="5.42578125" style="474" customWidth="1"/>
    <col min="7682" max="7682" width="94.140625" style="474" customWidth="1"/>
    <col min="7683" max="7683" width="15.5703125" style="474" customWidth="1"/>
    <col min="7684" max="7693" width="0" style="474" hidden="1" customWidth="1"/>
    <col min="7694" max="7936" width="11.42578125" style="474"/>
    <col min="7937" max="7937" width="5.42578125" style="474" customWidth="1"/>
    <col min="7938" max="7938" width="94.140625" style="474" customWidth="1"/>
    <col min="7939" max="7939" width="15.5703125" style="474" customWidth="1"/>
    <col min="7940" max="7949" width="0" style="474" hidden="1" customWidth="1"/>
    <col min="7950" max="8192" width="11.42578125" style="474"/>
    <col min="8193" max="8193" width="5.42578125" style="474" customWidth="1"/>
    <col min="8194" max="8194" width="94.140625" style="474" customWidth="1"/>
    <col min="8195" max="8195" width="15.5703125" style="474" customWidth="1"/>
    <col min="8196" max="8205" width="0" style="474" hidden="1" customWidth="1"/>
    <col min="8206" max="8448" width="11.42578125" style="474"/>
    <col min="8449" max="8449" width="5.42578125" style="474" customWidth="1"/>
    <col min="8450" max="8450" width="94.140625" style="474" customWidth="1"/>
    <col min="8451" max="8451" width="15.5703125" style="474" customWidth="1"/>
    <col min="8452" max="8461" width="0" style="474" hidden="1" customWidth="1"/>
    <col min="8462" max="8704" width="11.42578125" style="474"/>
    <col min="8705" max="8705" width="5.42578125" style="474" customWidth="1"/>
    <col min="8706" max="8706" width="94.140625" style="474" customWidth="1"/>
    <col min="8707" max="8707" width="15.5703125" style="474" customWidth="1"/>
    <col min="8708" max="8717" width="0" style="474" hidden="1" customWidth="1"/>
    <col min="8718" max="8960" width="11.42578125" style="474"/>
    <col min="8961" max="8961" width="5.42578125" style="474" customWidth="1"/>
    <col min="8962" max="8962" width="94.140625" style="474" customWidth="1"/>
    <col min="8963" max="8963" width="15.5703125" style="474" customWidth="1"/>
    <col min="8964" max="8973" width="0" style="474" hidden="1" customWidth="1"/>
    <col min="8974" max="9216" width="11.42578125" style="474"/>
    <col min="9217" max="9217" width="5.42578125" style="474" customWidth="1"/>
    <col min="9218" max="9218" width="94.140625" style="474" customWidth="1"/>
    <col min="9219" max="9219" width="15.5703125" style="474" customWidth="1"/>
    <col min="9220" max="9229" width="0" style="474" hidden="1" customWidth="1"/>
    <col min="9230" max="9472" width="11.42578125" style="474"/>
    <col min="9473" max="9473" width="5.42578125" style="474" customWidth="1"/>
    <col min="9474" max="9474" width="94.140625" style="474" customWidth="1"/>
    <col min="9475" max="9475" width="15.5703125" style="474" customWidth="1"/>
    <col min="9476" max="9485" width="0" style="474" hidden="1" customWidth="1"/>
    <col min="9486" max="9728" width="11.42578125" style="474"/>
    <col min="9729" max="9729" width="5.42578125" style="474" customWidth="1"/>
    <col min="9730" max="9730" width="94.140625" style="474" customWidth="1"/>
    <col min="9731" max="9731" width="15.5703125" style="474" customWidth="1"/>
    <col min="9732" max="9741" width="0" style="474" hidden="1" customWidth="1"/>
    <col min="9742" max="9984" width="11.42578125" style="474"/>
    <col min="9985" max="9985" width="5.42578125" style="474" customWidth="1"/>
    <col min="9986" max="9986" width="94.140625" style="474" customWidth="1"/>
    <col min="9987" max="9987" width="15.5703125" style="474" customWidth="1"/>
    <col min="9988" max="9997" width="0" style="474" hidden="1" customWidth="1"/>
    <col min="9998" max="10240" width="11.42578125" style="474"/>
    <col min="10241" max="10241" width="5.42578125" style="474" customWidth="1"/>
    <col min="10242" max="10242" width="94.140625" style="474" customWidth="1"/>
    <col min="10243" max="10243" width="15.5703125" style="474" customWidth="1"/>
    <col min="10244" max="10253" width="0" style="474" hidden="1" customWidth="1"/>
    <col min="10254" max="10496" width="11.42578125" style="474"/>
    <col min="10497" max="10497" width="5.42578125" style="474" customWidth="1"/>
    <col min="10498" max="10498" width="94.140625" style="474" customWidth="1"/>
    <col min="10499" max="10499" width="15.5703125" style="474" customWidth="1"/>
    <col min="10500" max="10509" width="0" style="474" hidden="1" customWidth="1"/>
    <col min="10510" max="10752" width="11.42578125" style="474"/>
    <col min="10753" max="10753" width="5.42578125" style="474" customWidth="1"/>
    <col min="10754" max="10754" width="94.140625" style="474" customWidth="1"/>
    <col min="10755" max="10755" width="15.5703125" style="474" customWidth="1"/>
    <col min="10756" max="10765" width="0" style="474" hidden="1" customWidth="1"/>
    <col min="10766" max="11008" width="11.42578125" style="474"/>
    <col min="11009" max="11009" width="5.42578125" style="474" customWidth="1"/>
    <col min="11010" max="11010" width="94.140625" style="474" customWidth="1"/>
    <col min="11011" max="11011" width="15.5703125" style="474" customWidth="1"/>
    <col min="11012" max="11021" width="0" style="474" hidden="1" customWidth="1"/>
    <col min="11022" max="11264" width="11.42578125" style="474"/>
    <col min="11265" max="11265" width="5.42578125" style="474" customWidth="1"/>
    <col min="11266" max="11266" width="94.140625" style="474" customWidth="1"/>
    <col min="11267" max="11267" width="15.5703125" style="474" customWidth="1"/>
    <col min="11268" max="11277" width="0" style="474" hidden="1" customWidth="1"/>
    <col min="11278" max="11520" width="11.42578125" style="474"/>
    <col min="11521" max="11521" width="5.42578125" style="474" customWidth="1"/>
    <col min="11522" max="11522" width="94.140625" style="474" customWidth="1"/>
    <col min="11523" max="11523" width="15.5703125" style="474" customWidth="1"/>
    <col min="11524" max="11533" width="0" style="474" hidden="1" customWidth="1"/>
    <col min="11534" max="11776" width="11.42578125" style="474"/>
    <col min="11777" max="11777" width="5.42578125" style="474" customWidth="1"/>
    <col min="11778" max="11778" width="94.140625" style="474" customWidth="1"/>
    <col min="11779" max="11779" width="15.5703125" style="474" customWidth="1"/>
    <col min="11780" max="11789" width="0" style="474" hidden="1" customWidth="1"/>
    <col min="11790" max="12032" width="11.42578125" style="474"/>
    <col min="12033" max="12033" width="5.42578125" style="474" customWidth="1"/>
    <col min="12034" max="12034" width="94.140625" style="474" customWidth="1"/>
    <col min="12035" max="12035" width="15.5703125" style="474" customWidth="1"/>
    <col min="12036" max="12045" width="0" style="474" hidden="1" customWidth="1"/>
    <col min="12046" max="12288" width="11.42578125" style="474"/>
    <col min="12289" max="12289" width="5.42578125" style="474" customWidth="1"/>
    <col min="12290" max="12290" width="94.140625" style="474" customWidth="1"/>
    <col min="12291" max="12291" width="15.5703125" style="474" customWidth="1"/>
    <col min="12292" max="12301" width="0" style="474" hidden="1" customWidth="1"/>
    <col min="12302" max="12544" width="11.42578125" style="474"/>
    <col min="12545" max="12545" width="5.42578125" style="474" customWidth="1"/>
    <col min="12546" max="12546" width="94.140625" style="474" customWidth="1"/>
    <col min="12547" max="12547" width="15.5703125" style="474" customWidth="1"/>
    <col min="12548" max="12557" width="0" style="474" hidden="1" customWidth="1"/>
    <col min="12558" max="12800" width="11.42578125" style="474"/>
    <col min="12801" max="12801" width="5.42578125" style="474" customWidth="1"/>
    <col min="12802" max="12802" width="94.140625" style="474" customWidth="1"/>
    <col min="12803" max="12803" width="15.5703125" style="474" customWidth="1"/>
    <col min="12804" max="12813" width="0" style="474" hidden="1" customWidth="1"/>
    <col min="12814" max="13056" width="11.42578125" style="474"/>
    <col min="13057" max="13057" width="5.42578125" style="474" customWidth="1"/>
    <col min="13058" max="13058" width="94.140625" style="474" customWidth="1"/>
    <col min="13059" max="13059" width="15.5703125" style="474" customWidth="1"/>
    <col min="13060" max="13069" width="0" style="474" hidden="1" customWidth="1"/>
    <col min="13070" max="13312" width="11.42578125" style="474"/>
    <col min="13313" max="13313" width="5.42578125" style="474" customWidth="1"/>
    <col min="13314" max="13314" width="94.140625" style="474" customWidth="1"/>
    <col min="13315" max="13315" width="15.5703125" style="474" customWidth="1"/>
    <col min="13316" max="13325" width="0" style="474" hidden="1" customWidth="1"/>
    <col min="13326" max="13568" width="11.42578125" style="474"/>
    <col min="13569" max="13569" width="5.42578125" style="474" customWidth="1"/>
    <col min="13570" max="13570" width="94.140625" style="474" customWidth="1"/>
    <col min="13571" max="13571" width="15.5703125" style="474" customWidth="1"/>
    <col min="13572" max="13581" width="0" style="474" hidden="1" customWidth="1"/>
    <col min="13582" max="13824" width="11.42578125" style="474"/>
    <col min="13825" max="13825" width="5.42578125" style="474" customWidth="1"/>
    <col min="13826" max="13826" width="94.140625" style="474" customWidth="1"/>
    <col min="13827" max="13827" width="15.5703125" style="474" customWidth="1"/>
    <col min="13828" max="13837" width="0" style="474" hidden="1" customWidth="1"/>
    <col min="13838" max="14080" width="11.42578125" style="474"/>
    <col min="14081" max="14081" width="5.42578125" style="474" customWidth="1"/>
    <col min="14082" max="14082" width="94.140625" style="474" customWidth="1"/>
    <col min="14083" max="14083" width="15.5703125" style="474" customWidth="1"/>
    <col min="14084" max="14093" width="0" style="474" hidden="1" customWidth="1"/>
    <col min="14094" max="14336" width="11.42578125" style="474"/>
    <col min="14337" max="14337" width="5.42578125" style="474" customWidth="1"/>
    <col min="14338" max="14338" width="94.140625" style="474" customWidth="1"/>
    <col min="14339" max="14339" width="15.5703125" style="474" customWidth="1"/>
    <col min="14340" max="14349" width="0" style="474" hidden="1" customWidth="1"/>
    <col min="14350" max="14592" width="11.42578125" style="474"/>
    <col min="14593" max="14593" width="5.42578125" style="474" customWidth="1"/>
    <col min="14594" max="14594" width="94.140625" style="474" customWidth="1"/>
    <col min="14595" max="14595" width="15.5703125" style="474" customWidth="1"/>
    <col min="14596" max="14605" width="0" style="474" hidden="1" customWidth="1"/>
    <col min="14606" max="14848" width="11.42578125" style="474"/>
    <col min="14849" max="14849" width="5.42578125" style="474" customWidth="1"/>
    <col min="14850" max="14850" width="94.140625" style="474" customWidth="1"/>
    <col min="14851" max="14851" width="15.5703125" style="474" customWidth="1"/>
    <col min="14852" max="14861" width="0" style="474" hidden="1" customWidth="1"/>
    <col min="14862" max="15104" width="11.42578125" style="474"/>
    <col min="15105" max="15105" width="5.42578125" style="474" customWidth="1"/>
    <col min="15106" max="15106" width="94.140625" style="474" customWidth="1"/>
    <col min="15107" max="15107" width="15.5703125" style="474" customWidth="1"/>
    <col min="15108" max="15117" width="0" style="474" hidden="1" customWidth="1"/>
    <col min="15118" max="15360" width="11.42578125" style="474"/>
    <col min="15361" max="15361" width="5.42578125" style="474" customWidth="1"/>
    <col min="15362" max="15362" width="94.140625" style="474" customWidth="1"/>
    <col min="15363" max="15363" width="15.5703125" style="474" customWidth="1"/>
    <col min="15364" max="15373" width="0" style="474" hidden="1" customWidth="1"/>
    <col min="15374" max="15616" width="11.42578125" style="474"/>
    <col min="15617" max="15617" width="5.42578125" style="474" customWidth="1"/>
    <col min="15618" max="15618" width="94.140625" style="474" customWidth="1"/>
    <col min="15619" max="15619" width="15.5703125" style="474" customWidth="1"/>
    <col min="15620" max="15629" width="0" style="474" hidden="1" customWidth="1"/>
    <col min="15630" max="15872" width="11.42578125" style="474"/>
    <col min="15873" max="15873" width="5.42578125" style="474" customWidth="1"/>
    <col min="15874" max="15874" width="94.140625" style="474" customWidth="1"/>
    <col min="15875" max="15875" width="15.5703125" style="474" customWidth="1"/>
    <col min="15876" max="15885" width="0" style="474" hidden="1" customWidth="1"/>
    <col min="15886" max="16128" width="11.42578125" style="474"/>
    <col min="16129" max="16129" width="5.42578125" style="474" customWidth="1"/>
    <col min="16130" max="16130" width="94.140625" style="474" customWidth="1"/>
    <col min="16131" max="16131" width="15.5703125" style="474" customWidth="1"/>
    <col min="16132" max="16141" width="0" style="474" hidden="1" customWidth="1"/>
    <col min="16142" max="16384" width="11.42578125" style="474"/>
  </cols>
  <sheetData>
    <row r="1" spans="1:13">
      <c r="A1" s="473"/>
      <c r="C1" s="475" t="s">
        <v>907</v>
      </c>
    </row>
    <row r="2" spans="1:13">
      <c r="A2" s="476"/>
    </row>
    <row r="3" spans="1:13" ht="16.5" customHeight="1">
      <c r="A3" s="1200" t="s">
        <v>908</v>
      </c>
      <c r="B3" s="1201"/>
      <c r="C3" s="1201"/>
    </row>
    <row r="4" spans="1:13" ht="16.5" customHeight="1">
      <c r="A4" s="1202" t="s">
        <v>1323</v>
      </c>
      <c r="B4" s="1202"/>
      <c r="C4" s="1202"/>
      <c r="D4" s="477"/>
      <c r="E4" s="477"/>
      <c r="F4" s="477"/>
      <c r="G4" s="477"/>
      <c r="H4" s="477"/>
      <c r="I4" s="477"/>
      <c r="J4" s="477"/>
      <c r="K4" s="477"/>
    </row>
    <row r="5" spans="1:13" ht="17.25" customHeight="1">
      <c r="A5" s="1203"/>
      <c r="B5" s="1203"/>
      <c r="C5" s="1203"/>
    </row>
    <row r="6" spans="1:13">
      <c r="C6" s="478" t="s">
        <v>909</v>
      </c>
    </row>
    <row r="7" spans="1:13" s="479" customFormat="1">
      <c r="A7" s="1204" t="s">
        <v>214</v>
      </c>
      <c r="B7" s="1204" t="s">
        <v>215</v>
      </c>
      <c r="C7" s="1204" t="s">
        <v>111</v>
      </c>
      <c r="M7" s="480"/>
    </row>
    <row r="8" spans="1:13" s="479" customFormat="1">
      <c r="A8" s="1205"/>
      <c r="B8" s="1205"/>
      <c r="C8" s="1205"/>
    </row>
    <row r="9" spans="1:13" s="824" customFormat="1">
      <c r="A9" s="823">
        <v>1</v>
      </c>
      <c r="B9" s="823">
        <v>2</v>
      </c>
      <c r="C9" s="823">
        <v>3</v>
      </c>
    </row>
    <row r="10" spans="1:13" s="482" customFormat="1" ht="31.5" customHeight="1">
      <c r="A10" s="797" t="s">
        <v>218</v>
      </c>
      <c r="B10" s="798" t="s">
        <v>910</v>
      </c>
      <c r="C10" s="822">
        <f>C11+C34+C56</f>
        <v>91761.771116899225</v>
      </c>
    </row>
    <row r="11" spans="1:13" s="483" customFormat="1" ht="18.75" customHeight="1">
      <c r="A11" s="797" t="s">
        <v>220</v>
      </c>
      <c r="B11" s="799" t="s">
        <v>911</v>
      </c>
      <c r="C11" s="800">
        <f>SUM(C12:C18,C27,C32,C33)</f>
        <v>47332</v>
      </c>
    </row>
    <row r="12" spans="1:13" s="479" customFormat="1">
      <c r="A12" s="481">
        <v>1</v>
      </c>
      <c r="B12" s="801" t="s">
        <v>912</v>
      </c>
      <c r="C12" s="820">
        <v>433</v>
      </c>
    </row>
    <row r="13" spans="1:13" s="479" customFormat="1" ht="132">
      <c r="A13" s="481">
        <v>2</v>
      </c>
      <c r="B13" s="801" t="s">
        <v>913</v>
      </c>
      <c r="C13" s="820">
        <v>-325</v>
      </c>
    </row>
    <row r="14" spans="1:13" s="479" customFormat="1" ht="34.5" customHeight="1">
      <c r="A14" s="481">
        <v>3</v>
      </c>
      <c r="B14" s="803" t="s">
        <v>914</v>
      </c>
      <c r="C14" s="820">
        <v>100</v>
      </c>
    </row>
    <row r="15" spans="1:13" s="479" customFormat="1" ht="34.5" customHeight="1">
      <c r="A15" s="481">
        <v>4</v>
      </c>
      <c r="B15" s="803" t="s">
        <v>915</v>
      </c>
      <c r="C15" s="802"/>
    </row>
    <row r="16" spans="1:13" s="479" customFormat="1" ht="18.75" customHeight="1">
      <c r="A16" s="481">
        <v>5</v>
      </c>
      <c r="B16" s="803" t="s">
        <v>916</v>
      </c>
      <c r="C16" s="820">
        <v>5440</v>
      </c>
    </row>
    <row r="17" spans="1:3" s="479" customFormat="1" ht="36.75" customHeight="1">
      <c r="A17" s="481">
        <v>6</v>
      </c>
      <c r="B17" s="803" t="s">
        <v>917</v>
      </c>
      <c r="C17" s="820">
        <v>690</v>
      </c>
    </row>
    <row r="18" spans="1:3" s="479" customFormat="1" ht="18.75" customHeight="1">
      <c r="A18" s="481">
        <v>7</v>
      </c>
      <c r="B18" s="803" t="s">
        <v>918</v>
      </c>
      <c r="C18" s="821">
        <v>328</v>
      </c>
    </row>
    <row r="19" spans="1:3" s="479" customFormat="1" ht="18.75" customHeight="1">
      <c r="A19" s="481" t="s">
        <v>233</v>
      </c>
      <c r="B19" s="803" t="s">
        <v>919</v>
      </c>
      <c r="C19" s="802"/>
    </row>
    <row r="20" spans="1:3" s="479" customFormat="1" ht="18.75" customHeight="1">
      <c r="A20" s="481"/>
      <c r="B20" s="804" t="s">
        <v>920</v>
      </c>
      <c r="C20" s="802"/>
    </row>
    <row r="21" spans="1:3" s="479" customFormat="1" ht="18.75" customHeight="1">
      <c r="A21" s="481"/>
      <c r="B21" s="804" t="s">
        <v>921</v>
      </c>
      <c r="C21" s="802"/>
    </row>
    <row r="22" spans="1:3" s="479" customFormat="1" ht="18.75" customHeight="1">
      <c r="A22" s="481"/>
      <c r="B22" s="804" t="s">
        <v>922</v>
      </c>
      <c r="C22" s="802"/>
    </row>
    <row r="23" spans="1:3" s="479" customFormat="1" ht="18.75" customHeight="1">
      <c r="A23" s="481" t="s">
        <v>234</v>
      </c>
      <c r="B23" s="803" t="s">
        <v>923</v>
      </c>
      <c r="C23" s="802">
        <f>C24</f>
        <v>328</v>
      </c>
    </row>
    <row r="24" spans="1:3" s="479" customFormat="1" ht="18.75" customHeight="1">
      <c r="A24" s="481"/>
      <c r="B24" s="804" t="s">
        <v>920</v>
      </c>
      <c r="C24" s="802">
        <v>328</v>
      </c>
    </row>
    <row r="25" spans="1:3" s="479" customFormat="1" ht="18.75" customHeight="1">
      <c r="A25" s="481"/>
      <c r="B25" s="804" t="s">
        <v>921</v>
      </c>
      <c r="C25" s="802"/>
    </row>
    <row r="26" spans="1:3" s="479" customFormat="1" ht="18.75" customHeight="1">
      <c r="A26" s="481"/>
      <c r="B26" s="804" t="s">
        <v>922</v>
      </c>
      <c r="C26" s="802"/>
    </row>
    <row r="27" spans="1:3" s="479" customFormat="1" ht="40.5" customHeight="1">
      <c r="A27" s="481">
        <v>8</v>
      </c>
      <c r="B27" s="803" t="s">
        <v>924</v>
      </c>
      <c r="C27" s="802"/>
    </row>
    <row r="28" spans="1:3" s="479" customFormat="1" ht="18.75" customHeight="1">
      <c r="A28" s="481"/>
      <c r="B28" s="804" t="s">
        <v>925</v>
      </c>
      <c r="C28" s="802"/>
    </row>
    <row r="29" spans="1:3" s="479" customFormat="1" ht="18.75" customHeight="1">
      <c r="A29" s="481"/>
      <c r="B29" s="804" t="s">
        <v>926</v>
      </c>
      <c r="C29" s="802"/>
    </row>
    <row r="30" spans="1:3" s="479" customFormat="1" ht="18.75" customHeight="1">
      <c r="A30" s="481"/>
      <c r="B30" s="804" t="s">
        <v>927</v>
      </c>
      <c r="C30" s="805"/>
    </row>
    <row r="31" spans="1:3" s="479" customFormat="1" ht="18.75" customHeight="1">
      <c r="A31" s="481"/>
      <c r="B31" s="804" t="s">
        <v>928</v>
      </c>
      <c r="C31" s="802"/>
    </row>
    <row r="32" spans="1:3" s="479" customFormat="1" ht="18.75" customHeight="1">
      <c r="A32" s="481">
        <v>9</v>
      </c>
      <c r="B32" s="803" t="s">
        <v>929</v>
      </c>
      <c r="C32" s="802"/>
    </row>
    <row r="33" spans="1:3" s="479" customFormat="1" ht="18.75" customHeight="1">
      <c r="A33" s="481">
        <v>10</v>
      </c>
      <c r="B33" s="803" t="s">
        <v>930</v>
      </c>
      <c r="C33" s="802">
        <v>40666</v>
      </c>
    </row>
    <row r="34" spans="1:3" s="483" customFormat="1" ht="32.25" customHeight="1">
      <c r="A34" s="797" t="s">
        <v>223</v>
      </c>
      <c r="B34" s="799" t="s">
        <v>931</v>
      </c>
      <c r="C34" s="800">
        <f>C35+C36+C37+C46</f>
        <v>44429.771116899225</v>
      </c>
    </row>
    <row r="35" spans="1:3" s="483" customFormat="1" ht="33.75" customHeight="1">
      <c r="A35" s="797">
        <v>1</v>
      </c>
      <c r="B35" s="799" t="s">
        <v>146</v>
      </c>
      <c r="C35" s="800">
        <v>13569</v>
      </c>
    </row>
    <row r="36" spans="1:3" s="483" customFormat="1" ht="33.75" customHeight="1">
      <c r="A36" s="797">
        <v>2</v>
      </c>
      <c r="B36" s="799" t="s">
        <v>932</v>
      </c>
      <c r="C36" s="800">
        <v>13580</v>
      </c>
    </row>
    <row r="37" spans="1:3" s="484" customFormat="1" ht="33.75" customHeight="1">
      <c r="A37" s="797">
        <v>3</v>
      </c>
      <c r="B37" s="806" t="s">
        <v>933</v>
      </c>
      <c r="C37" s="800">
        <f>7453.2595483278+7453</f>
        <v>14906.2595483278</v>
      </c>
    </row>
    <row r="38" spans="1:3" s="483" customFormat="1" ht="26.25" hidden="1" customHeight="1">
      <c r="A38" s="797" t="s">
        <v>646</v>
      </c>
      <c r="B38" s="799" t="s">
        <v>148</v>
      </c>
      <c r="C38" s="800"/>
    </row>
    <row r="39" spans="1:3" s="483" customFormat="1" ht="18.75" hidden="1" customHeight="1">
      <c r="A39" s="797"/>
      <c r="B39" s="807" t="s">
        <v>934</v>
      </c>
      <c r="C39" s="800"/>
    </row>
    <row r="40" spans="1:3" s="483" customFormat="1" ht="26.25" hidden="1" customHeight="1">
      <c r="A40" s="797" t="s">
        <v>646</v>
      </c>
      <c r="B40" s="799" t="s">
        <v>149</v>
      </c>
      <c r="C40" s="800"/>
    </row>
    <row r="41" spans="1:3" s="483" customFormat="1" ht="26.25" hidden="1" customHeight="1">
      <c r="A41" s="797" t="s">
        <v>646</v>
      </c>
      <c r="B41" s="799" t="s">
        <v>150</v>
      </c>
      <c r="C41" s="800"/>
    </row>
    <row r="42" spans="1:3" s="483" customFormat="1" ht="32.25" hidden="1" customHeight="1">
      <c r="A42" s="797" t="s">
        <v>646</v>
      </c>
      <c r="B42" s="799" t="s">
        <v>935</v>
      </c>
      <c r="C42" s="800"/>
    </row>
    <row r="43" spans="1:3" s="483" customFormat="1" ht="31.5" hidden="1" customHeight="1">
      <c r="A43" s="797" t="s">
        <v>646</v>
      </c>
      <c r="B43" s="799" t="s">
        <v>936</v>
      </c>
      <c r="C43" s="800"/>
    </row>
    <row r="44" spans="1:3" s="483" customFormat="1" ht="36" hidden="1" customHeight="1">
      <c r="A44" s="797" t="s">
        <v>646</v>
      </c>
      <c r="B44" s="799" t="s">
        <v>154</v>
      </c>
      <c r="C44" s="800"/>
    </row>
    <row r="45" spans="1:3" s="483" customFormat="1" ht="33.75" hidden="1" customHeight="1">
      <c r="A45" s="797" t="s">
        <v>646</v>
      </c>
      <c r="B45" s="799" t="s">
        <v>937</v>
      </c>
      <c r="C45" s="800"/>
    </row>
    <row r="46" spans="1:3" s="483" customFormat="1" ht="27.75" customHeight="1">
      <c r="A46" s="797">
        <v>4</v>
      </c>
      <c r="B46" s="808" t="s">
        <v>156</v>
      </c>
      <c r="C46" s="800">
        <f>SUM(C47:C52)</f>
        <v>2374.5115685714286</v>
      </c>
    </row>
    <row r="47" spans="1:3" s="479" customFormat="1" ht="42" customHeight="1">
      <c r="A47" s="481" t="s">
        <v>646</v>
      </c>
      <c r="B47" s="809" t="s">
        <v>938</v>
      </c>
      <c r="C47" s="802"/>
    </row>
    <row r="48" spans="1:3" s="479" customFormat="1" ht="39.75" customHeight="1">
      <c r="A48" s="481" t="s">
        <v>646</v>
      </c>
      <c r="B48" s="809" t="s">
        <v>939</v>
      </c>
      <c r="C48" s="802"/>
    </row>
    <row r="49" spans="1:3" s="479" customFormat="1" ht="39.75" customHeight="1">
      <c r="A49" s="481" t="s">
        <v>646</v>
      </c>
      <c r="B49" s="809" t="s">
        <v>940</v>
      </c>
      <c r="C49" s="802"/>
    </row>
    <row r="50" spans="1:3" s="479" customFormat="1" ht="33.75" customHeight="1">
      <c r="A50" s="481" t="s">
        <v>646</v>
      </c>
      <c r="B50" s="809" t="s">
        <v>941</v>
      </c>
      <c r="C50" s="802">
        <f>'12'!N8</f>
        <v>994.5115685714286</v>
      </c>
    </row>
    <row r="51" spans="1:3" s="479" customFormat="1" ht="33.75" customHeight="1">
      <c r="A51" s="481" t="s">
        <v>646</v>
      </c>
      <c r="B51" s="809" t="s">
        <v>942</v>
      </c>
      <c r="C51" s="802">
        <f>115*12</f>
        <v>1380</v>
      </c>
    </row>
    <row r="52" spans="1:3" s="479" customFormat="1" ht="33.75" customHeight="1">
      <c r="A52" s="481" t="s">
        <v>646</v>
      </c>
      <c r="B52" s="809" t="s">
        <v>943</v>
      </c>
      <c r="C52" s="802">
        <f>'14'!K9</f>
        <v>0</v>
      </c>
    </row>
    <row r="53" spans="1:3" s="479" customFormat="1" ht="39.75" customHeight="1">
      <c r="A53" s="797" t="s">
        <v>226</v>
      </c>
      <c r="B53" s="799" t="s">
        <v>944</v>
      </c>
      <c r="C53" s="802"/>
    </row>
    <row r="54" spans="1:3" s="479" customFormat="1" ht="27" customHeight="1">
      <c r="A54" s="481">
        <v>1</v>
      </c>
      <c r="B54" s="803" t="s">
        <v>945</v>
      </c>
      <c r="C54" s="802"/>
    </row>
    <row r="55" spans="1:3" s="479" customFormat="1" ht="26.25" customHeight="1">
      <c r="A55" s="481">
        <v>2</v>
      </c>
      <c r="B55" s="803" t="s">
        <v>162</v>
      </c>
      <c r="C55" s="802"/>
    </row>
    <row r="56" spans="1:3" s="479" customFormat="1" ht="54" customHeight="1">
      <c r="A56" s="797" t="s">
        <v>227</v>
      </c>
      <c r="B56" s="799" t="s">
        <v>946</v>
      </c>
      <c r="C56" s="802"/>
    </row>
    <row r="57" spans="1:3" s="479" customFormat="1" ht="18.75" customHeight="1">
      <c r="A57" s="481"/>
      <c r="B57" s="803"/>
      <c r="C57" s="802"/>
    </row>
    <row r="58" spans="1:3">
      <c r="B58" s="485"/>
    </row>
    <row r="59" spans="1:3">
      <c r="B59" s="486"/>
    </row>
  </sheetData>
  <mergeCells count="6">
    <mergeCell ref="A3:C3"/>
    <mergeCell ref="A4:C4"/>
    <mergeCell ref="A5:C5"/>
    <mergeCell ref="A7:A8"/>
    <mergeCell ref="B7:B8"/>
    <mergeCell ref="C7:C8"/>
  </mergeCells>
  <pageMargins left="0.70866141732283472" right="0.56000000000000005" top="0.74803149606299213" bottom="0.74803149606299213" header="0.31496062992125984" footer="0.31496062992125984"/>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vt:i4>
      </vt:variant>
    </vt:vector>
  </HeadingPairs>
  <TitlesOfParts>
    <vt:vector size="34" baseType="lpstr">
      <vt:lpstr>Sheet2</vt:lpstr>
      <vt:lpstr>UOC CA NAM THU</vt:lpstr>
      <vt:lpstr>UOC CHI CA NAM</vt:lpstr>
      <vt:lpstr>BIEU THU</vt:lpstr>
      <vt:lpstr>Biểu chi</vt:lpstr>
      <vt:lpstr>UOC THU SÔ 01</vt:lpstr>
      <vt:lpstr>ƯỚC CHI SỐ 02</vt:lpstr>
      <vt:lpstr>08</vt:lpstr>
      <vt:lpstr>11</vt:lpstr>
      <vt:lpstr>12</vt:lpstr>
      <vt:lpstr>13</vt:lpstr>
      <vt:lpstr>14</vt:lpstr>
      <vt:lpstr>15</vt:lpstr>
      <vt:lpstr>28</vt:lpstr>
      <vt:lpstr>ƯỚC THU SỐ 03</vt:lpstr>
      <vt:lpstr>ƯỚC CHI SỐ 04</vt:lpstr>
      <vt:lpstr>29.1</vt:lpstr>
      <vt:lpstr>29.2</vt:lpstr>
      <vt:lpstr>32</vt:lpstr>
      <vt:lpstr>PL 15</vt:lpstr>
      <vt:lpstr>PL 16</vt:lpstr>
      <vt:lpstr>PL 17</vt:lpstr>
      <vt:lpstr>Sheet7</vt:lpstr>
      <vt:lpstr>Sheet6</vt:lpstr>
      <vt:lpstr>Sheet5</vt:lpstr>
      <vt:lpstr>Sheet4</vt:lpstr>
      <vt:lpstr>Sheet3</vt:lpstr>
      <vt:lpstr>Sheet1</vt:lpstr>
      <vt:lpstr>33</vt:lpstr>
      <vt:lpstr>35</vt:lpstr>
      <vt:lpstr>MB 8</vt:lpstr>
      <vt:lpstr>MB 10</vt:lpstr>
      <vt:lpstr>'29.1'!Print_Area</vt:lpstr>
      <vt:lpstr>'ƯỚC CHI SỐ 02'!Print_Area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VNN.R9</cp:lastModifiedBy>
  <cp:lastPrinted>2020-11-22T01:14:50Z</cp:lastPrinted>
  <dcterms:created xsi:type="dcterms:W3CDTF">2017-05-03T08:35:13Z</dcterms:created>
  <dcterms:modified xsi:type="dcterms:W3CDTF">2020-11-23T01:49:24Z</dcterms:modified>
</cp:coreProperties>
</file>