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Bia 16-20" sheetId="48" r:id="rId1"/>
    <sheet name="Biểu 1A" sheetId="29" state="hidden" r:id="rId2"/>
    <sheet name="Biểu 2A" sheetId="30" state="hidden" r:id="rId3"/>
    <sheet name="Biểu 3A" sheetId="31" state="hidden" r:id="rId4"/>
    <sheet name="BM4" sheetId="32" state="hidden" r:id="rId5"/>
    <sheet name="Biểu 4A" sheetId="33" state="hidden" r:id="rId6"/>
    <sheet name="BM6" sheetId="34" state="hidden" r:id="rId7"/>
    <sheet name="Biểu 5A" sheetId="35" state="hidden" r:id="rId8"/>
    <sheet name="Biểu 6A" sheetId="36" state="hidden" r:id="rId9"/>
    <sheet name="Biểu 7A" sheetId="45" state="hidden" r:id="rId10"/>
    <sheet name="Biểu 8A" sheetId="44" state="hidden" r:id="rId11"/>
    <sheet name="PL2" sheetId="4" state="hidden" r:id="rId12"/>
    <sheet name="BieunayKhongin" sheetId="27" state="hidden" r:id="rId13"/>
    <sheet name="Khongin" sheetId="28" state="hidden" r:id="rId14"/>
    <sheet name="PL17CCTT(khongin)" sheetId="17" state="hidden" r:id="rId15"/>
    <sheet name="Sheet3" sheetId="23" state="hidden" r:id="rId16"/>
    <sheet name="Pl14" sheetId="14" state="hidden" r:id="rId17"/>
    <sheet name="Sheet1" sheetId="20" state="hidden" r:id="rId18"/>
    <sheet name="Sheet2" sheetId="21" state="hidden" r:id="rId19"/>
    <sheet name="Bia 21-25" sheetId="49" state="hidden" r:id="rId20"/>
    <sheet name="Biểu 1B" sheetId="50" r:id="rId21"/>
    <sheet name="Biểu 2B" sheetId="51" r:id="rId22"/>
    <sheet name="Biểu 3B" sheetId="53" r:id="rId23"/>
    <sheet name="BM4 (B)" sheetId="54" state="hidden" r:id="rId24"/>
    <sheet name="Biểu 4B" sheetId="55" r:id="rId25"/>
    <sheet name="BM6(B)" sheetId="56" state="hidden" r:id="rId26"/>
    <sheet name="Biểu 5B" sheetId="57" r:id="rId27"/>
    <sheet name="Biểu 6B" sheetId="58" r:id="rId28"/>
    <sheet name="Biểu 7B" sheetId="59" r:id="rId29"/>
    <sheet name="Biểu 8B" sheetId="60" r:id="rId30"/>
  </sheets>
  <calcPr calcId="144525"/>
  <fileRecoveryPr dataExtractLoad="1"/>
</workbook>
</file>

<file path=xl/calcChain.xml><?xml version="1.0" encoding="utf-8"?>
<calcChain xmlns="http://schemas.openxmlformats.org/spreadsheetml/2006/main">
  <c r="F20" i="60" l="1"/>
  <c r="G20" i="60" s="1"/>
  <c r="H20" i="60" s="1"/>
  <c r="I20" i="60" s="1"/>
  <c r="J20" i="60" s="1"/>
  <c r="E20" i="60" s="1"/>
  <c r="F19" i="60"/>
  <c r="G19" i="60" s="1"/>
  <c r="H19" i="60" s="1"/>
  <c r="I19" i="60" s="1"/>
  <c r="J19" i="60" s="1"/>
  <c r="E19" i="60" s="1"/>
  <c r="F18" i="60"/>
  <c r="G18" i="60" s="1"/>
  <c r="H18" i="60" s="1"/>
  <c r="I18" i="60" s="1"/>
  <c r="J18" i="60" s="1"/>
  <c r="E18" i="60" s="1"/>
  <c r="E16" i="60"/>
  <c r="E14" i="60"/>
  <c r="E27" i="59"/>
  <c r="E26" i="59"/>
  <c r="F23" i="59"/>
  <c r="E19" i="59"/>
  <c r="F48" i="58"/>
  <c r="D48" i="58"/>
  <c r="E47" i="58"/>
  <c r="E46" i="58"/>
  <c r="E45" i="58"/>
  <c r="D42" i="58"/>
  <c r="D40" i="58"/>
  <c r="J37" i="58"/>
  <c r="I37" i="58"/>
  <c r="H37" i="58"/>
  <c r="G37" i="58"/>
  <c r="F37" i="58"/>
  <c r="E37" i="58"/>
  <c r="D37" i="58"/>
  <c r="E26" i="58"/>
  <c r="E22" i="58"/>
  <c r="J21" i="58"/>
  <c r="I21" i="58"/>
  <c r="I18" i="58" s="1"/>
  <c r="H21" i="58"/>
  <c r="G21" i="58"/>
  <c r="G18" i="58" s="1"/>
  <c r="F21" i="58"/>
  <c r="E21" i="58"/>
  <c r="D21" i="58"/>
  <c r="E20" i="58"/>
  <c r="E18" i="58" s="1"/>
  <c r="E19" i="58"/>
  <c r="J18" i="58"/>
  <c r="H18" i="58"/>
  <c r="F18" i="58"/>
  <c r="D18" i="58"/>
  <c r="I17" i="58"/>
  <c r="H17" i="58"/>
  <c r="G17" i="58"/>
  <c r="E12" i="58"/>
  <c r="G10" i="58"/>
  <c r="D10" i="58"/>
  <c r="D9" i="58"/>
  <c r="C9" i="58"/>
  <c r="C16" i="58" s="1"/>
  <c r="C17" i="58" s="1"/>
  <c r="G8" i="58"/>
  <c r="G39" i="58" s="1"/>
  <c r="G40" i="58" s="1"/>
  <c r="F8" i="58"/>
  <c r="F39" i="58" s="1"/>
  <c r="F40" i="58" s="1"/>
  <c r="E69" i="57"/>
  <c r="C61" i="57"/>
  <c r="J40" i="57"/>
  <c r="E40" i="57" s="1"/>
  <c r="I40" i="57"/>
  <c r="H40" i="57"/>
  <c r="G40" i="57"/>
  <c r="F40" i="57"/>
  <c r="E39" i="57"/>
  <c r="D39" i="57"/>
  <c r="D40" i="57" s="1"/>
  <c r="J38" i="57"/>
  <c r="I38" i="57"/>
  <c r="H38" i="57"/>
  <c r="G38" i="57"/>
  <c r="F38" i="57"/>
  <c r="E38" i="57"/>
  <c r="D38" i="57"/>
  <c r="J34" i="57"/>
  <c r="E34" i="57" s="1"/>
  <c r="I34" i="57"/>
  <c r="H34" i="57"/>
  <c r="G34" i="57"/>
  <c r="F34" i="57"/>
  <c r="D34" i="57"/>
  <c r="E33" i="57"/>
  <c r="J32" i="57"/>
  <c r="E32" i="57" s="1"/>
  <c r="I32" i="57"/>
  <c r="H32" i="57"/>
  <c r="G32" i="57"/>
  <c r="F32" i="57"/>
  <c r="D32" i="57"/>
  <c r="E31" i="57"/>
  <c r="E26" i="57"/>
  <c r="E24" i="57"/>
  <c r="E22" i="57"/>
  <c r="K21" i="57"/>
  <c r="K25" i="57" s="1"/>
  <c r="E21" i="57"/>
  <c r="E20" i="57"/>
  <c r="E18" i="57"/>
  <c r="E15" i="57"/>
  <c r="E13" i="57"/>
  <c r="E12" i="57"/>
  <c r="G11" i="57"/>
  <c r="H11" i="57" s="1"/>
  <c r="I11" i="57" s="1"/>
  <c r="J11" i="57" s="1"/>
  <c r="E11" i="57" s="1"/>
  <c r="E10" i="57"/>
  <c r="E9" i="57"/>
  <c r="H21" i="55"/>
  <c r="I21" i="55" s="1"/>
  <c r="G21" i="55"/>
  <c r="E20" i="55"/>
  <c r="H19" i="55"/>
  <c r="G19" i="55"/>
  <c r="F19" i="55"/>
  <c r="G17" i="55"/>
  <c r="F17" i="55"/>
  <c r="H16" i="55"/>
  <c r="G16" i="55"/>
  <c r="F16" i="55"/>
  <c r="E16" i="55"/>
  <c r="G14" i="55"/>
  <c r="G13" i="55"/>
  <c r="G12" i="55"/>
  <c r="G11" i="55"/>
  <c r="E8" i="55"/>
  <c r="F12" i="54"/>
  <c r="E23" i="53"/>
  <c r="E22" i="53"/>
  <c r="E21" i="53"/>
  <c r="E23" i="51"/>
  <c r="D23" i="51"/>
  <c r="E22" i="51"/>
  <c r="J21" i="51"/>
  <c r="I21" i="51"/>
  <c r="H21" i="51"/>
  <c r="G21" i="51"/>
  <c r="F21" i="51"/>
  <c r="E21" i="51" s="1"/>
  <c r="E17" i="51"/>
  <c r="E16" i="51"/>
  <c r="J12" i="51"/>
  <c r="I12" i="51"/>
  <c r="H12" i="51"/>
  <c r="G12" i="51"/>
  <c r="F12" i="51"/>
  <c r="D12" i="51"/>
  <c r="E11" i="51"/>
  <c r="E10" i="51"/>
  <c r="E12" i="51" s="1"/>
  <c r="J95" i="50"/>
  <c r="I95" i="50"/>
  <c r="H95" i="50"/>
  <c r="G95" i="50"/>
  <c r="F95" i="50"/>
  <c r="E95" i="50"/>
  <c r="G83" i="50"/>
  <c r="F83" i="50"/>
  <c r="G82" i="50"/>
  <c r="G42" i="58" s="1"/>
  <c r="F82" i="50"/>
  <c r="F42" i="58" s="1"/>
  <c r="E79" i="50"/>
  <c r="E77" i="50"/>
  <c r="E75" i="50"/>
  <c r="J73" i="50"/>
  <c r="E73" i="50" s="1"/>
  <c r="H73" i="50"/>
  <c r="I73" i="50" s="1"/>
  <c r="G73" i="50"/>
  <c r="E71" i="50"/>
  <c r="D71" i="50"/>
  <c r="I70" i="50"/>
  <c r="H70" i="50"/>
  <c r="H8" i="58" s="1"/>
  <c r="J66" i="50"/>
  <c r="I66" i="50"/>
  <c r="H66" i="50"/>
  <c r="G66" i="50"/>
  <c r="F66" i="50"/>
  <c r="E66" i="50"/>
  <c r="E65" i="50"/>
  <c r="H61" i="50"/>
  <c r="H60" i="50"/>
  <c r="D60" i="50"/>
  <c r="D58" i="50" s="1"/>
  <c r="G58" i="50"/>
  <c r="F58" i="50"/>
  <c r="E56" i="50"/>
  <c r="G53" i="50"/>
  <c r="L17" i="21"/>
  <c r="K17" i="21"/>
  <c r="J17" i="21"/>
  <c r="I17" i="21"/>
  <c r="H17" i="21"/>
  <c r="G17" i="21"/>
  <c r="F17" i="21"/>
  <c r="E17" i="21"/>
  <c r="D17" i="21"/>
  <c r="C17" i="21"/>
  <c r="K13" i="21"/>
  <c r="I13" i="21"/>
  <c r="G13" i="21"/>
  <c r="E13" i="21"/>
  <c r="C13" i="21"/>
  <c r="I7" i="21"/>
  <c r="E7" i="21"/>
  <c r="K6" i="21"/>
  <c r="K7" i="21" s="1"/>
  <c r="I6" i="21"/>
  <c r="G6" i="21"/>
  <c r="G7" i="21" s="1"/>
  <c r="E6" i="21"/>
  <c r="C6" i="21"/>
  <c r="C7" i="21" s="1"/>
  <c r="C7" i="20"/>
  <c r="C8" i="20" s="1"/>
  <c r="E27" i="14"/>
  <c r="E22" i="14"/>
  <c r="E30" i="14" s="1"/>
  <c r="E15" i="14"/>
  <c r="E13" i="14"/>
  <c r="E7" i="14"/>
  <c r="E9" i="14" s="1"/>
  <c r="G19" i="23"/>
  <c r="G31" i="23" s="1"/>
  <c r="F19" i="23"/>
  <c r="F31" i="23" s="1"/>
  <c r="E19" i="23"/>
  <c r="E32" i="23" s="1"/>
  <c r="D19" i="23"/>
  <c r="D32" i="23" s="1"/>
  <c r="C19" i="23"/>
  <c r="C32" i="23" s="1"/>
  <c r="B19" i="23"/>
  <c r="B32" i="23" s="1"/>
  <c r="G18" i="23"/>
  <c r="G30" i="23" s="1"/>
  <c r="F18" i="23"/>
  <c r="F30" i="23" s="1"/>
  <c r="E18" i="23"/>
  <c r="E30" i="23" s="1"/>
  <c r="D18" i="23"/>
  <c r="D30" i="23" s="1"/>
  <c r="C18" i="23"/>
  <c r="C30" i="23" s="1"/>
  <c r="B18" i="23"/>
  <c r="B30" i="23" s="1"/>
  <c r="G17" i="23"/>
  <c r="G28" i="23" s="1"/>
  <c r="F17" i="23"/>
  <c r="F28" i="23" s="1"/>
  <c r="E17" i="23"/>
  <c r="E28" i="23" s="1"/>
  <c r="D17" i="23"/>
  <c r="D28" i="23" s="1"/>
  <c r="C17" i="23"/>
  <c r="C28" i="23" s="1"/>
  <c r="B17" i="23"/>
  <c r="B28" i="23" s="1"/>
  <c r="F13" i="23"/>
  <c r="G32" i="23" s="1"/>
  <c r="B71" i="17"/>
  <c r="B69" i="17"/>
  <c r="B68" i="17"/>
  <c r="B67" i="17"/>
  <c r="B66" i="17"/>
  <c r="B65" i="17"/>
  <c r="B64" i="17"/>
  <c r="B63" i="17"/>
  <c r="B62" i="17"/>
  <c r="B61" i="17"/>
  <c r="T60" i="17"/>
  <c r="Q60" i="17"/>
  <c r="N60" i="17"/>
  <c r="K60" i="17"/>
  <c r="J60" i="17"/>
  <c r="B60" i="17"/>
  <c r="T58" i="17"/>
  <c r="Q58" i="17"/>
  <c r="N58" i="17"/>
  <c r="K58" i="17"/>
  <c r="J58" i="17"/>
  <c r="B58" i="17" s="1"/>
  <c r="D24" i="17" s="1"/>
  <c r="B54" i="17"/>
  <c r="B53" i="17"/>
  <c r="B52" i="17"/>
  <c r="B51" i="17"/>
  <c r="B50" i="17"/>
  <c r="I49" i="17"/>
  <c r="H49" i="17"/>
  <c r="F49" i="17"/>
  <c r="B49" i="17"/>
  <c r="B48" i="17"/>
  <c r="B47" i="17"/>
  <c r="F46" i="17"/>
  <c r="B46" i="17"/>
  <c r="T44" i="17"/>
  <c r="Q44" i="17"/>
  <c r="N44" i="17"/>
  <c r="K44" i="17"/>
  <c r="J44" i="17"/>
  <c r="B44" i="17"/>
  <c r="T43" i="17"/>
  <c r="Q43" i="17"/>
  <c r="N43" i="17"/>
  <c r="K43" i="17"/>
  <c r="J43" i="17"/>
  <c r="B43" i="17"/>
  <c r="T42" i="17"/>
  <c r="Q42" i="17"/>
  <c r="N42" i="17"/>
  <c r="K42" i="17"/>
  <c r="J42" i="17"/>
  <c r="B42" i="17"/>
  <c r="T41" i="17"/>
  <c r="T56" i="17" s="1"/>
  <c r="Q41" i="17"/>
  <c r="Q56" i="17" s="1"/>
  <c r="N41" i="17"/>
  <c r="N56" i="17" s="1"/>
  <c r="K41" i="17"/>
  <c r="K56" i="17" s="1"/>
  <c r="J41" i="17"/>
  <c r="J56" i="17" s="1"/>
  <c r="I41" i="17"/>
  <c r="H41" i="17"/>
  <c r="F41" i="17"/>
  <c r="B41" i="17"/>
  <c r="B37" i="17"/>
  <c r="B35" i="17"/>
  <c r="V34" i="17"/>
  <c r="S34" i="17"/>
  <c r="P34" i="17"/>
  <c r="M34" i="17"/>
  <c r="D34" i="17"/>
  <c r="B34" i="17"/>
  <c r="V33" i="17"/>
  <c r="S33" i="17"/>
  <c r="P33" i="17"/>
  <c r="M33" i="17"/>
  <c r="D33" i="17"/>
  <c r="B33" i="17"/>
  <c r="V32" i="17"/>
  <c r="S32" i="17"/>
  <c r="P32" i="17"/>
  <c r="M32" i="17"/>
  <c r="D32" i="17"/>
  <c r="B32" i="17"/>
  <c r="V31" i="17"/>
  <c r="S31" i="17"/>
  <c r="P31" i="17"/>
  <c r="M31" i="17"/>
  <c r="D31" i="17"/>
  <c r="B31" i="17"/>
  <c r="B30" i="17"/>
  <c r="V29" i="17"/>
  <c r="S29" i="17"/>
  <c r="P29" i="17"/>
  <c r="M29" i="17"/>
  <c r="D29" i="17"/>
  <c r="B29" i="17"/>
  <c r="V28" i="17"/>
  <c r="S28" i="17"/>
  <c r="P28" i="17"/>
  <c r="M28" i="17"/>
  <c r="D28" i="17"/>
  <c r="B28" i="17"/>
  <c r="B27" i="17"/>
  <c r="V26" i="17"/>
  <c r="T26" i="17"/>
  <c r="S26" i="17"/>
  <c r="Q26" i="17"/>
  <c r="P26" i="17"/>
  <c r="N26" i="17"/>
  <c r="M26" i="17"/>
  <c r="K26" i="17"/>
  <c r="J26" i="17"/>
  <c r="D26" i="17"/>
  <c r="B26" i="17"/>
  <c r="V24" i="17"/>
  <c r="T24" i="17"/>
  <c r="S24" i="17"/>
  <c r="Q24" i="17"/>
  <c r="P24" i="17"/>
  <c r="N24" i="17"/>
  <c r="M24" i="17"/>
  <c r="K24" i="17"/>
  <c r="B24" i="17" s="1"/>
  <c r="J24" i="17"/>
  <c r="V20" i="17"/>
  <c r="S20" i="17"/>
  <c r="P20" i="17"/>
  <c r="M20" i="17"/>
  <c r="D20" i="17"/>
  <c r="B20" i="17"/>
  <c r="V19" i="17"/>
  <c r="S19" i="17"/>
  <c r="P19" i="17"/>
  <c r="M19" i="17"/>
  <c r="D19" i="17"/>
  <c r="B19" i="17"/>
  <c r="B18" i="17"/>
  <c r="V17" i="17"/>
  <c r="S17" i="17"/>
  <c r="P17" i="17"/>
  <c r="M17" i="17"/>
  <c r="D17" i="17"/>
  <c r="B17" i="17"/>
  <c r="V16" i="17"/>
  <c r="S16" i="17"/>
  <c r="P16" i="17"/>
  <c r="M16" i="17"/>
  <c r="D16" i="17"/>
  <c r="B16" i="17"/>
  <c r="I15" i="17"/>
  <c r="H15" i="17"/>
  <c r="F15" i="17"/>
  <c r="B15" i="17"/>
  <c r="V14" i="17"/>
  <c r="S14" i="17"/>
  <c r="P14" i="17"/>
  <c r="M14" i="17"/>
  <c r="D14" i="17"/>
  <c r="B14" i="17"/>
  <c r="V13" i="17"/>
  <c r="S13" i="17"/>
  <c r="P13" i="17"/>
  <c r="M13" i="17"/>
  <c r="D13" i="17"/>
  <c r="B13" i="17"/>
  <c r="F12" i="17"/>
  <c r="B12" i="17"/>
  <c r="V10" i="17"/>
  <c r="T10" i="17"/>
  <c r="S10" i="17"/>
  <c r="Q10" i="17"/>
  <c r="P10" i="17"/>
  <c r="N10" i="17"/>
  <c r="M10" i="17"/>
  <c r="K10" i="17"/>
  <c r="B10" i="17" s="1"/>
  <c r="J10" i="17"/>
  <c r="D10" i="17"/>
  <c r="V9" i="17"/>
  <c r="T9" i="17"/>
  <c r="S9" i="17"/>
  <c r="Q9" i="17"/>
  <c r="P9" i="17"/>
  <c r="N9" i="17"/>
  <c r="M9" i="17"/>
  <c r="K9" i="17"/>
  <c r="J9" i="17"/>
  <c r="D9" i="17"/>
  <c r="B9" i="17"/>
  <c r="V8" i="17"/>
  <c r="T8" i="17"/>
  <c r="S8" i="17"/>
  <c r="Q8" i="17"/>
  <c r="P8" i="17"/>
  <c r="N8" i="17"/>
  <c r="M8" i="17"/>
  <c r="K8" i="17"/>
  <c r="B8" i="17" s="1"/>
  <c r="J8" i="17"/>
  <c r="D8" i="17"/>
  <c r="V7" i="17"/>
  <c r="T7" i="17"/>
  <c r="T22" i="17" s="1"/>
  <c r="T39" i="17" s="1"/>
  <c r="S7" i="17"/>
  <c r="Q7" i="17"/>
  <c r="Q22" i="17" s="1"/>
  <c r="Q39" i="17" s="1"/>
  <c r="P7" i="17"/>
  <c r="N7" i="17"/>
  <c r="N22" i="17" s="1"/>
  <c r="N39" i="17" s="1"/>
  <c r="M7" i="17"/>
  <c r="K7" i="17"/>
  <c r="K22" i="17" s="1"/>
  <c r="K39" i="17" s="1"/>
  <c r="J7" i="17"/>
  <c r="J22" i="17" s="1"/>
  <c r="I7" i="17"/>
  <c r="H7" i="17"/>
  <c r="F7" i="17"/>
  <c r="D7" i="17"/>
  <c r="H63" i="28"/>
  <c r="H55" i="28" s="1"/>
  <c r="G63" i="28"/>
  <c r="F63" i="28"/>
  <c r="F55" i="28" s="1"/>
  <c r="E63" i="28"/>
  <c r="D63" i="28"/>
  <c r="C63" i="28" s="1"/>
  <c r="I59" i="28"/>
  <c r="L57" i="28"/>
  <c r="M55" i="28"/>
  <c r="I55" i="28"/>
  <c r="G55" i="28"/>
  <c r="E55" i="28"/>
  <c r="M53" i="28"/>
  <c r="I53" i="28"/>
  <c r="H53" i="28"/>
  <c r="G53" i="28"/>
  <c r="F53" i="28"/>
  <c r="E53" i="28"/>
  <c r="D53" i="28"/>
  <c r="C53" i="28" s="1"/>
  <c r="I51" i="28"/>
  <c r="H51" i="28"/>
  <c r="G51" i="28"/>
  <c r="F51" i="28"/>
  <c r="E51" i="28"/>
  <c r="D51" i="28"/>
  <c r="C51" i="28" s="1"/>
  <c r="C52" i="28" s="1"/>
  <c r="A51" i="28"/>
  <c r="M49" i="28"/>
  <c r="I49" i="28"/>
  <c r="H49" i="28"/>
  <c r="G49" i="28"/>
  <c r="F49" i="28"/>
  <c r="E49" i="28"/>
  <c r="D49" i="28"/>
  <c r="C49" i="28" s="1"/>
  <c r="C50" i="28" s="1"/>
  <c r="M48" i="28"/>
  <c r="I47" i="28"/>
  <c r="H47" i="28"/>
  <c r="G47" i="28"/>
  <c r="F47" i="28"/>
  <c r="E47" i="28"/>
  <c r="D47" i="28"/>
  <c r="C47" i="28"/>
  <c r="C48" i="28" s="1"/>
  <c r="M45" i="28"/>
  <c r="I45" i="28"/>
  <c r="H45" i="28"/>
  <c r="G45" i="28"/>
  <c r="F45" i="28"/>
  <c r="E45" i="28"/>
  <c r="D45" i="28"/>
  <c r="C45" i="28" s="1"/>
  <c r="C46" i="28" s="1"/>
  <c r="M43" i="28"/>
  <c r="I43" i="28"/>
  <c r="H43" i="28"/>
  <c r="G43" i="28"/>
  <c r="F43" i="28"/>
  <c r="E43" i="28"/>
  <c r="D43" i="28"/>
  <c r="C43" i="28" s="1"/>
  <c r="C44" i="28" s="1"/>
  <c r="I41" i="28"/>
  <c r="H41" i="28"/>
  <c r="G41" i="28"/>
  <c r="F41" i="28"/>
  <c r="E41" i="28"/>
  <c r="D41" i="28"/>
  <c r="C41" i="28"/>
  <c r="C42" i="28" s="1"/>
  <c r="I39" i="28"/>
  <c r="H39" i="28"/>
  <c r="G39" i="28"/>
  <c r="F39" i="28"/>
  <c r="E39" i="28"/>
  <c r="D39" i="28"/>
  <c r="C39" i="28" s="1"/>
  <c r="C40" i="28" s="1"/>
  <c r="I37" i="28"/>
  <c r="H37" i="28"/>
  <c r="G37" i="28"/>
  <c r="F37" i="28"/>
  <c r="E37" i="28"/>
  <c r="D37" i="28"/>
  <c r="C37" i="28"/>
  <c r="C38" i="28" s="1"/>
  <c r="I35" i="28"/>
  <c r="H35" i="28"/>
  <c r="G35" i="28"/>
  <c r="F35" i="28"/>
  <c r="E35" i="28"/>
  <c r="D35" i="28"/>
  <c r="C35" i="28" s="1"/>
  <c r="C36" i="28" s="1"/>
  <c r="I33" i="28"/>
  <c r="H33" i="28"/>
  <c r="H34" i="28" s="1"/>
  <c r="G33" i="28"/>
  <c r="G34" i="28" s="1"/>
  <c r="F33" i="28"/>
  <c r="F34" i="28" s="1"/>
  <c r="E33" i="28"/>
  <c r="E34" i="28" s="1"/>
  <c r="D33" i="28"/>
  <c r="D34" i="28" s="1"/>
  <c r="I31" i="28"/>
  <c r="H31" i="28"/>
  <c r="G31" i="28"/>
  <c r="F31" i="28"/>
  <c r="E31" i="28"/>
  <c r="D31" i="28"/>
  <c r="C31" i="28" s="1"/>
  <c r="C32" i="28" s="1"/>
  <c r="I29" i="28"/>
  <c r="H29" i="28"/>
  <c r="G29" i="28"/>
  <c r="F29" i="28"/>
  <c r="E29" i="28"/>
  <c r="D29" i="28"/>
  <c r="C29" i="28"/>
  <c r="C30" i="28" s="1"/>
  <c r="I27" i="28"/>
  <c r="H27" i="28"/>
  <c r="G27" i="28"/>
  <c r="F27" i="28"/>
  <c r="E27" i="28"/>
  <c r="D27" i="28"/>
  <c r="C27" i="28" s="1"/>
  <c r="C28" i="28" s="1"/>
  <c r="A27" i="28"/>
  <c r="A29" i="28" s="1"/>
  <c r="A31" i="28" s="1"/>
  <c r="A35" i="28" s="1"/>
  <c r="A37" i="28" s="1"/>
  <c r="A39" i="28" s="1"/>
  <c r="A41" i="28" s="1"/>
  <c r="A43" i="28" s="1"/>
  <c r="A45" i="28" s="1"/>
  <c r="I25" i="28"/>
  <c r="H25" i="28"/>
  <c r="G25" i="28"/>
  <c r="F25" i="28"/>
  <c r="E25" i="28"/>
  <c r="D25" i="28"/>
  <c r="C25" i="28"/>
  <c r="C26" i="28" s="1"/>
  <c r="A25" i="28"/>
  <c r="I23" i="28"/>
  <c r="H23" i="28"/>
  <c r="H21" i="28" s="1"/>
  <c r="G23" i="28"/>
  <c r="F23" i="28"/>
  <c r="F21" i="28" s="1"/>
  <c r="E23" i="28"/>
  <c r="D23" i="28"/>
  <c r="C23" i="28" s="1"/>
  <c r="C24" i="28" s="1"/>
  <c r="I21" i="28"/>
  <c r="G21" i="28"/>
  <c r="G22" i="28" s="1"/>
  <c r="E21" i="28"/>
  <c r="E22" i="28" s="1"/>
  <c r="H20" i="28"/>
  <c r="G20" i="28"/>
  <c r="F20" i="28"/>
  <c r="E20" i="28"/>
  <c r="D20" i="28"/>
  <c r="I18" i="28"/>
  <c r="C17" i="28"/>
  <c r="G16" i="28"/>
  <c r="E16" i="28"/>
  <c r="O54" i="27"/>
  <c r="N54" i="27"/>
  <c r="N46" i="27" s="1"/>
  <c r="M54" i="27"/>
  <c r="L54" i="27"/>
  <c r="L46" i="27" s="1"/>
  <c r="K54" i="27"/>
  <c r="J54" i="27"/>
  <c r="O46" i="27"/>
  <c r="M46" i="27"/>
  <c r="K46" i="27"/>
  <c r="O44" i="27"/>
  <c r="N44" i="27"/>
  <c r="M44" i="27"/>
  <c r="L44" i="27"/>
  <c r="K44" i="27"/>
  <c r="J44" i="27" s="1"/>
  <c r="J45" i="27" s="1"/>
  <c r="O40" i="27"/>
  <c r="N40" i="27"/>
  <c r="M40" i="27"/>
  <c r="L40" i="27"/>
  <c r="K40" i="27"/>
  <c r="J40" i="27"/>
  <c r="J41" i="27" s="1"/>
  <c r="R38" i="27"/>
  <c r="O38" i="27"/>
  <c r="N38" i="27"/>
  <c r="M38" i="27"/>
  <c r="L38" i="27"/>
  <c r="K38" i="27"/>
  <c r="J38" i="27" s="1"/>
  <c r="J39" i="27" s="1"/>
  <c r="O36" i="27"/>
  <c r="N36" i="27"/>
  <c r="M36" i="27"/>
  <c r="L36" i="27"/>
  <c r="K36" i="27"/>
  <c r="J36" i="27"/>
  <c r="J37" i="27" s="1"/>
  <c r="O34" i="27"/>
  <c r="N34" i="27"/>
  <c r="M34" i="27"/>
  <c r="L34" i="27"/>
  <c r="K34" i="27"/>
  <c r="J34" i="27" s="1"/>
  <c r="O32" i="27"/>
  <c r="N32" i="27"/>
  <c r="M32" i="27"/>
  <c r="L32" i="27"/>
  <c r="K32" i="27"/>
  <c r="J32" i="27"/>
  <c r="J33" i="27" s="1"/>
  <c r="O30" i="27"/>
  <c r="N30" i="27"/>
  <c r="M30" i="27"/>
  <c r="L30" i="27"/>
  <c r="K30" i="27"/>
  <c r="J30" i="27"/>
  <c r="J31" i="27" s="1"/>
  <c r="O28" i="27"/>
  <c r="N28" i="27"/>
  <c r="M28" i="27"/>
  <c r="L28" i="27"/>
  <c r="S28" i="27" s="1"/>
  <c r="K28" i="27"/>
  <c r="J28" i="27"/>
  <c r="J29" i="27" s="1"/>
  <c r="S26" i="27"/>
  <c r="S30" i="27" s="1"/>
  <c r="O26" i="27"/>
  <c r="N26" i="27"/>
  <c r="M26" i="27"/>
  <c r="L26" i="27"/>
  <c r="K26" i="27"/>
  <c r="J26" i="27"/>
  <c r="J27" i="27" s="1"/>
  <c r="O21" i="27"/>
  <c r="N21" i="27"/>
  <c r="M21" i="27"/>
  <c r="L21" i="27"/>
  <c r="K21" i="27"/>
  <c r="J21" i="27" s="1"/>
  <c r="J22" i="27" s="1"/>
  <c r="O19" i="27"/>
  <c r="N19" i="27"/>
  <c r="M19" i="27"/>
  <c r="L19" i="27"/>
  <c r="S19" i="27" s="1"/>
  <c r="K19" i="27"/>
  <c r="J19" i="27" s="1"/>
  <c r="J20" i="27" s="1"/>
  <c r="O17" i="27"/>
  <c r="N17" i="27"/>
  <c r="M17" i="27"/>
  <c r="L17" i="27"/>
  <c r="S17" i="27" s="1"/>
  <c r="K17" i="27"/>
  <c r="J17" i="27" s="1"/>
  <c r="J18" i="27" s="1"/>
  <c r="S15" i="27"/>
  <c r="O15" i="27"/>
  <c r="O10" i="27" s="1"/>
  <c r="N15" i="27"/>
  <c r="M15" i="27"/>
  <c r="M10" i="27" s="1"/>
  <c r="L15" i="27"/>
  <c r="K15" i="27"/>
  <c r="J15" i="27" s="1"/>
  <c r="O13" i="27"/>
  <c r="N13" i="27"/>
  <c r="M13" i="27"/>
  <c r="L13" i="27"/>
  <c r="K13" i="27"/>
  <c r="J13" i="27"/>
  <c r="J14" i="27" s="1"/>
  <c r="O11" i="27"/>
  <c r="N11" i="27"/>
  <c r="M11" i="27"/>
  <c r="L11" i="27"/>
  <c r="K11" i="27"/>
  <c r="N10" i="27"/>
  <c r="L10" i="27"/>
  <c r="O8" i="27"/>
  <c r="O50" i="27" s="1"/>
  <c r="N8" i="27"/>
  <c r="N50" i="27" s="1"/>
  <c r="N51" i="27" s="1"/>
  <c r="M8" i="27"/>
  <c r="M50" i="27" s="1"/>
  <c r="L8" i="27"/>
  <c r="L50" i="27" s="1"/>
  <c r="K8" i="27"/>
  <c r="K50" i="27" s="1"/>
  <c r="J8" i="27"/>
  <c r="I8" i="27"/>
  <c r="H8" i="27"/>
  <c r="G8" i="27"/>
  <c r="F8" i="27"/>
  <c r="E8" i="27"/>
  <c r="D8" i="27"/>
  <c r="J42" i="4"/>
  <c r="I42" i="4"/>
  <c r="H42" i="4"/>
  <c r="G42" i="4"/>
  <c r="F42" i="4"/>
  <c r="E42" i="4"/>
  <c r="D42" i="4"/>
  <c r="J41" i="4"/>
  <c r="I41" i="4"/>
  <c r="H41" i="4"/>
  <c r="G41" i="4"/>
  <c r="F41" i="4"/>
  <c r="E41" i="4"/>
  <c r="D41" i="4"/>
  <c r="J40" i="4"/>
  <c r="I40" i="4"/>
  <c r="H40" i="4"/>
  <c r="G40" i="4"/>
  <c r="F40" i="4"/>
  <c r="E40" i="4"/>
  <c r="D40" i="4"/>
  <c r="J38" i="4"/>
  <c r="I38" i="4"/>
  <c r="H38" i="4"/>
  <c r="G38" i="4"/>
  <c r="F38" i="4"/>
  <c r="E38" i="4"/>
  <c r="D38" i="4"/>
  <c r="J37" i="4"/>
  <c r="I37" i="4"/>
  <c r="H37" i="4"/>
  <c r="G37" i="4"/>
  <c r="F37" i="4"/>
  <c r="E37" i="4"/>
  <c r="D37" i="4"/>
  <c r="J36" i="4"/>
  <c r="I36" i="4"/>
  <c r="H36" i="4"/>
  <c r="G36" i="4"/>
  <c r="F36" i="4"/>
  <c r="E36" i="4"/>
  <c r="D36" i="4"/>
  <c r="J35" i="4"/>
  <c r="I35" i="4"/>
  <c r="H35" i="4"/>
  <c r="G35" i="4"/>
  <c r="F35" i="4"/>
  <c r="E35" i="4"/>
  <c r="D35" i="4"/>
  <c r="J34" i="4"/>
  <c r="I34" i="4"/>
  <c r="H34" i="4"/>
  <c r="G34" i="4"/>
  <c r="F34" i="4"/>
  <c r="E34" i="4"/>
  <c r="D34" i="4"/>
  <c r="J33" i="4"/>
  <c r="I33" i="4"/>
  <c r="H33" i="4"/>
  <c r="G33" i="4"/>
  <c r="F33" i="4"/>
  <c r="E33" i="4"/>
  <c r="D33" i="4"/>
  <c r="J32" i="4"/>
  <c r="I32" i="4"/>
  <c r="H32" i="4"/>
  <c r="G32" i="4"/>
  <c r="F32" i="4"/>
  <c r="E32" i="4"/>
  <c r="D32" i="4"/>
  <c r="I31" i="4"/>
  <c r="I29" i="4"/>
  <c r="J28" i="4"/>
  <c r="I28" i="4"/>
  <c r="H28" i="4"/>
  <c r="G28" i="4"/>
  <c r="F28" i="4"/>
  <c r="E28" i="4"/>
  <c r="D28" i="4"/>
  <c r="J27" i="4"/>
  <c r="I27" i="4"/>
  <c r="H27" i="4"/>
  <c r="G27" i="4"/>
  <c r="F27" i="4"/>
  <c r="E27" i="4"/>
  <c r="D27" i="4"/>
  <c r="J26" i="4"/>
  <c r="I26" i="4"/>
  <c r="H26" i="4"/>
  <c r="G26" i="4"/>
  <c r="F26" i="4"/>
  <c r="E26" i="4"/>
  <c r="J25" i="4"/>
  <c r="I25" i="4"/>
  <c r="H25" i="4"/>
  <c r="G25" i="4"/>
  <c r="F25" i="4"/>
  <c r="E25" i="4"/>
  <c r="D25" i="4"/>
  <c r="I23" i="4"/>
  <c r="I22" i="4"/>
  <c r="J21" i="4"/>
  <c r="I21" i="4"/>
  <c r="H21" i="4"/>
  <c r="G21" i="4"/>
  <c r="F21" i="4"/>
  <c r="E21" i="4"/>
  <c r="J19" i="4"/>
  <c r="I19" i="4"/>
  <c r="J18" i="4"/>
  <c r="I18" i="4"/>
  <c r="H18" i="4"/>
  <c r="G18" i="4"/>
  <c r="F18" i="4"/>
  <c r="E18" i="4"/>
  <c r="D18" i="4"/>
  <c r="J17" i="4"/>
  <c r="I17" i="4"/>
  <c r="H17" i="4"/>
  <c r="G17" i="4"/>
  <c r="F17" i="4"/>
  <c r="E17" i="4"/>
  <c r="D17" i="4"/>
  <c r="J16" i="4"/>
  <c r="I16" i="4"/>
  <c r="H16" i="4"/>
  <c r="G16" i="4"/>
  <c r="F16" i="4"/>
  <c r="E16" i="4"/>
  <c r="D16" i="4"/>
  <c r="J15" i="4"/>
  <c r="I15" i="4"/>
  <c r="H15" i="4"/>
  <c r="G15" i="4"/>
  <c r="F15" i="4"/>
  <c r="E15" i="4"/>
  <c r="D15" i="4"/>
  <c r="J14" i="4"/>
  <c r="I14" i="4"/>
  <c r="H14" i="4"/>
  <c r="G14" i="4"/>
  <c r="F14" i="4"/>
  <c r="E14" i="4"/>
  <c r="D14" i="4"/>
  <c r="J12" i="4"/>
  <c r="I12" i="4"/>
  <c r="H12" i="4"/>
  <c r="G12" i="4"/>
  <c r="F12" i="4"/>
  <c r="E12" i="4"/>
  <c r="D12" i="4"/>
  <c r="J11" i="4"/>
  <c r="I11" i="4"/>
  <c r="H11" i="4"/>
  <c r="G11" i="4"/>
  <c r="F11" i="4"/>
  <c r="E11" i="4"/>
  <c r="D11" i="4"/>
  <c r="J10" i="4"/>
  <c r="I10" i="4"/>
  <c r="H10" i="4"/>
  <c r="G10" i="4"/>
  <c r="F10" i="4"/>
  <c r="E10" i="4"/>
  <c r="D10" i="4"/>
  <c r="J9" i="4"/>
  <c r="I9" i="4"/>
  <c r="H9" i="4"/>
  <c r="G9" i="4"/>
  <c r="F9" i="4"/>
  <c r="E9" i="4"/>
  <c r="D9" i="4"/>
  <c r="J7" i="4"/>
  <c r="I7" i="4"/>
  <c r="H7" i="4"/>
  <c r="G7" i="4"/>
  <c r="F7" i="4"/>
  <c r="E7" i="4"/>
  <c r="K20" i="44"/>
  <c r="K19" i="44"/>
  <c r="K18" i="44"/>
  <c r="K16" i="44"/>
  <c r="K14" i="44"/>
  <c r="K10" i="44"/>
  <c r="K9" i="44"/>
  <c r="K8" i="44"/>
  <c r="J30" i="45"/>
  <c r="I30" i="45"/>
  <c r="H30" i="45"/>
  <c r="G30" i="45"/>
  <c r="L30" i="45" s="1"/>
  <c r="E30" i="45"/>
  <c r="D30" i="45"/>
  <c r="K25" i="45"/>
  <c r="J25" i="45"/>
  <c r="I25" i="45"/>
  <c r="H25" i="45"/>
  <c r="G25" i="45"/>
  <c r="L25" i="45" s="1"/>
  <c r="E25" i="45"/>
  <c r="D25" i="45"/>
  <c r="K24" i="45"/>
  <c r="K22" i="45" s="1"/>
  <c r="J24" i="45"/>
  <c r="I24" i="45"/>
  <c r="I22" i="45" s="1"/>
  <c r="H24" i="45"/>
  <c r="G24" i="45"/>
  <c r="L24" i="45" s="1"/>
  <c r="E24" i="45"/>
  <c r="D24" i="45"/>
  <c r="N22" i="45"/>
  <c r="J22" i="45"/>
  <c r="H22" i="45"/>
  <c r="F22" i="45"/>
  <c r="E22" i="45"/>
  <c r="D22" i="45"/>
  <c r="K21" i="45"/>
  <c r="Q17" i="45" s="1"/>
  <c r="J21" i="45"/>
  <c r="I21" i="45"/>
  <c r="H21" i="45"/>
  <c r="G21" i="45"/>
  <c r="L21" i="45" s="1"/>
  <c r="E21" i="45"/>
  <c r="O17" i="45"/>
  <c r="L17" i="45"/>
  <c r="K17" i="45"/>
  <c r="J17" i="45"/>
  <c r="P17" i="45" s="1"/>
  <c r="I17" i="45"/>
  <c r="H17" i="45"/>
  <c r="N17" i="45" s="1"/>
  <c r="G17" i="45"/>
  <c r="E17" i="45"/>
  <c r="L38" i="36"/>
  <c r="L37" i="36"/>
  <c r="K37" i="36"/>
  <c r="J37" i="36"/>
  <c r="I37" i="36"/>
  <c r="H37" i="36"/>
  <c r="E37" i="36"/>
  <c r="D37" i="36"/>
  <c r="L36" i="36"/>
  <c r="L35" i="36"/>
  <c r="L34" i="36"/>
  <c r="L32" i="36"/>
  <c r="K32" i="36"/>
  <c r="J32" i="36"/>
  <c r="I32" i="36"/>
  <c r="H32" i="36"/>
  <c r="G32" i="36"/>
  <c r="D32" i="36"/>
  <c r="K30" i="36"/>
  <c r="L30" i="36" s="1"/>
  <c r="L29" i="36" s="1"/>
  <c r="J30" i="36"/>
  <c r="I30" i="36"/>
  <c r="H30" i="36"/>
  <c r="G30" i="36"/>
  <c r="K29" i="36"/>
  <c r="J29" i="36"/>
  <c r="I29" i="36"/>
  <c r="H29" i="36"/>
  <c r="G29" i="36"/>
  <c r="F29" i="36"/>
  <c r="E29" i="36"/>
  <c r="D29" i="36"/>
  <c r="L26" i="36"/>
  <c r="K26" i="36"/>
  <c r="J26" i="36"/>
  <c r="I26" i="36"/>
  <c r="H26" i="36"/>
  <c r="G26" i="36"/>
  <c r="L22" i="36"/>
  <c r="K21" i="36"/>
  <c r="L21" i="36" s="1"/>
  <c r="J21" i="36"/>
  <c r="I21" i="36"/>
  <c r="I18" i="36" s="1"/>
  <c r="H21" i="36"/>
  <c r="G21" i="36"/>
  <c r="G18" i="36" s="1"/>
  <c r="F21" i="36"/>
  <c r="E21" i="36"/>
  <c r="E18" i="36" s="1"/>
  <c r="D21" i="36"/>
  <c r="L20" i="36"/>
  <c r="L18" i="36" s="1"/>
  <c r="L19" i="36"/>
  <c r="J18" i="36"/>
  <c r="H18" i="36"/>
  <c r="F18" i="36"/>
  <c r="D18" i="36"/>
  <c r="L17" i="36"/>
  <c r="L16" i="36"/>
  <c r="C16" i="36"/>
  <c r="C17" i="36" s="1"/>
  <c r="L13" i="36"/>
  <c r="L12" i="36"/>
  <c r="K10" i="36"/>
  <c r="L10" i="36" s="1"/>
  <c r="J10" i="36"/>
  <c r="I10" i="36"/>
  <c r="H10" i="36"/>
  <c r="G10" i="36"/>
  <c r="F10" i="36"/>
  <c r="E10" i="36"/>
  <c r="D10" i="36"/>
  <c r="L9" i="36"/>
  <c r="K9" i="36"/>
  <c r="F9" i="36"/>
  <c r="C9" i="36"/>
  <c r="L8" i="36"/>
  <c r="L41" i="35"/>
  <c r="L40" i="35"/>
  <c r="E32" i="35"/>
  <c r="C32" i="35"/>
  <c r="L15" i="35"/>
  <c r="L13" i="35"/>
  <c r="L11" i="35"/>
  <c r="L9" i="35"/>
  <c r="K22" i="33"/>
  <c r="J20" i="33"/>
  <c r="I20" i="33"/>
  <c r="K20" i="33" s="1"/>
  <c r="E20" i="33"/>
  <c r="D20" i="33"/>
  <c r="I18" i="33"/>
  <c r="H18" i="33"/>
  <c r="G18" i="33"/>
  <c r="F18" i="33"/>
  <c r="K17" i="33"/>
  <c r="I17" i="33"/>
  <c r="H17" i="33"/>
  <c r="G17" i="33"/>
  <c r="F17" i="33"/>
  <c r="K8" i="33"/>
  <c r="L12" i="32"/>
  <c r="K30" i="31"/>
  <c r="K23" i="31"/>
  <c r="K22" i="31"/>
  <c r="K21" i="31"/>
  <c r="K23" i="30"/>
  <c r="K22" i="30"/>
  <c r="J21" i="30"/>
  <c r="I21" i="30"/>
  <c r="H21" i="30"/>
  <c r="G21" i="30"/>
  <c r="K21" i="30" s="1"/>
  <c r="F21" i="30"/>
  <c r="E21" i="30"/>
  <c r="D21" i="30"/>
  <c r="K20" i="30"/>
  <c r="K18" i="30"/>
  <c r="K17" i="30"/>
  <c r="J12" i="30"/>
  <c r="I12" i="30"/>
  <c r="H12" i="30"/>
  <c r="G12" i="30"/>
  <c r="F12" i="30"/>
  <c r="D12" i="30"/>
  <c r="K11" i="30"/>
  <c r="K10" i="30"/>
  <c r="K12" i="30" s="1"/>
  <c r="E10" i="30"/>
  <c r="E12" i="30" s="1"/>
  <c r="I94" i="29"/>
  <c r="E94" i="29"/>
  <c r="K90" i="29"/>
  <c r="K89" i="29"/>
  <c r="K86" i="29"/>
  <c r="K85" i="29"/>
  <c r="J82" i="29"/>
  <c r="I82" i="29"/>
  <c r="H82" i="29"/>
  <c r="G82" i="29"/>
  <c r="F82" i="29"/>
  <c r="J81" i="29"/>
  <c r="K81" i="29" s="1"/>
  <c r="I81" i="29"/>
  <c r="H81" i="29"/>
  <c r="G81" i="29"/>
  <c r="F81" i="29"/>
  <c r="D81" i="29"/>
  <c r="K76" i="29"/>
  <c r="K74" i="29"/>
  <c r="N74" i="29" s="1"/>
  <c r="J73" i="29"/>
  <c r="I73" i="29"/>
  <c r="H73" i="29"/>
  <c r="G73" i="29"/>
  <c r="F73" i="29"/>
  <c r="J65" i="29"/>
  <c r="F65" i="29"/>
  <c r="K65" i="29" s="1"/>
  <c r="K64" i="29"/>
  <c r="E64" i="29"/>
  <c r="K62" i="29"/>
  <c r="E62" i="29"/>
  <c r="K60" i="29"/>
  <c r="J60" i="29"/>
  <c r="E60" i="29"/>
  <c r="D60" i="29"/>
  <c r="J59" i="29"/>
  <c r="H59" i="29"/>
  <c r="E59" i="29" s="1"/>
  <c r="J57" i="29"/>
  <c r="I57" i="29"/>
  <c r="G57" i="29"/>
  <c r="F57" i="29"/>
  <c r="K55" i="29"/>
  <c r="E55" i="29"/>
  <c r="J53" i="29"/>
  <c r="I53" i="29"/>
  <c r="H53" i="29"/>
  <c r="G53" i="29"/>
  <c r="F53" i="29"/>
  <c r="K53" i="29" s="1"/>
  <c r="E53" i="29"/>
  <c r="K39" i="29"/>
  <c r="K51" i="27" l="1"/>
  <c r="K23" i="27"/>
  <c r="J50" i="27"/>
  <c r="J51" i="27" s="1"/>
  <c r="M51" i="27"/>
  <c r="M23" i="27"/>
  <c r="O51" i="27"/>
  <c r="O23" i="27"/>
  <c r="J16" i="27"/>
  <c r="J11" i="27" s="1"/>
  <c r="J10" i="27"/>
  <c r="M6" i="27"/>
  <c r="O6" i="27"/>
  <c r="J35" i="27"/>
  <c r="J23" i="27"/>
  <c r="J46" i="27"/>
  <c r="J47" i="27" s="1"/>
  <c r="J7" i="27" s="1"/>
  <c r="L51" i="27"/>
  <c r="S38" i="27"/>
  <c r="S42" i="27" s="1"/>
  <c r="N24" i="27"/>
  <c r="N7" i="27"/>
  <c r="J24" i="27"/>
  <c r="S40" i="27"/>
  <c r="L23" i="27"/>
  <c r="L6" i="27" s="1"/>
  <c r="N23" i="27"/>
  <c r="N6" i="27" s="1"/>
  <c r="F16" i="28"/>
  <c r="F22" i="28"/>
  <c r="H16" i="28"/>
  <c r="H22" i="28"/>
  <c r="C54" i="28"/>
  <c r="C20" i="28" s="1"/>
  <c r="K59" i="29"/>
  <c r="H57" i="29"/>
  <c r="E57" i="29" s="1"/>
  <c r="E65" i="29"/>
  <c r="K18" i="36"/>
  <c r="G22" i="45"/>
  <c r="L22" i="45" s="1"/>
  <c r="B56" i="17"/>
  <c r="D22" i="17" s="1"/>
  <c r="J73" i="17"/>
  <c r="B73" i="17" s="1"/>
  <c r="D39" i="17" s="1"/>
  <c r="P22" i="17"/>
  <c r="N73" i="17"/>
  <c r="P39" i="17" s="1"/>
  <c r="V22" i="17"/>
  <c r="T73" i="17"/>
  <c r="V39" i="17" s="1"/>
  <c r="K10" i="27"/>
  <c r="K6" i="27" s="1"/>
  <c r="J6" i="27" s="1"/>
  <c r="D21" i="28"/>
  <c r="C33" i="28"/>
  <c r="C34" i="28" s="1"/>
  <c r="D55" i="28"/>
  <c r="C55" i="28" s="1"/>
  <c r="C56" i="28" s="1"/>
  <c r="B22" i="17"/>
  <c r="J39" i="17"/>
  <c r="B39" i="17" s="1"/>
  <c r="K73" i="17"/>
  <c r="M39" i="17" s="1"/>
  <c r="M22" i="17"/>
  <c r="Q73" i="17"/>
  <c r="S39" i="17" s="1"/>
  <c r="S22" i="17"/>
  <c r="C9" i="20"/>
  <c r="B21" i="23"/>
  <c r="D21" i="23"/>
  <c r="F21" i="23"/>
  <c r="B27" i="23"/>
  <c r="D27" i="23"/>
  <c r="F27" i="23"/>
  <c r="B29" i="23"/>
  <c r="D29" i="23"/>
  <c r="F29" i="23"/>
  <c r="B31" i="23"/>
  <c r="D31" i="23"/>
  <c r="F32" i="23"/>
  <c r="E12" i="14"/>
  <c r="C5" i="21"/>
  <c r="C4" i="21" s="1"/>
  <c r="I8" i="58"/>
  <c r="J70" i="50"/>
  <c r="J21" i="55"/>
  <c r="J19" i="55" s="1"/>
  <c r="E21" i="55"/>
  <c r="I19" i="55"/>
  <c r="B7" i="17"/>
  <c r="C21" i="23"/>
  <c r="E21" i="23"/>
  <c r="G21" i="23"/>
  <c r="C27" i="23"/>
  <c r="E27" i="23"/>
  <c r="G27" i="23"/>
  <c r="C29" i="23"/>
  <c r="E29" i="23"/>
  <c r="G29" i="23"/>
  <c r="C31" i="23"/>
  <c r="E31" i="23"/>
  <c r="D7" i="20"/>
  <c r="G23" i="59"/>
  <c r="H53" i="50"/>
  <c r="I60" i="50"/>
  <c r="H58" i="50"/>
  <c r="I61" i="50"/>
  <c r="J61" i="50" s="1"/>
  <c r="E61" i="50"/>
  <c r="H39" i="58"/>
  <c r="H40" i="58" s="1"/>
  <c r="H9" i="58"/>
  <c r="H10" i="58"/>
  <c r="I82" i="50"/>
  <c r="I42" i="58" s="1"/>
  <c r="I83" i="50"/>
  <c r="E19" i="55"/>
  <c r="H82" i="50"/>
  <c r="H42" i="58" s="1"/>
  <c r="H83" i="50"/>
  <c r="H11" i="55"/>
  <c r="I11" i="55" s="1"/>
  <c r="J11" i="55" s="1"/>
  <c r="H12" i="55"/>
  <c r="I12" i="55" s="1"/>
  <c r="J12" i="55" s="1"/>
  <c r="H13" i="55"/>
  <c r="I13" i="55" s="1"/>
  <c r="J13" i="55" s="1"/>
  <c r="H14" i="55"/>
  <c r="I14" i="55" s="1"/>
  <c r="J14" i="55" s="1"/>
  <c r="G9" i="58"/>
  <c r="F10" i="58"/>
  <c r="F9" i="58"/>
  <c r="L11" i="55" l="1"/>
  <c r="I58" i="50"/>
  <c r="E58" i="50" s="1"/>
  <c r="J60" i="50"/>
  <c r="J58" i="50" s="1"/>
  <c r="H23" i="59"/>
  <c r="I53" i="50"/>
  <c r="C24" i="23"/>
  <c r="C25" i="23"/>
  <c r="L14" i="55"/>
  <c r="J8" i="58"/>
  <c r="J83" i="50"/>
  <c r="E83" i="50" s="1"/>
  <c r="J82" i="50"/>
  <c r="E70" i="50"/>
  <c r="F25" i="23"/>
  <c r="F24" i="23"/>
  <c r="B25" i="23"/>
  <c r="B24" i="23"/>
  <c r="S44" i="27"/>
  <c r="K24" i="27"/>
  <c r="K7" i="27"/>
  <c r="E14" i="55"/>
  <c r="E13" i="55"/>
  <c r="E12" i="55"/>
  <c r="E11" i="55"/>
  <c r="L13" i="55"/>
  <c r="E60" i="50"/>
  <c r="D5" i="21"/>
  <c r="D4" i="21" s="1"/>
  <c r="D8" i="20"/>
  <c r="E24" i="23"/>
  <c r="E25" i="23"/>
  <c r="L12" i="55"/>
  <c r="I10" i="58"/>
  <c r="I39" i="58"/>
  <c r="I40" i="58" s="1"/>
  <c r="I9" i="58"/>
  <c r="E7" i="20"/>
  <c r="D25" i="23"/>
  <c r="D24" i="23"/>
  <c r="D16" i="28"/>
  <c r="C16" i="28" s="1"/>
  <c r="D22" i="28"/>
  <c r="C21" i="28"/>
  <c r="C22" i="28" s="1"/>
  <c r="L24" i="27"/>
  <c r="L7" i="27"/>
  <c r="O24" i="27"/>
  <c r="O7" i="27"/>
  <c r="M24" i="27"/>
  <c r="M7" i="27"/>
  <c r="K57" i="29"/>
  <c r="F7" i="20" l="1"/>
  <c r="G7" i="20"/>
  <c r="D9" i="20"/>
  <c r="J42" i="58"/>
  <c r="E82" i="50"/>
  <c r="E42" i="58" s="1"/>
  <c r="J39" i="58"/>
  <c r="J9" i="58"/>
  <c r="E9" i="58" s="1"/>
  <c r="J16" i="58"/>
  <c r="J10" i="58"/>
  <c r="E10" i="58" s="1"/>
  <c r="E8" i="58"/>
  <c r="I23" i="59"/>
  <c r="J53" i="50"/>
  <c r="F5" i="21" l="1"/>
  <c r="F4" i="21" s="1"/>
  <c r="G8" i="20"/>
  <c r="J23" i="59"/>
  <c r="E23" i="59" s="1"/>
  <c r="E53" i="50"/>
  <c r="E16" i="58"/>
  <c r="J17" i="58"/>
  <c r="E17" i="58" s="1"/>
  <c r="J40" i="58"/>
  <c r="E39" i="58"/>
  <c r="E40" i="58" s="1"/>
  <c r="E5" i="21"/>
  <c r="E4" i="21" s="1"/>
  <c r="F8" i="20"/>
  <c r="H7" i="20"/>
  <c r="J7" i="20" l="1"/>
  <c r="I7" i="20"/>
  <c r="G9" i="20"/>
  <c r="F9" i="20"/>
  <c r="I8" i="20" l="1"/>
  <c r="G5" i="21"/>
  <c r="G4" i="21" s="1"/>
  <c r="K7" i="20"/>
  <c r="H5" i="21"/>
  <c r="H4" i="21" s="1"/>
  <c r="J8" i="20"/>
  <c r="J9" i="20" l="1"/>
  <c r="L7" i="20"/>
  <c r="M7" i="20"/>
  <c r="I9" i="20"/>
  <c r="J5" i="21" l="1"/>
  <c r="J4" i="21" s="1"/>
  <c r="M8" i="20"/>
  <c r="I5" i="21"/>
  <c r="I4" i="21" s="1"/>
  <c r="L8" i="20"/>
  <c r="N7" i="20"/>
  <c r="P7" i="20" l="1"/>
  <c r="O7" i="20"/>
  <c r="M9" i="20"/>
  <c r="L9" i="20"/>
  <c r="O8" i="20" l="1"/>
  <c r="K5" i="21"/>
  <c r="K4" i="21" s="1"/>
  <c r="Q7" i="20"/>
  <c r="R7" i="20"/>
  <c r="L5" i="21"/>
  <c r="L4" i="21" s="1"/>
  <c r="P8" i="20"/>
  <c r="S7" i="20"/>
  <c r="P9" i="20" l="1"/>
  <c r="S9" i="20" s="1"/>
  <c r="S8" i="20"/>
  <c r="O9" i="20"/>
  <c r="R9" i="20" s="1"/>
  <c r="R8" i="20"/>
</calcChain>
</file>

<file path=xl/sharedStrings.xml><?xml version="1.0" encoding="utf-8"?>
<sst xmlns="http://schemas.openxmlformats.org/spreadsheetml/2006/main" count="2475" uniqueCount="823">
  <si>
    <t>STT</t>
  </si>
  <si>
    <t>ChØ tiªu</t>
  </si>
  <si>
    <t>§¬n vÞ
tÝnh</t>
  </si>
  <si>
    <t>A</t>
  </si>
  <si>
    <t>T¨ng tr­ëng GDP</t>
  </si>
  <si>
    <t>%</t>
  </si>
  <si>
    <t>Trong ®ã:</t>
  </si>
  <si>
    <t xml:space="preserve"> - Tæng GDP theo VN§</t>
  </si>
  <si>
    <t xml:space="preserve"> - Tæng GDP qui USD </t>
  </si>
  <si>
    <t xml:space="preserve"> - GDP b×nh qu©n ®Çu ng­êi</t>
  </si>
  <si>
    <t>USD</t>
  </si>
  <si>
    <t>B</t>
  </si>
  <si>
    <t>10-11</t>
  </si>
  <si>
    <t>1/100.000</t>
  </si>
  <si>
    <t>%o</t>
  </si>
  <si>
    <t>C</t>
  </si>
  <si>
    <t>Ngh×n tû ®ång</t>
  </si>
  <si>
    <t>Tèc ®é t¨ng</t>
  </si>
  <si>
    <t>D</t>
  </si>
  <si>
    <t>Tên chỉ tiêu</t>
  </si>
  <si>
    <t>Đơn vị</t>
  </si>
  <si>
    <t>Mục tiêu KH 2006-2010</t>
  </si>
  <si>
    <t>TH năm 2006</t>
  </si>
  <si>
    <t>TH năm 2007</t>
  </si>
  <si>
    <t>Ước TH năm 2008</t>
  </si>
  <si>
    <t>Khả năng đạt mục tiêu KH 5 năm</t>
  </si>
  <si>
    <t>I.</t>
  </si>
  <si>
    <t>VỀ KINH TẾ</t>
  </si>
  <si>
    <t>Tốc độ tăng tổng sản phẩm trong nước (GDP)</t>
  </si>
  <si>
    <t>7,5-8%/năm, phấn đấu đạt &gt;8%</t>
  </si>
  <si>
    <t>Phấn đấu đạt</t>
  </si>
  <si>
    <t>GDP giá so sánh (năm 2000 là 273.666)</t>
  </si>
  <si>
    <t>tỷ đồng</t>
  </si>
  <si>
    <t>gấp 2,1 lần so với 2000</t>
  </si>
  <si>
    <t>491.258-493.603</t>
  </si>
  <si>
    <t>GDP bình quân đầu người</t>
  </si>
  <si>
    <t>Đạt</t>
  </si>
  <si>
    <t>Giá trị tăng thêm của NLNN</t>
  </si>
  <si>
    <t>Giá trị tăng thêm của CN-XD</t>
  </si>
  <si>
    <t>Giá trị tăng thêm của Dịch vụ</t>
  </si>
  <si>
    <t>Cơ cấu GDP</t>
  </si>
  <si>
    <t>- Nông lâm nghiệp và thủy sản</t>
  </si>
  <si>
    <t>Không đạt</t>
  </si>
  <si>
    <t>- Công nghiệp và xây dựng</t>
  </si>
  <si>
    <t>- Dịch vụ</t>
  </si>
  <si>
    <t>Tốc độ tăng kim ngạch xuất khẩu hàng hóa</t>
  </si>
  <si>
    <t>16</t>
  </si>
  <si>
    <t>Vốn đầu tư phát triển toàn xã hội so với GDP</t>
  </si>
  <si>
    <t>40</t>
  </si>
  <si>
    <t>Tỷ lệ huy động GDP hàng năm vào NSNN</t>
  </si>
  <si>
    <t>21-22</t>
  </si>
  <si>
    <t>II.</t>
  </si>
  <si>
    <t>VỀ XÃ HỘI</t>
  </si>
  <si>
    <t>Số địa phương đạt chuẩn chương trình phổ cập giáo dục trung học cơ sở</t>
  </si>
  <si>
    <t>Tỉnh</t>
  </si>
  <si>
    <t>64 (Hiện nay là 63)</t>
  </si>
  <si>
    <t>Sinh viên ĐH, cao đẳng/vạn dân</t>
  </si>
  <si>
    <t>SV</t>
  </si>
  <si>
    <t>200</t>
  </si>
  <si>
    <t>180</t>
  </si>
  <si>
    <t>188</t>
  </si>
  <si>
    <t>Tỷ lệ lao động qua đào tạo</t>
  </si>
  <si>
    <t>30,5</t>
  </si>
  <si>
    <t>37</t>
  </si>
  <si>
    <t>Tốc độ phát triển dân số</t>
  </si>
  <si>
    <t>Tạo việc làm</t>
  </si>
  <si>
    <t>Triệu LĐ</t>
  </si>
  <si>
    <t>Tỷ lệ thất nghiệp thành thị</t>
  </si>
  <si>
    <t>Tỷ trọng lao động nông lâm ngư nghiệp trong tổng lao động (năm 2005 là 58%)</t>
  </si>
  <si>
    <t>Tuổi thọ trung bình</t>
  </si>
  <si>
    <t>Tuổi</t>
  </si>
  <si>
    <t>72</t>
  </si>
  <si>
    <t>71,5</t>
  </si>
  <si>
    <t>Tốc độ tăng tuyển mới trung cấp chuyên nghiệp</t>
  </si>
  <si>
    <t>13,4</t>
  </si>
  <si>
    <t>Tăng tuyển mới cao đẳng nghề và trung cấp nghề</t>
  </si>
  <si>
    <t>17,0</t>
  </si>
  <si>
    <t>Tỷ lệ tử vong trẻ em dưới 1 tuổi</t>
  </si>
  <si>
    <t>Vượt</t>
  </si>
  <si>
    <t>Tỷ lệ trẻ em dưới 5 tuổi bị suy dinh dưỡng</t>
  </si>
  <si>
    <t>Tỷ lệ tử vong bà mẹ liên quan đến thai sản/100.000 trẻ đẻ sống</t>
  </si>
  <si>
    <t>Bác sĩ/vạn dân</t>
  </si>
  <si>
    <t>bác sĩ</t>
  </si>
  <si>
    <t>Tỷ lệ hộ nghèo (Năm 2005 là 22%)</t>
  </si>
  <si>
    <t>Điện thoại/100 dân</t>
  </si>
  <si>
    <t>máy</t>
  </si>
  <si>
    <t>Internet/100 dân</t>
  </si>
  <si>
    <t>thuê bao</t>
  </si>
  <si>
    <t>III.</t>
  </si>
  <si>
    <t>VỀ MÔI TRƯỜNG</t>
  </si>
  <si>
    <t>Tỷ lệ che phủ rừng</t>
  </si>
  <si>
    <t>Tỷ lệ dân số nông thôn được sử dụng nước hợp vệ sinh</t>
  </si>
  <si>
    <t>Tỷ lệ dân số đô thị được sử dụng nước sạch</t>
  </si>
  <si>
    <t>Thùc hiÖn 2005</t>
  </si>
  <si>
    <t>Ghi chó</t>
  </si>
  <si>
    <t>Dự kiến 2 năm 2009-2010</t>
  </si>
  <si>
    <t>Gấp 1,8 lần</t>
  </si>
  <si>
    <t>Gấp 1,9 lần</t>
  </si>
  <si>
    <t>Thực hiện 2005</t>
  </si>
  <si>
    <t>&lt;18</t>
  </si>
  <si>
    <t xml:space="preserve">CHỈ TIÊU 2 NĂM CÒN LẠI 2009-2010 THEO VĂN KIỆN ĐẠI HỘI ĐẢNG X </t>
  </si>
  <si>
    <t>I</t>
  </si>
  <si>
    <t>II</t>
  </si>
  <si>
    <t>8 (5 năm)</t>
  </si>
  <si>
    <t>58-60</t>
  </si>
  <si>
    <t>Phô lôc 13</t>
  </si>
  <si>
    <t>Nguån vèn huy ®éng</t>
  </si>
  <si>
    <t>- TiÒn göi b»ng VN§</t>
  </si>
  <si>
    <t>- TiÒn göi b»ng ngo¹i tÖ</t>
  </si>
  <si>
    <t>- Tû lÖ tiÒn mÆt ngoµi hÖ thèng ng©n hµng/M2</t>
  </si>
  <si>
    <t>Tæng d­ nî cho vay nÒn kinh tÕ</t>
  </si>
  <si>
    <t>- Cho vay b»ng VN§</t>
  </si>
  <si>
    <t>- Cho vay ngo¹i tÖ</t>
  </si>
  <si>
    <t>GDP</t>
  </si>
  <si>
    <t>- Tû lÖ tiÒn göi/GDP</t>
  </si>
  <si>
    <t>III</t>
  </si>
  <si>
    <t>IV</t>
  </si>
  <si>
    <t>Tæng ph­¬ng tiÖn thanh to¸n/GDP</t>
  </si>
  <si>
    <t>TiÒn mÆt l­u th«ng ngoµi hÖ thèng ng©n hµng</t>
  </si>
  <si>
    <t>Tæng ph­¬ng tiÖn thanh to¸n (M2)</t>
  </si>
  <si>
    <t>+ Tèc ®é t¨ng</t>
  </si>
  <si>
    <t>+Tû lÖ cho vay b»ng VN§/tæng d­ nî</t>
  </si>
  <si>
    <t>+ Tû lÖ cho vay b»ng ngo¹i tÖ/tæng d­ nî</t>
  </si>
  <si>
    <t>- Tèc ®é t¨ng</t>
  </si>
  <si>
    <t>Bình quân/ Thực hiện 3 năm 2006-2008</t>
  </si>
  <si>
    <t>&lt;4,5</t>
  </si>
  <si>
    <t>Khó đạt</t>
  </si>
  <si>
    <t>Gấp 2,0 lần</t>
  </si>
  <si>
    <t/>
  </si>
  <si>
    <t/>
  </si>
  <si>
    <t>Phụ lục 2</t>
  </si>
  <si>
    <t>Môc tiªu KH 2011-2015</t>
  </si>
  <si>
    <t>tiÒn tÖ - tÝn dông 2011-2015</t>
  </si>
  <si>
    <t xml:space="preserve"> CÁN CÂN THANH TOÁN QUỐC TẾ </t>
  </si>
  <si>
    <t>Đơn vị: triệu USD</t>
  </si>
  <si>
    <t>Mục tiêu kế hoạch 5 năm 2011-2015</t>
  </si>
  <si>
    <t>Thực hiện 
2007</t>
  </si>
  <si>
    <t>Thực hiện
2008</t>
  </si>
  <si>
    <t>Kế hoạch
2009</t>
  </si>
  <si>
    <t>Ước thực hiện
2009</t>
  </si>
  <si>
    <t>KH 2010</t>
  </si>
  <si>
    <t>KH 2012</t>
  </si>
  <si>
    <t>KH 2013</t>
  </si>
  <si>
    <t>KH 2014</t>
  </si>
  <si>
    <t>KH 2015</t>
  </si>
  <si>
    <t>Cán cân thương mại</t>
  </si>
  <si>
    <t>Xuất khẩu</t>
  </si>
  <si>
    <t>Nhập khẩu</t>
  </si>
  <si>
    <t>Nhập khẩu (giá CIF)</t>
  </si>
  <si>
    <t>Dịch vụ</t>
  </si>
  <si>
    <t>Thu</t>
  </si>
  <si>
    <t>Chi</t>
  </si>
  <si>
    <t>Thu nhập đầu tư</t>
  </si>
  <si>
    <t>Chuyển tiền</t>
  </si>
  <si>
    <t>Nhà nước</t>
  </si>
  <si>
    <t>Tư nhân</t>
  </si>
  <si>
    <t>Cán cân vãng lai</t>
  </si>
  <si>
    <t>Cán cân vốn</t>
  </si>
  <si>
    <t>Đầu tư trực tiếp nước ngoài</t>
  </si>
  <si>
    <t>Vay trả nợ trung dài hạn</t>
  </si>
  <si>
    <t>Vay</t>
  </si>
  <si>
    <t>Trả đến hạn</t>
  </si>
  <si>
    <t>Vay ngắn hạn</t>
  </si>
  <si>
    <t>Đầu tư vào giấy tờ có giá</t>
  </si>
  <si>
    <t>Tiền và tiền gửi</t>
  </si>
  <si>
    <t>Lỗi - sai số</t>
  </si>
  <si>
    <t>Cán cân tổng thể</t>
  </si>
  <si>
    <t>Chi số giá</t>
  </si>
  <si>
    <t>PA1</t>
  </si>
  <si>
    <t>PA2</t>
  </si>
  <si>
    <t>TB</t>
  </si>
  <si>
    <t>Tỷ giá</t>
  </si>
  <si>
    <t>Dân số</t>
  </si>
  <si>
    <t>Tổng 5 năm</t>
  </si>
  <si>
    <t>Nguồn</t>
  </si>
  <si>
    <t>KN nhập khẩu</t>
  </si>
  <si>
    <t>Nhập khẩu (giá FOB)</t>
  </si>
  <si>
    <t>Sử dụng</t>
  </si>
  <si>
    <t>Tiêu dùng cuối cùng</t>
  </si>
  <si>
    <t>Tổng tích lũy tài sản</t>
  </si>
  <si>
    <t>Tiết kiệm</t>
  </si>
  <si>
    <t>KNXK</t>
  </si>
  <si>
    <t>XK (giá FOB)</t>
  </si>
  <si>
    <t>Chênh lệch XNK HH và DV</t>
  </si>
  <si>
    <t>Đơn vị tính</t>
  </si>
  <si>
    <t>Ng.tỷ Đ</t>
  </si>
  <si>
    <t>Tỷ USD</t>
  </si>
  <si>
    <t>Ng.Đ</t>
  </si>
  <si>
    <t>Cơ cấu</t>
  </si>
  <si>
    <t>Cơ cấu Tích lũy - tiêu dùng</t>
  </si>
  <si>
    <t>Tiêu dùng</t>
  </si>
  <si>
    <t>TÍch lũy</t>
  </si>
  <si>
    <t>Tiêu dùng/GDP</t>
  </si>
  <si>
    <t>TÍch lũy/GDP</t>
  </si>
  <si>
    <t>Tiết kiệm/GDP</t>
  </si>
  <si>
    <t>NN</t>
  </si>
  <si>
    <t>CN</t>
  </si>
  <si>
    <t>DV</t>
  </si>
  <si>
    <t>NN 1</t>
  </si>
  <si>
    <t>CN 1</t>
  </si>
  <si>
    <t>FII</t>
  </si>
  <si>
    <t>GDP thuc te 1</t>
  </si>
  <si>
    <t>GDP thuc te 2</t>
  </si>
  <si>
    <t>NN 2</t>
  </si>
  <si>
    <t>CN 2</t>
  </si>
  <si>
    <t>DV1</t>
  </si>
  <si>
    <t>DV2</t>
  </si>
  <si>
    <t>Lao dong</t>
  </si>
  <si>
    <t>2015-1</t>
  </si>
  <si>
    <t>2015-2</t>
  </si>
  <si>
    <t>trieu ld</t>
  </si>
  <si>
    <t>Nang suat lao dong</t>
  </si>
  <si>
    <t>Tong 1</t>
  </si>
  <si>
    <t>¦íc thùc hiÖn 2011</t>
  </si>
  <si>
    <t>Trong đó:</t>
  </si>
  <si>
    <t>TỔNG SỐ</t>
  </si>
  <si>
    <t>Nông nghiệp</t>
  </si>
  <si>
    <t>Tỷ trọng so với tổng số (%)</t>
  </si>
  <si>
    <t>Công nghiệp và xây dựng</t>
  </si>
  <si>
    <t>Trong đó</t>
  </si>
  <si>
    <t>Khai khoáng</t>
  </si>
  <si>
    <t>Công nghiệp chế biến và chế tạo</t>
  </si>
  <si>
    <t>Sản xuất và phân phối điện, khí đốt, nước nóng, hơi nước và điều hòa không khí</t>
  </si>
  <si>
    <t>Cung cấp nước; hoạt động quản lý và xử lý nước thải</t>
  </si>
  <si>
    <t>Xây dựng</t>
  </si>
  <si>
    <t>Bán buôn và bán lẻ; sửa chữa ô tô, mô tô và xe máy và xe có động cơ khác</t>
  </si>
  <si>
    <t>Vận tải; kho bãi</t>
  </si>
  <si>
    <t>Dịch vụ lưu trú và ăn uống</t>
  </si>
  <si>
    <t>Thông tin và truyền thông</t>
  </si>
  <si>
    <t>Hoạt động tài chính, ngân hàng và  bảo hiểm</t>
  </si>
  <si>
    <t>Hoạt động kinh doanh bất động sản</t>
  </si>
  <si>
    <t>Hoạt động chuyên môn và khoa học công nghệ</t>
  </si>
  <si>
    <t>Hoạt động hành chính và dịch vụ hỗ trợ</t>
  </si>
  <si>
    <t>Hoạt động của Đảng cộng sản, tổ chức chính trị - xã hội; quản lý Nhà nước, an ninh quốc phòng; đảm bảo xã hội bắt buộc</t>
  </si>
  <si>
    <t>Giáo dục và đào tạo</t>
  </si>
  <si>
    <t xml:space="preserve">Y tế và hoạt động trợ giúp xã hội </t>
  </si>
  <si>
    <t>Nghệ thuật, vui chơi và giải trí</t>
  </si>
  <si>
    <t>Hoạt động khác</t>
  </si>
  <si>
    <t>Hoàn trả tạm ứng theo Quyết định 910/QĐ-TTg (phần địa phương)</t>
  </si>
  <si>
    <t>VI</t>
  </si>
  <si>
    <t>Các khoản chưa phân bổ cụ thể</t>
  </si>
  <si>
    <t>Chuẩn bị đầu tư</t>
  </si>
  <si>
    <t>An ninh</t>
  </si>
  <si>
    <t>Quốc phòng</t>
  </si>
  <si>
    <t>Quản lý nhà nước</t>
  </si>
  <si>
    <t>Thông tin</t>
  </si>
  <si>
    <t>Thể thao</t>
  </si>
  <si>
    <t>Văn hóa</t>
  </si>
  <si>
    <t>Tổng VH+TT</t>
  </si>
  <si>
    <t>Văn hoá</t>
  </si>
  <si>
    <t>Xã hội</t>
  </si>
  <si>
    <t>Y tế</t>
  </si>
  <si>
    <t>Y tế - xã hội</t>
  </si>
  <si>
    <t>Tài nguyên và Môi trường</t>
  </si>
  <si>
    <t>qlnn</t>
  </si>
  <si>
    <t>Khoa học, công nghệ và công nghệ thông tin</t>
  </si>
  <si>
    <t>cap nuoc</t>
  </si>
  <si>
    <t>gt</t>
  </si>
  <si>
    <t>Cấp nước và xử lý rác thải, nước thải</t>
  </si>
  <si>
    <t>nn</t>
  </si>
  <si>
    <t>Lĩnh vực xã hội</t>
  </si>
  <si>
    <t>Kho tàng</t>
  </si>
  <si>
    <t>Giao thông vận tải</t>
  </si>
  <si>
    <t>Nông, lâm nghiệp và thủy sản</t>
  </si>
  <si>
    <t>Công nghiệp</t>
  </si>
  <si>
    <t>Lĩnh vực kinh tế</t>
  </si>
  <si>
    <t>- Chi bổ sung dự trữ nhà nước</t>
  </si>
  <si>
    <t>- Vốn điều lệ: Quỹ hợp tác xã</t>
  </si>
  <si>
    <t>- Cho vay chính sách hộ đồng bào dân tộc thiểu số đặc biệt khó khăn, nhà ở cho người nghèo, cho vay hộ đồng bào nghèo vùng Đồng bằng Sông Cửu Long,...</t>
  </si>
  <si>
    <t>- Lợi nhuận để lại đầu tư của Tập đoàn Dầu khí</t>
  </si>
  <si>
    <t>Cho vay giải quyết việc làm</t>
  </si>
  <si>
    <t>- Bù lãi suất tín dụng đầu tư và tín dụng chính sách xã hội</t>
  </si>
  <si>
    <t>- Bổ sung vốn cho các doanh nghiệp công ích và doanh nghiệp của khu kinh tế quốc phòng</t>
  </si>
  <si>
    <t>- Bổ sung các Quỹ xúc tiến thương mại, đầu tư, du lịch và góp vốn cổ phần các tổ chức tài chính quốc tế</t>
  </si>
  <si>
    <t>CÁC KHOẢN CHI CHUNG</t>
  </si>
  <si>
    <t>Phụ lục 17</t>
  </si>
  <si>
    <t>2011-2015</t>
  </si>
  <si>
    <t>Ngành, lĩnh vực</t>
  </si>
  <si>
    <t>Chỉ số giá tiêu dùng</t>
  </si>
  <si>
    <t>Phụ lục 12b</t>
  </si>
  <si>
    <t>Phụ lục 13b</t>
  </si>
  <si>
    <t>Phương án 1</t>
  </si>
  <si>
    <t>Phương án 2</t>
  </si>
  <si>
    <t/>
  </si>
  <si>
    <t>-</t>
  </si>
  <si>
    <t>Đơn vị: Tỷ đồng (giá thực tế)</t>
  </si>
  <si>
    <t/>
  </si>
  <si>
    <t>Chỉ tiêu</t>
  </si>
  <si>
    <t>Chỉ tiêu kinh tế</t>
  </si>
  <si>
    <t xml:space="preserve"> - Nông, lâm nghiệp và thuỷ sản</t>
  </si>
  <si>
    <t xml:space="preserve"> - Công nghiệp và xây dựng</t>
  </si>
  <si>
    <t xml:space="preserve"> - Dịch vụ</t>
  </si>
  <si>
    <t>Xuất nhập khẩu</t>
  </si>
  <si>
    <t xml:space="preserve"> - Tổng kim ngạch xuất khẩu hàng hóa</t>
  </si>
  <si>
    <t xml:space="preserve"> Tốc độ tăng xuất khẩu</t>
  </si>
  <si>
    <t xml:space="preserve"> - Tổng kim ngạch nhập khẩu hàng hóa</t>
  </si>
  <si>
    <t xml:space="preserve"> Tốc độ tăng nhập khẩu</t>
  </si>
  <si>
    <t>Chỉ tiêu xã hội</t>
  </si>
  <si>
    <t>- Tỷ lệ khu công nghiệp, khu chế xuất đang hoạt động có hệ thống xử lý nước thải tập trung đạt tiêu chuẩn môi trường</t>
  </si>
  <si>
    <t>- Nhập siêu so với xuất khẩu</t>
  </si>
  <si>
    <t>- Tuổi thọ trung bình</t>
  </si>
  <si>
    <t xml:space="preserve"> % </t>
  </si>
  <si>
    <t xml:space="preserve"> Tỷ USD </t>
  </si>
  <si>
    <t xml:space="preserve"> USD </t>
  </si>
  <si>
    <t xml:space="preserve"> Thuê bao </t>
  </si>
  <si>
    <t>Triệu đồng</t>
  </si>
  <si>
    <t xml:space="preserve"> Nghìn.tỷ đồng </t>
  </si>
  <si>
    <t>Chỉ tiêu Tài nguyên - Môi trường và phát triển bền vững</t>
  </si>
  <si>
    <t>- Tỷ lệ dân số thành thị được cung cấp nước sạch</t>
  </si>
  <si>
    <t>- Kim ngạch xuất khẩu/người</t>
  </si>
  <si>
    <t>- Thu gom chất thải rắn ở đô thị</t>
  </si>
  <si>
    <t xml:space="preserve"> Tuổi </t>
  </si>
  <si>
    <t>Tổng vốn đầu tư toàn xã hội so GRDP</t>
  </si>
  <si>
    <t>Tỷ lệ nợ chính quyền địa phương so tổng chi NSNN</t>
  </si>
  <si>
    <t xml:space="preserve"> - GRDP theo VNĐ</t>
  </si>
  <si>
    <t xml:space="preserve"> - Tổng GRDP qui USD </t>
  </si>
  <si>
    <t xml:space="preserve"> - GRDP bình quân đầu người</t>
  </si>
  <si>
    <t>Thực hiện 2011-2015</t>
  </si>
  <si>
    <t>KH 2016</t>
  </si>
  <si>
    <t>KH 2017</t>
  </si>
  <si>
    <t>KH 2018</t>
  </si>
  <si>
    <t>KH 2019</t>
  </si>
  <si>
    <t>KH 2020</t>
  </si>
  <si>
    <t>Mục tiêu kế hoạch 5 năm 2016-2020</t>
  </si>
  <si>
    <t xml:space="preserve">Tổng sản phẩm trên địa bàn tỉnh, thành phố trực thuộc Trung ương (GRDP) </t>
  </si>
  <si>
    <t xml:space="preserve">GRDP (giá hiện hành) </t>
  </si>
  <si>
    <t xml:space="preserve">2016-2020  </t>
  </si>
  <si>
    <t>MỘT SỐ CHỈ TIÊU CHỦ YẾU KẾ HOẠCH PHÁT TRIỂN KINH TẾ - XÃ HỘI 5 NĂM 2016-2020</t>
  </si>
  <si>
    <t>- Tỷ lệ thiếu việc làm khu vực nông thôn</t>
  </si>
  <si>
    <t>Ước TH 2015</t>
  </si>
  <si>
    <t xml:space="preserve"> - Nông, lâm nghiệp và thuỷ sản </t>
  </si>
  <si>
    <t xml:space="preserve"> - Công nghiệp và xây dựng </t>
  </si>
  <si>
    <t xml:space="preserve"> - Dịch vụ </t>
  </si>
  <si>
    <t>Tốc độ tăng trưởng</t>
  </si>
  <si>
    <t>Tổng sản phẩm GRDP</t>
  </si>
  <si>
    <t>Cơ cấu :</t>
  </si>
  <si>
    <t>Tổng vốn đầu tư toàn xã hội</t>
  </si>
  <si>
    <t>Cơ cấu kinh tế (Giá HH)</t>
  </si>
  <si>
    <t>Hệ số ICOR</t>
  </si>
  <si>
    <t>Thực hiện
 2011-2015</t>
  </si>
  <si>
    <t xml:space="preserve">Tốc độ tăng giá trị sản xuất </t>
  </si>
  <si>
    <t xml:space="preserve">Giá trị tăng thêm </t>
  </si>
  <si>
    <t>Tỷ đồng</t>
  </si>
  <si>
    <t>Sản phẩm chủ yếu</t>
  </si>
  <si>
    <t xml:space="preserve"> Triệu tấn </t>
  </si>
  <si>
    <t xml:space="preserve">   Trong đó: + Thóc</t>
  </si>
  <si>
    <t xml:space="preserve">                    + Ngô</t>
  </si>
  <si>
    <t xml:space="preserve"> - Cà phê</t>
  </si>
  <si>
    <t xml:space="preserve"> - Cao su</t>
  </si>
  <si>
    <t xml:space="preserve"> - Thịt hơi các loại</t>
  </si>
  <si>
    <t>SẢN PHẨM SX CHỦ YẾU</t>
  </si>
  <si>
    <t>Điện phát ra</t>
  </si>
  <si>
    <t>Tr.kwh</t>
  </si>
  <si>
    <t>Than khai thác</t>
  </si>
  <si>
    <t>Tấn</t>
  </si>
  <si>
    <t>Đá khai thác</t>
  </si>
  <si>
    <t>1000m3</t>
  </si>
  <si>
    <t>Gạch xây</t>
  </si>
  <si>
    <t>Tr.viên</t>
  </si>
  <si>
    <t>Nước máy sản xuất</t>
  </si>
  <si>
    <t>Tr.m3</t>
  </si>
  <si>
    <t>Trang inoffset</t>
  </si>
  <si>
    <t>Tr. trang</t>
  </si>
  <si>
    <t>Xi măng PC30</t>
  </si>
  <si>
    <t>1000 tấn</t>
  </si>
  <si>
    <t>Chế biến thức ăn gia súc, gia cầm.</t>
  </si>
  <si>
    <t>Sản phẩm gỗ chế biến</t>
  </si>
  <si>
    <t>M3</t>
  </si>
  <si>
    <t>Sản phẩm cà fê chế biến</t>
  </si>
  <si>
    <t>Số xã có điện lưới quốc gia</t>
  </si>
  <si>
    <t>Xã</t>
  </si>
  <si>
    <t>Tỷ lệ số hộ dân sử dụng điện</t>
  </si>
  <si>
    <t>NĂNG LỰC TĂNG THÊM NGÀNH CÔNG NGHIỆP 5 NĂM 2016 - 2020</t>
  </si>
  <si>
    <t>Ngành công nghiệp</t>
  </si>
  <si>
    <t>Tổng công suất đến hết năm 2015</t>
  </si>
  <si>
    <t>Công suất tăng thêm giai đoạn 2011-2015</t>
  </si>
  <si>
    <t>1</t>
  </si>
  <si>
    <t>2</t>
  </si>
  <si>
    <t>3</t>
  </si>
  <si>
    <t>4</t>
  </si>
  <si>
    <t>5</t>
  </si>
  <si>
    <t>6</t>
  </si>
  <si>
    <t>7</t>
  </si>
  <si>
    <t>8</t>
  </si>
  <si>
    <t>9</t>
  </si>
  <si>
    <t>Ngành điện</t>
  </si>
  <si>
    <t>MW</t>
  </si>
  <si>
    <t>Ngành xi măng</t>
  </si>
  <si>
    <t>Ngành chế biến khoáng sản</t>
  </si>
  <si>
    <t>a. Khai thác than</t>
  </si>
  <si>
    <t xml:space="preserve"> 1000 tấn </t>
  </si>
  <si>
    <t>b. Khai thác đá</t>
  </si>
  <si>
    <t xml:space="preserve">1000 m3 </t>
  </si>
  <si>
    <t>c. Khai thác vàng</t>
  </si>
  <si>
    <t xml:space="preserve">kg </t>
  </si>
  <si>
    <t>d. Khai thác chì kẽm</t>
  </si>
  <si>
    <t xml:space="preserve">1000 tấn </t>
  </si>
  <si>
    <t>Ngành ………...</t>
  </si>
  <si>
    <t>Ghi chú: (*) Số liệu điện sản xuất, điện nhập khẩu năm 2016 là số ước thực hiện; 2012-2020 và mục tiêu 5 năm 2011-2015 là lấy theo quy hoạch điện VII được Thủ tướng Chính phủ phê duyệt ngày 21/7/2016</t>
  </si>
  <si>
    <t>KẾ HOẠCH NGÀNH DỊCH VỤ 5 NĂM 2016 - 2020</t>
  </si>
  <si>
    <t>1.</t>
  </si>
  <si>
    <t>Thương mại</t>
  </si>
  <si>
    <t xml:space="preserve"> Tốc độ tăng tổng mức bán lẻ hàng hóa và dịch vụ tiêu dùng xã hội</t>
  </si>
  <si>
    <t>2.</t>
  </si>
  <si>
    <t>Vận tải</t>
  </si>
  <si>
    <t>- Tốc độ tăng khối lượng hàng hoá vận chuyển</t>
  </si>
  <si>
    <t>- Tốc độ tăng khối lượng hàng hoá luân chuyển</t>
  </si>
  <si>
    <t>- Tốc độ tăng khối lượng hành khách vận chuyển</t>
  </si>
  <si>
    <t>- Tốc độ tăng khối lượng hành khách luân chuyển</t>
  </si>
  <si>
    <t>3.</t>
  </si>
  <si>
    <t>Thông tin - Truyền thông</t>
  </si>
  <si>
    <t>4.</t>
  </si>
  <si>
    <t>Du lịch</t>
  </si>
  <si>
    <t>Biểu mẫu số 6</t>
  </si>
  <si>
    <t>KẾ HOẠCH XUẤT NHẬP KHẨU 5 NĂM 2016 - 2020</t>
  </si>
  <si>
    <t xml:space="preserve"> XUẤT  KHẨU</t>
  </si>
  <si>
    <t>Tr.USD</t>
  </si>
  <si>
    <t>Tổng kim ngạch xuất khẩu</t>
  </si>
  <si>
    <t xml:space="preserve">Tr.đó: XK hàng hóa và DV  do địa phương TH </t>
  </si>
  <si>
    <t>Doanh nghiệp có vốn ĐTNN (không kể dầu thô)</t>
  </si>
  <si>
    <t xml:space="preserve">2. </t>
  </si>
  <si>
    <t>Sản phẩm xuất khẩu</t>
  </si>
  <si>
    <t>- Xi măng Điện Biên</t>
  </si>
  <si>
    <t>Ngìn.T</t>
  </si>
  <si>
    <t>- Vật liệu xây dựng</t>
  </si>
  <si>
    <t>- Nông lâm sản</t>
  </si>
  <si>
    <t xml:space="preserve">- Hàng hóa khác </t>
  </si>
  <si>
    <t>Tốc độ tăng</t>
  </si>
  <si>
    <t>NHẬP KHẨU</t>
  </si>
  <si>
    <t>Tổng kim ngạch nhập khẩu</t>
  </si>
  <si>
    <t xml:space="preserve">Tr.đ:DN địa phương </t>
  </si>
  <si>
    <t>Doanh nghiệp có vốn ĐTNN</t>
  </si>
  <si>
    <t>Sản phẩm nhập khẩu</t>
  </si>
  <si>
    <t xml:space="preserve">-Thiết bị dây truyền sản xuất, khai thác </t>
  </si>
  <si>
    <t>XUẤT SIÊU</t>
  </si>
  <si>
    <t>Xuất siêu/tổng kim ngạch xuất khẩu</t>
  </si>
  <si>
    <t>Tỉnh Điện Biên</t>
  </si>
  <si>
    <t>GIÁO DỤC</t>
  </si>
  <si>
    <t>Giáo dục mầm non</t>
  </si>
  <si>
    <t>- Số học sinh mẫu giáo</t>
  </si>
  <si>
    <t xml:space="preserve">Học sinh </t>
  </si>
  <si>
    <t>Giáo dục tiểu học</t>
  </si>
  <si>
    <t>- Số học sinh tiểu học</t>
  </si>
  <si>
    <t>Giáo dục trung học cơ sở</t>
  </si>
  <si>
    <t>- Số học sinh trung học cơ sở</t>
  </si>
  <si>
    <t>Giáo dục trung học phổ thông</t>
  </si>
  <si>
    <t>- Số học sinh trung học phổ thông</t>
  </si>
  <si>
    <t>ĐÀO TẠO</t>
  </si>
  <si>
    <t>Đại học, cao đẳng</t>
  </si>
  <si>
    <t xml:space="preserve"> - Tuyển mới đại học và cao đẳng chính quy</t>
  </si>
  <si>
    <t xml:space="preserve"> Người </t>
  </si>
  <si>
    <t xml:space="preserve"> Tốc độ tăng tuyển mới đại học và cao đẳng chính quy</t>
  </si>
  <si>
    <t xml:space="preserve"> (%) </t>
  </si>
  <si>
    <t>Dạy nghề và trung cấp chuyên nghiệp</t>
  </si>
  <si>
    <t>- Tuyển mới trung cấp chuyên nghiệp</t>
  </si>
  <si>
    <t>- Tuyển mới cao đẳng nghề và trung cấp nghề</t>
  </si>
  <si>
    <t>Tốc độ tăng tuyển mới cao đẳng, trung cấp nghề</t>
  </si>
  <si>
    <t>- Tỷ lệ lao động qua đào tạo</t>
  </si>
  <si>
    <t>KẾ HOẠCH CÁC LĨNH VỰC XÃ HỘI 5 NĂM 2016 - 2020</t>
  </si>
  <si>
    <t>DÂN SỐ</t>
  </si>
  <si>
    <t>Dân số trung bình (năm cuối kỳ)</t>
  </si>
  <si>
    <t>Người</t>
  </si>
  <si>
    <t>Trong đó: Dân số nông thôn</t>
  </si>
  <si>
    <t>LAO ĐỘNG</t>
  </si>
  <si>
    <t>Lực lượng lao động từ 15 tuổi trở lên</t>
  </si>
  <si>
    <t>Lao động từ 15 tuổi trở lên đang làm việc trong nền kinh tế quốc dân</t>
  </si>
  <si>
    <t>Cơ cấu lao động (năm cuối kỳ)</t>
  </si>
  <si>
    <t>- Nông, lâm nghiệp và thuỷ sản</t>
  </si>
  <si>
    <t>Số lao động được tạo việc làm</t>
  </si>
  <si>
    <t>VĂN HÓA</t>
  </si>
  <si>
    <t>Số di tích được tu bổ</t>
  </si>
  <si>
    <t xml:space="preserve"> Di tích </t>
  </si>
  <si>
    <t>Tỷ lệ xã, phường phù hợp với trẻ em</t>
  </si>
  <si>
    <t>Tỷ lệ trẻ em có hoàn cảnh đặc biệt được chăm sóc</t>
  </si>
  <si>
    <t>Đ</t>
  </si>
  <si>
    <t>Y TẾ (năm cuối kỳ)</t>
  </si>
  <si>
    <t>Số giường bệnh/ 1 vạn dân (không tính giường của trạm y tế xã)</t>
  </si>
  <si>
    <t xml:space="preserve"> Giường </t>
  </si>
  <si>
    <t>- Số giường bệnh quốc lập/ vạn dân</t>
  </si>
  <si>
    <t>- Số giường bệnh tư/ vạn dân</t>
  </si>
  <si>
    <t>Số bác sỹ/ 1 vạn dân</t>
  </si>
  <si>
    <t xml:space="preserve"> Bác sỹ </t>
  </si>
  <si>
    <t>Tỷ suất chết trẻ em dưới 1 tuổi</t>
  </si>
  <si>
    <t>Tỷ suất chết của trẻ em dưới 5 tuổi</t>
  </si>
  <si>
    <t>Tỷ lệ trẻ em dưới 5 tuổi suy dinh dưỡng (cân nặng theo tuổi)</t>
  </si>
  <si>
    <t>Tỷ lệ trẻ em dưới 1 tuổi tiêm đủ 7 loại vaccine</t>
  </si>
  <si>
    <t>Tỷ lệ người dân tham gia bảo hiểm y tế</t>
  </si>
  <si>
    <t>Nguồn vốn</t>
  </si>
  <si>
    <t xml:space="preserve"> Nghìn tỷ đồng </t>
  </si>
  <si>
    <t>Thu từ dầu thô</t>
  </si>
  <si>
    <t>Chi thường xuyên</t>
  </si>
  <si>
    <t>Chi đầu tư phát triển</t>
  </si>
  <si>
    <t>Chi trả nợ, viện trợ</t>
  </si>
  <si>
    <t>Doanh nghiệp</t>
  </si>
  <si>
    <t>TT</t>
  </si>
  <si>
    <t>Mục tiêu KH 2016-2020</t>
  </si>
  <si>
    <t>Hợp tác xã</t>
  </si>
  <si>
    <t>Tổng số  hợp tác xã</t>
  </si>
  <si>
    <t>Số hợp tác xã thành lập mới</t>
  </si>
  <si>
    <t>Số hợp tác xã giải thể</t>
  </si>
  <si>
    <t>Tổng số thành viên hợp tác xã</t>
  </si>
  <si>
    <t>Tổng số lao động trong hợp tác xã</t>
  </si>
  <si>
    <t>Liên hiệp hợp tác xã</t>
  </si>
  <si>
    <t>Tổng số liên hiệp hợp tác xã</t>
  </si>
  <si>
    <t>Số liên hiệp hợp tác xã thành lập mới</t>
  </si>
  <si>
    <t>Số liên hiệp hợp tác xã giải thể</t>
  </si>
  <si>
    <t>Tổng số hợp tác xã thành viên</t>
  </si>
  <si>
    <t xml:space="preserve">Tổng số lao động trong liên hiệp hợp tác xã </t>
  </si>
  <si>
    <t xml:space="preserve">Tổ hợp tác </t>
  </si>
  <si>
    <t>Tổng số tổ hợp tác</t>
  </si>
  <si>
    <t>Tổ hợp tác</t>
  </si>
  <si>
    <t>Tổng số thành viên tổ hợp tác</t>
  </si>
  <si>
    <t>Thành viên</t>
  </si>
  <si>
    <t xml:space="preserve">Tổng số lao động trong tổ hợp tác </t>
  </si>
  <si>
    <t>Số lao động là thành viên tổ hợp tác</t>
  </si>
  <si>
    <t>Số lao động là thành viên của tổ hợp tác đăng ký chứng thực</t>
  </si>
  <si>
    <t/>
  </si>
  <si>
    <t/>
  </si>
  <si>
    <t/>
  </si>
  <si>
    <t xml:space="preserve"> Triệu USD </t>
  </si>
  <si>
    <t xml:space="preserve"> - Mặt hàng khác</t>
  </si>
  <si>
    <t xml:space="preserve"> - Cây Mắc ca</t>
  </si>
  <si>
    <t>1000 Tấn</t>
  </si>
  <si>
    <t>Chi khác</t>
  </si>
  <si>
    <t>- Tỷ lệ các cơ sở khám chữa bệnh xử lý chất thải y tế đạt tiêu chuẩn</t>
  </si>
  <si>
    <t>Tỷ số tử vong mẹ trên 100.000 trẻ đẻ sống</t>
  </si>
  <si>
    <t>Bà mẹ</t>
  </si>
  <si>
    <t>Tỷ lệ xã đạt Tiêu chí quốc gia về y tế xã</t>
  </si>
  <si>
    <t>BIỂU A: TÌNH HÌNH THỰC HIỆN 5 NĂM GIAI ĐOẠN 2016-2020</t>
  </si>
  <si>
    <t>Mục tiêu giai đoạn 2016-2020</t>
  </si>
  <si>
    <t>THỰC HIỆN TỪNG NĂM</t>
  </si>
  <si>
    <t>Ước thực hiện giai đoạn 2016-2020</t>
  </si>
  <si>
    <t>Đánh giá thực hiện mục tiêu giai đoạn 2016-2020</t>
  </si>
  <si>
    <t xml:space="preserve">CƠ QUAN BÁO CÁO </t>
  </si>
  <si>
    <t>Bội chi ngân sách nhà nước so với GDP</t>
  </si>
  <si>
    <t>Tốc độ tăng năng suất lao động xã hội bình quân năm</t>
  </si>
  <si>
    <t>Tỷ lệ lao động nông nghiệp trong tổng lao động xã hội đến năm cuối kỳ</t>
  </si>
  <si>
    <t xml:space="preserve"> Trong đó: có bằng cấp, chứng chỉ</t>
  </si>
  <si>
    <t>Số bác sỹ trên 1 vạn dân đến năm cuối kỳ</t>
  </si>
  <si>
    <t>Tỷ lệ bao phủ bảo hiểm y tế đến năm cuối kỳ</t>
  </si>
  <si>
    <t>Bác sỹ</t>
  </si>
  <si>
    <t>Giường bệnh</t>
  </si>
  <si>
    <t>Số giường bệnh trên 1 vạn dân đến năm cuối kỳ</t>
  </si>
  <si>
    <t>CÁC CÂN ĐỐI LỚN CỦA NỀN KINH TẾ</t>
  </si>
  <si>
    <t>Nghìn tỷ đồng</t>
  </si>
  <si>
    <t>E</t>
  </si>
  <si>
    <t>Tổng thu ngân sách nhà nước</t>
  </si>
  <si>
    <t>Thu nội địa</t>
  </si>
  <si>
    <t>Thu cân đối từ hoạt động xuất khẩu, nhập khẩu</t>
  </si>
  <si>
    <t>Thu viện trợ</t>
  </si>
  <si>
    <t>Tổng chi ngân sách nhà nước</t>
  </si>
  <si>
    <t>Bội chi ngân sách nhà nước</t>
  </si>
  <si>
    <t>Bội chi ngân sách trung ương</t>
  </si>
  <si>
    <t>Bội chi ngân sách địa phương</t>
  </si>
  <si>
    <t>V</t>
  </si>
  <si>
    <t>- Nguồn ngân sách nhà nước</t>
  </si>
  <si>
    <t>- Tín dụng đầu tư phát triển nhà nước</t>
  </si>
  <si>
    <t>- Doanh nghiệp nhà nước</t>
  </si>
  <si>
    <t>- Dân cư và doanh nghiệp tư nhân</t>
  </si>
  <si>
    <t>- Đầu tư trực tiếp nước ngoài</t>
  </si>
  <si>
    <t>- Huy động khác</t>
  </si>
  <si>
    <t>Thu bổ sung từ NSTW</t>
  </si>
  <si>
    <t/>
  </si>
  <si>
    <t>Triệu đồng/lao động</t>
  </si>
  <si>
    <t>Ngành nông, lâm nghiệp và thủy sản</t>
  </si>
  <si>
    <t>Ngành dịch vụ</t>
  </si>
  <si>
    <t xml:space="preserve"> NĂNG SUẤT LAO ĐỘNG</t>
  </si>
  <si>
    <t>Năng suất lao động xã hội (Theo giá hiện hành)</t>
  </si>
  <si>
    <t>Chỉ số sản xuất công nghiệp (IIP)</t>
  </si>
  <si>
    <t>Trong đó: Chế biến, chế tạo</t>
  </si>
  <si>
    <t>Tỷ trọng công nghiệp chế biến, chế tạo</t>
  </si>
  <si>
    <t>VỀ DOANH NGHIỆP VÀ KINH TẾ TẬP THỂ</t>
  </si>
  <si>
    <t>Nghìn doanh nghiệp</t>
  </si>
  <si>
    <t>- Số doanh nghiệp hoạt động trong nền kinh tế (không tính các doanh nghiệp đã giải thể)</t>
  </si>
  <si>
    <t>- Tổng số vốn đăng ký của doanh nghiệp thành lập mới</t>
  </si>
  <si>
    <t>- Số doanh nghiệp hoàn tất thủ tục giải thể</t>
  </si>
  <si>
    <t>+ Vốn đầu tư thực hiện</t>
  </si>
  <si>
    <t>+ Vốn đăng ký</t>
  </si>
  <si>
    <t>(+) Cấp mới</t>
  </si>
  <si>
    <t>(+) Tăng thêm</t>
  </si>
  <si>
    <t>Thu ngân sách địa phương</t>
  </si>
  <si>
    <t>- Tổng thu ngân sách nhà nước trên địa bàn</t>
  </si>
  <si>
    <t>+ Thu nội địa</t>
  </si>
  <si>
    <t>Thu từ tiền sử dụng đất</t>
  </si>
  <si>
    <t>Thu từ xổ số kiến thiết</t>
  </si>
  <si>
    <t>- Thu ngân sách địa phương hưởng theo phân cấp</t>
  </si>
  <si>
    <t>+ Thu ngân sách đại phương hưởng 100%</t>
  </si>
  <si>
    <t>+ Thu ngân sách địa phương hưởng từ các khoản theo phân chia</t>
  </si>
  <si>
    <t>Chi ngân sách địa phương</t>
  </si>
  <si>
    <t>- Tổng chi cân đối ngân sách địa phương</t>
  </si>
  <si>
    <t>+ Chi đầu tư</t>
  </si>
  <si>
    <t>+ Chi thường xuyên (bao gồm chi cải cách tiền lương, tinh giản biên chế)</t>
  </si>
  <si>
    <t>- Tỷ lệ rác thải sinh hoạt (ở đô thị và nông thôn) được thu gom và xử lý</t>
  </si>
  <si>
    <t>Nông thôn mới</t>
  </si>
  <si>
    <t>Số xã đạt chuẩn nông thôn mới</t>
  </si>
  <si>
    <t>Tỷ lệ số xã đạt chuẩn nông thôn mới</t>
  </si>
  <si>
    <t>Hộ nghèo theo chuẩn nghèo đa chiều</t>
  </si>
  <si>
    <t>Mật độ dân số đến năm cuối kỳ</t>
  </si>
  <si>
    <t>Người/Km2</t>
  </si>
  <si>
    <t>Số bé trai/100 bé gái</t>
  </si>
  <si>
    <t>Tỷ lệ đô thị hóa đến năm cuối kỳ</t>
  </si>
  <si>
    <t>BIỂU B: KẾ HOẠCH 5 NĂM GIAI ĐOẠN 2021-2025</t>
  </si>
  <si>
    <t>Mục tiêu giai đoạn 2021-2025</t>
  </si>
  <si>
    <t>KH 2021</t>
  </si>
  <si>
    <t>KH 2022</t>
  </si>
  <si>
    <t>KH 2023</t>
  </si>
  <si>
    <t>KH 2024</t>
  </si>
  <si>
    <t>KH 2025</t>
  </si>
  <si>
    <t xml:space="preserve">2021-2025  </t>
  </si>
  <si>
    <t>KẾ HOẠCH NGÀNH NÔNG, LÂM NGHIỆP VÀ THỦY SẢN 5 NĂM 2021 - 2025</t>
  </si>
  <si>
    <t>KẾ HOẠCH TỪNG NĂM</t>
  </si>
  <si>
    <t>Ước thực hiện 2016-2020</t>
  </si>
  <si>
    <t>PHỤ LỤC A</t>
  </si>
  <si>
    <t>PHỤ LỤC B</t>
  </si>
  <si>
    <t>NĂNG SUẤT LAO ĐỘNG</t>
  </si>
  <si>
    <t xml:space="preserve"> Tổng số TE có hoàn cảnh đặc biệt được hưởng trợ cấp tại cộng đồng</t>
  </si>
  <si>
    <t xml:space="preserve"> Trong đó:</t>
  </si>
  <si>
    <t xml:space="preserve"> Số trẻ em không nơi nương tựa được nhận nuôi dưỡng tại cộng đồng</t>
  </si>
  <si>
    <t xml:space="preserve"> Số trẻ em mồ côi được nhận nuôi dưỡng tại Trung tâm BTXH tỉnh và Làng trẻ SOS</t>
  </si>
  <si>
    <t xml:space="preserve"> Số trẻ em được hưởng các dịch vụ về tư pháp, y tế, giáo dục và BVTE</t>
  </si>
  <si>
    <t xml:space="preserve"> Số vụ bạo hành trẻ em được phát hiện</t>
  </si>
  <si>
    <t xml:space="preserve"> Số cán bộ làm công tác bảo vệ trẻ em/cán bộ công tác xã hội các cấp tham gia quản lý trường hợp</t>
  </si>
  <si>
    <t xml:space="preserve"> Số xã, phường, thị trấn có Ban bảo vệ trẻ em hoạt động cung cấp dịch vụ bảo vệ trẻ em theo Nghị định 56/NĐ-CP</t>
  </si>
  <si>
    <t xml:space="preserve"> Số xã, phường, thị trấn đạt tiêu chuẩn phù hợp với trẻ em</t>
  </si>
  <si>
    <t xml:space="preserve"> - Tỷ lệ xã, phường, thị trấn đạt tiêu chuẩn phù hợp với trẻ em</t>
  </si>
  <si>
    <t xml:space="preserve"> %o </t>
  </si>
  <si>
    <t>Vụ</t>
  </si>
  <si>
    <t xml:space="preserve"> - Tỷ lệ vụ bạo hành trẻ em được xử lý</t>
  </si>
  <si>
    <t xml:space="preserve">Tr.đ: DN địa phương </t>
  </si>
  <si>
    <t>XUẤT  KHẨU</t>
  </si>
  <si>
    <t>Trẻ em</t>
  </si>
  <si>
    <t xml:space="preserve"> --&gt; Sở Lao động-TBXH/ Cụa Thống kê?</t>
  </si>
  <si>
    <t>….</t>
  </si>
  <si>
    <t>…….</t>
  </si>
  <si>
    <t>Số liệu phát triển từ năm 2016 không mang tính kế tiếp của 2015??? Đề nghị Sở LĐ kiểm tra lại.</t>
  </si>
  <si>
    <t>Tỷ lệ trẻ em dưới 5 tuổi suy dinh dưỡng thể thấp còi (chiều cao theo tuổi)</t>
  </si>
  <si>
    <t>Không Đạt</t>
  </si>
  <si>
    <t xml:space="preserve">Trường học </t>
  </si>
  <si>
    <t>5.1</t>
  </si>
  <si>
    <t>Số trường Mầm non</t>
  </si>
  <si>
    <t/>
  </si>
  <si>
    <t xml:space="preserve"> Trường</t>
  </si>
  <si>
    <t>Tỷ lệ trường đạt kiểm định chất lượng giáo dục</t>
  </si>
  <si>
    <t>5.2</t>
  </si>
  <si>
    <t>Số trường phổ thông</t>
  </si>
  <si>
    <t xml:space="preserve">Trong đó: </t>
  </si>
  <si>
    <t xml:space="preserve"> Tỷ lệ học sinh dân tộc thiểu số cấp trung học được học tại các trường phổ thông dân tộc nội trú</t>
  </si>
  <si>
    <t xml:space="preserve"> + Trường Cao đẳng kinh tế</t>
  </si>
  <si>
    <t xml:space="preserve"> + Trường Cao đẳng Y tế</t>
  </si>
  <si>
    <t xml:space="preserve"> + Trường Cao đẳng nghề</t>
  </si>
  <si>
    <t xml:space="preserve"> Người/năm</t>
  </si>
  <si>
    <t xml:space="preserve"> - Tỷ lệ lao động qua đào tạo từ 3 tháng trở lên (có văn bằng, chứng chỉ)</t>
  </si>
  <si>
    <t>Chưa đánh giá</t>
  </si>
  <si>
    <t>KHOA HỌC VÀ CÔNG NGHỆ</t>
  </si>
  <si>
    <t>………..</t>
  </si>
  <si>
    <t>Sở Khoa học &amp; Công nghệ</t>
  </si>
  <si>
    <t/>
  </si>
  <si>
    <t>…...</t>
  </si>
  <si>
    <t>- Đào tạo nghề cho người lao động</t>
  </si>
  <si>
    <t xml:space="preserve"> - Tuyển mới cao đẳng chính quy</t>
  </si>
  <si>
    <t xml:space="preserve"> Tốc độ tăng tuyển mới cao đẳng chính quy</t>
  </si>
  <si>
    <t xml:space="preserve">Vượt </t>
  </si>
  <si>
    <t>- Tỷ lệ giá trị sản phẩm công nghệ cao</t>
  </si>
  <si>
    <t>- Tỷ lệ sáng chế đăng ký bảo hộ</t>
  </si>
  <si>
    <t xml:space="preserve"> Tỷ lệ đổi mới công nghệ</t>
  </si>
  <si>
    <t>Xuất/Nhập siêu</t>
  </si>
  <si>
    <t>Tỷ lệ xuất/nhập siêu so với tổng giá trị xuất khẩu hàng hóa</t>
  </si>
  <si>
    <t>Tổng mức bán lẻ hàng hóa và doanh thu dịch vụ tiêu dùng</t>
  </si>
  <si>
    <t>Giá trị sản xuất công nghiệp</t>
  </si>
  <si>
    <t>bổ sung</t>
  </si>
  <si>
    <t>- Công nghiệp chế biến, chế tạo</t>
  </si>
  <si>
    <t>- Công nghiệp Khai khoáng</t>
  </si>
  <si>
    <t>- Sản xuất và phân phối điện, khí đốt, nước</t>
  </si>
  <si>
    <t>- Quản lý và xử lý rác thải</t>
  </si>
  <si>
    <t>Chỉ tiêu về sử dụng năng lượng:</t>
  </si>
  <si>
    <t>Tiết kiệm điện trên tổng nhu cầu tiêu thụ</t>
  </si>
  <si>
    <t>Bổ sung theo Quyết định 1100/QĐ-UBND ngày 26/10/2020; Chỉ thị 20/2020/CT-TTg</t>
  </si>
  <si>
    <t>Tỷ lệ giảm tổn thất điện năng</t>
  </si>
  <si>
    <t>Huyện Tủa Chùa</t>
  </si>
  <si>
    <t>4-5%/năm</t>
  </si>
  <si>
    <t>Tỷ lệ số xã đạt chuẩn/hoàn thành nhiệm vụ xây dựng nông thôn mới</t>
  </si>
  <si>
    <t xml:space="preserve">Tấn </t>
  </si>
  <si>
    <t>Ha</t>
  </si>
  <si>
    <t>0</t>
  </si>
  <si>
    <t>Tỷỷ đồng</t>
  </si>
  <si>
    <t xml:space="preserve">Lượt người </t>
  </si>
  <si>
    <t>MỘT SỐ CHỈ TIÊU CHỦ YẾU KẾ HOẠCH PHÁT TRIỂN KINH TẾ - XÃ HỘI 5 NĂM 2021-2025</t>
  </si>
  <si>
    <t>Đề nghị Phòng Nông nghiệp 
xem lại phần này</t>
  </si>
  <si>
    <t>Đề nghị Phòng Y tế
xem lại phần này</t>
  </si>
  <si>
    <t>Đề nghị Phòng Nông nghiệp 
xem lại phần này và nhập só liệu</t>
  </si>
  <si>
    <t>Phòng KTHT bổ sung thêm các chỉ tiêu này</t>
  </si>
  <si>
    <t>NĂNG LỰC TĂNG THÊM NGÀNH CÔNG NGHIỆP 5 NĂM 2021-2025</t>
  </si>
  <si>
    <t>Đề nghị phòng giáo dục nhập bổ sung số liệu</t>
  </si>
  <si>
    <t>Đề nghị Phòng LĐTBXH bổ sung</t>
  </si>
  <si>
    <t>Phòng Y tế bổ sung số liệu này</t>
  </si>
  <si>
    <t>Đề nghị Phòng Văn hóa bổ sung</t>
  </si>
  <si>
    <t>Phòng Kinh tế bổ sung số liệu</t>
  </si>
  <si>
    <t>Phòng Lao động đã bổ sung</t>
  </si>
  <si>
    <t>KẾ HOẠCH CÁC LĨNH VỰC XÃ HỘI 5 NĂM 2021-2025</t>
  </si>
  <si>
    <t>Con</t>
  </si>
  <si>
    <t>Tổng đàn gia súc</t>
  </si>
  <si>
    <t>Tổng đàn gia cầm</t>
  </si>
  <si>
    <t>Phòng Văn hóa bổ sung số liệu này</t>
  </si>
  <si>
    <t>Phòng Y tế xem lại nội dung này</t>
  </si>
  <si>
    <t>Xem lại</t>
  </si>
  <si>
    <t xml:space="preserve">KẾ HOẠCH GIÁO DỤC, ĐÀO TẠO </t>
  </si>
  <si>
    <t>Năm 2016</t>
  </si>
  <si>
    <t>Năm 2017</t>
  </si>
  <si>
    <t>Năm 2018</t>
  </si>
  <si>
    <t>Năm 2019</t>
  </si>
  <si>
    <t>Ước TH năm 2020</t>
  </si>
  <si>
    <t>Biểu số 4</t>
  </si>
  <si>
    <t>Biểusố 4</t>
  </si>
  <si>
    <t>KẾ HOẠCH NGÀNH CÔNG NGHIỆP 5 NĂM 2021-2025</t>
  </si>
  <si>
    <t>KẾ HOẠCH NGÀNH DỊCH VỤ 5 NĂM 2021-2025</t>
  </si>
  <si>
    <t>KẾ HOẠCH GIÁO DỤC, ĐÀO TẠO</t>
  </si>
  <si>
    <t>Biểu số 1A</t>
  </si>
  <si>
    <t>Biểu số 2A</t>
  </si>
  <si>
    <t>Biểu số 3A</t>
  </si>
  <si>
    <t>Biểu số 4A</t>
  </si>
  <si>
    <t>Biểu số 5A</t>
  </si>
  <si>
    <t>Biểu số 7A</t>
  </si>
  <si>
    <t>BẢO VỆ VÀ CHĂM SÓC TRẺ EM</t>
  </si>
  <si>
    <t>Tỷ lệ trạm y tế xã, phường, thị trấn có bác sỹ làm việc</t>
  </si>
  <si>
    <t>Tỷ lệ dân số tham gia bảo hiểm y tế</t>
  </si>
  <si>
    <t>Tốc độ tăng năng suất lao động xã hội (Theo giá so sánh)</t>
  </si>
  <si>
    <t>Biểu số 6A</t>
  </si>
  <si>
    <t>Biểu số 8A</t>
  </si>
  <si>
    <t>Tỷ lệ tăng dân số</t>
  </si>
  <si>
    <t xml:space="preserve"> Dân số trung bình</t>
  </si>
  <si>
    <t>Tỷ lệ hộ nghèo theo chuẩn nghèo đa chiều</t>
  </si>
  <si>
    <t xml:space="preserve"> Mức giảm tỷ lệ hộ nghèo theo chuẩn nghèo đa chiều</t>
  </si>
  <si>
    <t>Số lao động được tạo việc làm mới</t>
  </si>
  <si>
    <t xml:space="preserve"> Tỷ lệ lao động qua đào tạo trong tổng số lao động đang làm việc trong nền kinh tế</t>
  </si>
  <si>
    <t>Tỷ lệ thất nghiệp khu vực thành thị</t>
  </si>
  <si>
    <t xml:space="preserve"> Tỷ lệ dân số nông thôn được cung cấp nước hợp vệ sinh</t>
  </si>
  <si>
    <t>Mức giảm tỷ lệ hộ nghèo theo chuẩn nghèo đa chiều</t>
  </si>
  <si>
    <t>Tỷ lệ lao động qua đào tạo trong tổng số lao động đang làm việc trong nền kinh tế</t>
  </si>
  <si>
    <t>Tỷ lệ dân số nông thôn được cung cấp nước hợp vệ sinh</t>
  </si>
  <si>
    <t>Tỷ lệ dân số thành thị được cung cấp nước sạch</t>
  </si>
  <si>
    <t xml:space="preserve"> Thu gom chất thải rắn ở đô thị</t>
  </si>
  <si>
    <t>Tỷ lệ các cơ sở khám chữa bệnh xử lý chất thải y tế đạt tiêu chuẩn</t>
  </si>
  <si>
    <t>Tỷ lệ rác thải sinh hoạt (ở đô thị và nông thôn) được thu gom và xử lý</t>
  </si>
  <si>
    <t>Lương thực có hạt</t>
  </si>
  <si>
    <t>Trồng rừng tập trung</t>
  </si>
  <si>
    <t>Sản lượng thuỷ hải sản</t>
  </si>
  <si>
    <t xml:space="preserve"> Diện tích nuôi trồng thuỷ sản</t>
  </si>
  <si>
    <t>Nuôi trồng</t>
  </si>
  <si>
    <t xml:space="preserve"> Khai thác</t>
  </si>
  <si>
    <t>Sản lượng thuỷ sản</t>
  </si>
  <si>
    <t>Diện tích nuôi trồng thuỷ sản</t>
  </si>
  <si>
    <t>Triệu viên</t>
  </si>
  <si>
    <t>Triệu m3</t>
  </si>
  <si>
    <t>Số thuê bao điện thoại/100 dân</t>
  </si>
  <si>
    <t>Số thuê bao internet băng thông rộng/100 dân</t>
  </si>
  <si>
    <t>Số lượt khách đến thăm quan, du lịch</t>
  </si>
  <si>
    <t>+</t>
  </si>
  <si>
    <t xml:space="preserve"> Số lượt khách quốc tế  </t>
  </si>
  <si>
    <t>Số lượt khách du lịch nội địa</t>
  </si>
  <si>
    <t xml:space="preserve"> Doanh thu dịch vụ du lịch</t>
  </si>
  <si>
    <t>Thực hiện từng năm</t>
  </si>
  <si>
    <t xml:space="preserve"> NGÀNH NÔNG, LÂM NGHIỆP VÀ THỦY SẢN 5 NĂM 2016 - 2020</t>
  </si>
  <si>
    <t xml:space="preserve"> NGÀNH CÔNG NGHIỆP 5 NĂM 2016 - 2020</t>
  </si>
  <si>
    <t>Mức giảm tỷ lệ sinh (năm cuối kỳ)</t>
  </si>
  <si>
    <t>Tỷ số giới tính của trẻ em mới sinh</t>
  </si>
  <si>
    <t>Tỷ lệ tăng dân số (năm cuối kỳ)</t>
  </si>
  <si>
    <t xml:space="preserve"> Tuổi thọ trung bình</t>
  </si>
  <si>
    <t xml:space="preserve"> Nông, lâm nghiệp và thuỷ sản</t>
  </si>
  <si>
    <t>Số giường bệnh quốc lập/ vạn dân</t>
  </si>
  <si>
    <t>Kế hoạch từng năm</t>
  </si>
  <si>
    <t>Kế hoạch năm 2021</t>
  </si>
  <si>
    <t>Kế hoạch năm 2022</t>
  </si>
  <si>
    <t>Kế hoạch năm 2023</t>
  </si>
  <si>
    <t>Kế hoạch năm 2024</t>
  </si>
  <si>
    <t>Kế hoạch năm 2025</t>
  </si>
  <si>
    <t>Khai thác</t>
  </si>
  <si>
    <t>Khối lượng hành khách vận chuyển</t>
  </si>
  <si>
    <t>Khối lượng hành khách luân chuyển</t>
  </si>
  <si>
    <t>Nghìn 
người</t>
  </si>
  <si>
    <t>Nghìn
 người.km</t>
  </si>
  <si>
    <t>Nghìn 
tấn.km</t>
  </si>
  <si>
    <t>Nghìn
 tấn</t>
  </si>
  <si>
    <t>Hàng hóa vận chuyển</t>
  </si>
  <si>
    <t>Hàng hóa luân chuyển</t>
  </si>
  <si>
    <t>Doanh thu dịch vụ du lịch</t>
  </si>
  <si>
    <t xml:space="preserve">Số lượt khách quốc tế </t>
  </si>
  <si>
    <t>Tổng số học sinh có mặt đầu năm học</t>
  </si>
  <si>
    <t>Số học sinh mẫu giáo</t>
  </si>
  <si>
    <t xml:space="preserve"> Tỷ lệ huy động trẻ từ 3 tháng đến dưới 36 tháng tuổi ra lớp</t>
  </si>
  <si>
    <t xml:space="preserve"> Tỷ lệ huy động trẻ từ 3-5 tuổi ra lớp</t>
  </si>
  <si>
    <t>Tỷ lệ huy động trẻ 5 tuổi ra lớp</t>
  </si>
  <si>
    <t>Số học sinh tiểu học</t>
  </si>
  <si>
    <t>Tỷ lệ học sinh 6 tuổi vào lớp 1</t>
  </si>
  <si>
    <t>Tỷ lệ học sinh 6-10 tuổi học tiểu học</t>
  </si>
  <si>
    <t>Tỷ lệ học sinh hoàn thành cấp tiểu học</t>
  </si>
  <si>
    <t>Số học sinh trung học cơ sở</t>
  </si>
  <si>
    <t>Tỷ lệ học sinh 11-14 tuổi học THCS</t>
  </si>
  <si>
    <t>Tỷ lệ học sinh tốt nghiệp THCS</t>
  </si>
  <si>
    <t>Số học sinh trung học phổ thông</t>
  </si>
  <si>
    <t>Tỷ lệ học sinh 15 tuổi vào lớp 10</t>
  </si>
  <si>
    <t>Tỷ lệ học sinh 15-18 tuổi học THPT và tương đương</t>
  </si>
  <si>
    <t>Tỷ học sinh tốt nghiệp THPT</t>
  </si>
  <si>
    <t>Trường đạt chuẩn Quốc gia</t>
  </si>
  <si>
    <t>Tỷ lệ trường mầm non đạt chuẩn quốc gia</t>
  </si>
  <si>
    <t>Trường đạt kiểm định chất lượng giáo dục</t>
  </si>
  <si>
    <t>Tổng số trường đạt chuẩn Quốc gia</t>
  </si>
  <si>
    <t>Tỷ lệ trường phổ thông đạt chuẩn quốc gia</t>
  </si>
  <si>
    <t>Đào tạo nghề cho người lao động</t>
  </si>
  <si>
    <t>CHĂM SÓC VÀ BẢO VỆ TRẺ EM</t>
  </si>
  <si>
    <t xml:space="preserve"> Tổng số trẻ em có hoàn cảnh đặc biệt được chăm sóc </t>
  </si>
  <si>
    <t>Tổng số doanh nghiệp đăng ký thành lập (lũy kế)</t>
  </si>
  <si>
    <t>Số doanh nghiệp đăng ký mới</t>
  </si>
  <si>
    <t>Kèm theo Báo cáo số            /BC-UBND ngày     /11/2020 của UBND huyện Tủa Chùa</t>
  </si>
  <si>
    <t>Số doanh nghiệp hoạt động trong nền kinh tế (không tính các doanh nghiệp đã giải thể)</t>
  </si>
  <si>
    <t xml:space="preserve"> Tỷ đồng </t>
  </si>
  <si>
    <t>Biểu số 1</t>
  </si>
  <si>
    <t>Kèm theoNghị quyết  số            /NQ-HĐND ngày     /11/2020 của Hội đồng nhân dân huyện Tủa Chùa</t>
  </si>
  <si>
    <t>Biểu số 2</t>
  </si>
  <si>
    <t>Biểu số 3</t>
  </si>
  <si>
    <t>Biểu  số 5</t>
  </si>
  <si>
    <t>Biểu số 6</t>
  </si>
  <si>
    <t>Biểu số 7</t>
  </si>
  <si>
    <t>Biểu  số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</si>
</sst>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6">
    <numFmt numFmtId="41" formatCode="_(* #,##0_);_(* \(#,##0\);_(* &quot;-&quot;_);_(@_)"/>
    <numFmt numFmtId="43" formatCode="_(* #,##0.00_);_(* \(#,##0.00\);_(* &quot;-&quot;??_);_(@_)"/>
    <numFmt numFmtId="164" formatCode="_-* #,##0.00\ _₫_-;\-* #,##0.00\ _₫_-;_-* &quot;-&quot;??\ _₫_-;_-@_-"/>
    <numFmt numFmtId="165" formatCode="_-* #,##0_-;\-* #,##0_-;_-* &quot;-&quot;_-;_-@_-"/>
    <numFmt numFmtId="166" formatCode="_-* #,##0.00_-;\-* #,##0.00_-;_-* &quot;-&quot;??_-;_-@_-"/>
    <numFmt numFmtId="167" formatCode="_(* #,##0.0_);_(* \(#,##0.0\);_(* &quot;-&quot;??_);_(@_)"/>
    <numFmt numFmtId="168" formatCode="#,##0.0"/>
    <numFmt numFmtId="169" formatCode="#,##0.000"/>
    <numFmt numFmtId="170" formatCode="0.0"/>
    <numFmt numFmtId="171" formatCode="_(* #,##0_);_(* \(#,##0\);_(* &quot;-&quot;??_);_(@_)"/>
    <numFmt numFmtId="172" formatCode="0.000"/>
    <numFmt numFmtId="173" formatCode="#,##0\ &quot;€&quot;;[Red]\-#,##0\ &quot;€&quot;"/>
    <numFmt numFmtId="174" formatCode="&quot;\&quot;#,##0;[Red]&quot;\&quot;\-#,##0"/>
    <numFmt numFmtId="175" formatCode="&quot;\&quot;#,##0.00;[Red]&quot;\&quot;\-#,##0.00"/>
    <numFmt numFmtId="176" formatCode="\$#,##0\ ;\(\$#,##0\)"/>
    <numFmt numFmtId="177" formatCode="&quot;\&quot;#,##0;[Red]&quot;\&quot;&quot;\&quot;\-#,##0"/>
    <numFmt numFmtId="178" formatCode="&quot;\&quot;#,##0.00;[Red]&quot;\&quot;&quot;\&quot;&quot;\&quot;&quot;\&quot;&quot;\&quot;&quot;\&quot;\-#,##0.00"/>
    <numFmt numFmtId="179" formatCode="_-&quot;€&quot;* #,##0_-;\-&quot;€&quot;* #,##0_-;_-&quot;€&quot;* &quot;-&quot;_-;_-@_-"/>
    <numFmt numFmtId="180" formatCode="_-&quot;€&quot;* #,##0.00_-;\-&quot;€&quot;* #,##0.00_-;_-&quot;€&quot;* &quot;-&quot;??_-;_-@_-"/>
    <numFmt numFmtId="181" formatCode="&quot;VND&quot;#,##0_);[Red]\(&quot;VND&quot;#,##0\)"/>
    <numFmt numFmtId="182" formatCode="#,##0;\(#,##0\)"/>
    <numFmt numFmtId="183" formatCode="\t0.00%"/>
    <numFmt numFmtId="184" formatCode="\t#\ ??/??"/>
    <numFmt numFmtId="185" formatCode="m/d"/>
    <numFmt numFmtId="186" formatCode="&quot;ß&quot;#,##0;\-&quot;&quot;\ß&quot;&quot;#,##0"/>
    <numFmt numFmtId="187" formatCode="#,##0.00\ &quot;F&quot;;[Red]\-#,##0.00\ &quot;F&quot;"/>
    <numFmt numFmtId="188" formatCode="_-* #,##0\ &quot;F&quot;_-;\-* #,##0\ &quot;F&quot;_-;_-* &quot;-&quot;\ &quot;F&quot;_-;_-@_-"/>
    <numFmt numFmtId="189" formatCode="#,##0\ &quot;F&quot;;[Red]\-#,##0\ &quot;F&quot;"/>
    <numFmt numFmtId="190" formatCode="#,##0.00\ &quot;F&quot;;\-#,##0.00\ &quot;F&quot;"/>
    <numFmt numFmtId="191" formatCode="#,##0.00000000"/>
    <numFmt numFmtId="192" formatCode="_(* #,##0.000_);_(* \(#,##0.000\);_(* &quot;-&quot;??_);_(@_)"/>
    <numFmt numFmtId="193" formatCode="_-* #,##0.0\ _₫_-;\-* #,##0.0\ _₫_-;_-* &quot;-&quot;?\ _₫_-;_-@_-"/>
    <numFmt numFmtId="194" formatCode="_(* #,##0.0000_);_(* \(#,##0.0000\);_(* &quot;-&quot;??_);_(@_)"/>
    <numFmt numFmtId="195" formatCode="_(* #,##0.000000_);_(* \(#,##0.000000\);_(* &quot;-&quot;??_);_(@_)"/>
    <numFmt numFmtId="196" formatCode="0.0000"/>
    <numFmt numFmtId="197" formatCode="_-* #,##0.0\ _₫_-;\-* #,##0.0\ _₫_-;_-* &quot;-&quot;??\ _₫_-;_-@_-"/>
  </numFmts>
  <fonts count="123">
    <font>
      <sz val="10"/>
      <name val="Arial"/>
    </font>
    <font>
      <sz val="10"/>
      <name val="Arial"/>
      <family val="2"/>
    </font>
    <font>
      <sz val="12"/>
      <color indexed="8"/>
      <name val=".VnTime"/>
      <family val="2"/>
    </font>
    <font>
      <b/>
      <i/>
      <sz val="12"/>
      <color indexed="8"/>
      <name val=".vntime"/>
      <family val="2"/>
    </font>
    <font>
      <b/>
      <sz val="12"/>
      <color indexed="8"/>
      <name val=".VnTimeH"/>
      <family val="2"/>
    </font>
    <font>
      <b/>
      <sz val="11"/>
      <name val=".VnTimeH"/>
      <family val="2"/>
    </font>
    <font>
      <b/>
      <sz val="11"/>
      <name val=".vntime"/>
      <family val="2"/>
    </font>
    <font>
      <b/>
      <sz val="12"/>
      <name val=".VnTime"/>
      <family val="2"/>
    </font>
    <font>
      <sz val="11"/>
      <name val=".VnTime"/>
      <family val="2"/>
    </font>
    <font>
      <sz val="12"/>
      <name val=".VnTime"/>
      <family val="2"/>
    </font>
    <font>
      <sz val="11"/>
      <name val="Times New Roman"/>
      <family val="1"/>
    </font>
    <font>
      <sz val="11"/>
      <color indexed="8"/>
      <name val=".VnTime"/>
      <family val="2"/>
    </font>
    <font>
      <sz val="12"/>
      <color indexed="8"/>
      <name val=".VnTime"/>
      <family val="2"/>
    </font>
    <font>
      <b/>
      <i/>
      <sz val="14"/>
      <color indexed="8"/>
      <name val=".VnTime"/>
      <family val="2"/>
    </font>
    <font>
      <b/>
      <sz val="12"/>
      <color indexed="8"/>
      <name val=".VnTime"/>
      <family val="2"/>
    </font>
    <font>
      <i/>
      <sz val="12"/>
      <color indexed="8"/>
      <name val=".VnTime"/>
      <family val="2"/>
    </font>
    <font>
      <b/>
      <i/>
      <sz val="16"/>
      <name val="Times New Roman"/>
      <family val="1"/>
    </font>
    <font>
      <b/>
      <sz val="13"/>
      <name val="Times New Roman"/>
      <family val="1"/>
    </font>
    <font>
      <sz val="10"/>
      <name val="Times New Roman"/>
      <family val="1"/>
    </font>
    <font>
      <sz val="13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i/>
      <sz val="11"/>
      <name val=".VnTime"/>
      <family val="2"/>
    </font>
    <font>
      <b/>
      <sz val="13"/>
      <color indexed="8"/>
      <name val=".VnTime"/>
      <family val="2"/>
    </font>
    <font>
      <sz val="13"/>
      <color indexed="8"/>
      <name val=".VnTime"/>
      <family val="2"/>
    </font>
    <font>
      <i/>
      <sz val="13"/>
      <color indexed="8"/>
      <name val=".VnTime"/>
      <family val="2"/>
    </font>
    <font>
      <b/>
      <i/>
      <sz val="13"/>
      <color indexed="8"/>
      <name val=".VnTime"/>
      <family val="2"/>
    </font>
    <font>
      <i/>
      <sz val="11"/>
      <color indexed="8"/>
      <name val=".VnTime"/>
      <family val="2"/>
    </font>
    <font>
      <b/>
      <sz val="10"/>
      <color indexed="8"/>
      <name val=".VnTimeH"/>
      <family val="2"/>
    </font>
    <font>
      <vertAlign val="superscript"/>
      <sz val="12"/>
      <name val="Times New Roman"/>
      <family val="1"/>
    </font>
    <font>
      <b/>
      <sz val="10"/>
      <color indexed="8"/>
      <name val=".VnTime"/>
      <family val="2"/>
    </font>
    <font>
      <sz val="10"/>
      <name val="Arial"/>
      <family val="2"/>
      <charset val="163"/>
    </font>
    <font>
      <sz val="13"/>
      <name val="Times New Roman"/>
      <family val="1"/>
    </font>
    <font>
      <b/>
      <i/>
      <sz val="14"/>
      <name val="Times New Roman"/>
      <family val="1"/>
    </font>
    <font>
      <b/>
      <sz val="15"/>
      <name val="Times New Roman"/>
      <family val="1"/>
    </font>
    <font>
      <b/>
      <i/>
      <sz val="13"/>
      <name val="Times New Roman"/>
      <family val="1"/>
    </font>
    <font>
      <b/>
      <u/>
      <sz val="13"/>
      <name val="Times New Roman"/>
      <family val="1"/>
    </font>
    <font>
      <sz val="14"/>
      <name val=".VnTimeH"/>
      <family val="2"/>
    </font>
    <font>
      <sz val="12"/>
      <name val="¹UAAA¼"/>
      <family val="3"/>
      <charset val="128"/>
    </font>
    <font>
      <sz val="13"/>
      <name val=".VnTime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.VnTime"/>
      <family val="2"/>
    </font>
    <font>
      <b/>
      <sz val="10"/>
      <name val=".VnArial"/>
      <family val="2"/>
    </font>
    <font>
      <b/>
      <sz val="10"/>
      <name val=".VnTime"/>
      <family val="2"/>
    </font>
    <font>
      <sz val="12"/>
      <name val="Arial"/>
      <family val="2"/>
    </font>
    <font>
      <sz val="10"/>
      <name val="VNtimes new roman"/>
      <family val="1"/>
    </font>
    <font>
      <b/>
      <sz val="10"/>
      <name val=".VnTimeH"/>
      <family val="2"/>
    </font>
    <font>
      <sz val="14"/>
      <name val=".VnArial"/>
      <family val="2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9"/>
      <name val="Arial"/>
      <family val="2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2"/>
      <name val="Courier"/>
      <family val="3"/>
    </font>
    <font>
      <sz val="10"/>
      <name val=" "/>
      <family val="1"/>
    </font>
    <font>
      <sz val="8"/>
      <name val="Arial"/>
      <family val="2"/>
    </font>
    <font>
      <b/>
      <sz val="10"/>
      <name val="Arial"/>
      <family val="2"/>
      <charset val="163"/>
    </font>
    <font>
      <b/>
      <sz val="10"/>
      <color indexed="10"/>
      <name val="Arial"/>
      <family val="2"/>
      <charset val="163"/>
    </font>
    <font>
      <sz val="15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1"/>
      <name val="Times New Roman"/>
      <family val="1"/>
    </font>
    <font>
      <b/>
      <i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i/>
      <vertAlign val="superscript"/>
      <sz val="12"/>
      <name val="Times New Roman"/>
      <family val="1"/>
    </font>
    <font>
      <sz val="12"/>
      <name val="¹UAAA¼"/>
      <family val="3"/>
      <charset val="129"/>
    </font>
    <font>
      <b/>
      <sz val="18"/>
      <name val="Arial"/>
      <family val="2"/>
    </font>
    <font>
      <sz val="7"/>
      <name val="Small Fonts"/>
      <family val="2"/>
    </font>
    <font>
      <u/>
      <sz val="12"/>
      <name val="Times New Roman"/>
      <family val="1"/>
    </font>
    <font>
      <i/>
      <sz val="13"/>
      <name val="Times New Roman"/>
      <family val="1"/>
    </font>
    <font>
      <b/>
      <sz val="18"/>
      <name val="Times New Roman"/>
      <family val="1"/>
    </font>
    <font>
      <b/>
      <sz val="13"/>
      <name val="Times New Roman"/>
      <family val="1"/>
      <charset val="163"/>
    </font>
    <font>
      <sz val="13"/>
      <name val="Times New Roman"/>
      <family val="1"/>
      <charset val="163"/>
    </font>
    <font>
      <b/>
      <i/>
      <sz val="13"/>
      <name val="Times New Roman"/>
      <family val="1"/>
      <charset val="163"/>
    </font>
    <font>
      <i/>
      <sz val="13"/>
      <name val="Times New Roman"/>
      <family val="1"/>
      <charset val="163"/>
    </font>
    <font>
      <b/>
      <i/>
      <sz val="12"/>
      <name val="Times New Roman"/>
      <family val="1"/>
      <charset val="163"/>
    </font>
    <font>
      <sz val="12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Helv"/>
      <family val="2"/>
    </font>
    <font>
      <sz val="13"/>
      <color indexed="10"/>
      <name val="Times New Roman"/>
      <family val="1"/>
    </font>
    <font>
      <sz val="13"/>
      <color indexed="8"/>
      <name val="Times New Roman"/>
      <family val="1"/>
    </font>
    <font>
      <sz val="12"/>
      <color indexed="12"/>
      <name val="Times New Roman"/>
      <family val="1"/>
    </font>
    <font>
      <b/>
      <sz val="12"/>
      <color indexed="12"/>
      <name val="Times New Roman"/>
      <family val="1"/>
    </font>
    <font>
      <sz val="10"/>
      <color indexed="12"/>
      <name val="Arial"/>
      <family val="2"/>
    </font>
    <font>
      <b/>
      <sz val="10"/>
      <name val="Times New Roman"/>
      <family val="1"/>
    </font>
    <font>
      <sz val="14"/>
      <name val="Times New Roman"/>
      <family val="1"/>
    </font>
    <font>
      <sz val="20"/>
      <name val="Tahoma"/>
      <family val="2"/>
    </font>
    <font>
      <sz val="10"/>
      <color indexed="8"/>
      <name val="MS Sans Serif"/>
      <family val="2"/>
    </font>
    <font>
      <b/>
      <sz val="14"/>
      <name val="Tahoma"/>
      <family val="2"/>
    </font>
    <font>
      <b/>
      <sz val="14"/>
      <color indexed="62"/>
      <name val="Tahoma"/>
      <family val="2"/>
    </font>
    <font>
      <sz val="10"/>
      <name val="Times New Roman"/>
      <family val="1"/>
      <charset val="163"/>
    </font>
    <font>
      <sz val="14"/>
      <color indexed="10"/>
      <name val="Times New Roman"/>
      <family val="1"/>
    </font>
    <font>
      <sz val="12"/>
      <color indexed="10"/>
      <name val="Times New Roman"/>
      <family val="1"/>
    </font>
    <font>
      <sz val="13"/>
      <color indexed="10"/>
      <name val="Times New Roman"/>
      <family val="1"/>
    </font>
    <font>
      <b/>
      <sz val="14"/>
      <color indexed="62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1"/>
      <color indexed="8"/>
      <name val="Calibri"/>
      <family val="2"/>
    </font>
    <font>
      <sz val="10"/>
      <name val=".VnTime"/>
      <family val="2"/>
    </font>
    <font>
      <sz val="11"/>
      <color rgb="FF006100"/>
      <name val="Calibri"/>
      <family val="2"/>
      <charset val="163"/>
    </font>
    <font>
      <sz val="11"/>
      <color rgb="FF9C6500"/>
      <name val="Calibri"/>
      <family val="2"/>
      <charset val="163"/>
    </font>
    <font>
      <sz val="11"/>
      <color rgb="FF9C0006"/>
      <name val="Calibri"/>
      <family val="2"/>
      <charset val="163"/>
    </font>
    <font>
      <b/>
      <sz val="14"/>
      <name val="Cambria"/>
      <family val="1"/>
      <charset val="163"/>
      <scheme val="major"/>
    </font>
    <font>
      <b/>
      <sz val="16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sz val="13"/>
      <color rgb="FFFF0000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rgb="FF00B050"/>
      <name val="Times New Roman"/>
      <family val="1"/>
    </font>
    <font>
      <sz val="13"/>
      <color rgb="FF0000CC"/>
      <name val="Times New Roman"/>
      <family val="1"/>
    </font>
    <font>
      <i/>
      <sz val="13"/>
      <color rgb="FF0000CC"/>
      <name val="Times New Roman"/>
      <family val="1"/>
    </font>
    <font>
      <sz val="12"/>
      <color rgb="FF0000CC"/>
      <name val="Times New Roman"/>
      <family val="1"/>
    </font>
    <font>
      <sz val="10"/>
      <color theme="1"/>
      <name val="Times New Roman"/>
      <family val="1"/>
      <charset val="163"/>
    </font>
    <font>
      <sz val="13"/>
      <color rgb="FF0070C0"/>
      <name val="Times New Roman"/>
      <family val="1"/>
    </font>
    <font>
      <b/>
      <sz val="14"/>
      <color indexed="62"/>
      <name val="Cambria"/>
      <family val="1"/>
      <charset val="163"/>
      <scheme val="major"/>
    </font>
    <font>
      <b/>
      <sz val="14"/>
      <name val="Cambria"/>
      <family val="1"/>
      <scheme val="major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0">
    <xf numFmtId="0" fontId="0" fillId="0" borderId="0"/>
    <xf numFmtId="0" fontId="90" fillId="0" borderId="0"/>
    <xf numFmtId="171" fontId="37" fillId="0" borderId="1" applyNumberFormat="0" applyFont="0" applyBorder="0" applyAlignment="0">
      <alignment horizontal="center" vertical="center"/>
    </xf>
    <xf numFmtId="0" fontId="3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0" fillId="0" borderId="0"/>
    <xf numFmtId="0" fontId="38" fillId="0" borderId="0"/>
    <xf numFmtId="0" fontId="38" fillId="0" borderId="0"/>
    <xf numFmtId="41" fontId="40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1" fillId="0" borderId="0" applyFont="0" applyFill="0" applyBorder="0" applyAlignment="0" applyProtection="0"/>
    <xf numFmtId="164" fontId="101" fillId="0" borderId="0" applyFont="0" applyFill="0" applyBorder="0" applyAlignment="0" applyProtection="0"/>
    <xf numFmtId="43" fontId="100" fillId="0" borderId="0" applyFont="0" applyFill="0" applyBorder="0" applyAlignment="0" applyProtection="0"/>
    <xf numFmtId="164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4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4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82" fontId="18" fillId="0" borderId="0"/>
    <xf numFmtId="43" fontId="52" fillId="0" borderId="0" applyFont="0" applyFill="0" applyBorder="0" applyAlignment="0" applyProtection="0"/>
    <xf numFmtId="3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83" fontId="40" fillId="0" borderId="0"/>
    <xf numFmtId="0" fontId="40" fillId="0" borderId="0"/>
    <xf numFmtId="0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8" fillId="0" borderId="0" applyFont="0" applyFill="0" applyBorder="0" applyAlignment="0" applyProtection="0"/>
    <xf numFmtId="184" fontId="40" fillId="0" borderId="0"/>
    <xf numFmtId="2" fontId="40" fillId="0" borderId="0" applyFont="0" applyFill="0" applyBorder="0" applyAlignment="0" applyProtection="0"/>
    <xf numFmtId="38" fontId="57" fillId="2" borderId="0" applyNumberFormat="0" applyBorder="0" applyAlignment="0" applyProtection="0"/>
    <xf numFmtId="0" fontId="41" fillId="0" borderId="2" applyNumberFormat="0" applyAlignment="0" applyProtection="0">
      <alignment horizontal="left" vertical="center"/>
    </xf>
    <xf numFmtId="0" fontId="41" fillId="0" borderId="3">
      <alignment horizontal="left" vertical="center"/>
    </xf>
    <xf numFmtId="0" fontId="69" fillId="0" borderId="0" applyProtection="0"/>
    <xf numFmtId="0" fontId="41" fillId="0" borderId="0" applyProtection="0"/>
    <xf numFmtId="10" fontId="57" fillId="3" borderId="4" applyNumberFormat="0" applyBorder="0" applyAlignment="0" applyProtection="0"/>
    <xf numFmtId="3" fontId="42" fillId="0" borderId="5" applyNumberFormat="0" applyAlignment="0">
      <alignment horizontal="center" vertical="center"/>
    </xf>
    <xf numFmtId="3" fontId="43" fillId="0" borderId="5" applyNumberFormat="0" applyAlignment="0">
      <alignment horizontal="center" vertical="center"/>
    </xf>
    <xf numFmtId="3" fontId="44" fillId="0" borderId="5" applyNumberFormat="0" applyAlignment="0">
      <alignment horizontal="center" vertical="center"/>
    </xf>
    <xf numFmtId="185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0" fontId="45" fillId="0" borderId="0" applyNumberFormat="0" applyFont="0" applyFill="0" applyAlignment="0"/>
    <xf numFmtId="0" fontId="18" fillId="0" borderId="0"/>
    <xf numFmtId="37" fontId="70" fillId="0" borderId="0"/>
    <xf numFmtId="181" fontId="46" fillId="0" borderId="0"/>
    <xf numFmtId="0" fontId="79" fillId="0" borderId="0"/>
    <xf numFmtId="0" fontId="40" fillId="0" borderId="0"/>
    <xf numFmtId="0" fontId="101" fillId="0" borderId="0"/>
    <xf numFmtId="0" fontId="40" fillId="0" borderId="0"/>
    <xf numFmtId="0" fontId="31" fillId="0" borderId="0"/>
    <xf numFmtId="0" fontId="40" fillId="0" borderId="0"/>
    <xf numFmtId="0" fontId="31" fillId="0" borderId="0"/>
    <xf numFmtId="0" fontId="20" fillId="0" borderId="0"/>
    <xf numFmtId="0" fontId="101" fillId="0" borderId="0"/>
    <xf numFmtId="0" fontId="1" fillId="0" borderId="0"/>
    <xf numFmtId="0" fontId="81" fillId="0" borderId="0"/>
    <xf numFmtId="0" fontId="81" fillId="0" borderId="0"/>
    <xf numFmtId="0" fontId="52" fillId="0" borderId="0"/>
    <xf numFmtId="0" fontId="20" fillId="0" borderId="0"/>
    <xf numFmtId="0" fontId="9" fillId="0" borderId="0"/>
    <xf numFmtId="0" fontId="32" fillId="0" borderId="0"/>
    <xf numFmtId="10" fontId="4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1" fillId="0" borderId="0"/>
    <xf numFmtId="187" fontId="39" fillId="0" borderId="6">
      <alignment horizontal="right" vertical="center"/>
    </xf>
    <xf numFmtId="3" fontId="47" fillId="0" borderId="5" applyNumberFormat="0" applyAlignment="0">
      <alignment horizontal="center" vertical="center"/>
    </xf>
    <xf numFmtId="3" fontId="5" fillId="0" borderId="7" applyNumberFormat="0" applyAlignment="0">
      <alignment horizontal="left" wrapText="1"/>
    </xf>
    <xf numFmtId="0" fontId="102" fillId="7" borderId="0" applyNumberFormat="0" applyBorder="0" applyAlignment="0" applyProtection="0"/>
    <xf numFmtId="188" fontId="39" fillId="0" borderId="6">
      <alignment horizontal="center"/>
    </xf>
    <xf numFmtId="0" fontId="103" fillId="8" borderId="0" applyNumberFormat="0" applyBorder="0" applyAlignment="0" applyProtection="0"/>
    <xf numFmtId="189" fontId="39" fillId="0" borderId="0"/>
    <xf numFmtId="190" fontId="39" fillId="0" borderId="4"/>
    <xf numFmtId="0" fontId="104" fillId="9" borderId="0" applyNumberFormat="0" applyBorder="0" applyAlignment="0" applyProtection="0"/>
    <xf numFmtId="0" fontId="48" fillId="0" borderId="0" applyNumberForma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20" fillId="0" borderId="0">
      <alignment vertical="center"/>
    </xf>
    <xf numFmtId="40" fontId="49" fillId="0" borderId="0" applyFont="0" applyFill="0" applyBorder="0" applyAlignment="0" applyProtection="0"/>
    <xf numFmtId="38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51" fillId="0" borderId="0"/>
    <xf numFmtId="177" fontId="40" fillId="0" borderId="0" applyFont="0" applyFill="0" applyBorder="0" applyAlignment="0" applyProtection="0"/>
    <xf numFmtId="178" fontId="40" fillId="0" borderId="0" applyFont="0" applyFill="0" applyBorder="0" applyAlignment="0" applyProtection="0"/>
    <xf numFmtId="175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0" fontId="54" fillId="0" borderId="0"/>
    <xf numFmtId="0" fontId="45" fillId="0" borderId="0"/>
    <xf numFmtId="165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79" fontId="52" fillId="0" borderId="0" applyFont="0" applyFill="0" applyBorder="0" applyAlignment="0" applyProtection="0"/>
    <xf numFmtId="173" fontId="55" fillId="0" borderId="0" applyFont="0" applyFill="0" applyBorder="0" applyAlignment="0" applyProtection="0"/>
    <xf numFmtId="180" fontId="52" fillId="0" borderId="0" applyFont="0" applyFill="0" applyBorder="0" applyAlignment="0" applyProtection="0"/>
  </cellStyleXfs>
  <cellXfs count="1169">
    <xf numFmtId="0" fontId="0" fillId="0" borderId="0" xfId="0"/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2" fillId="0" borderId="7" xfId="0" applyFont="1" applyBorder="1" applyAlignment="1">
      <alignment horizontal="center" vertical="center"/>
    </xf>
    <xf numFmtId="167" fontId="12" fillId="0" borderId="7" xfId="40" applyNumberFormat="1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vertical="center" wrapText="1"/>
    </xf>
    <xf numFmtId="168" fontId="15" fillId="0" borderId="7" xfId="4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vertical="center" wrapText="1"/>
    </xf>
    <xf numFmtId="168" fontId="12" fillId="0" borderId="7" xfId="40" applyNumberFormat="1" applyFont="1" applyBorder="1" applyAlignment="1">
      <alignment horizontal="center" vertical="center"/>
    </xf>
    <xf numFmtId="3" fontId="14" fillId="0" borderId="8" xfId="40" applyNumberFormat="1" applyFont="1" applyBorder="1" applyAlignment="1">
      <alignment horizontal="center" vertical="center"/>
    </xf>
    <xf numFmtId="3" fontId="12" fillId="0" borderId="7" xfId="40" applyNumberFormat="1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169" fontId="12" fillId="0" borderId="7" xfId="40" applyNumberFormat="1" applyFont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3" fontId="12" fillId="0" borderId="7" xfId="40" applyNumberFormat="1" applyFont="1" applyFill="1" applyBorder="1" applyAlignment="1">
      <alignment horizontal="center" vertical="center"/>
    </xf>
    <xf numFmtId="0" fontId="12" fillId="0" borderId="7" xfId="0" quotePrefix="1" applyFont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3" fontId="15" fillId="0" borderId="7" xfId="4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67" fontId="11" fillId="0" borderId="7" xfId="40" applyNumberFormat="1" applyFont="1" applyBorder="1" applyAlignment="1">
      <alignment horizontal="center" vertical="center" wrapText="1"/>
    </xf>
    <xf numFmtId="4" fontId="15" fillId="0" borderId="7" xfId="4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vertical="center"/>
    </xf>
    <xf numFmtId="0" fontId="12" fillId="0" borderId="9" xfId="0" applyFont="1" applyBorder="1" applyAlignment="1">
      <alignment vertical="center" wrapText="1"/>
    </xf>
    <xf numFmtId="0" fontId="12" fillId="0" borderId="9" xfId="0" applyFont="1" applyBorder="1" applyAlignment="1">
      <alignment horizontal="center" vertical="center"/>
    </xf>
    <xf numFmtId="168" fontId="12" fillId="0" borderId="9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vertical="center"/>
    </xf>
    <xf numFmtId="0" fontId="19" fillId="0" borderId="11" xfId="0" applyFont="1" applyFill="1" applyBorder="1" applyAlignment="1">
      <alignment vertical="center"/>
    </xf>
    <xf numFmtId="0" fontId="20" fillId="0" borderId="12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7" xfId="0" applyFont="1" applyFill="1" applyBorder="1" applyAlignment="1">
      <alignment horizontal="center" vertical="center" wrapText="1"/>
    </xf>
    <xf numFmtId="170" fontId="20" fillId="0" borderId="7" xfId="0" applyNumberFormat="1" applyFont="1" applyBorder="1" applyAlignment="1">
      <alignment horizontal="center" vertical="center" wrapText="1"/>
    </xf>
    <xf numFmtId="3" fontId="20" fillId="0" borderId="7" xfId="0" applyNumberFormat="1" applyFont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168" fontId="20" fillId="0" borderId="7" xfId="0" applyNumberFormat="1" applyFont="1" applyBorder="1" applyAlignment="1">
      <alignment horizontal="center" vertical="center" wrapText="1"/>
    </xf>
    <xf numFmtId="170" fontId="20" fillId="0" borderId="7" xfId="0" applyNumberFormat="1" applyFont="1" applyFill="1" applyBorder="1" applyAlignment="1">
      <alignment horizontal="center" vertical="center" wrapText="1"/>
    </xf>
    <xf numFmtId="0" fontId="20" fillId="0" borderId="7" xfId="0" quotePrefix="1" applyFont="1" applyBorder="1" applyAlignment="1">
      <alignment horizontal="center" vertical="center" wrapText="1"/>
    </xf>
    <xf numFmtId="3" fontId="2" fillId="0" borderId="0" xfId="0" applyNumberFormat="1" applyFont="1" applyAlignment="1">
      <alignment vertical="center"/>
    </xf>
    <xf numFmtId="0" fontId="12" fillId="0" borderId="13" xfId="0" applyFont="1" applyFill="1" applyBorder="1" applyAlignment="1">
      <alignment vertical="center"/>
    </xf>
    <xf numFmtId="4" fontId="20" fillId="0" borderId="7" xfId="0" applyNumberFormat="1" applyFont="1" applyFill="1" applyBorder="1" applyAlignment="1">
      <alignment horizontal="center" vertical="center" wrapText="1"/>
    </xf>
    <xf numFmtId="3" fontId="20" fillId="0" borderId="7" xfId="0" applyNumberFormat="1" applyFont="1" applyFill="1" applyBorder="1" applyAlignment="1">
      <alignment horizontal="center" vertical="center" wrapText="1"/>
    </xf>
    <xf numFmtId="2" fontId="20" fillId="0" borderId="7" xfId="0" applyNumberFormat="1" applyFont="1" applyFill="1" applyBorder="1" applyAlignment="1">
      <alignment horizontal="center" vertical="center" wrapText="1"/>
    </xf>
    <xf numFmtId="49" fontId="20" fillId="0" borderId="7" xfId="0" applyNumberFormat="1" applyFont="1" applyFill="1" applyBorder="1" applyAlignment="1">
      <alignment horizontal="center" vertical="center" wrapText="1"/>
    </xf>
    <xf numFmtId="168" fontId="20" fillId="0" borderId="7" xfId="0" applyNumberFormat="1" applyFont="1" applyFill="1" applyBorder="1" applyAlignment="1">
      <alignment horizontal="center" vertical="center" wrapText="1"/>
    </xf>
    <xf numFmtId="169" fontId="3" fillId="0" borderId="7" xfId="40" applyNumberFormat="1" applyFont="1" applyBorder="1" applyAlignment="1">
      <alignment horizontal="center" vertical="center"/>
    </xf>
    <xf numFmtId="169" fontId="3" fillId="0" borderId="7" xfId="40" applyNumberFormat="1" applyFont="1" applyFill="1" applyBorder="1" applyAlignment="1">
      <alignment horizontal="center" vertical="center"/>
    </xf>
    <xf numFmtId="169" fontId="14" fillId="0" borderId="7" xfId="40" applyNumberFormat="1" applyFont="1" applyBorder="1" applyAlignment="1">
      <alignment horizontal="center" vertical="center"/>
    </xf>
    <xf numFmtId="3" fontId="3" fillId="0" borderId="7" xfId="40" applyNumberFormat="1" applyFont="1" applyBorder="1" applyAlignment="1">
      <alignment horizontal="center" vertical="center"/>
    </xf>
    <xf numFmtId="169" fontId="12" fillId="0" borderId="7" xfId="40" applyNumberFormat="1" applyFont="1" applyFill="1" applyBorder="1" applyAlignment="1">
      <alignment horizontal="center" vertical="center"/>
    </xf>
    <xf numFmtId="0" fontId="15" fillId="0" borderId="7" xfId="0" quotePrefix="1" applyFont="1" applyFill="1" applyBorder="1" applyAlignment="1">
      <alignment vertical="center" wrapText="1"/>
    </xf>
    <xf numFmtId="0" fontId="15" fillId="0" borderId="13" xfId="0" quotePrefix="1" applyFont="1" applyBorder="1" applyAlignment="1">
      <alignment vertical="center" wrapText="1"/>
    </xf>
    <xf numFmtId="0" fontId="14" fillId="0" borderId="13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vertical="center" wrapText="1"/>
    </xf>
    <xf numFmtId="168" fontId="22" fillId="0" borderId="7" xfId="40" applyNumberFormat="1" applyFont="1" applyBorder="1" applyAlignment="1">
      <alignment horizontal="center" vertical="center"/>
    </xf>
    <xf numFmtId="3" fontId="3" fillId="0" borderId="7" xfId="40" applyNumberFormat="1" applyFont="1" applyFill="1" applyBorder="1" applyAlignment="1">
      <alignment horizontal="center" vertical="center"/>
    </xf>
    <xf numFmtId="9" fontId="12" fillId="0" borderId="9" xfId="78" applyFont="1" applyBorder="1" applyAlignment="1">
      <alignment horizontal="center" vertical="center"/>
    </xf>
    <xf numFmtId="10" fontId="2" fillId="0" borderId="0" xfId="78" applyNumberFormat="1" applyFont="1" applyAlignment="1">
      <alignment vertical="center"/>
    </xf>
    <xf numFmtId="0" fontId="23" fillId="0" borderId="7" xfId="0" applyFont="1" applyBorder="1" applyAlignment="1">
      <alignment horizontal="center" vertical="center"/>
    </xf>
    <xf numFmtId="0" fontId="24" fillId="0" borderId="7" xfId="0" applyFont="1" applyBorder="1" applyAlignment="1">
      <alignment horizontal="left" vertical="center" wrapText="1"/>
    </xf>
    <xf numFmtId="3" fontId="24" fillId="0" borderId="7" xfId="40" applyNumberFormat="1" applyFont="1" applyBorder="1" applyAlignment="1">
      <alignment horizontal="center" vertical="center"/>
    </xf>
    <xf numFmtId="169" fontId="23" fillId="0" borderId="7" xfId="40" applyNumberFormat="1" applyFont="1" applyBorder="1" applyAlignment="1">
      <alignment horizontal="center" vertical="center"/>
    </xf>
    <xf numFmtId="4" fontId="24" fillId="0" borderId="7" xfId="40" applyNumberFormat="1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5" fillId="0" borderId="7" xfId="0" quotePrefix="1" applyFont="1" applyBorder="1" applyAlignment="1">
      <alignment horizontal="left" vertical="center" wrapText="1"/>
    </xf>
    <xf numFmtId="0" fontId="24" fillId="0" borderId="7" xfId="0" quotePrefix="1" applyFont="1" applyBorder="1" applyAlignment="1">
      <alignment horizontal="left" vertical="center" wrapText="1"/>
    </xf>
    <xf numFmtId="169" fontId="24" fillId="0" borderId="7" xfId="40" applyNumberFormat="1" applyFont="1" applyBorder="1" applyAlignment="1">
      <alignment horizontal="center" vertical="center"/>
    </xf>
    <xf numFmtId="168" fontId="24" fillId="0" borderId="7" xfId="40" applyNumberFormat="1" applyFont="1" applyBorder="1" applyAlignment="1">
      <alignment horizontal="center" vertical="center"/>
    </xf>
    <xf numFmtId="0" fontId="3" fillId="0" borderId="7" xfId="0" quotePrefix="1" applyFont="1" applyBorder="1" applyAlignment="1">
      <alignment vertical="center" wrapText="1"/>
    </xf>
    <xf numFmtId="0" fontId="15" fillId="0" borderId="7" xfId="0" applyFont="1" applyBorder="1" applyAlignment="1">
      <alignment horizontal="left" vertical="center" wrapText="1"/>
    </xf>
    <xf numFmtId="169" fontId="15" fillId="0" borderId="7" xfId="40" applyNumberFormat="1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3" xfId="0" applyFont="1" applyBorder="1" applyAlignment="1">
      <alignment vertical="center"/>
    </xf>
    <xf numFmtId="169" fontId="15" fillId="0" borderId="7" xfId="40" applyNumberFormat="1" applyFont="1" applyFill="1" applyBorder="1" applyAlignment="1">
      <alignment horizontal="center" vertical="center"/>
    </xf>
    <xf numFmtId="170" fontId="20" fillId="4" borderId="7" xfId="0" applyNumberFormat="1" applyFont="1" applyFill="1" applyBorder="1" applyAlignment="1">
      <alignment horizontal="center" vertical="center" wrapText="1"/>
    </xf>
    <xf numFmtId="3" fontId="12" fillId="0" borderId="14" xfId="40" applyNumberFormat="1" applyFont="1" applyBorder="1" applyAlignment="1">
      <alignment horizontal="center" vertical="center"/>
    </xf>
    <xf numFmtId="169" fontId="3" fillId="0" borderId="15" xfId="40" applyNumberFormat="1" applyFont="1" applyFill="1" applyBorder="1" applyAlignment="1">
      <alignment horizontal="center" vertical="center"/>
    </xf>
    <xf numFmtId="168" fontId="24" fillId="0" borderId="14" xfId="40" applyNumberFormat="1" applyFont="1" applyBorder="1" applyAlignment="1">
      <alignment horizontal="center" vertical="center"/>
    </xf>
    <xf numFmtId="169" fontId="24" fillId="0" borderId="14" xfId="40" applyNumberFormat="1" applyFont="1" applyBorder="1" applyAlignment="1">
      <alignment horizontal="center" vertical="center"/>
    </xf>
    <xf numFmtId="169" fontId="3" fillId="0" borderId="14" xfId="40" applyNumberFormat="1" applyFont="1" applyFill="1" applyBorder="1" applyAlignment="1">
      <alignment horizontal="center" vertical="center"/>
    </xf>
    <xf numFmtId="4" fontId="24" fillId="0" borderId="14" xfId="40" applyNumberFormat="1" applyFont="1" applyBorder="1" applyAlignment="1">
      <alignment horizontal="center" vertical="center"/>
    </xf>
    <xf numFmtId="168" fontId="3" fillId="0" borderId="14" xfId="40" applyNumberFormat="1" applyFont="1" applyBorder="1" applyAlignment="1">
      <alignment horizontal="center" vertical="center"/>
    </xf>
    <xf numFmtId="4" fontId="15" fillId="0" borderId="14" xfId="40" applyNumberFormat="1" applyFont="1" applyBorder="1" applyAlignment="1">
      <alignment horizontal="center" vertical="center"/>
    </xf>
    <xf numFmtId="3" fontId="15" fillId="0" borderId="14" xfId="40" applyNumberFormat="1" applyFont="1" applyBorder="1" applyAlignment="1">
      <alignment horizontal="center" vertical="center"/>
    </xf>
    <xf numFmtId="168" fontId="12" fillId="0" borderId="14" xfId="40" applyNumberFormat="1" applyFont="1" applyBorder="1" applyAlignment="1">
      <alignment horizontal="center" vertical="center"/>
    </xf>
    <xf numFmtId="169" fontId="12" fillId="0" borderId="14" xfId="40" applyNumberFormat="1" applyFont="1" applyBorder="1" applyAlignment="1">
      <alignment horizontal="center" vertical="center"/>
    </xf>
    <xf numFmtId="168" fontId="15" fillId="0" borderId="14" xfId="40" applyNumberFormat="1" applyFont="1" applyBorder="1" applyAlignment="1">
      <alignment horizontal="center" vertical="center"/>
    </xf>
    <xf numFmtId="168" fontId="12" fillId="0" borderId="16" xfId="0" applyNumberFormat="1" applyFont="1" applyBorder="1" applyAlignment="1">
      <alignment horizontal="center" vertical="center"/>
    </xf>
    <xf numFmtId="169" fontId="26" fillId="0" borderId="14" xfId="40" applyNumberFormat="1" applyFont="1" applyBorder="1" applyAlignment="1">
      <alignment horizontal="center" vertical="center"/>
    </xf>
    <xf numFmtId="167" fontId="27" fillId="0" borderId="7" xfId="40" applyNumberFormat="1" applyFont="1" applyBorder="1" applyAlignment="1">
      <alignment horizontal="center" vertical="center" wrapText="1"/>
    </xf>
    <xf numFmtId="172" fontId="20" fillId="0" borderId="0" xfId="0" applyNumberFormat="1" applyFont="1" applyAlignment="1">
      <alignment vertical="center"/>
    </xf>
    <xf numFmtId="1" fontId="20" fillId="0" borderId="7" xfId="0" applyNumberFormat="1" applyFont="1" applyBorder="1" applyAlignment="1">
      <alignment horizontal="center" vertical="center" wrapText="1"/>
    </xf>
    <xf numFmtId="49" fontId="20" fillId="0" borderId="7" xfId="0" applyNumberFormat="1" applyFont="1" applyBorder="1" applyAlignment="1">
      <alignment horizontal="center" vertical="center" wrapText="1"/>
    </xf>
    <xf numFmtId="170" fontId="20" fillId="0" borderId="12" xfId="0" applyNumberFormat="1" applyFont="1" applyBorder="1" applyAlignment="1">
      <alignment horizontal="center" vertical="center" wrapText="1"/>
    </xf>
    <xf numFmtId="169" fontId="12" fillId="0" borderId="0" xfId="0" applyNumberFormat="1" applyFont="1" applyAlignment="1">
      <alignment vertical="center"/>
    </xf>
    <xf numFmtId="10" fontId="24" fillId="0" borderId="0" xfId="0" applyNumberFormat="1" applyFont="1" applyAlignment="1">
      <alignment vertical="center"/>
    </xf>
    <xf numFmtId="3" fontId="14" fillId="0" borderId="12" xfId="40" applyNumberFormat="1" applyFont="1" applyBorder="1" applyAlignment="1">
      <alignment horizontal="center" vertical="center"/>
    </xf>
    <xf numFmtId="168" fontId="22" fillId="0" borderId="14" xfId="40" applyNumberFormat="1" applyFont="1" applyBorder="1" applyAlignment="1">
      <alignment horizontal="center" vertical="center"/>
    </xf>
    <xf numFmtId="4" fontId="20" fillId="0" borderId="7" xfId="0" applyNumberFormat="1" applyFont="1" applyBorder="1" applyAlignment="1">
      <alignment horizontal="center" vertical="center" wrapText="1"/>
    </xf>
    <xf numFmtId="3" fontId="12" fillId="0" borderId="8" xfId="40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0" fillId="0" borderId="4" xfId="0" applyBorder="1"/>
    <xf numFmtId="0" fontId="102" fillId="7" borderId="4" xfId="83" applyBorder="1"/>
    <xf numFmtId="0" fontId="104" fillId="9" borderId="4" xfId="88" applyBorder="1"/>
    <xf numFmtId="0" fontId="11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9" fontId="0" fillId="0" borderId="4" xfId="0" applyNumberFormat="1" applyBorder="1"/>
    <xf numFmtId="4" fontId="8" fillId="0" borderId="4" xfId="40" applyNumberFormat="1" applyFont="1" applyBorder="1" applyAlignment="1">
      <alignment horizontal="center" vertical="center"/>
    </xf>
    <xf numFmtId="0" fontId="31" fillId="0" borderId="0" xfId="0" applyFont="1"/>
    <xf numFmtId="0" fontId="103" fillId="8" borderId="0" xfId="85"/>
    <xf numFmtId="0" fontId="58" fillId="0" borderId="0" xfId="0" applyFont="1"/>
    <xf numFmtId="0" fontId="59" fillId="0" borderId="0" xfId="0" applyFont="1"/>
    <xf numFmtId="170" fontId="59" fillId="0" borderId="0" xfId="0" applyNumberFormat="1" applyFont="1"/>
    <xf numFmtId="170" fontId="0" fillId="0" borderId="0" xfId="0" applyNumberFormat="1"/>
    <xf numFmtId="0" fontId="17" fillId="0" borderId="0" xfId="74" applyFont="1" applyFill="1" applyBorder="1" applyAlignment="1">
      <alignment horizontal="center" vertical="center" wrapText="1"/>
    </xf>
    <xf numFmtId="0" fontId="34" fillId="0" borderId="0" xfId="74" applyFont="1" applyFill="1" applyBorder="1" applyAlignment="1">
      <alignment horizontal="center" vertical="center" wrapText="1"/>
    </xf>
    <xf numFmtId="0" fontId="17" fillId="0" borderId="4" xfId="74" applyFont="1" applyFill="1" applyBorder="1" applyAlignment="1">
      <alignment horizontal="center" vertical="center" wrapText="1"/>
    </xf>
    <xf numFmtId="0" fontId="17" fillId="0" borderId="8" xfId="74" applyFont="1" applyFill="1" applyBorder="1" applyAlignment="1">
      <alignment vertical="center" wrapText="1"/>
    </xf>
    <xf numFmtId="3" fontId="19" fillId="0" borderId="8" xfId="74" applyNumberFormat="1" applyFont="1" applyFill="1" applyBorder="1" applyAlignment="1">
      <alignment horizontal="center" vertical="center" wrapText="1"/>
    </xf>
    <xf numFmtId="0" fontId="19" fillId="0" borderId="8" xfId="74" applyFont="1" applyFill="1" applyBorder="1" applyAlignment="1">
      <alignment horizontal="center" vertical="center" wrapText="1"/>
    </xf>
    <xf numFmtId="3" fontId="19" fillId="0" borderId="8" xfId="74" applyNumberFormat="1" applyFont="1" applyFill="1" applyBorder="1" applyAlignment="1">
      <alignment horizontal="center" vertical="center"/>
    </xf>
    <xf numFmtId="3" fontId="19" fillId="0" borderId="7" xfId="74" applyNumberFormat="1" applyFont="1" applyFill="1" applyBorder="1" applyAlignment="1">
      <alignment horizontal="center" vertical="center" wrapText="1"/>
    </xf>
    <xf numFmtId="0" fontId="17" fillId="0" borderId="7" xfId="74" applyFont="1" applyFill="1" applyBorder="1" applyAlignment="1">
      <alignment vertical="center" wrapText="1"/>
    </xf>
    <xf numFmtId="0" fontId="17" fillId="0" borderId="7" xfId="74" applyFont="1" applyFill="1" applyBorder="1" applyAlignment="1">
      <alignment horizontal="center" vertical="center" wrapText="1"/>
    </xf>
    <xf numFmtId="3" fontId="19" fillId="0" borderId="7" xfId="74" applyNumberFormat="1" applyFont="1" applyFill="1" applyBorder="1" applyAlignment="1">
      <alignment horizontal="center" vertical="center"/>
    </xf>
    <xf numFmtId="0" fontId="36" fillId="0" borderId="7" xfId="74" applyFont="1" applyFill="1" applyBorder="1" applyAlignment="1">
      <alignment vertical="center" wrapText="1"/>
    </xf>
    <xf numFmtId="0" fontId="36" fillId="0" borderId="7" xfId="74" applyFont="1" applyFill="1" applyBorder="1" applyAlignment="1">
      <alignment horizontal="center" vertical="center" wrapText="1"/>
    </xf>
    <xf numFmtId="0" fontId="19" fillId="0" borderId="4" xfId="74" applyFont="1" applyFill="1" applyBorder="1" applyAlignment="1">
      <alignment horizontal="center" vertical="center" wrapText="1"/>
    </xf>
    <xf numFmtId="0" fontId="19" fillId="0" borderId="7" xfId="74" applyFont="1" applyFill="1" applyBorder="1" applyAlignment="1">
      <alignment vertical="center" wrapText="1"/>
    </xf>
    <xf numFmtId="0" fontId="19" fillId="0" borderId="7" xfId="74" applyFont="1" applyFill="1" applyBorder="1" applyAlignment="1">
      <alignment horizontal="center" vertical="center" wrapText="1"/>
    </xf>
    <xf numFmtId="3" fontId="60" fillId="0" borderId="7" xfId="74" applyNumberFormat="1" applyFont="1" applyFill="1" applyBorder="1" applyAlignment="1">
      <alignment horizontal="center" vertical="center"/>
    </xf>
    <xf numFmtId="3" fontId="17" fillId="0" borderId="7" xfId="74" applyNumberFormat="1" applyFont="1" applyFill="1" applyBorder="1" applyAlignment="1">
      <alignment horizontal="center" vertical="center"/>
    </xf>
    <xf numFmtId="0" fontId="19" fillId="0" borderId="9" xfId="74" applyFont="1" applyFill="1" applyBorder="1"/>
    <xf numFmtId="0" fontId="7" fillId="0" borderId="4" xfId="0" applyFont="1" applyFill="1" applyBorder="1" applyAlignment="1">
      <alignment horizontal="center" vertical="center" wrapText="1"/>
    </xf>
    <xf numFmtId="0" fontId="19" fillId="5" borderId="17" xfId="74" applyFont="1" applyFill="1" applyBorder="1" applyAlignment="1">
      <alignment horizontal="center" vertical="center" wrapText="1"/>
    </xf>
    <xf numFmtId="0" fontId="17" fillId="5" borderId="17" xfId="74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36" fillId="0" borderId="9" xfId="74" applyFont="1" applyFill="1" applyBorder="1" applyAlignment="1">
      <alignment vertical="center" wrapText="1"/>
    </xf>
    <xf numFmtId="3" fontId="19" fillId="0" borderId="9" xfId="74" applyNumberFormat="1" applyFont="1" applyFill="1" applyBorder="1" applyAlignment="1">
      <alignment horizontal="center" vertical="center"/>
    </xf>
    <xf numFmtId="0" fontId="17" fillId="0" borderId="9" xfId="74" applyFont="1" applyFill="1" applyBorder="1" applyAlignment="1">
      <alignment horizontal="center" vertical="center" wrapText="1"/>
    </xf>
    <xf numFmtId="3" fontId="17" fillId="0" borderId="9" xfId="74" applyNumberFormat="1" applyFont="1" applyFill="1" applyBorder="1" applyAlignment="1">
      <alignment horizontal="center" vertical="center"/>
    </xf>
    <xf numFmtId="0" fontId="33" fillId="0" borderId="0" xfId="74" applyFont="1" applyFill="1" applyAlignment="1">
      <alignment horizontal="right" vertical="center"/>
    </xf>
    <xf numFmtId="3" fontId="19" fillId="0" borderId="14" xfId="74" applyNumberFormat="1" applyFont="1" applyFill="1" applyBorder="1" applyAlignment="1">
      <alignment horizontal="center" vertical="center" wrapText="1"/>
    </xf>
    <xf numFmtId="3" fontId="19" fillId="0" borderId="14" xfId="74" applyNumberFormat="1" applyFont="1" applyFill="1" applyBorder="1" applyAlignment="1">
      <alignment horizontal="center" vertical="center"/>
    </xf>
    <xf numFmtId="0" fontId="17" fillId="5" borderId="5" xfId="74" applyFont="1" applyFill="1" applyBorder="1" applyAlignment="1">
      <alignment horizontal="center" vertical="center" wrapText="1"/>
    </xf>
    <xf numFmtId="3" fontId="19" fillId="0" borderId="18" xfId="74" applyNumberFormat="1" applyFont="1" applyFill="1" applyBorder="1" applyAlignment="1">
      <alignment horizontal="center" vertical="center" wrapText="1"/>
    </xf>
    <xf numFmtId="0" fontId="19" fillId="0" borderId="18" xfId="74" applyFont="1" applyFill="1" applyBorder="1" applyAlignment="1">
      <alignment horizontal="center" vertical="center" wrapText="1"/>
    </xf>
    <xf numFmtId="3" fontId="19" fillId="0" borderId="18" xfId="74" applyNumberFormat="1" applyFont="1" applyFill="1" applyBorder="1" applyAlignment="1">
      <alignment horizontal="center" vertical="center"/>
    </xf>
    <xf numFmtId="3" fontId="19" fillId="0" borderId="19" xfId="74" applyNumberFormat="1" applyFont="1" applyFill="1" applyBorder="1" applyAlignment="1">
      <alignment horizontal="center" vertical="center" wrapText="1"/>
    </xf>
    <xf numFmtId="3" fontId="19" fillId="0" borderId="20" xfId="74" applyNumberFormat="1" applyFont="1" applyFill="1" applyBorder="1" applyAlignment="1">
      <alignment horizontal="center" vertical="center" wrapText="1"/>
    </xf>
    <xf numFmtId="3" fontId="19" fillId="0" borderId="20" xfId="74" applyNumberFormat="1" applyFont="1" applyFill="1" applyBorder="1" applyAlignment="1">
      <alignment horizontal="center" vertical="center"/>
    </xf>
    <xf numFmtId="3" fontId="19" fillId="0" borderId="21" xfId="74" applyNumberFormat="1" applyFont="1" applyFill="1" applyBorder="1" applyAlignment="1">
      <alignment horizontal="center" vertical="center"/>
    </xf>
    <xf numFmtId="3" fontId="19" fillId="0" borderId="19" xfId="74" applyNumberFormat="1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  <xf numFmtId="3" fontId="19" fillId="0" borderId="22" xfId="74" applyNumberFormat="1" applyFont="1" applyFill="1" applyBorder="1" applyAlignment="1">
      <alignment horizontal="center" vertical="center"/>
    </xf>
    <xf numFmtId="0" fontId="17" fillId="0" borderId="19" xfId="74" applyFont="1" applyFill="1" applyBorder="1" applyAlignment="1">
      <alignment horizontal="center" vertical="center"/>
    </xf>
    <xf numFmtId="0" fontId="17" fillId="0" borderId="20" xfId="74" applyFont="1" applyFill="1" applyBorder="1" applyAlignment="1">
      <alignment horizontal="center" vertical="center"/>
    </xf>
    <xf numFmtId="3" fontId="19" fillId="0" borderId="14" xfId="74" applyNumberFormat="1" applyFont="1" applyFill="1" applyBorder="1" applyAlignment="1">
      <alignment vertical="center"/>
    </xf>
    <xf numFmtId="3" fontId="19" fillId="0" borderId="21" xfId="74" applyNumberFormat="1" applyFont="1" applyFill="1" applyBorder="1" applyAlignment="1">
      <alignment horizontal="center" vertical="center" wrapText="1"/>
    </xf>
    <xf numFmtId="0" fontId="17" fillId="0" borderId="21" xfId="74" applyFont="1" applyFill="1" applyBorder="1" applyAlignment="1">
      <alignment horizontal="center" vertical="center"/>
    </xf>
    <xf numFmtId="0" fontId="33" fillId="0" borderId="0" xfId="74" applyFont="1" applyFill="1" applyAlignment="1">
      <alignment vertical="center"/>
    </xf>
    <xf numFmtId="3" fontId="19" fillId="0" borderId="23" xfId="74" applyNumberFormat="1" applyFont="1" applyFill="1" applyBorder="1" applyAlignment="1">
      <alignment horizontal="right" vertical="center"/>
    </xf>
    <xf numFmtId="3" fontId="19" fillId="0" borderId="18" xfId="74" applyNumberFormat="1" applyFont="1" applyFill="1" applyBorder="1" applyAlignment="1">
      <alignment horizontal="right" vertical="center"/>
    </xf>
    <xf numFmtId="3" fontId="19" fillId="0" borderId="23" xfId="74" applyNumberFormat="1" applyFont="1" applyFill="1" applyBorder="1" applyAlignment="1">
      <alignment horizontal="right" vertical="center" wrapText="1"/>
    </xf>
    <xf numFmtId="3" fontId="19" fillId="0" borderId="18" xfId="74" applyNumberFormat="1" applyFont="1" applyFill="1" applyBorder="1" applyAlignment="1">
      <alignment horizontal="right" vertical="center" wrapText="1"/>
    </xf>
    <xf numFmtId="3" fontId="19" fillId="0" borderId="24" xfId="74" applyNumberFormat="1" applyFont="1" applyFill="1" applyBorder="1" applyAlignment="1">
      <alignment horizontal="left" vertical="center" wrapText="1"/>
    </xf>
    <xf numFmtId="3" fontId="19" fillId="0" borderId="14" xfId="74" applyNumberFormat="1" applyFont="1" applyFill="1" applyBorder="1" applyAlignment="1">
      <alignment horizontal="left" vertical="center" wrapText="1"/>
    </xf>
    <xf numFmtId="3" fontId="19" fillId="0" borderId="24" xfId="74" applyNumberFormat="1" applyFont="1" applyFill="1" applyBorder="1" applyAlignment="1">
      <alignment horizontal="left" vertical="center"/>
    </xf>
    <xf numFmtId="3" fontId="19" fillId="0" borderId="14" xfId="74" applyNumberFormat="1" applyFont="1" applyFill="1" applyBorder="1" applyAlignment="1">
      <alignment horizontal="left" vertical="center"/>
    </xf>
    <xf numFmtId="3" fontId="19" fillId="0" borderId="16" xfId="74" applyNumberFormat="1" applyFont="1" applyFill="1" applyBorder="1" applyAlignment="1">
      <alignment horizontal="left" vertical="center"/>
    </xf>
    <xf numFmtId="3" fontId="19" fillId="0" borderId="16" xfId="74" applyNumberFormat="1" applyFont="1" applyFill="1" applyBorder="1" applyAlignment="1">
      <alignment horizontal="left" vertical="center" wrapText="1"/>
    </xf>
    <xf numFmtId="3" fontId="19" fillId="0" borderId="25" xfId="74" applyNumberFormat="1" applyFont="1" applyFill="1" applyBorder="1" applyAlignment="1">
      <alignment horizontal="right" vertical="center" wrapText="1"/>
    </xf>
    <xf numFmtId="3" fontId="19" fillId="0" borderId="25" xfId="74" applyNumberFormat="1" applyFont="1" applyFill="1" applyBorder="1" applyAlignment="1">
      <alignment horizontal="right" vertical="center"/>
    </xf>
    <xf numFmtId="0" fontId="65" fillId="4" borderId="0" xfId="62" applyFont="1" applyFill="1" applyAlignment="1">
      <alignment vertical="center" wrapText="1"/>
    </xf>
    <xf numFmtId="0" fontId="20" fillId="4" borderId="0" xfId="62" applyFont="1" applyFill="1" applyAlignment="1">
      <alignment vertical="center" wrapText="1"/>
    </xf>
    <xf numFmtId="0" fontId="20" fillId="4" borderId="0" xfId="62" applyFont="1" applyFill="1" applyBorder="1" applyAlignment="1">
      <alignment vertical="center" wrapText="1"/>
    </xf>
    <xf numFmtId="0" fontId="61" fillId="4" borderId="0" xfId="62" applyNumberFormat="1" applyFont="1" applyFill="1" applyBorder="1" applyAlignment="1">
      <alignment horizontal="right" vertical="center" wrapText="1"/>
    </xf>
    <xf numFmtId="0" fontId="62" fillId="4" borderId="4" xfId="62" applyFont="1" applyFill="1" applyBorder="1" applyAlignment="1">
      <alignment horizontal="center" vertical="center" wrapText="1"/>
    </xf>
    <xf numFmtId="0" fontId="62" fillId="4" borderId="4" xfId="62" applyNumberFormat="1" applyFont="1" applyFill="1" applyBorder="1" applyAlignment="1">
      <alignment horizontal="center" vertical="center" wrapText="1"/>
    </xf>
    <xf numFmtId="0" fontId="62" fillId="4" borderId="12" xfId="62" applyFont="1" applyFill="1" applyBorder="1" applyAlignment="1">
      <alignment horizontal="center" vertical="center" wrapText="1"/>
    </xf>
    <xf numFmtId="0" fontId="62" fillId="4" borderId="12" xfId="62" applyFont="1" applyFill="1" applyBorder="1" applyAlignment="1">
      <alignment vertical="center" wrapText="1"/>
    </xf>
    <xf numFmtId="3" fontId="62" fillId="4" borderId="12" xfId="62" applyNumberFormat="1" applyFont="1" applyFill="1" applyBorder="1" applyAlignment="1">
      <alignment vertical="center" wrapText="1"/>
    </xf>
    <xf numFmtId="0" fontId="20" fillId="4" borderId="7" xfId="62" applyFont="1" applyFill="1" applyBorder="1" applyAlignment="1">
      <alignment horizontal="center" vertical="center" wrapText="1"/>
    </xf>
    <xf numFmtId="168" fontId="20" fillId="4" borderId="0" xfId="62" applyNumberFormat="1" applyFont="1" applyFill="1" applyAlignment="1">
      <alignment horizontal="left" vertical="center" wrapText="1"/>
    </xf>
    <xf numFmtId="0" fontId="20" fillId="4" borderId="0" xfId="62" applyFont="1" applyFill="1" applyAlignment="1">
      <alignment horizontal="right" vertical="center" wrapText="1"/>
    </xf>
    <xf numFmtId="0" fontId="20" fillId="4" borderId="0" xfId="62" applyFont="1" applyFill="1" applyAlignment="1">
      <alignment horizontal="left" vertical="center" wrapText="1"/>
    </xf>
    <xf numFmtId="0" fontId="61" fillId="4" borderId="7" xfId="62" applyFont="1" applyFill="1" applyBorder="1" applyAlignment="1">
      <alignment horizontal="center" vertical="center" wrapText="1"/>
    </xf>
    <xf numFmtId="0" fontId="61" fillId="4" borderId="0" xfId="62" applyFont="1" applyFill="1" applyAlignment="1">
      <alignment horizontal="left" vertical="center" wrapText="1"/>
    </xf>
    <xf numFmtId="0" fontId="61" fillId="4" borderId="0" xfId="62" applyFont="1" applyFill="1" applyAlignment="1">
      <alignment horizontal="right" vertical="center" wrapText="1"/>
    </xf>
    <xf numFmtId="0" fontId="10" fillId="4" borderId="7" xfId="62" applyFont="1" applyFill="1" applyBorder="1" applyAlignment="1">
      <alignment horizontal="center" vertical="center" wrapText="1"/>
    </xf>
    <xf numFmtId="0" fontId="10" fillId="4" borderId="18" xfId="62" applyFont="1" applyFill="1" applyBorder="1" applyAlignment="1">
      <alignment horizontal="center" vertical="center" wrapText="1"/>
    </xf>
    <xf numFmtId="0" fontId="10" fillId="4" borderId="14" xfId="62" applyNumberFormat="1" applyFont="1" applyFill="1" applyBorder="1" applyAlignment="1">
      <alignment vertical="center" wrapText="1"/>
    </xf>
    <xf numFmtId="1" fontId="10" fillId="4" borderId="7" xfId="62" applyNumberFormat="1" applyFont="1" applyFill="1" applyBorder="1" applyAlignment="1">
      <alignment horizontal="right" vertical="center" wrapText="1"/>
    </xf>
    <xf numFmtId="0" fontId="63" fillId="4" borderId="7" xfId="62" applyFont="1" applyFill="1" applyBorder="1" applyAlignment="1">
      <alignment horizontal="center" vertical="center" wrapText="1"/>
    </xf>
    <xf numFmtId="0" fontId="63" fillId="4" borderId="18" xfId="62" applyFont="1" applyFill="1" applyBorder="1" applyAlignment="1">
      <alignment horizontal="center" vertical="center" wrapText="1"/>
    </xf>
    <xf numFmtId="0" fontId="63" fillId="4" borderId="14" xfId="62" applyNumberFormat="1" applyFont="1" applyFill="1" applyBorder="1" applyAlignment="1">
      <alignment vertical="center" wrapText="1"/>
    </xf>
    <xf numFmtId="1" fontId="20" fillId="4" borderId="0" xfId="62" applyNumberFormat="1" applyFont="1" applyFill="1" applyAlignment="1">
      <alignment vertical="center" wrapText="1"/>
    </xf>
    <xf numFmtId="0" fontId="63" fillId="4" borderId="18" xfId="62" applyFont="1" applyFill="1" applyBorder="1" applyAlignment="1">
      <alignment horizontal="right" vertical="center" wrapText="1"/>
    </xf>
    <xf numFmtId="0" fontId="10" fillId="4" borderId="18" xfId="62" applyFont="1" applyFill="1" applyBorder="1" applyAlignment="1">
      <alignment horizontal="right" vertical="center" wrapText="1"/>
    </xf>
    <xf numFmtId="1" fontId="10" fillId="4" borderId="7" xfId="62" applyNumberFormat="1" applyFont="1" applyFill="1" applyBorder="1" applyAlignment="1">
      <alignment horizontal="left" vertical="center" wrapText="1"/>
    </xf>
    <xf numFmtId="1" fontId="20" fillId="4" borderId="0" xfId="62" applyNumberFormat="1" applyFont="1" applyFill="1" applyAlignment="1">
      <alignment horizontal="left" vertical="center" wrapText="1"/>
    </xf>
    <xf numFmtId="0" fontId="63" fillId="4" borderId="26" xfId="62" applyFont="1" applyFill="1" applyBorder="1" applyAlignment="1">
      <alignment horizontal="center" vertical="center" wrapText="1"/>
    </xf>
    <xf numFmtId="3" fontId="10" fillId="4" borderId="7" xfId="62" applyNumberFormat="1" applyFont="1" applyFill="1" applyBorder="1" applyAlignment="1">
      <alignment horizontal="right" vertical="center" wrapText="1"/>
    </xf>
    <xf numFmtId="0" fontId="20" fillId="4" borderId="25" xfId="62" applyFont="1" applyFill="1" applyBorder="1" applyAlignment="1">
      <alignment horizontal="center" vertical="center" wrapText="1"/>
    </xf>
    <xf numFmtId="0" fontId="20" fillId="4" borderId="27" xfId="62" applyFont="1" applyFill="1" applyBorder="1" applyAlignment="1">
      <alignment horizontal="center" vertical="center" wrapText="1"/>
    </xf>
    <xf numFmtId="0" fontId="20" fillId="4" borderId="16" xfId="62" applyFont="1" applyFill="1" applyBorder="1" applyAlignment="1">
      <alignment vertical="center" wrapText="1"/>
    </xf>
    <xf numFmtId="170" fontId="20" fillId="4" borderId="9" xfId="62" applyNumberFormat="1" applyFont="1" applyFill="1" applyBorder="1" applyAlignment="1">
      <alignment vertical="center" wrapText="1"/>
    </xf>
    <xf numFmtId="0" fontId="20" fillId="4" borderId="9" xfId="62" applyFont="1" applyFill="1" applyBorder="1" applyAlignment="1">
      <alignment vertical="center" wrapText="1"/>
    </xf>
    <xf numFmtId="0" fontId="67" fillId="4" borderId="0" xfId="62" applyFont="1" applyFill="1" applyAlignment="1">
      <alignment vertical="center" wrapText="1"/>
    </xf>
    <xf numFmtId="0" fontId="62" fillId="4" borderId="0" xfId="71" applyFont="1" applyFill="1" applyAlignment="1">
      <alignment horizontal="center" vertical="center"/>
    </xf>
    <xf numFmtId="0" fontId="20" fillId="4" borderId="0" xfId="71" applyFont="1" applyFill="1" applyAlignment="1">
      <alignment vertical="center"/>
    </xf>
    <xf numFmtId="0" fontId="62" fillId="4" borderId="0" xfId="71" applyFont="1" applyFill="1" applyAlignment="1">
      <alignment horizontal="center" vertical="center" wrapText="1"/>
    </xf>
    <xf numFmtId="168" fontId="62" fillId="4" borderId="0" xfId="71" applyNumberFormat="1" applyFont="1" applyFill="1" applyAlignment="1">
      <alignment horizontal="center" vertical="center"/>
    </xf>
    <xf numFmtId="167" fontId="62" fillId="4" borderId="0" xfId="13" applyNumberFormat="1" applyFont="1" applyFill="1" applyAlignment="1">
      <alignment horizontal="center" vertical="center"/>
    </xf>
    <xf numFmtId="0" fontId="20" fillId="4" borderId="1" xfId="71" applyFont="1" applyFill="1" applyBorder="1" applyAlignment="1">
      <alignment horizontal="center" vertical="center"/>
    </xf>
    <xf numFmtId="49" fontId="20" fillId="4" borderId="1" xfId="71" applyNumberFormat="1" applyFont="1" applyFill="1" applyBorder="1" applyAlignment="1">
      <alignment vertical="center" wrapText="1"/>
    </xf>
    <xf numFmtId="0" fontId="62" fillId="4" borderId="4" xfId="71" applyFont="1" applyFill="1" applyBorder="1" applyAlignment="1">
      <alignment horizontal="center" vertical="center" wrapText="1"/>
    </xf>
    <xf numFmtId="49" fontId="62" fillId="4" borderId="4" xfId="71" applyNumberFormat="1" applyFont="1" applyFill="1" applyBorder="1" applyAlignment="1">
      <alignment horizontal="center" vertical="center" wrapText="1"/>
    </xf>
    <xf numFmtId="168" fontId="62" fillId="4" borderId="4" xfId="71" applyNumberFormat="1" applyFont="1" applyFill="1" applyBorder="1" applyAlignment="1">
      <alignment horizontal="center" vertical="center" wrapText="1"/>
    </xf>
    <xf numFmtId="1" fontId="62" fillId="4" borderId="4" xfId="71" applyNumberFormat="1" applyFont="1" applyFill="1" applyBorder="1" applyAlignment="1">
      <alignment horizontal="center" vertical="center" wrapText="1"/>
    </xf>
    <xf numFmtId="1" fontId="62" fillId="4" borderId="4" xfId="34" applyNumberFormat="1" applyFont="1" applyFill="1" applyBorder="1" applyAlignment="1">
      <alignment horizontal="center" vertical="center" wrapText="1"/>
    </xf>
    <xf numFmtId="1" fontId="62" fillId="4" borderId="4" xfId="13" applyNumberFormat="1" applyFont="1" applyFill="1" applyBorder="1" applyAlignment="1">
      <alignment horizontal="center" vertical="center" wrapText="1"/>
    </xf>
    <xf numFmtId="1" fontId="62" fillId="4" borderId="0" xfId="13" applyNumberFormat="1" applyFont="1" applyFill="1" applyBorder="1" applyAlignment="1">
      <alignment horizontal="center" vertical="center" wrapText="1"/>
    </xf>
    <xf numFmtId="0" fontId="62" fillId="4" borderId="12" xfId="71" applyFont="1" applyFill="1" applyBorder="1" applyAlignment="1">
      <alignment horizontal="center" vertical="center"/>
    </xf>
    <xf numFmtId="49" fontId="62" fillId="4" borderId="12" xfId="71" applyNumberFormat="1" applyFont="1" applyFill="1" applyBorder="1" applyAlignment="1">
      <alignment horizontal="center" vertical="center" wrapText="1"/>
    </xf>
    <xf numFmtId="168" fontId="62" fillId="4" borderId="12" xfId="71" applyNumberFormat="1" applyFont="1" applyFill="1" applyBorder="1" applyAlignment="1">
      <alignment horizontal="center" vertical="center" wrapText="1"/>
    </xf>
    <xf numFmtId="168" fontId="62" fillId="4" borderId="12" xfId="34" applyNumberFormat="1" applyFont="1" applyFill="1" applyBorder="1" applyAlignment="1">
      <alignment vertical="center"/>
    </xf>
    <xf numFmtId="167" fontId="62" fillId="4" borderId="12" xfId="34" applyNumberFormat="1" applyFont="1" applyFill="1" applyBorder="1" applyAlignment="1">
      <alignment vertical="center"/>
    </xf>
    <xf numFmtId="171" fontId="62" fillId="4" borderId="12" xfId="13" applyNumberFormat="1" applyFont="1" applyFill="1" applyBorder="1" applyAlignment="1">
      <alignment vertical="center"/>
    </xf>
    <xf numFmtId="171" fontId="62" fillId="4" borderId="0" xfId="13" applyNumberFormat="1" applyFont="1" applyFill="1" applyBorder="1" applyAlignment="1">
      <alignment vertical="center"/>
    </xf>
    <xf numFmtId="0" fontId="62" fillId="4" borderId="0" xfId="71" applyFont="1" applyFill="1" applyAlignment="1">
      <alignment vertical="center"/>
    </xf>
    <xf numFmtId="3" fontId="62" fillId="4" borderId="0" xfId="71" applyNumberFormat="1" applyFont="1" applyFill="1" applyAlignment="1">
      <alignment vertical="center"/>
    </xf>
    <xf numFmtId="0" fontId="62" fillId="4" borderId="7" xfId="71" applyFont="1" applyFill="1" applyBorder="1" applyAlignment="1">
      <alignment horizontal="center" vertical="center"/>
    </xf>
    <xf numFmtId="49" fontId="62" fillId="4" borderId="7" xfId="71" applyNumberFormat="1" applyFont="1" applyFill="1" applyBorder="1" applyAlignment="1">
      <alignment horizontal="right" vertical="center" wrapText="1"/>
    </xf>
    <xf numFmtId="168" fontId="62" fillId="4" borderId="7" xfId="71" applyNumberFormat="1" applyFont="1" applyFill="1" applyBorder="1" applyAlignment="1">
      <alignment vertical="center" wrapText="1"/>
    </xf>
    <xf numFmtId="168" fontId="62" fillId="4" borderId="7" xfId="34" applyNumberFormat="1" applyFont="1" applyFill="1" applyBorder="1" applyAlignment="1">
      <alignment horizontal="left" vertical="center"/>
    </xf>
    <xf numFmtId="168" fontId="62" fillId="4" borderId="7" xfId="34" applyNumberFormat="1" applyFont="1" applyFill="1" applyBorder="1" applyAlignment="1">
      <alignment vertical="center"/>
    </xf>
    <xf numFmtId="167" fontId="62" fillId="4" borderId="7" xfId="34" applyNumberFormat="1" applyFont="1" applyFill="1" applyBorder="1" applyAlignment="1">
      <alignment vertical="center"/>
    </xf>
    <xf numFmtId="167" fontId="62" fillId="4" borderId="7" xfId="13" applyNumberFormat="1" applyFont="1" applyFill="1" applyBorder="1" applyAlignment="1">
      <alignment vertical="center"/>
    </xf>
    <xf numFmtId="167" fontId="62" fillId="4" borderId="0" xfId="13" applyNumberFormat="1" applyFont="1" applyFill="1" applyBorder="1" applyAlignment="1">
      <alignment vertical="center"/>
    </xf>
    <xf numFmtId="0" fontId="41" fillId="4" borderId="0" xfId="71" applyFont="1" applyFill="1" applyAlignment="1">
      <alignment horizontal="right" vertical="center"/>
    </xf>
    <xf numFmtId="0" fontId="41" fillId="4" borderId="0" xfId="71" applyFont="1" applyFill="1" applyAlignment="1">
      <alignment horizontal="left" vertical="center"/>
    </xf>
    <xf numFmtId="0" fontId="20" fillId="4" borderId="7" xfId="71" applyFont="1" applyFill="1" applyBorder="1" applyAlignment="1">
      <alignment horizontal="center" vertical="center"/>
    </xf>
    <xf numFmtId="49" fontId="20" fillId="4" borderId="7" xfId="71" applyNumberFormat="1" applyFont="1" applyFill="1" applyBorder="1" applyAlignment="1">
      <alignment horizontal="right" vertical="center" wrapText="1"/>
    </xf>
    <xf numFmtId="168" fontId="20" fillId="4" borderId="7" xfId="71" applyNumberFormat="1" applyFont="1" applyFill="1" applyBorder="1" applyAlignment="1">
      <alignment vertical="center" wrapText="1"/>
    </xf>
    <xf numFmtId="168" fontId="20" fillId="4" borderId="7" xfId="34" applyNumberFormat="1" applyFont="1" applyFill="1" applyBorder="1" applyAlignment="1">
      <alignment horizontal="left" vertical="center"/>
    </xf>
    <xf numFmtId="168" fontId="20" fillId="4" borderId="7" xfId="34" applyNumberFormat="1" applyFont="1" applyFill="1" applyBorder="1" applyAlignment="1">
      <alignment vertical="center"/>
    </xf>
    <xf numFmtId="167" fontId="20" fillId="4" borderId="7" xfId="34" applyNumberFormat="1" applyFont="1" applyFill="1" applyBorder="1" applyAlignment="1">
      <alignment vertical="center"/>
    </xf>
    <xf numFmtId="167" fontId="20" fillId="4" borderId="7" xfId="13" applyNumberFormat="1" applyFont="1" applyFill="1" applyBorder="1" applyAlignment="1">
      <alignment vertical="center"/>
    </xf>
    <xf numFmtId="167" fontId="20" fillId="4" borderId="0" xfId="13" applyNumberFormat="1" applyFont="1" applyFill="1" applyBorder="1" applyAlignment="1">
      <alignment vertical="center"/>
    </xf>
    <xf numFmtId="0" fontId="20" fillId="4" borderId="0" xfId="71" applyFont="1" applyFill="1" applyAlignment="1">
      <alignment horizontal="right" vertical="center"/>
    </xf>
    <xf numFmtId="0" fontId="20" fillId="4" borderId="0" xfId="71" applyFont="1" applyFill="1" applyAlignment="1">
      <alignment horizontal="left" vertical="center"/>
    </xf>
    <xf numFmtId="49" fontId="20" fillId="4" borderId="7" xfId="71" applyNumberFormat="1" applyFont="1" applyFill="1" applyBorder="1" applyAlignment="1">
      <alignment vertical="center" wrapText="1"/>
    </xf>
    <xf numFmtId="49" fontId="20" fillId="4" borderId="7" xfId="71" quotePrefix="1" applyNumberFormat="1" applyFont="1" applyFill="1" applyBorder="1" applyAlignment="1">
      <alignment vertical="center" wrapText="1"/>
    </xf>
    <xf numFmtId="168" fontId="20" fillId="4" borderId="7" xfId="71" quotePrefix="1" applyNumberFormat="1" applyFont="1" applyFill="1" applyBorder="1" applyAlignment="1">
      <alignment vertical="center" wrapText="1"/>
    </xf>
    <xf numFmtId="49" fontId="10" fillId="4" borderId="7" xfId="71" quotePrefix="1" applyNumberFormat="1" applyFont="1" applyFill="1" applyBorder="1" applyAlignment="1">
      <alignment vertical="center" wrapText="1"/>
    </xf>
    <xf numFmtId="168" fontId="10" fillId="4" borderId="7" xfId="71" quotePrefix="1" applyNumberFormat="1" applyFont="1" applyFill="1" applyBorder="1" applyAlignment="1">
      <alignment vertical="center" wrapText="1"/>
    </xf>
    <xf numFmtId="49" fontId="62" fillId="4" borderId="7" xfId="71" applyNumberFormat="1" applyFont="1" applyFill="1" applyBorder="1" applyAlignment="1">
      <alignment vertical="center" wrapText="1"/>
    </xf>
    <xf numFmtId="191" fontId="62" fillId="4" borderId="7" xfId="71" applyNumberFormat="1" applyFont="1" applyFill="1" applyBorder="1" applyAlignment="1">
      <alignment vertical="center" wrapText="1"/>
    </xf>
    <xf numFmtId="3" fontId="62" fillId="4" borderId="7" xfId="71" applyNumberFormat="1" applyFont="1" applyFill="1" applyBorder="1" applyAlignment="1">
      <alignment vertical="center" wrapText="1"/>
    </xf>
    <xf numFmtId="0" fontId="61" fillId="4" borderId="7" xfId="71" applyFont="1" applyFill="1" applyBorder="1" applyAlignment="1">
      <alignment horizontal="center" vertical="center"/>
    </xf>
    <xf numFmtId="49" fontId="61" fillId="4" borderId="7" xfId="71" applyNumberFormat="1" applyFont="1" applyFill="1" applyBorder="1" applyAlignment="1">
      <alignment horizontal="right" vertical="center" wrapText="1"/>
    </xf>
    <xf numFmtId="168" fontId="61" fillId="4" borderId="7" xfId="71" applyNumberFormat="1" applyFont="1" applyFill="1" applyBorder="1" applyAlignment="1">
      <alignment vertical="center" wrapText="1"/>
    </xf>
    <xf numFmtId="168" fontId="61" fillId="4" borderId="7" xfId="71" applyNumberFormat="1" applyFont="1" applyFill="1" applyBorder="1" applyAlignment="1">
      <alignment horizontal="left" vertical="center" wrapText="1"/>
    </xf>
    <xf numFmtId="167" fontId="61" fillId="4" borderId="0" xfId="13" applyNumberFormat="1" applyFont="1" applyFill="1" applyBorder="1" applyAlignment="1">
      <alignment horizontal="center" vertical="center"/>
    </xf>
    <xf numFmtId="0" fontId="61" fillId="4" borderId="0" xfId="71" applyFont="1" applyFill="1" applyAlignment="1">
      <alignment horizontal="right" vertical="center"/>
    </xf>
    <xf numFmtId="0" fontId="61" fillId="4" borderId="0" xfId="71" applyFont="1" applyFill="1" applyAlignment="1">
      <alignment vertical="center"/>
    </xf>
    <xf numFmtId="0" fontId="61" fillId="4" borderId="0" xfId="71" applyFont="1" applyFill="1" applyAlignment="1">
      <alignment horizontal="left" vertical="center"/>
    </xf>
    <xf numFmtId="3" fontId="20" fillId="4" borderId="7" xfId="34" applyNumberFormat="1" applyFont="1" applyFill="1" applyBorder="1" applyAlignment="1">
      <alignment vertical="center"/>
    </xf>
    <xf numFmtId="3" fontId="20" fillId="4" borderId="7" xfId="34" applyNumberFormat="1" applyFont="1" applyFill="1" applyBorder="1" applyAlignment="1">
      <alignment horizontal="left" vertical="center"/>
    </xf>
    <xf numFmtId="167" fontId="20" fillId="4" borderId="0" xfId="13" applyNumberFormat="1" applyFont="1" applyFill="1" applyBorder="1" applyAlignment="1">
      <alignment horizontal="center" vertical="center"/>
    </xf>
    <xf numFmtId="168" fontId="61" fillId="4" borderId="7" xfId="34" applyNumberFormat="1" applyFont="1" applyFill="1" applyBorder="1" applyAlignment="1">
      <alignment vertical="center"/>
    </xf>
    <xf numFmtId="167" fontId="61" fillId="4" borderId="0" xfId="13" applyNumberFormat="1" applyFont="1" applyFill="1" applyBorder="1" applyAlignment="1">
      <alignment vertical="center"/>
    </xf>
    <xf numFmtId="49" fontId="61" fillId="4" borderId="7" xfId="71" applyNumberFormat="1" applyFont="1" applyFill="1" applyBorder="1" applyAlignment="1">
      <alignment vertical="center" wrapText="1"/>
    </xf>
    <xf numFmtId="3" fontId="62" fillId="4" borderId="7" xfId="34" applyNumberFormat="1" applyFont="1" applyFill="1" applyBorder="1" applyAlignment="1">
      <alignment vertical="center"/>
    </xf>
    <xf numFmtId="0" fontId="62" fillId="4" borderId="13" xfId="71" applyFont="1" applyFill="1" applyBorder="1" applyAlignment="1">
      <alignment horizontal="center" vertical="center"/>
    </xf>
    <xf numFmtId="49" fontId="62" fillId="4" borderId="13" xfId="71" applyNumberFormat="1" applyFont="1" applyFill="1" applyBorder="1" applyAlignment="1">
      <alignment vertical="center" wrapText="1"/>
    </xf>
    <xf numFmtId="168" fontId="62" fillId="4" borderId="13" xfId="71" applyNumberFormat="1" applyFont="1" applyFill="1" applyBorder="1" applyAlignment="1">
      <alignment vertical="center" wrapText="1"/>
    </xf>
    <xf numFmtId="168" fontId="62" fillId="4" borderId="13" xfId="34" applyNumberFormat="1" applyFont="1" applyFill="1" applyBorder="1" applyAlignment="1">
      <alignment vertical="center"/>
    </xf>
    <xf numFmtId="167" fontId="62" fillId="4" borderId="13" xfId="34" applyNumberFormat="1" applyFont="1" applyFill="1" applyBorder="1" applyAlignment="1">
      <alignment vertical="center"/>
    </xf>
    <xf numFmtId="167" fontId="62" fillId="4" borderId="13" xfId="13" applyNumberFormat="1" applyFont="1" applyFill="1" applyBorder="1" applyAlignment="1">
      <alignment vertical="center"/>
    </xf>
    <xf numFmtId="0" fontId="20" fillId="4" borderId="12" xfId="71" applyFont="1" applyFill="1" applyBorder="1" applyAlignment="1">
      <alignment horizontal="center" vertical="center"/>
    </xf>
    <xf numFmtId="49" fontId="20" fillId="4" borderId="12" xfId="71" applyNumberFormat="1" applyFont="1" applyFill="1" applyBorder="1" applyAlignment="1">
      <alignment vertical="center" wrapText="1"/>
    </xf>
    <xf numFmtId="168" fontId="20" fillId="4" borderId="12" xfId="71" applyNumberFormat="1" applyFont="1" applyFill="1" applyBorder="1" applyAlignment="1">
      <alignment vertical="center" wrapText="1"/>
    </xf>
    <xf numFmtId="168" fontId="41" fillId="4" borderId="12" xfId="34" applyNumberFormat="1" applyFont="1" applyFill="1" applyBorder="1" applyAlignment="1">
      <alignment vertical="center"/>
    </xf>
    <xf numFmtId="168" fontId="20" fillId="4" borderId="12" xfId="34" applyNumberFormat="1" applyFont="1" applyFill="1" applyBorder="1" applyAlignment="1">
      <alignment vertical="center"/>
    </xf>
    <xf numFmtId="167" fontId="20" fillId="4" borderId="12" xfId="34" applyNumberFormat="1" applyFont="1" applyFill="1" applyBorder="1" applyAlignment="1">
      <alignment vertical="center"/>
    </xf>
    <xf numFmtId="167" fontId="20" fillId="4" borderId="12" xfId="13" applyNumberFormat="1" applyFont="1" applyFill="1" applyBorder="1" applyAlignment="1">
      <alignment vertical="center"/>
    </xf>
    <xf numFmtId="0" fontId="20" fillId="4" borderId="9" xfId="71" applyFont="1" applyFill="1" applyBorder="1" applyAlignment="1">
      <alignment horizontal="center" vertical="center"/>
    </xf>
    <xf numFmtId="49" fontId="20" fillId="4" borderId="9" xfId="71" applyNumberFormat="1" applyFont="1" applyFill="1" applyBorder="1" applyAlignment="1">
      <alignment vertical="center" wrapText="1"/>
    </xf>
    <xf numFmtId="168" fontId="20" fillId="4" borderId="9" xfId="71" applyNumberFormat="1" applyFont="1" applyFill="1" applyBorder="1" applyAlignment="1">
      <alignment vertical="center" wrapText="1"/>
    </xf>
    <xf numFmtId="3" fontId="20" fillId="4" borderId="9" xfId="34" applyNumberFormat="1" applyFont="1" applyFill="1" applyBorder="1" applyAlignment="1">
      <alignment vertical="center"/>
    </xf>
    <xf numFmtId="167" fontId="20" fillId="4" borderId="9" xfId="34" applyNumberFormat="1" applyFont="1" applyFill="1" applyBorder="1" applyAlignment="1">
      <alignment vertical="center"/>
    </xf>
    <xf numFmtId="167" fontId="20" fillId="4" borderId="9" xfId="13" applyNumberFormat="1" applyFont="1" applyFill="1" applyBorder="1" applyAlignment="1">
      <alignment vertical="center"/>
    </xf>
    <xf numFmtId="0" fontId="71" fillId="4" borderId="0" xfId="71" applyFont="1" applyFill="1" applyAlignment="1">
      <alignment horizontal="center" vertical="center"/>
    </xf>
    <xf numFmtId="49" fontId="20" fillId="4" borderId="0" xfId="71" applyNumberFormat="1" applyFont="1" applyFill="1" applyAlignment="1">
      <alignment horizontal="left" vertical="center"/>
    </xf>
    <xf numFmtId="168" fontId="20" fillId="4" borderId="0" xfId="71" applyNumberFormat="1" applyFont="1" applyFill="1" applyAlignment="1">
      <alignment horizontal="left" vertical="center"/>
    </xf>
    <xf numFmtId="4" fontId="20" fillId="4" borderId="0" xfId="71" applyNumberFormat="1" applyFont="1" applyFill="1" applyAlignment="1">
      <alignment horizontal="left" vertical="center"/>
    </xf>
    <xf numFmtId="167" fontId="20" fillId="4" borderId="0" xfId="71" applyNumberFormat="1" applyFont="1" applyFill="1" applyAlignment="1">
      <alignment horizontal="left" vertical="center"/>
    </xf>
    <xf numFmtId="167" fontId="20" fillId="4" borderId="0" xfId="13" applyNumberFormat="1" applyFont="1" applyFill="1" applyAlignment="1">
      <alignment horizontal="left" vertical="center"/>
    </xf>
    <xf numFmtId="3" fontId="62" fillId="4" borderId="7" xfId="62" applyNumberFormat="1" applyFont="1" applyFill="1" applyBorder="1" applyAlignment="1">
      <alignment horizontal="right" vertical="center" wrapText="1"/>
    </xf>
    <xf numFmtId="1" fontId="62" fillId="4" borderId="7" xfId="62" applyNumberFormat="1" applyFont="1" applyFill="1" applyBorder="1" applyAlignment="1">
      <alignment horizontal="left" vertical="center" wrapText="1"/>
    </xf>
    <xf numFmtId="1" fontId="62" fillId="4" borderId="7" xfId="62" applyNumberFormat="1" applyFont="1" applyFill="1" applyBorder="1" applyAlignment="1">
      <alignment horizontal="right" vertical="center" wrapText="1"/>
    </xf>
    <xf numFmtId="168" fontId="62" fillId="4" borderId="7" xfId="62" applyNumberFormat="1" applyFont="1" applyFill="1" applyBorder="1" applyAlignment="1">
      <alignment horizontal="right" vertical="center" wrapText="1"/>
    </xf>
    <xf numFmtId="168" fontId="62" fillId="4" borderId="7" xfId="62" applyNumberFormat="1" applyFont="1" applyFill="1" applyBorder="1" applyAlignment="1">
      <alignment horizontal="left" vertical="center" wrapText="1"/>
    </xf>
    <xf numFmtId="1" fontId="20" fillId="4" borderId="7" xfId="62" applyNumberFormat="1" applyFont="1" applyFill="1" applyBorder="1" applyAlignment="1">
      <alignment horizontal="left" vertical="center" wrapText="1"/>
    </xf>
    <xf numFmtId="1" fontId="20" fillId="4" borderId="7" xfId="62" applyNumberFormat="1" applyFont="1" applyFill="1" applyBorder="1" applyAlignment="1">
      <alignment horizontal="right" vertical="center" wrapText="1"/>
    </xf>
    <xf numFmtId="3" fontId="20" fillId="4" borderId="7" xfId="62" applyNumberFormat="1" applyFont="1" applyFill="1" applyBorder="1" applyAlignment="1">
      <alignment horizontal="right" vertical="center" wrapText="1"/>
    </xf>
    <xf numFmtId="3" fontId="20" fillId="4" borderId="7" xfId="62" applyNumberFormat="1" applyFont="1" applyFill="1" applyBorder="1" applyAlignment="1">
      <alignment horizontal="left" vertical="center" wrapText="1"/>
    </xf>
    <xf numFmtId="1" fontId="61" fillId="4" borderId="7" xfId="62" applyNumberFormat="1" applyFont="1" applyFill="1" applyBorder="1" applyAlignment="1">
      <alignment horizontal="left" vertical="center" wrapText="1"/>
    </xf>
    <xf numFmtId="1" fontId="61" fillId="4" borderId="7" xfId="62" applyNumberFormat="1" applyFont="1" applyFill="1" applyBorder="1" applyAlignment="1">
      <alignment horizontal="right" vertical="center" wrapText="1"/>
    </xf>
    <xf numFmtId="168" fontId="61" fillId="4" borderId="7" xfId="62" applyNumberFormat="1" applyFont="1" applyFill="1" applyBorder="1" applyAlignment="1">
      <alignment horizontal="right" vertical="center" wrapText="1"/>
    </xf>
    <xf numFmtId="168" fontId="61" fillId="4" borderId="7" xfId="62" applyNumberFormat="1" applyFont="1" applyFill="1" applyBorder="1" applyAlignment="1">
      <alignment horizontal="left" vertical="center" wrapText="1"/>
    </xf>
    <xf numFmtId="1" fontId="63" fillId="4" borderId="7" xfId="62" applyNumberFormat="1" applyFont="1" applyFill="1" applyBorder="1" applyAlignment="1">
      <alignment horizontal="right" vertical="center" wrapText="1"/>
    </xf>
    <xf numFmtId="168" fontId="63" fillId="4" borderId="7" xfId="62" applyNumberFormat="1" applyFont="1" applyFill="1" applyBorder="1" applyAlignment="1">
      <alignment horizontal="right" vertical="center" wrapText="1"/>
    </xf>
    <xf numFmtId="168" fontId="61" fillId="4" borderId="7" xfId="62" applyNumberFormat="1" applyFont="1" applyFill="1" applyBorder="1" applyAlignment="1">
      <alignment horizontal="center" vertical="center" wrapText="1"/>
    </xf>
    <xf numFmtId="3" fontId="20" fillId="4" borderId="7" xfId="62" applyNumberFormat="1" applyFont="1" applyFill="1" applyBorder="1" applyAlignment="1">
      <alignment horizontal="center" vertical="center" wrapText="1"/>
    </xf>
    <xf numFmtId="3" fontId="10" fillId="4" borderId="7" xfId="62" applyNumberFormat="1" applyFont="1" applyFill="1" applyBorder="1" applyAlignment="1">
      <alignment horizontal="left" vertical="center" wrapText="1"/>
    </xf>
    <xf numFmtId="1" fontId="63" fillId="4" borderId="7" xfId="62" applyNumberFormat="1" applyFont="1" applyFill="1" applyBorder="1" applyAlignment="1">
      <alignment horizontal="left" vertical="center" wrapText="1"/>
    </xf>
    <xf numFmtId="168" fontId="63" fillId="4" borderId="7" xfId="62" applyNumberFormat="1" applyFont="1" applyFill="1" applyBorder="1" applyAlignment="1">
      <alignment horizontal="left" vertical="center" wrapText="1"/>
    </xf>
    <xf numFmtId="0" fontId="20" fillId="0" borderId="0" xfId="0" applyFont="1" applyFill="1" applyAlignment="1">
      <alignment vertical="center"/>
    </xf>
    <xf numFmtId="0" fontId="17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vertical="center" wrapText="1"/>
    </xf>
    <xf numFmtId="167" fontId="17" fillId="0" borderId="4" xfId="4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left" vertical="center" wrapText="1"/>
    </xf>
    <xf numFmtId="167" fontId="19" fillId="0" borderId="4" xfId="4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/>
    </xf>
    <xf numFmtId="0" fontId="72" fillId="0" borderId="4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vertical="center"/>
    </xf>
    <xf numFmtId="0" fontId="19" fillId="0" borderId="4" xfId="0" quotePrefix="1" applyFont="1" applyFill="1" applyBorder="1" applyAlignment="1">
      <alignment horizontal="left" vertical="center" wrapText="1"/>
    </xf>
    <xf numFmtId="0" fontId="19" fillId="0" borderId="4" xfId="0" quotePrefix="1" applyFont="1" applyFill="1" applyBorder="1" applyAlignment="1">
      <alignment horizontal="center" vertical="center" wrapText="1"/>
    </xf>
    <xf numFmtId="167" fontId="19" fillId="0" borderId="4" xfId="13" applyNumberFormat="1" applyFont="1" applyFill="1" applyBorder="1" applyAlignment="1">
      <alignment horizontal="center" vertical="center" wrapText="1"/>
    </xf>
    <xf numFmtId="171" fontId="17" fillId="0" borderId="4" xfId="40" applyNumberFormat="1" applyFont="1" applyFill="1" applyBorder="1" applyAlignment="1">
      <alignment horizontal="center" vertical="center" wrapText="1"/>
    </xf>
    <xf numFmtId="0" fontId="76" fillId="0" borderId="4" xfId="0" applyFont="1" applyFill="1" applyBorder="1" applyAlignment="1">
      <alignment horizontal="center" vertical="center"/>
    </xf>
    <xf numFmtId="0" fontId="74" fillId="0" borderId="4" xfId="0" applyFont="1" applyFill="1" applyBorder="1" applyAlignment="1">
      <alignment horizontal="left" vertical="center" wrapText="1"/>
    </xf>
    <xf numFmtId="167" fontId="74" fillId="0" borderId="4" xfId="13" applyNumberFormat="1" applyFont="1" applyFill="1" applyBorder="1" applyAlignment="1">
      <alignment horizontal="center" vertical="center" wrapText="1"/>
    </xf>
    <xf numFmtId="0" fontId="74" fillId="0" borderId="4" xfId="0" applyFont="1" applyFill="1" applyBorder="1" applyAlignment="1">
      <alignment horizontal="center" vertical="center"/>
    </xf>
    <xf numFmtId="43" fontId="17" fillId="0" borderId="4" xfId="40" applyNumberFormat="1" applyFont="1" applyFill="1" applyBorder="1" applyAlignment="1">
      <alignment horizontal="center" vertical="center"/>
    </xf>
    <xf numFmtId="171" fontId="74" fillId="0" borderId="4" xfId="40" applyNumberFormat="1" applyFont="1" applyFill="1" applyBorder="1" applyAlignment="1">
      <alignment horizontal="center" vertical="center"/>
    </xf>
    <xf numFmtId="43" fontId="72" fillId="0" borderId="4" xfId="0" applyNumberFormat="1" applyFont="1" applyFill="1" applyBorder="1" applyAlignment="1">
      <alignment vertical="center"/>
    </xf>
    <xf numFmtId="43" fontId="19" fillId="0" borderId="4" xfId="0" applyNumberFormat="1" applyFont="1" applyFill="1" applyBorder="1" applyAlignment="1">
      <alignment vertical="center"/>
    </xf>
    <xf numFmtId="43" fontId="19" fillId="0" borderId="4" xfId="40" applyNumberFormat="1" applyFont="1" applyFill="1" applyBorder="1" applyAlignment="1">
      <alignment horizontal="center" vertical="center"/>
    </xf>
    <xf numFmtId="171" fontId="19" fillId="0" borderId="4" xfId="0" applyNumberFormat="1" applyFont="1" applyFill="1" applyBorder="1" applyAlignment="1">
      <alignment vertical="center"/>
    </xf>
    <xf numFmtId="171" fontId="72" fillId="0" borderId="4" xfId="0" applyNumberFormat="1" applyFont="1" applyFill="1" applyBorder="1" applyAlignment="1">
      <alignment vertical="center"/>
    </xf>
    <xf numFmtId="171" fontId="19" fillId="0" borderId="4" xfId="0" applyNumberFormat="1" applyFont="1" applyFill="1" applyBorder="1" applyAlignment="1">
      <alignment horizontal="center" vertical="center"/>
    </xf>
    <xf numFmtId="43" fontId="74" fillId="0" borderId="4" xfId="13" applyNumberFormat="1" applyFont="1" applyFill="1" applyBorder="1" applyAlignment="1">
      <alignment horizontal="center" vertical="center"/>
    </xf>
    <xf numFmtId="0" fontId="20" fillId="0" borderId="0" xfId="69" applyFont="1" applyFill="1" applyAlignment="1">
      <alignment vertical="center"/>
    </xf>
    <xf numFmtId="0" fontId="20" fillId="0" borderId="0" xfId="69" applyFont="1" applyFill="1" applyAlignment="1">
      <alignment vertical="center" wrapText="1"/>
    </xf>
    <xf numFmtId="0" fontId="20" fillId="0" borderId="0" xfId="69" applyFont="1" applyFill="1" applyAlignment="1">
      <alignment horizontal="center" vertical="center" wrapText="1"/>
    </xf>
    <xf numFmtId="0" fontId="19" fillId="0" borderId="0" xfId="69" applyFont="1" applyFill="1" applyBorder="1" applyAlignment="1">
      <alignment vertical="center"/>
    </xf>
    <xf numFmtId="0" fontId="19" fillId="0" borderId="0" xfId="69" applyFont="1" applyFill="1" applyAlignment="1">
      <alignment horizontal="center" vertical="center" wrapText="1"/>
    </xf>
    <xf numFmtId="0" fontId="19" fillId="0" borderId="0" xfId="69" applyFont="1" applyFill="1" applyAlignment="1">
      <alignment vertical="center"/>
    </xf>
    <xf numFmtId="0" fontId="17" fillId="0" borderId="4" xfId="69" applyFont="1" applyFill="1" applyBorder="1" applyAlignment="1">
      <alignment horizontal="center" vertical="center" wrapText="1"/>
    </xf>
    <xf numFmtId="0" fontId="62" fillId="0" borderId="0" xfId="69" applyFont="1" applyFill="1" applyAlignment="1">
      <alignment vertical="center" wrapText="1"/>
    </xf>
    <xf numFmtId="0" fontId="17" fillId="0" borderId="4" xfId="69" applyFont="1" applyFill="1" applyBorder="1" applyAlignment="1">
      <alignment horizontal="center" vertical="center"/>
    </xf>
    <xf numFmtId="0" fontId="17" fillId="0" borderId="4" xfId="69" applyFont="1" applyFill="1" applyBorder="1" applyAlignment="1">
      <alignment vertical="center" wrapText="1"/>
    </xf>
    <xf numFmtId="0" fontId="19" fillId="0" borderId="4" xfId="69" applyFont="1" applyFill="1" applyBorder="1" applyAlignment="1">
      <alignment horizontal="center" vertical="center" wrapText="1"/>
    </xf>
    <xf numFmtId="4" fontId="19" fillId="0" borderId="4" xfId="24" applyNumberFormat="1" applyFont="1" applyFill="1" applyBorder="1" applyAlignment="1">
      <alignment horizontal="center" vertical="center"/>
    </xf>
    <xf numFmtId="0" fontId="19" fillId="0" borderId="4" xfId="69" applyFont="1" applyFill="1" applyBorder="1" applyAlignment="1">
      <alignment vertical="center"/>
    </xf>
    <xf numFmtId="168" fontId="19" fillId="0" borderId="4" xfId="24" applyNumberFormat="1" applyFont="1" applyFill="1" applyBorder="1" applyAlignment="1">
      <alignment horizontal="center" vertical="center"/>
    </xf>
    <xf numFmtId="0" fontId="62" fillId="0" borderId="0" xfId="69" applyFont="1" applyFill="1" applyAlignment="1">
      <alignment vertical="center"/>
    </xf>
    <xf numFmtId="0" fontId="17" fillId="0" borderId="4" xfId="69" applyFont="1" applyFill="1" applyBorder="1" applyAlignment="1">
      <alignment horizontal="left" vertical="center" wrapText="1"/>
    </xf>
    <xf numFmtId="0" fontId="19" fillId="0" borderId="4" xfId="69" applyFont="1" applyFill="1" applyBorder="1" applyAlignment="1">
      <alignment horizontal="center" vertical="center"/>
    </xf>
    <xf numFmtId="0" fontId="19" fillId="0" borderId="4" xfId="69" applyFont="1" applyFill="1" applyBorder="1" applyAlignment="1">
      <alignment horizontal="left" vertical="center" wrapText="1"/>
    </xf>
    <xf numFmtId="0" fontId="20" fillId="0" borderId="0" xfId="69" applyFont="1" applyFill="1" applyAlignment="1">
      <alignment horizontal="right" vertical="center"/>
    </xf>
    <xf numFmtId="0" fontId="20" fillId="0" borderId="0" xfId="69" applyFont="1" applyFill="1" applyAlignment="1">
      <alignment horizontal="left" vertical="center"/>
    </xf>
    <xf numFmtId="168" fontId="20" fillId="0" borderId="0" xfId="69" applyNumberFormat="1" applyFont="1" applyFill="1" applyAlignment="1">
      <alignment horizontal="right" vertical="center"/>
    </xf>
    <xf numFmtId="0" fontId="19" fillId="0" borderId="4" xfId="69" applyFont="1" applyFill="1" applyBorder="1" applyAlignment="1">
      <alignment vertical="center" wrapText="1"/>
    </xf>
    <xf numFmtId="192" fontId="19" fillId="0" borderId="4" xfId="24" applyNumberFormat="1" applyFont="1" applyFill="1" applyBorder="1" applyAlignment="1">
      <alignment horizontal="center" vertical="center"/>
    </xf>
    <xf numFmtId="0" fontId="19" fillId="0" borderId="0" xfId="69" applyFont="1" applyFill="1" applyAlignment="1">
      <alignment horizontal="center" vertical="center"/>
    </xf>
    <xf numFmtId="0" fontId="19" fillId="0" borderId="0" xfId="69" applyFont="1" applyFill="1" applyAlignment="1">
      <alignment vertical="center" wrapText="1"/>
    </xf>
    <xf numFmtId="167" fontId="19" fillId="0" borderId="0" xfId="24" applyNumberFormat="1" applyFont="1" applyFill="1" applyAlignment="1">
      <alignment horizontal="center" vertical="center"/>
    </xf>
    <xf numFmtId="168" fontId="19" fillId="0" borderId="0" xfId="24" applyNumberFormat="1" applyFont="1" applyFill="1" applyAlignment="1">
      <alignment vertical="center"/>
    </xf>
    <xf numFmtId="0" fontId="19" fillId="0" borderId="0" xfId="69" applyFont="1" applyFill="1" applyAlignment="1">
      <alignment horizontal="right" vertical="center" wrapText="1"/>
    </xf>
    <xf numFmtId="168" fontId="19" fillId="0" borderId="0" xfId="69" applyNumberFormat="1" applyFont="1" applyFill="1" applyAlignment="1">
      <alignment horizontal="left" vertical="center"/>
    </xf>
    <xf numFmtId="168" fontId="19" fillId="0" borderId="0" xfId="69" applyNumberFormat="1" applyFont="1" applyFill="1" applyAlignment="1">
      <alignment vertical="center"/>
    </xf>
    <xf numFmtId="0" fontId="17" fillId="0" borderId="0" xfId="69" applyFont="1" applyFill="1" applyAlignment="1">
      <alignment vertical="center" wrapText="1"/>
    </xf>
    <xf numFmtId="3" fontId="17" fillId="0" borderId="4" xfId="69" applyNumberFormat="1" applyFont="1" applyFill="1" applyBorder="1" applyAlignment="1">
      <alignment vertical="center" wrapText="1"/>
    </xf>
    <xf numFmtId="0" fontId="17" fillId="0" borderId="0" xfId="69" applyFont="1" applyFill="1" applyAlignment="1">
      <alignment horizontal="right" vertical="center"/>
    </xf>
    <xf numFmtId="0" fontId="17" fillId="0" borderId="0" xfId="69" applyFont="1" applyFill="1" applyAlignment="1">
      <alignment vertical="center"/>
    </xf>
    <xf numFmtId="0" fontId="17" fillId="0" borderId="0" xfId="69" applyFont="1" applyFill="1" applyAlignment="1">
      <alignment horizontal="left" vertical="center"/>
    </xf>
    <xf numFmtId="3" fontId="19" fillId="0" borderId="4" xfId="13" applyNumberFormat="1" applyFont="1" applyFill="1" applyBorder="1" applyAlignment="1">
      <alignment horizontal="right"/>
    </xf>
    <xf numFmtId="3" fontId="19" fillId="0" borderId="4" xfId="69" applyNumberFormat="1" applyFont="1" applyBorder="1" applyAlignment="1">
      <alignment horizontal="right" vertical="center" wrapText="1"/>
    </xf>
    <xf numFmtId="3" fontId="19" fillId="0" borderId="4" xfId="69" applyNumberFormat="1" applyFont="1" applyFill="1" applyBorder="1" applyAlignment="1">
      <alignment horizontal="right" wrapText="1"/>
    </xf>
    <xf numFmtId="3" fontId="19" fillId="0" borderId="4" xfId="69" quotePrefix="1" applyNumberFormat="1" applyFont="1" applyFill="1" applyBorder="1" applyAlignment="1">
      <alignment horizontal="right" wrapText="1"/>
    </xf>
    <xf numFmtId="3" fontId="19" fillId="0" borderId="4" xfId="69" applyNumberFormat="1" applyFont="1" applyBorder="1" applyAlignment="1">
      <alignment horizontal="right"/>
    </xf>
    <xf numFmtId="49" fontId="19" fillId="0" borderId="0" xfId="69" applyNumberFormat="1" applyFont="1" applyFill="1" applyAlignment="1">
      <alignment horizontal="center" vertical="center"/>
    </xf>
    <xf numFmtId="0" fontId="17" fillId="0" borderId="28" xfId="69" applyFont="1" applyFill="1" applyBorder="1" applyAlignment="1">
      <alignment horizontal="center" vertical="center" wrapText="1"/>
    </xf>
    <xf numFmtId="49" fontId="19" fillId="0" borderId="4" xfId="69" quotePrefix="1" applyNumberFormat="1" applyFont="1" applyFill="1" applyBorder="1" applyAlignment="1">
      <alignment horizontal="center" vertical="center" wrapText="1"/>
    </xf>
    <xf numFmtId="0" fontId="19" fillId="0" borderId="28" xfId="69" applyFont="1" applyFill="1" applyBorder="1" applyAlignment="1">
      <alignment horizontal="center" vertical="center" wrapText="1"/>
    </xf>
    <xf numFmtId="0" fontId="17" fillId="0" borderId="8" xfId="69" applyFont="1" applyFill="1" applyBorder="1" applyAlignment="1">
      <alignment horizontal="center" vertical="center"/>
    </xf>
    <xf numFmtId="0" fontId="17" fillId="0" borderId="8" xfId="69" applyFont="1" applyFill="1" applyBorder="1" applyAlignment="1">
      <alignment vertical="center" wrapText="1"/>
    </xf>
    <xf numFmtId="0" fontId="17" fillId="0" borderId="8" xfId="69" applyFont="1" applyFill="1" applyBorder="1" applyAlignment="1">
      <alignment horizontal="center" vertical="center" wrapText="1"/>
    </xf>
    <xf numFmtId="4" fontId="17" fillId="0" borderId="8" xfId="29" applyNumberFormat="1" applyFont="1" applyFill="1" applyBorder="1" applyAlignment="1">
      <alignment horizontal="center"/>
    </xf>
    <xf numFmtId="0" fontId="19" fillId="0" borderId="28" xfId="69" applyFont="1" applyFill="1" applyBorder="1" applyAlignment="1">
      <alignment vertical="center"/>
    </xf>
    <xf numFmtId="49" fontId="17" fillId="0" borderId="7" xfId="69" applyNumberFormat="1" applyFont="1" applyFill="1" applyBorder="1" applyAlignment="1">
      <alignment horizontal="center" vertical="center"/>
    </xf>
    <xf numFmtId="0" fontId="17" fillId="0" borderId="7" xfId="69" applyFont="1" applyFill="1" applyBorder="1" applyAlignment="1">
      <alignment horizontal="left" vertical="center" wrapText="1"/>
    </xf>
    <xf numFmtId="0" fontId="17" fillId="0" borderId="7" xfId="69" applyFont="1" applyFill="1" applyBorder="1" applyAlignment="1">
      <alignment horizontal="center" vertical="center" wrapText="1"/>
    </xf>
    <xf numFmtId="167" fontId="17" fillId="0" borderId="7" xfId="29" applyNumberFormat="1" applyFont="1" applyFill="1" applyBorder="1" applyAlignment="1"/>
    <xf numFmtId="168" fontId="17" fillId="0" borderId="7" xfId="29" applyNumberFormat="1" applyFont="1" applyFill="1" applyBorder="1" applyAlignment="1">
      <alignment horizontal="center"/>
    </xf>
    <xf numFmtId="0" fontId="17" fillId="0" borderId="28" xfId="69" applyFont="1" applyFill="1" applyBorder="1" applyAlignment="1">
      <alignment horizontal="right" vertical="center"/>
    </xf>
    <xf numFmtId="0" fontId="19" fillId="0" borderId="7" xfId="69" applyFont="1" applyFill="1" applyBorder="1" applyAlignment="1">
      <alignment horizontal="center" vertical="center" wrapText="1"/>
    </xf>
    <xf numFmtId="167" fontId="19" fillId="0" borderId="7" xfId="29" applyNumberFormat="1" applyFont="1" applyFill="1" applyBorder="1" applyAlignment="1"/>
    <xf numFmtId="0" fontId="82" fillId="0" borderId="28" xfId="69" applyFont="1" applyFill="1" applyBorder="1" applyAlignment="1">
      <alignment vertical="center"/>
    </xf>
    <xf numFmtId="49" fontId="19" fillId="0" borderId="7" xfId="69" applyNumberFormat="1" applyFont="1" applyFill="1" applyBorder="1" applyAlignment="1">
      <alignment horizontal="center" vertical="center"/>
    </xf>
    <xf numFmtId="0" fontId="19" fillId="0" borderId="7" xfId="69" applyFont="1" applyFill="1" applyBorder="1" applyAlignment="1">
      <alignment horizontal="left" vertical="center" wrapText="1"/>
    </xf>
    <xf numFmtId="168" fontId="19" fillId="0" borderId="7" xfId="29" applyNumberFormat="1" applyFont="1" applyFill="1" applyBorder="1" applyAlignment="1">
      <alignment horizontal="center"/>
    </xf>
    <xf numFmtId="0" fontId="19" fillId="0" borderId="7" xfId="69" quotePrefix="1" applyFont="1" applyFill="1" applyBorder="1" applyAlignment="1">
      <alignment horizontal="left" vertical="center" wrapText="1"/>
    </xf>
    <xf numFmtId="0" fontId="19" fillId="0" borderId="7" xfId="69" quotePrefix="1" applyFont="1" applyFill="1" applyBorder="1" applyAlignment="1">
      <alignment horizontal="center" vertical="center" wrapText="1"/>
    </xf>
    <xf numFmtId="49" fontId="82" fillId="0" borderId="7" xfId="69" applyNumberFormat="1" applyFont="1" applyFill="1" applyBorder="1" applyAlignment="1">
      <alignment horizontal="center" vertical="center"/>
    </xf>
    <xf numFmtId="167" fontId="83" fillId="0" borderId="7" xfId="29" applyNumberFormat="1" applyFont="1" applyFill="1" applyBorder="1" applyAlignment="1"/>
    <xf numFmtId="168" fontId="83" fillId="0" borderId="7" xfId="29" applyNumberFormat="1" applyFont="1" applyFill="1" applyBorder="1" applyAlignment="1">
      <alignment horizontal="center"/>
    </xf>
    <xf numFmtId="4" fontId="83" fillId="0" borderId="7" xfId="29" applyNumberFormat="1" applyFont="1" applyFill="1" applyBorder="1" applyAlignment="1">
      <alignment horizontal="center"/>
    </xf>
    <xf numFmtId="0" fontId="17" fillId="0" borderId="28" xfId="69" applyFont="1" applyFill="1" applyBorder="1" applyAlignment="1">
      <alignment vertical="center"/>
    </xf>
    <xf numFmtId="49" fontId="17" fillId="0" borderId="9" xfId="69" applyNumberFormat="1" applyFont="1" applyFill="1" applyBorder="1" applyAlignment="1">
      <alignment horizontal="center" vertical="center"/>
    </xf>
    <xf numFmtId="0" fontId="17" fillId="0" borderId="9" xfId="69" applyFont="1" applyFill="1" applyBorder="1" applyAlignment="1">
      <alignment horizontal="left" vertical="center" wrapText="1"/>
    </xf>
    <xf numFmtId="0" fontId="19" fillId="0" borderId="9" xfId="69" applyFont="1" applyFill="1" applyBorder="1" applyAlignment="1">
      <alignment horizontal="center" vertical="center" wrapText="1"/>
    </xf>
    <xf numFmtId="167" fontId="19" fillId="0" borderId="9" xfId="29" applyNumberFormat="1" applyFont="1" applyFill="1" applyBorder="1" applyAlignment="1"/>
    <xf numFmtId="168" fontId="17" fillId="0" borderId="9" xfId="29" applyNumberFormat="1" applyFont="1" applyFill="1" applyBorder="1" applyAlignment="1">
      <alignment horizontal="center"/>
    </xf>
    <xf numFmtId="49" fontId="17" fillId="0" borderId="4" xfId="69" applyNumberFormat="1" applyFont="1" applyFill="1" applyBorder="1" applyAlignment="1">
      <alignment horizontal="center" vertical="center"/>
    </xf>
    <xf numFmtId="167" fontId="19" fillId="0" borderId="4" xfId="29" applyNumberFormat="1" applyFont="1" applyFill="1" applyBorder="1" applyAlignment="1">
      <alignment horizontal="center" vertical="center"/>
    </xf>
    <xf numFmtId="168" fontId="17" fillId="0" borderId="4" xfId="29" applyNumberFormat="1" applyFont="1" applyFill="1" applyBorder="1" applyAlignment="1">
      <alignment horizontal="center" vertical="center"/>
    </xf>
    <xf numFmtId="49" fontId="19" fillId="0" borderId="0" xfId="69" applyNumberFormat="1" applyFont="1" applyFill="1" applyBorder="1" applyAlignment="1">
      <alignment horizontal="center" vertical="center"/>
    </xf>
    <xf numFmtId="0" fontId="19" fillId="0" borderId="0" xfId="69" applyFont="1" applyFill="1" applyBorder="1" applyAlignment="1">
      <alignment vertical="center" wrapText="1"/>
    </xf>
    <xf numFmtId="0" fontId="19" fillId="0" borderId="0" xfId="69" applyFont="1" applyFill="1" applyBorder="1" applyAlignment="1">
      <alignment horizontal="center" vertical="center" wrapText="1"/>
    </xf>
    <xf numFmtId="167" fontId="19" fillId="0" borderId="0" xfId="29" applyNumberFormat="1" applyFont="1" applyFill="1" applyBorder="1" applyAlignment="1">
      <alignment horizontal="center" vertical="center"/>
    </xf>
    <xf numFmtId="168" fontId="19" fillId="0" borderId="0" xfId="29" applyNumberFormat="1" applyFont="1" applyFill="1" applyBorder="1" applyAlignment="1">
      <alignment horizontal="center" vertical="center"/>
    </xf>
    <xf numFmtId="167" fontId="19" fillId="0" borderId="0" xfId="29" applyNumberFormat="1" applyFont="1" applyFill="1" applyAlignment="1">
      <alignment horizontal="center" vertical="center"/>
    </xf>
    <xf numFmtId="168" fontId="19" fillId="0" borderId="0" xfId="29" applyNumberFormat="1" applyFont="1" applyFill="1" applyAlignment="1">
      <alignment vertical="center"/>
    </xf>
    <xf numFmtId="0" fontId="19" fillId="0" borderId="0" xfId="69" applyFont="1" applyFill="1" applyAlignment="1">
      <alignment horizontal="left" vertical="center"/>
    </xf>
    <xf numFmtId="0" fontId="19" fillId="0" borderId="0" xfId="69" applyFont="1" applyFill="1" applyAlignment="1">
      <alignment horizontal="right" vertical="center"/>
    </xf>
    <xf numFmtId="0" fontId="19" fillId="6" borderId="0" xfId="69" applyFont="1" applyFill="1" applyAlignment="1">
      <alignment vertical="center" wrapText="1"/>
    </xf>
    <xf numFmtId="0" fontId="17" fillId="0" borderId="29" xfId="69" applyFont="1" applyFill="1" applyBorder="1" applyAlignment="1">
      <alignment horizontal="center" vertical="center"/>
    </xf>
    <xf numFmtId="0" fontId="17" fillId="0" borderId="29" xfId="69" applyFont="1" applyFill="1" applyBorder="1" applyAlignment="1">
      <alignment horizontal="left" vertical="center" wrapText="1"/>
    </xf>
    <xf numFmtId="0" fontId="17" fillId="0" borderId="29" xfId="69" applyFont="1" applyFill="1" applyBorder="1" applyAlignment="1">
      <alignment horizontal="center" vertical="center" wrapText="1"/>
    </xf>
    <xf numFmtId="167" fontId="17" fillId="0" borderId="29" xfId="29" applyNumberFormat="1" applyFont="1" applyFill="1" applyBorder="1" applyAlignment="1">
      <alignment horizontal="center" vertical="center"/>
    </xf>
    <xf numFmtId="168" fontId="17" fillId="0" borderId="29" xfId="29" applyNumberFormat="1" applyFont="1" applyFill="1" applyBorder="1" applyAlignment="1">
      <alignment horizontal="left" vertical="center"/>
    </xf>
    <xf numFmtId="168" fontId="17" fillId="0" borderId="29" xfId="29" applyNumberFormat="1" applyFont="1" applyFill="1" applyBorder="1" applyAlignment="1">
      <alignment horizontal="center" vertical="center"/>
    </xf>
    <xf numFmtId="0" fontId="62" fillId="0" borderId="0" xfId="69" applyFont="1" applyFill="1" applyAlignment="1">
      <alignment horizontal="left" vertical="center"/>
    </xf>
    <xf numFmtId="0" fontId="62" fillId="0" borderId="0" xfId="69" applyFont="1" applyFill="1" applyAlignment="1">
      <alignment horizontal="right" vertical="center"/>
    </xf>
    <xf numFmtId="0" fontId="19" fillId="0" borderId="4" xfId="69" applyFont="1" applyFill="1" applyBorder="1" applyAlignment="1">
      <alignment horizontal="center" vertical="top"/>
    </xf>
    <xf numFmtId="0" fontId="19" fillId="0" borderId="4" xfId="69" quotePrefix="1" applyFont="1" applyFill="1" applyBorder="1" applyAlignment="1">
      <alignment horizontal="left" vertical="center" wrapText="1"/>
    </xf>
    <xf numFmtId="0" fontId="19" fillId="0" borderId="4" xfId="69" quotePrefix="1" applyFont="1" applyFill="1" applyBorder="1" applyAlignment="1">
      <alignment horizontal="center" vertical="center" wrapText="1"/>
    </xf>
    <xf numFmtId="2" fontId="20" fillId="0" borderId="4" xfId="77" applyNumberFormat="1" applyFont="1" applyFill="1" applyBorder="1" applyAlignment="1">
      <alignment horizontal="center" vertical="center"/>
    </xf>
    <xf numFmtId="2" fontId="20" fillId="0" borderId="0" xfId="69" applyNumberFormat="1" applyFont="1" applyFill="1" applyAlignment="1">
      <alignment horizontal="right" vertical="center"/>
    </xf>
    <xf numFmtId="167" fontId="17" fillId="0" borderId="4" xfId="29" applyNumberFormat="1" applyFont="1" applyFill="1" applyBorder="1" applyAlignment="1">
      <alignment horizontal="center" vertical="center"/>
    </xf>
    <xf numFmtId="168" fontId="17" fillId="0" borderId="4" xfId="29" applyNumberFormat="1" applyFont="1" applyFill="1" applyBorder="1" applyAlignment="1">
      <alignment horizontal="left" vertical="center"/>
    </xf>
    <xf numFmtId="0" fontId="19" fillId="0" borderId="4" xfId="69" quotePrefix="1" applyFont="1" applyFill="1" applyBorder="1" applyAlignment="1">
      <alignment vertical="center" wrapText="1"/>
    </xf>
    <xf numFmtId="0" fontId="17" fillId="0" borderId="4" xfId="69" applyFont="1" applyFill="1" applyBorder="1" applyAlignment="1">
      <alignment vertical="center"/>
    </xf>
    <xf numFmtId="0" fontId="87" fillId="0" borderId="0" xfId="69" applyFont="1" applyFill="1" applyAlignment="1">
      <alignment vertical="center"/>
    </xf>
    <xf numFmtId="0" fontId="19" fillId="4" borderId="4" xfId="69" applyFont="1" applyFill="1" applyBorder="1" applyAlignment="1">
      <alignment horizontal="center" vertical="center"/>
    </xf>
    <xf numFmtId="0" fontId="19" fillId="4" borderId="4" xfId="69" quotePrefix="1" applyFont="1" applyFill="1" applyBorder="1" applyAlignment="1">
      <alignment horizontal="left" vertical="center" wrapText="1"/>
    </xf>
    <xf numFmtId="0" fontId="19" fillId="4" borderId="4" xfId="69" applyFont="1" applyFill="1" applyBorder="1" applyAlignment="1">
      <alignment horizontal="center" vertical="center" wrapText="1"/>
    </xf>
    <xf numFmtId="0" fontId="17" fillId="4" borderId="4" xfId="69" applyFont="1" applyFill="1" applyBorder="1" applyAlignment="1">
      <alignment horizontal="center" vertical="center"/>
    </xf>
    <xf numFmtId="0" fontId="17" fillId="4" borderId="4" xfId="69" applyFont="1" applyFill="1" applyBorder="1" applyAlignment="1">
      <alignment vertical="center" wrapText="1"/>
    </xf>
    <xf numFmtId="0" fontId="19" fillId="4" borderId="4" xfId="69" quotePrefix="1" applyFont="1" applyFill="1" applyBorder="1" applyAlignment="1">
      <alignment vertical="center" wrapText="1"/>
    </xf>
    <xf numFmtId="0" fontId="17" fillId="4" borderId="4" xfId="69" applyFont="1" applyFill="1" applyBorder="1" applyAlignment="1">
      <alignment horizontal="center" vertical="center" wrapText="1"/>
    </xf>
    <xf numFmtId="0" fontId="17" fillId="4" borderId="4" xfId="69" applyFont="1" applyFill="1" applyBorder="1" applyAlignment="1">
      <alignment horizontal="right" vertical="center"/>
    </xf>
    <xf numFmtId="0" fontId="17" fillId="4" borderId="4" xfId="69" applyFont="1" applyFill="1" applyBorder="1" applyAlignment="1">
      <alignment vertical="center"/>
    </xf>
    <xf numFmtId="0" fontId="62" fillId="4" borderId="0" xfId="69" applyFont="1" applyFill="1" applyBorder="1" applyAlignment="1">
      <alignment vertical="center"/>
    </xf>
    <xf numFmtId="0" fontId="19" fillId="4" borderId="4" xfId="69" applyFont="1" applyFill="1" applyBorder="1" applyAlignment="1">
      <alignment horizontal="left" vertical="center" wrapText="1"/>
    </xf>
    <xf numFmtId="0" fontId="72" fillId="4" borderId="4" xfId="69" applyFont="1" applyFill="1" applyBorder="1" applyAlignment="1">
      <alignment vertical="center" wrapText="1"/>
    </xf>
    <xf numFmtId="0" fontId="19" fillId="4" borderId="4" xfId="69" quotePrefix="1" applyFont="1" applyFill="1" applyBorder="1" applyAlignment="1">
      <alignment horizontal="center" vertical="center" wrapText="1"/>
    </xf>
    <xf numFmtId="0" fontId="20" fillId="4" borderId="0" xfId="69" applyFont="1" applyFill="1" applyBorder="1" applyAlignment="1">
      <alignment vertical="center"/>
    </xf>
    <xf numFmtId="0" fontId="72" fillId="4" borderId="4" xfId="69" applyFont="1" applyFill="1" applyBorder="1" applyAlignment="1">
      <alignment horizontal="center" vertical="center"/>
    </xf>
    <xf numFmtId="193" fontId="19" fillId="4" borderId="4" xfId="69" applyNumberFormat="1" applyFont="1" applyFill="1" applyBorder="1" applyAlignment="1">
      <alignment horizontal="right" vertical="center"/>
    </xf>
    <xf numFmtId="0" fontId="61" fillId="4" borderId="0" xfId="69" applyFont="1" applyFill="1" applyBorder="1" applyAlignment="1">
      <alignment vertical="center"/>
    </xf>
    <xf numFmtId="171" fontId="20" fillId="4" borderId="4" xfId="13" applyNumberFormat="1" applyFont="1" applyFill="1" applyBorder="1" applyAlignment="1">
      <alignment horizontal="right" vertical="center" wrapText="1"/>
    </xf>
    <xf numFmtId="43" fontId="17" fillId="0" borderId="4" xfId="40" applyNumberFormat="1" applyFont="1" applyFill="1" applyBorder="1" applyAlignment="1">
      <alignment horizontal="right" vertical="center"/>
    </xf>
    <xf numFmtId="0" fontId="33" fillId="0" borderId="0" xfId="69" applyFont="1" applyFill="1" applyAlignment="1"/>
    <xf numFmtId="0" fontId="20" fillId="0" borderId="4" xfId="69" applyFont="1" applyFill="1" applyBorder="1" applyAlignment="1">
      <alignment horizontal="center" vertical="center"/>
    </xf>
    <xf numFmtId="0" fontId="62" fillId="0" borderId="4" xfId="69" applyFont="1" applyFill="1" applyBorder="1" applyAlignment="1">
      <alignment horizontal="center" vertical="center" wrapText="1"/>
    </xf>
    <xf numFmtId="0" fontId="20" fillId="0" borderId="4" xfId="69" applyFont="1" applyFill="1" applyBorder="1" applyAlignment="1">
      <alignment horizontal="center" vertical="center" wrapText="1"/>
    </xf>
    <xf numFmtId="0" fontId="62" fillId="0" borderId="4" xfId="69" applyFont="1" applyFill="1" applyBorder="1" applyAlignment="1">
      <alignment horizontal="center" vertical="center"/>
    </xf>
    <xf numFmtId="0" fontId="62" fillId="0" borderId="4" xfId="69" applyFont="1" applyFill="1" applyBorder="1" applyAlignment="1">
      <alignment horizontal="left" vertical="center" wrapText="1"/>
    </xf>
    <xf numFmtId="0" fontId="20" fillId="0" borderId="4" xfId="69" applyFont="1" applyFill="1" applyBorder="1" applyAlignment="1">
      <alignment wrapText="1"/>
    </xf>
    <xf numFmtId="0" fontId="65" fillId="0" borderId="0" xfId="69" applyFont="1" applyAlignment="1">
      <alignment horizontal="center" wrapText="1"/>
    </xf>
    <xf numFmtId="0" fontId="65" fillId="0" borderId="4" xfId="69" applyFont="1" applyFill="1" applyBorder="1" applyAlignment="1">
      <alignment horizontal="center" vertical="center" wrapText="1"/>
    </xf>
    <xf numFmtId="0" fontId="88" fillId="0" borderId="4" xfId="69" applyFont="1" applyFill="1" applyBorder="1" applyAlignment="1">
      <alignment horizontal="center" vertical="center" wrapText="1"/>
    </xf>
    <xf numFmtId="0" fontId="88" fillId="0" borderId="4" xfId="69" applyFont="1" applyFill="1" applyBorder="1" applyAlignment="1">
      <alignment vertical="center" wrapText="1"/>
    </xf>
    <xf numFmtId="171" fontId="88" fillId="0" borderId="4" xfId="20" applyNumberFormat="1" applyFont="1" applyFill="1" applyBorder="1" applyAlignment="1">
      <alignment horizontal="center" vertical="center" wrapText="1"/>
    </xf>
    <xf numFmtId="171" fontId="65" fillId="0" borderId="4" xfId="20" applyNumberFormat="1" applyFont="1" applyFill="1" applyBorder="1" applyAlignment="1">
      <alignment horizontal="center" vertical="center" wrapText="1"/>
    </xf>
    <xf numFmtId="0" fontId="17" fillId="0" borderId="4" xfId="70" applyFont="1" applyFill="1" applyBorder="1" applyAlignment="1">
      <alignment horizontal="center" vertical="center" wrapText="1"/>
    </xf>
    <xf numFmtId="0" fontId="17" fillId="0" borderId="4" xfId="70" applyFont="1" applyFill="1" applyBorder="1" applyAlignment="1">
      <alignment horizontal="center" vertical="center"/>
    </xf>
    <xf numFmtId="0" fontId="19" fillId="0" borderId="4" xfId="70" applyFont="1" applyFill="1" applyBorder="1" applyAlignment="1">
      <alignment horizontal="center" vertical="center" wrapText="1"/>
    </xf>
    <xf numFmtId="164" fontId="62" fillId="0" borderId="0" xfId="70" applyNumberFormat="1" applyFont="1" applyFill="1" applyAlignment="1">
      <alignment vertical="center"/>
    </xf>
    <xf numFmtId="0" fontId="17" fillId="0" borderId="4" xfId="70" applyFont="1" applyFill="1" applyBorder="1" applyAlignment="1">
      <alignment horizontal="left" vertical="center" wrapText="1"/>
    </xf>
    <xf numFmtId="0" fontId="17" fillId="0" borderId="4" xfId="70" applyFont="1" applyFill="1" applyBorder="1" applyAlignment="1">
      <alignment vertical="center" wrapText="1"/>
    </xf>
    <xf numFmtId="0" fontId="19" fillId="0" borderId="4" xfId="70" applyFont="1" applyFill="1" applyBorder="1" applyAlignment="1">
      <alignment horizontal="center" vertical="center"/>
    </xf>
    <xf numFmtId="0" fontId="19" fillId="0" borderId="0" xfId="70" applyFont="1" applyFill="1" applyAlignment="1">
      <alignment horizontal="center" vertical="center"/>
    </xf>
    <xf numFmtId="0" fontId="19" fillId="0" borderId="0" xfId="70" applyFont="1" applyFill="1" applyAlignment="1">
      <alignment vertical="center"/>
    </xf>
    <xf numFmtId="0" fontId="19" fillId="0" borderId="0" xfId="70" applyFont="1" applyFill="1" applyAlignment="1">
      <alignment vertical="center" wrapText="1"/>
    </xf>
    <xf numFmtId="0" fontId="77" fillId="0" borderId="4" xfId="0" applyFont="1" applyFill="1" applyBorder="1" applyAlignment="1">
      <alignment horizontal="left" vertical="center" wrapText="1"/>
    </xf>
    <xf numFmtId="0" fontId="65" fillId="0" borderId="0" xfId="69" applyFont="1" applyFill="1" applyAlignment="1">
      <alignment vertical="center" wrapText="1"/>
    </xf>
    <xf numFmtId="171" fontId="17" fillId="0" borderId="4" xfId="0" applyNumberFormat="1" applyFont="1" applyFill="1" applyBorder="1" applyAlignment="1">
      <alignment horizontal="center" vertical="center"/>
    </xf>
    <xf numFmtId="0" fontId="65" fillId="0" borderId="0" xfId="70" applyFont="1" applyFill="1" applyAlignment="1">
      <alignment vertical="center" wrapText="1"/>
    </xf>
    <xf numFmtId="43" fontId="19" fillId="0" borderId="4" xfId="13" applyNumberFormat="1" applyFont="1" applyFill="1" applyBorder="1" applyAlignment="1">
      <alignment horizontal="center" vertical="center"/>
    </xf>
    <xf numFmtId="0" fontId="32" fillId="0" borderId="0" xfId="69" applyFont="1" applyFill="1" applyAlignment="1">
      <alignment horizontal="center" vertical="center"/>
    </xf>
    <xf numFmtId="0" fontId="32" fillId="0" borderId="0" xfId="69" applyFont="1" applyFill="1" applyAlignment="1">
      <alignment vertical="center" wrapText="1"/>
    </xf>
    <xf numFmtId="0" fontId="32" fillId="0" borderId="0" xfId="69" applyFont="1" applyFill="1" applyAlignment="1">
      <alignment horizontal="center" vertical="center" wrapText="1"/>
    </xf>
    <xf numFmtId="0" fontId="32" fillId="0" borderId="0" xfId="69" applyFont="1" applyFill="1" applyAlignment="1">
      <alignment vertical="center"/>
    </xf>
    <xf numFmtId="0" fontId="32" fillId="0" borderId="0" xfId="69" applyFont="1" applyFill="1" applyAlignment="1">
      <alignment horizontal="right" vertical="center" wrapText="1"/>
    </xf>
    <xf numFmtId="0" fontId="32" fillId="0" borderId="0" xfId="69" applyFont="1" applyFill="1" applyAlignment="1">
      <alignment horizontal="left" vertical="center"/>
    </xf>
    <xf numFmtId="0" fontId="65" fillId="0" borderId="0" xfId="69" applyFont="1" applyFill="1" applyAlignment="1">
      <alignment horizontal="center" vertical="center" wrapText="1"/>
    </xf>
    <xf numFmtId="3" fontId="19" fillId="0" borderId="4" xfId="13" applyNumberFormat="1" applyFont="1" applyFill="1" applyBorder="1" applyAlignment="1">
      <alignment horizontal="center" vertical="center"/>
    </xf>
    <xf numFmtId="0" fontId="65" fillId="0" borderId="0" xfId="70" applyFont="1" applyFill="1" applyAlignment="1">
      <alignment horizontal="center" vertical="center" wrapText="1"/>
    </xf>
    <xf numFmtId="0" fontId="65" fillId="0" borderId="0" xfId="69" applyFont="1" applyFill="1" applyBorder="1" applyAlignment="1">
      <alignment vertical="center"/>
    </xf>
    <xf numFmtId="171" fontId="75" fillId="0" borderId="4" xfId="40" applyNumberFormat="1" applyFont="1" applyFill="1" applyBorder="1" applyAlignment="1">
      <alignment horizontal="center" vertical="center" wrapText="1"/>
    </xf>
    <xf numFmtId="171" fontId="19" fillId="0" borderId="4" xfId="40" applyNumberFormat="1" applyFont="1" applyFill="1" applyBorder="1" applyAlignment="1">
      <alignment horizontal="center" vertical="center"/>
    </xf>
    <xf numFmtId="3" fontId="17" fillId="0" borderId="4" xfId="69" applyNumberFormat="1" applyFont="1" applyFill="1" applyBorder="1" applyAlignment="1">
      <alignment wrapText="1"/>
    </xf>
    <xf numFmtId="3" fontId="19" fillId="0" borderId="4" xfId="69" applyNumberFormat="1" applyFont="1" applyFill="1" applyBorder="1" applyAlignment="1">
      <alignment horizontal="center" wrapText="1"/>
    </xf>
    <xf numFmtId="3" fontId="19" fillId="0" borderId="4" xfId="69" applyNumberFormat="1" applyFont="1" applyFill="1" applyBorder="1" applyAlignment="1">
      <alignment wrapText="1"/>
    </xf>
    <xf numFmtId="3" fontId="19" fillId="0" borderId="4" xfId="69" applyNumberFormat="1" applyFont="1" applyFill="1" applyBorder="1" applyAlignment="1">
      <alignment horizontal="right" vertical="center" wrapText="1"/>
    </xf>
    <xf numFmtId="3" fontId="19" fillId="0" borderId="4" xfId="69" applyNumberFormat="1" applyFont="1" applyFill="1" applyBorder="1" applyAlignment="1">
      <alignment horizontal="right"/>
    </xf>
    <xf numFmtId="0" fontId="17" fillId="0" borderId="4" xfId="69" applyFont="1" applyFill="1" applyBorder="1" applyAlignment="1">
      <alignment horizontal="right" vertical="center"/>
    </xf>
    <xf numFmtId="193" fontId="19" fillId="0" borderId="4" xfId="69" applyNumberFormat="1" applyFont="1" applyFill="1" applyBorder="1" applyAlignment="1">
      <alignment horizontal="right" vertical="center"/>
    </xf>
    <xf numFmtId="171" fontId="20" fillId="0" borderId="4" xfId="13" applyNumberFormat="1" applyFont="1" applyFill="1" applyBorder="1" applyAlignment="1">
      <alignment horizontal="right" vertical="center" wrapText="1"/>
    </xf>
    <xf numFmtId="0" fontId="20" fillId="0" borderId="4" xfId="69" applyFont="1" applyFill="1" applyBorder="1" applyAlignment="1">
      <alignment horizontal="right" vertical="center" wrapText="1"/>
    </xf>
    <xf numFmtId="171" fontId="19" fillId="0" borderId="4" xfId="20" applyNumberFormat="1" applyFont="1" applyFill="1" applyBorder="1" applyAlignment="1">
      <alignment horizontal="right" vertical="center" wrapText="1"/>
    </xf>
    <xf numFmtId="0" fontId="19" fillId="0" borderId="4" xfId="64" quotePrefix="1" applyFont="1" applyFill="1" applyBorder="1" applyAlignment="1">
      <alignment vertical="center" wrapText="1"/>
    </xf>
    <xf numFmtId="0" fontId="20" fillId="0" borderId="4" xfId="63" applyFont="1" applyFill="1" applyBorder="1" applyAlignment="1">
      <alignment horizontal="left" vertical="center" wrapText="1"/>
    </xf>
    <xf numFmtId="0" fontId="19" fillId="0" borderId="0" xfId="70" applyFont="1" applyFill="1" applyAlignment="1">
      <alignment horizontal="center" vertical="center" wrapText="1"/>
    </xf>
    <xf numFmtId="3" fontId="19" fillId="0" borderId="0" xfId="69" applyNumberFormat="1" applyFont="1" applyFill="1" applyAlignment="1">
      <alignment horizontal="center" vertical="center" wrapText="1"/>
    </xf>
    <xf numFmtId="168" fontId="96" fillId="0" borderId="7" xfId="29" applyNumberFormat="1" applyFont="1" applyFill="1" applyBorder="1" applyAlignment="1">
      <alignment horizontal="center"/>
    </xf>
    <xf numFmtId="171" fontId="17" fillId="0" borderId="4" xfId="0" applyNumberFormat="1" applyFont="1" applyFill="1" applyBorder="1" applyAlignment="1">
      <alignment vertical="center"/>
    </xf>
    <xf numFmtId="167" fontId="17" fillId="0" borderId="4" xfId="13" applyNumberFormat="1" applyFont="1" applyFill="1" applyBorder="1" applyAlignment="1">
      <alignment horizontal="center" vertical="center" wrapText="1"/>
    </xf>
    <xf numFmtId="168" fontId="17" fillId="0" borderId="4" xfId="13" applyNumberFormat="1" applyFont="1" applyFill="1" applyBorder="1" applyAlignment="1">
      <alignment horizontal="center" vertical="center"/>
    </xf>
    <xf numFmtId="193" fontId="17" fillId="4" borderId="4" xfId="69" applyNumberFormat="1" applyFont="1" applyFill="1" applyBorder="1" applyAlignment="1">
      <alignment horizontal="right" vertical="center"/>
    </xf>
    <xf numFmtId="167" fontId="72" fillId="0" borderId="4" xfId="13" applyNumberFormat="1" applyFont="1" applyFill="1" applyBorder="1" applyAlignment="1">
      <alignment horizontal="right" vertical="center" wrapText="1"/>
    </xf>
    <xf numFmtId="4" fontId="72" fillId="0" borderId="4" xfId="13" applyNumberFormat="1" applyFont="1" applyFill="1" applyBorder="1" applyAlignment="1">
      <alignment horizontal="right" vertical="center"/>
    </xf>
    <xf numFmtId="4" fontId="72" fillId="4" borderId="4" xfId="13" applyNumberFormat="1" applyFont="1" applyFill="1" applyBorder="1" applyAlignment="1">
      <alignment horizontal="right" vertical="center"/>
    </xf>
    <xf numFmtId="0" fontId="20" fillId="0" borderId="4" xfId="69" applyFont="1" applyFill="1" applyBorder="1" applyAlignment="1">
      <alignment horizontal="right" vertical="center"/>
    </xf>
    <xf numFmtId="0" fontId="92" fillId="0" borderId="0" xfId="69" applyFont="1" applyFill="1" applyBorder="1" applyAlignment="1">
      <alignment horizontal="right" vertical="center"/>
    </xf>
    <xf numFmtId="0" fontId="105" fillId="0" borderId="0" xfId="69" applyFont="1" applyFill="1" applyBorder="1" applyAlignment="1">
      <alignment horizontal="right" vertical="center"/>
    </xf>
    <xf numFmtId="0" fontId="105" fillId="0" borderId="0" xfId="69" applyFont="1" applyFill="1" applyBorder="1" applyAlignment="1">
      <alignment vertical="center"/>
    </xf>
    <xf numFmtId="0" fontId="65" fillId="0" borderId="0" xfId="69" applyFont="1" applyFill="1" applyBorder="1" applyAlignment="1">
      <alignment horizontal="center" vertical="center"/>
    </xf>
    <xf numFmtId="0" fontId="105" fillId="0" borderId="0" xfId="70" applyFont="1" applyFill="1" applyBorder="1" applyAlignment="1">
      <alignment horizontal="center" vertical="center"/>
    </xf>
    <xf numFmtId="0" fontId="17" fillId="0" borderId="0" xfId="70" applyFont="1" applyFill="1" applyAlignment="1">
      <alignment horizontal="center" vertical="center"/>
    </xf>
    <xf numFmtId="192" fontId="62" fillId="0" borderId="0" xfId="70" applyNumberFormat="1" applyFont="1" applyFill="1" applyAlignment="1">
      <alignment vertical="center"/>
    </xf>
    <xf numFmtId="0" fontId="17" fillId="0" borderId="0" xfId="70" applyFont="1" applyFill="1" applyBorder="1" applyAlignment="1">
      <alignment horizontal="center" vertical="center" wrapText="1"/>
    </xf>
    <xf numFmtId="0" fontId="106" fillId="0" borderId="0" xfId="0" applyFont="1" applyAlignment="1"/>
    <xf numFmtId="0" fontId="19" fillId="0" borderId="0" xfId="0" applyFont="1" applyFill="1" applyAlignment="1">
      <alignment horizontal="center" vertical="center"/>
    </xf>
    <xf numFmtId="171" fontId="17" fillId="0" borderId="4" xfId="13" applyNumberFormat="1" applyFont="1" applyFill="1" applyBorder="1" applyAlignment="1">
      <alignment horizontal="center" vertical="center" wrapText="1"/>
    </xf>
    <xf numFmtId="4" fontId="72" fillId="0" borderId="4" xfId="0" applyNumberFormat="1" applyFont="1" applyFill="1" applyBorder="1" applyAlignment="1">
      <alignment horizontal="right" vertical="center"/>
    </xf>
    <xf numFmtId="43" fontId="19" fillId="0" borderId="4" xfId="13" applyNumberFormat="1" applyFont="1" applyFill="1" applyBorder="1" applyAlignment="1">
      <alignment horizontal="center" vertical="center" wrapText="1"/>
    </xf>
    <xf numFmtId="3" fontId="19" fillId="0" borderId="4" xfId="0" applyNumberFormat="1" applyFont="1" applyFill="1" applyBorder="1" applyAlignment="1">
      <alignment vertical="center"/>
    </xf>
    <xf numFmtId="43" fontId="19" fillId="0" borderId="4" xfId="0" applyNumberFormat="1" applyFont="1" applyFill="1" applyBorder="1" applyAlignment="1">
      <alignment horizontal="right" vertical="center"/>
    </xf>
    <xf numFmtId="43" fontId="75" fillId="0" borderId="4" xfId="13" applyNumberFormat="1" applyFont="1" applyFill="1" applyBorder="1" applyAlignment="1">
      <alignment horizontal="center" vertical="center"/>
    </xf>
    <xf numFmtId="192" fontId="19" fillId="0" borderId="4" xfId="13" applyNumberFormat="1" applyFont="1" applyFill="1" applyBorder="1" applyAlignment="1">
      <alignment horizontal="center" vertical="center" wrapText="1"/>
    </xf>
    <xf numFmtId="194" fontId="19" fillId="0" borderId="4" xfId="13" applyNumberFormat="1" applyFont="1" applyFill="1" applyBorder="1" applyAlignment="1">
      <alignment horizontal="center" vertical="center" wrapText="1"/>
    </xf>
    <xf numFmtId="171" fontId="74" fillId="0" borderId="4" xfId="13" applyNumberFormat="1" applyFont="1" applyFill="1" applyBorder="1" applyAlignment="1">
      <alignment horizontal="center" vertical="center" wrapText="1"/>
    </xf>
    <xf numFmtId="192" fontId="75" fillId="0" borderId="4" xfId="13" applyNumberFormat="1" applyFont="1" applyFill="1" applyBorder="1" applyAlignment="1">
      <alignment horizontal="center" vertical="center" wrapText="1"/>
    </xf>
    <xf numFmtId="43" fontId="77" fillId="0" borderId="4" xfId="0" applyNumberFormat="1" applyFont="1" applyFill="1" applyBorder="1" applyAlignment="1">
      <alignment horizontal="right" vertical="center"/>
    </xf>
    <xf numFmtId="0" fontId="77" fillId="0" borderId="4" xfId="0" applyFont="1" applyFill="1" applyBorder="1" applyAlignment="1">
      <alignment horizontal="right" vertical="center"/>
    </xf>
    <xf numFmtId="2" fontId="77" fillId="0" borderId="4" xfId="0" applyNumberFormat="1" applyFont="1" applyFill="1" applyBorder="1" applyAlignment="1">
      <alignment horizontal="right" vertical="center"/>
    </xf>
    <xf numFmtId="4" fontId="75" fillId="0" borderId="4" xfId="13" applyNumberFormat="1" applyFont="1" applyFill="1" applyBorder="1" applyAlignment="1">
      <alignment vertical="center" wrapText="1"/>
    </xf>
    <xf numFmtId="2" fontId="72" fillId="0" borderId="4" xfId="68" applyNumberFormat="1" applyFont="1" applyFill="1" applyBorder="1" applyAlignment="1">
      <alignment horizontal="right" vertical="center"/>
    </xf>
    <xf numFmtId="192" fontId="17" fillId="0" borderId="4" xfId="60" quotePrefix="1" applyNumberFormat="1" applyFont="1" applyFill="1" applyBorder="1" applyAlignment="1">
      <alignment horizontal="right" vertical="center"/>
    </xf>
    <xf numFmtId="0" fontId="19" fillId="0" borderId="4" xfId="0" applyFont="1" applyFill="1" applyBorder="1" applyAlignment="1">
      <alignment vertical="center" wrapText="1"/>
    </xf>
    <xf numFmtId="43" fontId="72" fillId="0" borderId="4" xfId="13" applyFont="1" applyFill="1" applyBorder="1" applyAlignment="1">
      <alignment horizontal="center" vertical="center" wrapText="1"/>
    </xf>
    <xf numFmtId="43" fontId="19" fillId="0" borderId="4" xfId="79" applyNumberFormat="1" applyFont="1" applyFill="1" applyBorder="1" applyAlignment="1">
      <alignment vertical="center"/>
    </xf>
    <xf numFmtId="3" fontId="19" fillId="0" borderId="4" xfId="13" applyNumberFormat="1" applyFont="1" applyFill="1" applyBorder="1" applyAlignment="1">
      <alignment horizontal="right" vertical="center"/>
    </xf>
    <xf numFmtId="170" fontId="19" fillId="0" borderId="4" xfId="0" applyNumberFormat="1" applyFont="1" applyFill="1" applyBorder="1" applyAlignment="1">
      <alignment vertical="center"/>
    </xf>
    <xf numFmtId="0" fontId="19" fillId="0" borderId="0" xfId="0" applyFont="1" applyFill="1" applyAlignment="1">
      <alignment vertical="center" wrapText="1"/>
    </xf>
    <xf numFmtId="0" fontId="19" fillId="0" borderId="0" xfId="0" applyFont="1" applyFill="1" applyAlignment="1">
      <alignment vertical="center"/>
    </xf>
    <xf numFmtId="0" fontId="62" fillId="0" borderId="4" xfId="0" applyFont="1" applyFill="1" applyBorder="1" applyAlignment="1">
      <alignment vertical="center"/>
    </xf>
    <xf numFmtId="0" fontId="78" fillId="0" borderId="4" xfId="0" applyFont="1" applyFill="1" applyBorder="1" applyAlignment="1">
      <alignment vertical="center"/>
    </xf>
    <xf numFmtId="0" fontId="20" fillId="0" borderId="4" xfId="0" applyFont="1" applyFill="1" applyBorder="1" applyAlignment="1">
      <alignment vertical="center"/>
    </xf>
    <xf numFmtId="0" fontId="80" fillId="0" borderId="4" xfId="0" applyFont="1" applyFill="1" applyBorder="1" applyAlignment="1">
      <alignment vertical="center"/>
    </xf>
    <xf numFmtId="0" fontId="61" fillId="0" borderId="4" xfId="0" applyFont="1" applyFill="1" applyBorder="1" applyAlignment="1">
      <alignment vertical="center"/>
    </xf>
    <xf numFmtId="0" fontId="105" fillId="0" borderId="0" xfId="69" applyFont="1" applyFill="1" applyBorder="1" applyAlignment="1">
      <alignment horizontal="center" vertical="center"/>
    </xf>
    <xf numFmtId="0" fontId="107" fillId="0" borderId="4" xfId="0" applyFont="1" applyFill="1" applyBorder="1" applyAlignment="1">
      <alignment horizontal="left" vertical="center" wrapText="1"/>
    </xf>
    <xf numFmtId="0" fontId="19" fillId="0" borderId="4" xfId="0" quotePrefix="1" applyFont="1" applyFill="1" applyBorder="1" applyAlignment="1">
      <alignment horizontal="center" vertical="center"/>
    </xf>
    <xf numFmtId="0" fontId="107" fillId="0" borderId="4" xfId="0" applyFont="1" applyFill="1" applyBorder="1" applyAlignment="1">
      <alignment horizontal="center" vertical="center" wrapText="1"/>
    </xf>
    <xf numFmtId="1" fontId="108" fillId="0" borderId="4" xfId="0" applyNumberFormat="1" applyFont="1" applyFill="1" applyBorder="1" applyAlignment="1">
      <alignment horizontal="center" vertical="center" wrapText="1"/>
    </xf>
    <xf numFmtId="0" fontId="108" fillId="0" borderId="4" xfId="0" applyFont="1" applyFill="1" applyBorder="1" applyAlignment="1">
      <alignment horizontal="left" vertical="center" wrapText="1"/>
    </xf>
    <xf numFmtId="1" fontId="107" fillId="0" borderId="4" xfId="0" applyNumberFormat="1" applyFont="1" applyFill="1" applyBorder="1" applyAlignment="1">
      <alignment horizontal="center" vertical="center" wrapText="1"/>
    </xf>
    <xf numFmtId="0" fontId="19" fillId="0" borderId="0" xfId="69" applyFont="1" applyFill="1" applyBorder="1" applyAlignment="1">
      <alignment horizontal="center" vertical="center"/>
    </xf>
    <xf numFmtId="0" fontId="17" fillId="0" borderId="0" xfId="70" applyFont="1" applyFill="1" applyAlignment="1">
      <alignment horizontal="left" vertical="center" wrapText="1"/>
    </xf>
    <xf numFmtId="0" fontId="19" fillId="0" borderId="4" xfId="70" applyFont="1" applyFill="1" applyBorder="1" applyAlignment="1">
      <alignment vertical="center" wrapText="1"/>
    </xf>
    <xf numFmtId="0" fontId="19" fillId="0" borderId="4" xfId="70" applyFont="1" applyFill="1" applyBorder="1" applyAlignment="1">
      <alignment vertical="center"/>
    </xf>
    <xf numFmtId="43" fontId="65" fillId="0" borderId="0" xfId="40" applyNumberFormat="1" applyFont="1" applyFill="1" applyAlignment="1">
      <alignment horizontal="center" vertical="center" wrapText="1"/>
    </xf>
    <xf numFmtId="43" fontId="17" fillId="0" borderId="4" xfId="40" applyNumberFormat="1" applyFont="1" applyFill="1" applyBorder="1" applyAlignment="1">
      <alignment vertical="center" wrapText="1"/>
    </xf>
    <xf numFmtId="43" fontId="19" fillId="0" borderId="0" xfId="40" applyNumberFormat="1" applyFont="1" applyFill="1" applyAlignment="1">
      <alignment horizontal="center" vertical="center"/>
    </xf>
    <xf numFmtId="0" fontId="17" fillId="0" borderId="0" xfId="70" applyFont="1" applyFill="1" applyAlignment="1">
      <alignment vertical="center"/>
    </xf>
    <xf numFmtId="0" fontId="17" fillId="0" borderId="4" xfId="70" applyFont="1" applyFill="1" applyBorder="1" applyAlignment="1">
      <alignment vertical="center"/>
    </xf>
    <xf numFmtId="0" fontId="62" fillId="0" borderId="4" xfId="69" applyFont="1" applyFill="1" applyBorder="1" applyAlignment="1">
      <alignment wrapText="1"/>
    </xf>
    <xf numFmtId="0" fontId="62" fillId="0" borderId="4" xfId="69" applyFont="1" applyFill="1" applyBorder="1" applyAlignment="1">
      <alignment horizontal="center"/>
    </xf>
    <xf numFmtId="2" fontId="109" fillId="0" borderId="4" xfId="69" applyNumberFormat="1" applyFont="1" applyFill="1" applyBorder="1" applyAlignment="1">
      <alignment horizontal="center" vertical="center" wrapText="1"/>
    </xf>
    <xf numFmtId="0" fontId="20" fillId="0" borderId="4" xfId="69" applyFont="1" applyFill="1" applyBorder="1" applyAlignment="1">
      <alignment horizontal="center"/>
    </xf>
    <xf numFmtId="0" fontId="84" fillId="0" borderId="4" xfId="69" applyFont="1" applyFill="1" applyBorder="1" applyAlignment="1">
      <alignment wrapText="1"/>
    </xf>
    <xf numFmtId="0" fontId="84" fillId="0" borderId="4" xfId="69" applyFont="1" applyFill="1" applyBorder="1" applyAlignment="1">
      <alignment horizontal="center" vertical="center"/>
    </xf>
    <xf numFmtId="0" fontId="84" fillId="0" borderId="4" xfId="69" applyFont="1" applyFill="1" applyBorder="1" applyAlignment="1">
      <alignment horizontal="center" vertical="center" wrapText="1"/>
    </xf>
    <xf numFmtId="2" fontId="20" fillId="0" borderId="4" xfId="69" applyNumberFormat="1" applyFont="1" applyFill="1" applyBorder="1" applyAlignment="1">
      <alignment horizontal="center" vertical="center" wrapText="1"/>
    </xf>
    <xf numFmtId="0" fontId="61" fillId="0" borderId="4" xfId="69" applyFont="1" applyFill="1" applyBorder="1" applyAlignment="1">
      <alignment horizontal="center" vertical="center" wrapText="1"/>
    </xf>
    <xf numFmtId="0" fontId="40" fillId="0" borderId="4" xfId="69" applyFont="1" applyFill="1" applyBorder="1"/>
    <xf numFmtId="4" fontId="62" fillId="0" borderId="4" xfId="69" applyNumberFormat="1" applyFont="1" applyFill="1" applyBorder="1" applyAlignment="1">
      <alignment horizontal="center" vertical="center" wrapText="1"/>
    </xf>
    <xf numFmtId="2" fontId="110" fillId="0" borderId="4" xfId="69" applyNumberFormat="1" applyFont="1" applyFill="1" applyBorder="1" applyAlignment="1">
      <alignment horizontal="center" vertical="center" wrapText="1"/>
    </xf>
    <xf numFmtId="0" fontId="84" fillId="0" borderId="4" xfId="69" applyFont="1" applyFill="1" applyBorder="1" applyAlignment="1">
      <alignment horizontal="center"/>
    </xf>
    <xf numFmtId="4" fontId="111" fillId="0" borderId="4" xfId="69" applyNumberFormat="1" applyFont="1" applyFill="1" applyBorder="1" applyAlignment="1">
      <alignment horizontal="center" vertical="center" wrapText="1"/>
    </xf>
    <xf numFmtId="0" fontId="61" fillId="0" borderId="4" xfId="69" applyFont="1" applyFill="1" applyBorder="1" applyAlignment="1">
      <alignment horizontal="center" vertical="center"/>
    </xf>
    <xf numFmtId="0" fontId="61" fillId="0" borderId="4" xfId="69" applyFont="1" applyFill="1" applyBorder="1" applyAlignment="1">
      <alignment horizontal="left" vertical="center" wrapText="1"/>
    </xf>
    <xf numFmtId="170" fontId="20" fillId="0" borderId="4" xfId="69" applyNumberFormat="1" applyFont="1" applyFill="1" applyBorder="1" applyAlignment="1">
      <alignment horizontal="center" vertical="center" wrapText="1"/>
    </xf>
    <xf numFmtId="3" fontId="17" fillId="0" borderId="6" xfId="69" applyNumberFormat="1" applyFont="1" applyBorder="1" applyAlignment="1">
      <alignment horizontal="center" wrapText="1"/>
    </xf>
    <xf numFmtId="3" fontId="19" fillId="0" borderId="6" xfId="69" applyNumberFormat="1" applyFont="1" applyBorder="1" applyAlignment="1">
      <alignment horizontal="center" wrapText="1"/>
    </xf>
    <xf numFmtId="3" fontId="19" fillId="0" borderId="6" xfId="69" applyNumberFormat="1" applyFont="1" applyBorder="1" applyAlignment="1">
      <alignment horizontal="center" vertical="center" wrapText="1"/>
    </xf>
    <xf numFmtId="0" fontId="17" fillId="0" borderId="4" xfId="69" applyFont="1" applyFill="1" applyBorder="1" applyAlignment="1">
      <alignment horizontal="left" vertical="center"/>
    </xf>
    <xf numFmtId="1" fontId="112" fillId="0" borderId="4" xfId="0" applyNumberFormat="1" applyFont="1" applyFill="1" applyBorder="1" applyAlignment="1">
      <alignment horizontal="center" vertical="center" wrapText="1"/>
    </xf>
    <xf numFmtId="0" fontId="112" fillId="0" borderId="4" xfId="0" applyFont="1" applyFill="1" applyBorder="1" applyAlignment="1">
      <alignment horizontal="left" vertical="center" wrapText="1"/>
    </xf>
    <xf numFmtId="0" fontId="112" fillId="0" borderId="4" xfId="0" applyFont="1" applyFill="1" applyBorder="1" applyAlignment="1">
      <alignment horizontal="center" vertical="center" wrapText="1"/>
    </xf>
    <xf numFmtId="0" fontId="83" fillId="0" borderId="4" xfId="0" quotePrefix="1" applyFont="1" applyFill="1" applyBorder="1" applyAlignment="1">
      <alignment horizontal="left" vertical="center" wrapText="1"/>
    </xf>
    <xf numFmtId="0" fontId="113" fillId="0" borderId="4" xfId="0" applyFont="1" applyFill="1" applyBorder="1" applyAlignment="1">
      <alignment horizontal="left" vertical="center" wrapText="1"/>
    </xf>
    <xf numFmtId="0" fontId="17" fillId="0" borderId="1" xfId="69" applyFont="1" applyFill="1" applyBorder="1" applyAlignment="1">
      <alignment horizontal="center" vertical="center" wrapText="1"/>
    </xf>
    <xf numFmtId="0" fontId="33" fillId="0" borderId="0" xfId="69" applyFont="1" applyFill="1" applyAlignment="1">
      <alignment horizontal="right" vertical="center"/>
    </xf>
    <xf numFmtId="0" fontId="17" fillId="0" borderId="0" xfId="0" applyFont="1" applyFill="1" applyBorder="1" applyAlignment="1">
      <alignment horizontal="center" vertical="center" wrapText="1"/>
    </xf>
    <xf numFmtId="0" fontId="62" fillId="0" borderId="4" xfId="69" applyFont="1" applyFill="1" applyBorder="1" applyAlignment="1">
      <alignment vertical="center" wrapText="1"/>
    </xf>
    <xf numFmtId="0" fontId="20" fillId="0" borderId="4" xfId="69" applyFont="1" applyFill="1" applyBorder="1" applyAlignment="1">
      <alignment vertical="center" wrapText="1"/>
    </xf>
    <xf numFmtId="0" fontId="114" fillId="0" borderId="4" xfId="0" applyFont="1" applyFill="1" applyBorder="1" applyAlignment="1">
      <alignment horizontal="left" vertical="center" wrapText="1"/>
    </xf>
    <xf numFmtId="0" fontId="114" fillId="0" borderId="4" xfId="0" applyFont="1" applyFill="1" applyBorder="1" applyAlignment="1">
      <alignment horizontal="center" vertical="center" wrapText="1"/>
    </xf>
    <xf numFmtId="0" fontId="19" fillId="0" borderId="4" xfId="63" applyFont="1" applyFill="1" applyBorder="1" applyAlignment="1">
      <alignment horizontal="left" vertical="center" wrapText="1"/>
    </xf>
    <xf numFmtId="1" fontId="114" fillId="0" borderId="4" xfId="0" applyNumberFormat="1" applyFont="1" applyFill="1" applyBorder="1" applyAlignment="1">
      <alignment horizontal="center" vertical="center" wrapText="1"/>
    </xf>
    <xf numFmtId="43" fontId="19" fillId="0" borderId="4" xfId="40" applyNumberFormat="1" applyFont="1" applyFill="1" applyBorder="1" applyAlignment="1">
      <alignment horizontal="right" vertical="center"/>
    </xf>
    <xf numFmtId="0" fontId="19" fillId="0" borderId="4" xfId="69" applyFont="1" applyFill="1" applyBorder="1" applyAlignment="1">
      <alignment horizontal="right" vertical="center" wrapText="1"/>
    </xf>
    <xf numFmtId="171" fontId="19" fillId="0" borderId="4" xfId="13" applyNumberFormat="1" applyFont="1" applyFill="1" applyBorder="1" applyAlignment="1">
      <alignment horizontal="right" vertical="center" wrapText="1"/>
    </xf>
    <xf numFmtId="0" fontId="62" fillId="0" borderId="4" xfId="69" applyFont="1" applyBorder="1" applyAlignment="1">
      <alignment horizontal="center" vertical="center"/>
    </xf>
    <xf numFmtId="0" fontId="85" fillId="0" borderId="4" xfId="69" applyFont="1" applyBorder="1" applyAlignment="1">
      <alignment horizontal="center" vertical="center"/>
    </xf>
    <xf numFmtId="0" fontId="84" fillId="0" borderId="4" xfId="69" applyFont="1" applyFill="1" applyBorder="1" applyAlignment="1">
      <alignment vertical="center" wrapText="1"/>
    </xf>
    <xf numFmtId="0" fontId="20" fillId="0" borderId="4" xfId="69" applyFont="1" applyBorder="1" applyAlignment="1">
      <alignment horizontal="center" vertical="center"/>
    </xf>
    <xf numFmtId="0" fontId="61" fillId="0" borderId="4" xfId="69" applyFont="1" applyBorder="1" applyAlignment="1">
      <alignment horizontal="center" vertical="center"/>
    </xf>
    <xf numFmtId="0" fontId="84" fillId="0" borderId="4" xfId="69" applyFont="1" applyBorder="1" applyAlignment="1">
      <alignment horizontal="center" vertical="center"/>
    </xf>
    <xf numFmtId="2" fontId="109" fillId="0" borderId="4" xfId="69" applyNumberFormat="1" applyFont="1" applyFill="1" applyBorder="1" applyAlignment="1">
      <alignment horizontal="right" vertical="center" wrapText="1"/>
    </xf>
    <xf numFmtId="0" fontId="62" fillId="0" borderId="4" xfId="69" applyFont="1" applyFill="1" applyBorder="1" applyAlignment="1">
      <alignment horizontal="right" vertical="center" wrapText="1"/>
    </xf>
    <xf numFmtId="0" fontId="1" fillId="0" borderId="4" xfId="69" applyFont="1" applyBorder="1" applyAlignment="1">
      <alignment horizontal="right" vertical="center"/>
    </xf>
    <xf numFmtId="0" fontId="84" fillId="0" borderId="4" xfId="69" applyFont="1" applyFill="1" applyBorder="1" applyAlignment="1">
      <alignment horizontal="right" vertical="center" wrapText="1"/>
    </xf>
    <xf numFmtId="0" fontId="86" fillId="0" borderId="4" xfId="69" applyFont="1" applyBorder="1" applyAlignment="1">
      <alignment horizontal="right" vertical="center"/>
    </xf>
    <xf numFmtId="2" fontId="20" fillId="0" borderId="4" xfId="69" applyNumberFormat="1" applyFont="1" applyFill="1" applyBorder="1" applyAlignment="1">
      <alignment horizontal="right" vertical="center" wrapText="1"/>
    </xf>
    <xf numFmtId="0" fontId="40" fillId="0" borderId="4" xfId="69" applyFont="1" applyFill="1" applyBorder="1" applyAlignment="1">
      <alignment horizontal="right" vertical="center"/>
    </xf>
    <xf numFmtId="4" fontId="62" fillId="0" borderId="4" xfId="69" applyNumberFormat="1" applyFont="1" applyFill="1" applyBorder="1" applyAlignment="1">
      <alignment horizontal="right" vertical="center" wrapText="1"/>
    </xf>
    <xf numFmtId="2" fontId="110" fillId="0" borderId="4" xfId="69" applyNumberFormat="1" applyFont="1" applyFill="1" applyBorder="1" applyAlignment="1">
      <alignment horizontal="right" vertical="center" wrapText="1"/>
    </xf>
    <xf numFmtId="4" fontId="111" fillId="0" borderId="4" xfId="69" applyNumberFormat="1" applyFont="1" applyFill="1" applyBorder="1" applyAlignment="1">
      <alignment horizontal="right" vertical="center" wrapText="1"/>
    </xf>
    <xf numFmtId="170" fontId="20" fillId="0" borderId="4" xfId="69" applyNumberFormat="1" applyFont="1" applyFill="1" applyBorder="1" applyAlignment="1">
      <alignment horizontal="right" vertical="center" wrapText="1"/>
    </xf>
    <xf numFmtId="0" fontId="33" fillId="0" borderId="0" xfId="69" applyFont="1" applyFill="1" applyAlignment="1">
      <alignment vertical="center"/>
    </xf>
    <xf numFmtId="0" fontId="19" fillId="10" borderId="0" xfId="69" applyFont="1" applyFill="1" applyAlignment="1">
      <alignment vertical="center"/>
    </xf>
    <xf numFmtId="0" fontId="62" fillId="0" borderId="4" xfId="0" applyFont="1" applyFill="1" applyBorder="1" applyAlignment="1">
      <alignment horizontal="center" vertical="center"/>
    </xf>
    <xf numFmtId="0" fontId="78" fillId="0" borderId="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80" fillId="0" borderId="4" xfId="0" applyFont="1" applyFill="1" applyBorder="1" applyAlignment="1">
      <alignment horizontal="center" vertical="center"/>
    </xf>
    <xf numFmtId="0" fontId="61" fillId="0" borderId="4" xfId="0" applyFont="1" applyFill="1" applyBorder="1" applyAlignment="1">
      <alignment horizontal="center" vertical="center"/>
    </xf>
    <xf numFmtId="0" fontId="19" fillId="0" borderId="17" xfId="0" quotePrefix="1" applyFont="1" applyFill="1" applyBorder="1" applyAlignment="1">
      <alignment horizontal="left" vertical="center" wrapText="1"/>
    </xf>
    <xf numFmtId="0" fontId="20" fillId="0" borderId="17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vertical="center"/>
    </xf>
    <xf numFmtId="0" fontId="17" fillId="0" borderId="29" xfId="0" applyFont="1" applyFill="1" applyBorder="1" applyAlignment="1">
      <alignment horizontal="center" vertical="center"/>
    </xf>
    <xf numFmtId="0" fontId="17" fillId="0" borderId="29" xfId="0" applyFont="1" applyFill="1" applyBorder="1" applyAlignment="1">
      <alignment vertical="center" wrapText="1"/>
    </xf>
    <xf numFmtId="0" fontId="17" fillId="0" borderId="29" xfId="0" applyFont="1" applyFill="1" applyBorder="1" applyAlignment="1">
      <alignment vertical="center"/>
    </xf>
    <xf numFmtId="0" fontId="62" fillId="0" borderId="29" xfId="0" applyFont="1" applyFill="1" applyBorder="1" applyAlignment="1">
      <alignment horizontal="center" vertical="center"/>
    </xf>
    <xf numFmtId="0" fontId="17" fillId="0" borderId="29" xfId="0" applyFont="1" applyFill="1" applyBorder="1" applyAlignment="1">
      <alignment horizontal="left" vertical="center" wrapText="1"/>
    </xf>
    <xf numFmtId="0" fontId="62" fillId="0" borderId="29" xfId="0" applyFont="1" applyFill="1" applyBorder="1" applyAlignment="1">
      <alignment vertical="center"/>
    </xf>
    <xf numFmtId="0" fontId="115" fillId="11" borderId="0" xfId="69" applyFont="1" applyFill="1" applyAlignment="1">
      <alignment vertical="center"/>
    </xf>
    <xf numFmtId="0" fontId="17" fillId="0" borderId="0" xfId="69" applyFont="1" applyFill="1" applyAlignment="1">
      <alignment horizontal="center" vertical="center"/>
    </xf>
    <xf numFmtId="0" fontId="17" fillId="0" borderId="29" xfId="0" applyFont="1" applyFill="1" applyBorder="1" applyAlignment="1">
      <alignment horizontal="center" vertical="center" wrapText="1"/>
    </xf>
    <xf numFmtId="168" fontId="17" fillId="0" borderId="4" xfId="13" applyNumberFormat="1" applyFont="1" applyFill="1" applyBorder="1" applyAlignment="1">
      <alignment horizontal="left" vertical="center"/>
    </xf>
    <xf numFmtId="0" fontId="19" fillId="10" borderId="4" xfId="69" applyFont="1" applyFill="1" applyBorder="1" applyAlignment="1">
      <alignment horizontal="center" vertical="center" wrapText="1"/>
    </xf>
    <xf numFmtId="0" fontId="19" fillId="10" borderId="0" xfId="69" applyFont="1" applyFill="1" applyAlignment="1">
      <alignment horizontal="left" vertical="center"/>
    </xf>
    <xf numFmtId="0" fontId="19" fillId="10" borderId="0" xfId="69" applyFont="1" applyFill="1" applyAlignment="1">
      <alignment horizontal="right" vertical="center"/>
    </xf>
    <xf numFmtId="0" fontId="19" fillId="10" borderId="4" xfId="69" quotePrefix="1" applyFont="1" applyFill="1" applyBorder="1" applyAlignment="1">
      <alignment horizontal="left" vertical="center" wrapText="1"/>
    </xf>
    <xf numFmtId="3" fontId="19" fillId="10" borderId="4" xfId="13" applyNumberFormat="1" applyFont="1" applyFill="1" applyBorder="1" applyAlignment="1">
      <alignment horizontal="right" vertical="center" wrapText="1"/>
    </xf>
    <xf numFmtId="0" fontId="17" fillId="10" borderId="0" xfId="69" applyFont="1" applyFill="1" applyAlignment="1">
      <alignment horizontal="left" vertical="center"/>
    </xf>
    <xf numFmtId="0" fontId="17" fillId="10" borderId="0" xfId="69" applyFont="1" applyFill="1" applyAlignment="1">
      <alignment horizontal="right" vertical="center"/>
    </xf>
    <xf numFmtId="3" fontId="19" fillId="0" borderId="4" xfId="13" applyNumberFormat="1" applyFont="1" applyFill="1" applyBorder="1" applyAlignment="1">
      <alignment horizontal="right" vertical="center" wrapText="1"/>
    </xf>
    <xf numFmtId="0" fontId="19" fillId="0" borderId="4" xfId="69" applyFont="1" applyFill="1" applyBorder="1" applyAlignment="1">
      <alignment horizontal="right" vertical="center"/>
    </xf>
    <xf numFmtId="171" fontId="17" fillId="0" borderId="4" xfId="59" applyNumberFormat="1" applyFont="1" applyFill="1" applyBorder="1" applyAlignment="1">
      <alignment horizontal="right" vertical="center" wrapText="1"/>
    </xf>
    <xf numFmtId="167" fontId="17" fillId="0" borderId="4" xfId="13" applyNumberFormat="1" applyFont="1" applyFill="1" applyBorder="1" applyAlignment="1">
      <alignment horizontal="right" vertical="center" wrapText="1"/>
    </xf>
    <xf numFmtId="168" fontId="17" fillId="0" borderId="4" xfId="13" applyNumberFormat="1" applyFont="1" applyFill="1" applyBorder="1" applyAlignment="1">
      <alignment horizontal="right" vertical="center"/>
    </xf>
    <xf numFmtId="168" fontId="17" fillId="4" borderId="4" xfId="13" applyNumberFormat="1" applyFont="1" applyFill="1" applyBorder="1" applyAlignment="1">
      <alignment horizontal="right" vertical="center"/>
    </xf>
    <xf numFmtId="193" fontId="19" fillId="0" borderId="4" xfId="13" applyNumberFormat="1" applyFont="1" applyFill="1" applyBorder="1" applyAlignment="1">
      <alignment horizontal="right" vertical="center"/>
    </xf>
    <xf numFmtId="193" fontId="19" fillId="4" borderId="4" xfId="13" applyNumberFormat="1" applyFont="1" applyFill="1" applyBorder="1" applyAlignment="1">
      <alignment horizontal="right" vertical="center"/>
    </xf>
    <xf numFmtId="193" fontId="17" fillId="0" borderId="4" xfId="13" applyNumberFormat="1" applyFont="1" applyFill="1" applyBorder="1" applyAlignment="1">
      <alignment horizontal="right" vertical="center"/>
    </xf>
    <xf numFmtId="171" fontId="19" fillId="0" borderId="4" xfId="13" applyNumberFormat="1" applyFont="1" applyFill="1" applyBorder="1" applyAlignment="1">
      <alignment horizontal="right" vertical="center"/>
    </xf>
    <xf numFmtId="171" fontId="19" fillId="4" borderId="4" xfId="13" applyNumberFormat="1" applyFont="1" applyFill="1" applyBorder="1" applyAlignment="1">
      <alignment horizontal="right" vertical="center"/>
    </xf>
    <xf numFmtId="0" fontId="61" fillId="0" borderId="0" xfId="69" applyFont="1" applyFill="1" applyAlignment="1">
      <alignment vertical="center"/>
    </xf>
    <xf numFmtId="0" fontId="61" fillId="0" borderId="0" xfId="69" applyFont="1" applyFill="1" applyAlignment="1">
      <alignment horizontal="center" vertical="center"/>
    </xf>
    <xf numFmtId="0" fontId="116" fillId="0" borderId="4" xfId="0" applyFont="1" applyFill="1" applyBorder="1" applyAlignment="1">
      <alignment horizontal="center" vertical="center"/>
    </xf>
    <xf numFmtId="0" fontId="116" fillId="0" borderId="4" xfId="0" applyFont="1" applyFill="1" applyBorder="1" applyAlignment="1">
      <alignment horizontal="left" vertical="center" wrapText="1"/>
    </xf>
    <xf numFmtId="167" fontId="116" fillId="0" borderId="4" xfId="13" applyNumberFormat="1" applyFont="1" applyFill="1" applyBorder="1" applyAlignment="1">
      <alignment horizontal="center" vertical="center" wrapText="1"/>
    </xf>
    <xf numFmtId="171" fontId="116" fillId="0" borderId="4" xfId="13" applyNumberFormat="1" applyFont="1" applyFill="1" applyBorder="1" applyAlignment="1">
      <alignment horizontal="center" vertical="center" wrapText="1"/>
    </xf>
    <xf numFmtId="171" fontId="116" fillId="0" borderId="4" xfId="0" applyNumberFormat="1" applyFont="1" applyFill="1" applyBorder="1" applyAlignment="1">
      <alignment vertical="center"/>
    </xf>
    <xf numFmtId="0" fontId="116" fillId="0" borderId="4" xfId="0" applyFont="1" applyFill="1" applyBorder="1" applyAlignment="1">
      <alignment vertical="center"/>
    </xf>
    <xf numFmtId="43" fontId="117" fillId="0" borderId="4" xfId="13" applyFont="1" applyFill="1" applyBorder="1" applyAlignment="1">
      <alignment horizontal="center" vertical="center" wrapText="1"/>
    </xf>
    <xf numFmtId="0" fontId="118" fillId="0" borderId="4" xfId="0" applyFont="1" applyFill="1" applyBorder="1" applyAlignment="1">
      <alignment vertical="center"/>
    </xf>
    <xf numFmtId="0" fontId="116" fillId="0" borderId="4" xfId="0" applyFont="1" applyFill="1" applyBorder="1" applyAlignment="1">
      <alignment horizontal="center" vertical="center" wrapText="1"/>
    </xf>
    <xf numFmtId="167" fontId="76" fillId="0" borderId="4" xfId="40" applyNumberFormat="1" applyFont="1" applyFill="1" applyBorder="1" applyAlignment="1">
      <alignment horizontal="center" vertical="center" wrapText="1"/>
    </xf>
    <xf numFmtId="43" fontId="72" fillId="0" borderId="4" xfId="13" applyNumberFormat="1" applyFont="1" applyFill="1" applyBorder="1" applyAlignment="1">
      <alignment horizontal="center" vertical="center" wrapText="1"/>
    </xf>
    <xf numFmtId="43" fontId="76" fillId="0" borderId="4" xfId="40" applyNumberFormat="1" applyFont="1" applyFill="1" applyBorder="1" applyAlignment="1">
      <alignment horizontal="center" vertical="center" wrapText="1"/>
    </xf>
    <xf numFmtId="43" fontId="19" fillId="0" borderId="4" xfId="13" applyNumberFormat="1" applyFont="1" applyFill="1" applyBorder="1" applyAlignment="1">
      <alignment vertical="center" wrapText="1"/>
    </xf>
    <xf numFmtId="167" fontId="74" fillId="0" borderId="4" xfId="40" applyNumberFormat="1" applyFont="1" applyFill="1" applyBorder="1" applyAlignment="1">
      <alignment horizontal="center" vertical="center" wrapText="1"/>
    </xf>
    <xf numFmtId="192" fontId="19" fillId="0" borderId="4" xfId="40" applyNumberFormat="1" applyFont="1" applyFill="1" applyBorder="1" applyAlignment="1">
      <alignment horizontal="center" vertical="center" wrapText="1"/>
    </xf>
    <xf numFmtId="167" fontId="77" fillId="0" borderId="4" xfId="13" applyNumberFormat="1" applyFont="1" applyFill="1" applyBorder="1" applyAlignment="1">
      <alignment horizontal="center" vertical="center" wrapText="1"/>
    </xf>
    <xf numFmtId="43" fontId="77" fillId="0" borderId="4" xfId="40" applyNumberFormat="1" applyFont="1" applyFill="1" applyBorder="1" applyAlignment="1">
      <alignment horizontal="center" vertical="center" wrapText="1"/>
    </xf>
    <xf numFmtId="167" fontId="75" fillId="0" borderId="4" xfId="40" applyNumberFormat="1" applyFont="1" applyFill="1" applyBorder="1" applyAlignment="1">
      <alignment horizontal="center" vertical="center" wrapText="1"/>
    </xf>
    <xf numFmtId="4" fontId="19" fillId="0" borderId="4" xfId="40" applyNumberFormat="1" applyFont="1" applyFill="1" applyBorder="1" applyAlignment="1">
      <alignment vertical="center" wrapText="1"/>
    </xf>
    <xf numFmtId="167" fontId="77" fillId="0" borderId="4" xfId="40" applyNumberFormat="1" applyFont="1" applyFill="1" applyBorder="1" applyAlignment="1">
      <alignment horizontal="center" vertical="center" wrapText="1"/>
    </xf>
    <xf numFmtId="43" fontId="35" fillId="0" borderId="4" xfId="40" applyNumberFormat="1" applyFont="1" applyFill="1" applyBorder="1" applyAlignment="1">
      <alignment horizontal="center" vertical="center" wrapText="1"/>
    </xf>
    <xf numFmtId="167" fontId="17" fillId="0" borderId="4" xfId="40" quotePrefix="1" applyNumberFormat="1" applyFont="1" applyFill="1" applyBorder="1" applyAlignment="1">
      <alignment horizontal="center" vertical="center" wrapText="1"/>
    </xf>
    <xf numFmtId="171" fontId="19" fillId="0" borderId="4" xfId="40" applyNumberFormat="1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/>
    </xf>
    <xf numFmtId="167" fontId="19" fillId="0" borderId="17" xfId="40" applyNumberFormat="1" applyFont="1" applyFill="1" applyBorder="1" applyAlignment="1">
      <alignment horizontal="center" vertical="center" wrapText="1"/>
    </xf>
    <xf numFmtId="0" fontId="19" fillId="0" borderId="29" xfId="0" quotePrefix="1" applyFont="1" applyFill="1" applyBorder="1" applyAlignment="1">
      <alignment horizontal="center" vertical="center" wrapText="1"/>
    </xf>
    <xf numFmtId="167" fontId="17" fillId="0" borderId="29" xfId="4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167" fontId="19" fillId="0" borderId="4" xfId="24" applyNumberFormat="1" applyFont="1" applyFill="1" applyBorder="1" applyAlignment="1">
      <alignment horizontal="center" vertical="center"/>
    </xf>
    <xf numFmtId="168" fontId="17" fillId="0" borderId="4" xfId="24" applyNumberFormat="1" applyFont="1" applyFill="1" applyBorder="1" applyAlignment="1">
      <alignment horizontal="center" vertical="center"/>
    </xf>
    <xf numFmtId="3" fontId="94" fillId="0" borderId="0" xfId="0" applyNumberFormat="1" applyFont="1" applyFill="1"/>
    <xf numFmtId="4" fontId="94" fillId="0" borderId="0" xfId="0" applyNumberFormat="1" applyFont="1" applyFill="1"/>
    <xf numFmtId="3" fontId="95" fillId="0" borderId="0" xfId="0" applyNumberFormat="1" applyFont="1" applyFill="1"/>
    <xf numFmtId="1" fontId="17" fillId="0" borderId="4" xfId="0" applyNumberFormat="1" applyFont="1" applyFill="1" applyBorder="1" applyAlignment="1">
      <alignment horizontal="center" vertical="center" wrapText="1"/>
    </xf>
    <xf numFmtId="0" fontId="91" fillId="0" borderId="0" xfId="69" applyFont="1" applyFill="1" applyBorder="1" applyAlignment="1">
      <alignment horizontal="right" vertical="center"/>
    </xf>
    <xf numFmtId="194" fontId="19" fillId="0" borderId="4" xfId="24" applyNumberFormat="1" applyFont="1" applyFill="1" applyBorder="1" applyAlignment="1">
      <alignment horizontal="center" vertical="center"/>
    </xf>
    <xf numFmtId="194" fontId="19" fillId="0" borderId="4" xfId="24" applyNumberFormat="1" applyFont="1" applyFill="1" applyBorder="1" applyAlignment="1">
      <alignment horizontal="right" vertical="center"/>
    </xf>
    <xf numFmtId="195" fontId="19" fillId="0" borderId="4" xfId="24" applyNumberFormat="1" applyFont="1" applyFill="1" applyBorder="1" applyAlignment="1">
      <alignment horizontal="center" vertical="center"/>
    </xf>
    <xf numFmtId="169" fontId="19" fillId="0" borderId="4" xfId="24" applyNumberFormat="1" applyFont="1" applyFill="1" applyBorder="1" applyAlignment="1">
      <alignment vertical="center"/>
    </xf>
    <xf numFmtId="3" fontId="88" fillId="0" borderId="0" xfId="0" applyNumberFormat="1" applyFont="1" applyFill="1"/>
    <xf numFmtId="4" fontId="88" fillId="0" borderId="0" xfId="0" applyNumberFormat="1" applyFont="1" applyFill="1"/>
    <xf numFmtId="3" fontId="20" fillId="0" borderId="0" xfId="0" applyNumberFormat="1" applyFont="1" applyFill="1"/>
    <xf numFmtId="43" fontId="19" fillId="0" borderId="4" xfId="40" applyFont="1" applyFill="1" applyBorder="1" applyAlignment="1">
      <alignment horizontal="center" vertical="center"/>
    </xf>
    <xf numFmtId="2" fontId="62" fillId="0" borderId="4" xfId="69" applyNumberFormat="1" applyFont="1" applyFill="1" applyBorder="1" applyAlignment="1">
      <alignment horizontal="right" vertical="center" wrapText="1"/>
    </xf>
    <xf numFmtId="4" fontId="19" fillId="0" borderId="4" xfId="69" applyNumberFormat="1" applyFont="1" applyFill="1" applyBorder="1" applyAlignment="1">
      <alignment horizontal="right" vertical="center" wrapText="1"/>
    </xf>
    <xf numFmtId="43" fontId="72" fillId="0" borderId="4" xfId="40" applyNumberFormat="1" applyFont="1" applyFill="1" applyBorder="1" applyAlignment="1">
      <alignment horizontal="left" vertical="center" wrapText="1"/>
    </xf>
    <xf numFmtId="0" fontId="85" fillId="0" borderId="4" xfId="69" applyFont="1" applyFill="1" applyBorder="1" applyAlignment="1">
      <alignment horizontal="center"/>
    </xf>
    <xf numFmtId="0" fontId="61" fillId="0" borderId="4" xfId="69" applyFont="1" applyFill="1" applyBorder="1" applyAlignment="1">
      <alignment horizontal="center"/>
    </xf>
    <xf numFmtId="3" fontId="62" fillId="0" borderId="4" xfId="13" applyNumberFormat="1" applyFont="1" applyFill="1" applyBorder="1" applyAlignment="1">
      <alignment horizontal="center" vertical="center" wrapText="1"/>
    </xf>
    <xf numFmtId="3" fontId="62" fillId="0" borderId="4" xfId="13" applyNumberFormat="1" applyFont="1" applyFill="1" applyBorder="1" applyAlignment="1">
      <alignment horizontal="left" vertical="center"/>
    </xf>
    <xf numFmtId="3" fontId="62" fillId="0" borderId="4" xfId="13" applyNumberFormat="1" applyFont="1" applyFill="1" applyBorder="1" applyAlignment="1">
      <alignment horizontal="center" vertical="center"/>
    </xf>
    <xf numFmtId="0" fontId="20" fillId="0" borderId="4" xfId="69" applyFont="1" applyFill="1" applyBorder="1" applyAlignment="1">
      <alignment horizontal="left" vertical="center" wrapText="1"/>
    </xf>
    <xf numFmtId="0" fontId="20" fillId="0" borderId="4" xfId="69" quotePrefix="1" applyFont="1" applyFill="1" applyBorder="1" applyAlignment="1">
      <alignment vertical="center" wrapText="1"/>
    </xf>
    <xf numFmtId="0" fontId="20" fillId="0" borderId="4" xfId="69" quotePrefix="1" applyFont="1" applyFill="1" applyBorder="1" applyAlignment="1">
      <alignment horizontal="center" vertical="center" wrapText="1"/>
    </xf>
    <xf numFmtId="167" fontId="62" fillId="0" borderId="4" xfId="13" applyNumberFormat="1" applyFont="1" applyFill="1" applyBorder="1" applyAlignment="1">
      <alignment horizontal="center" vertical="center" wrapText="1"/>
    </xf>
    <xf numFmtId="168" fontId="62" fillId="0" borderId="4" xfId="13" applyNumberFormat="1" applyFont="1" applyFill="1" applyBorder="1" applyAlignment="1">
      <alignment horizontal="center" vertical="center"/>
    </xf>
    <xf numFmtId="0" fontId="20" fillId="0" borderId="4" xfId="69" quotePrefix="1" applyFont="1" applyFill="1" applyBorder="1" applyAlignment="1">
      <alignment horizontal="justify" vertical="center" wrapText="1"/>
    </xf>
    <xf numFmtId="0" fontId="20" fillId="0" borderId="4" xfId="69" applyFont="1" applyFill="1" applyBorder="1" applyAlignment="1">
      <alignment horizontal="justify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4" xfId="0" applyFont="1" applyFill="1" applyBorder="1" applyAlignment="1">
      <alignment vertical="center" wrapText="1"/>
    </xf>
    <xf numFmtId="0" fontId="17" fillId="12" borderId="4" xfId="0" applyFont="1" applyFill="1" applyBorder="1" applyAlignment="1">
      <alignment horizontal="center" vertical="center" wrapText="1"/>
    </xf>
    <xf numFmtId="0" fontId="17" fillId="12" borderId="0" xfId="69" applyFont="1" applyFill="1" applyAlignment="1">
      <alignment vertical="center" wrapText="1"/>
    </xf>
    <xf numFmtId="0" fontId="108" fillId="12" borderId="4" xfId="0" applyFont="1" applyFill="1" applyBorder="1" applyAlignment="1">
      <alignment horizontal="left" vertical="center" wrapText="1"/>
    </xf>
    <xf numFmtId="0" fontId="107" fillId="12" borderId="4" xfId="0" applyFont="1" applyFill="1" applyBorder="1" applyAlignment="1">
      <alignment horizontal="center" vertical="center" wrapText="1"/>
    </xf>
    <xf numFmtId="3" fontId="17" fillId="12" borderId="4" xfId="69" applyNumberFormat="1" applyFont="1" applyFill="1" applyBorder="1" applyAlignment="1">
      <alignment vertical="center" wrapText="1"/>
    </xf>
    <xf numFmtId="0" fontId="17" fillId="12" borderId="0" xfId="69" applyFont="1" applyFill="1" applyAlignment="1">
      <alignment vertical="center"/>
    </xf>
    <xf numFmtId="0" fontId="17" fillId="12" borderId="0" xfId="69" applyFont="1" applyFill="1" applyAlignment="1">
      <alignment horizontal="left" vertical="center"/>
    </xf>
    <xf numFmtId="0" fontId="17" fillId="12" borderId="0" xfId="69" applyFont="1" applyFill="1" applyAlignment="1">
      <alignment horizontal="right" vertical="center"/>
    </xf>
    <xf numFmtId="0" fontId="119" fillId="12" borderId="4" xfId="0" applyFont="1" applyFill="1" applyBorder="1" applyAlignment="1">
      <alignment horizontal="left" vertical="center" wrapText="1"/>
    </xf>
    <xf numFmtId="49" fontId="17" fillId="12" borderId="4" xfId="69" applyNumberFormat="1" applyFont="1" applyFill="1" applyBorder="1" applyAlignment="1">
      <alignment horizontal="center" vertical="center" wrapText="1"/>
    </xf>
    <xf numFmtId="0" fontId="17" fillId="12" borderId="4" xfId="69" applyFont="1" applyFill="1" applyBorder="1" applyAlignment="1">
      <alignment vertical="center" wrapText="1"/>
    </xf>
    <xf numFmtId="0" fontId="75" fillId="12" borderId="4" xfId="69" quotePrefix="1" applyFont="1" applyFill="1" applyBorder="1" applyAlignment="1">
      <alignment horizontal="left" vertical="center" wrapText="1"/>
    </xf>
    <xf numFmtId="0" fontId="75" fillId="12" borderId="4" xfId="69" applyFont="1" applyFill="1" applyBorder="1" applyAlignment="1">
      <alignment horizontal="center" vertical="center" wrapText="1"/>
    </xf>
    <xf numFmtId="1" fontId="108" fillId="12" borderId="4" xfId="0" applyNumberFormat="1" applyFont="1" applyFill="1" applyBorder="1" applyAlignment="1">
      <alignment horizontal="center" vertical="center" wrapText="1"/>
    </xf>
    <xf numFmtId="0" fontId="17" fillId="12" borderId="4" xfId="69" applyFont="1" applyFill="1" applyBorder="1" applyAlignment="1">
      <alignment vertical="center"/>
    </xf>
    <xf numFmtId="0" fontId="17" fillId="12" borderId="4" xfId="69" applyFont="1" applyFill="1" applyBorder="1" applyAlignment="1">
      <alignment horizontal="left" vertical="center"/>
    </xf>
    <xf numFmtId="0" fontId="17" fillId="10" borderId="0" xfId="69" applyFont="1" applyFill="1" applyAlignment="1">
      <alignment vertical="center" wrapText="1"/>
    </xf>
    <xf numFmtId="0" fontId="19" fillId="10" borderId="0" xfId="69" applyFont="1" applyFill="1" applyAlignment="1">
      <alignment horizontal="center" vertical="center" wrapText="1"/>
    </xf>
    <xf numFmtId="3" fontId="17" fillId="10" borderId="4" xfId="69" applyNumberFormat="1" applyFont="1" applyFill="1" applyBorder="1" applyAlignment="1">
      <alignment vertical="center" wrapText="1"/>
    </xf>
    <xf numFmtId="3" fontId="17" fillId="10" borderId="6" xfId="69" applyNumberFormat="1" applyFont="1" applyFill="1" applyBorder="1" applyAlignment="1">
      <alignment horizontal="center" wrapText="1"/>
    </xf>
    <xf numFmtId="3" fontId="17" fillId="10" borderId="4" xfId="69" applyNumberFormat="1" applyFont="1" applyFill="1" applyBorder="1" applyAlignment="1">
      <alignment wrapText="1"/>
    </xf>
    <xf numFmtId="3" fontId="19" fillId="10" borderId="4" xfId="69" applyNumberFormat="1" applyFont="1" applyFill="1" applyBorder="1" applyAlignment="1">
      <alignment horizontal="center" wrapText="1"/>
    </xf>
    <xf numFmtId="3" fontId="19" fillId="10" borderId="4" xfId="13" applyNumberFormat="1" applyFont="1" applyFill="1" applyBorder="1" applyAlignment="1">
      <alignment horizontal="right"/>
    </xf>
    <xf numFmtId="3" fontId="19" fillId="10" borderId="6" xfId="69" applyNumberFormat="1" applyFont="1" applyFill="1" applyBorder="1" applyAlignment="1">
      <alignment horizontal="center" wrapText="1"/>
    </xf>
    <xf numFmtId="3" fontId="19" fillId="10" borderId="4" xfId="69" applyNumberFormat="1" applyFont="1" applyFill="1" applyBorder="1" applyAlignment="1">
      <alignment wrapText="1"/>
    </xf>
    <xf numFmtId="3" fontId="19" fillId="10" borderId="6" xfId="69" applyNumberFormat="1" applyFont="1" applyFill="1" applyBorder="1" applyAlignment="1">
      <alignment horizontal="center" vertical="center" wrapText="1"/>
    </xf>
    <xf numFmtId="49" fontId="19" fillId="10" borderId="0" xfId="69" applyNumberFormat="1" applyFont="1" applyFill="1" applyAlignment="1">
      <alignment horizontal="center" vertical="center"/>
    </xf>
    <xf numFmtId="0" fontId="65" fillId="0" borderId="4" xfId="69" applyFont="1" applyBorder="1" applyAlignment="1">
      <alignment horizontal="center" vertical="center" wrapText="1"/>
    </xf>
    <xf numFmtId="0" fontId="65" fillId="0" borderId="29" xfId="69" applyFont="1" applyBorder="1" applyAlignment="1">
      <alignment horizontal="center" vertical="center" wrapText="1"/>
    </xf>
    <xf numFmtId="0" fontId="65" fillId="0" borderId="17" xfId="69" applyFont="1" applyBorder="1" applyAlignment="1">
      <alignment vertical="center" wrapText="1"/>
    </xf>
    <xf numFmtId="0" fontId="65" fillId="0" borderId="4" xfId="69" applyFont="1" applyBorder="1" applyAlignment="1">
      <alignment horizontal="left" vertical="center" wrapText="1"/>
    </xf>
    <xf numFmtId="0" fontId="88" fillId="0" borderId="4" xfId="69" applyFont="1" applyBorder="1" applyAlignment="1">
      <alignment horizontal="center" vertical="center" wrapText="1"/>
    </xf>
    <xf numFmtId="0" fontId="88" fillId="0" borderId="4" xfId="69" applyFont="1" applyBorder="1" applyAlignment="1">
      <alignment vertical="center" wrapText="1"/>
    </xf>
    <xf numFmtId="0" fontId="66" fillId="0" borderId="4" xfId="69" applyFont="1" applyBorder="1" applyAlignment="1">
      <alignment vertical="center" wrapText="1"/>
    </xf>
    <xf numFmtId="0" fontId="88" fillId="0" borderId="4" xfId="69" quotePrefix="1" applyFont="1" applyBorder="1" applyAlignment="1">
      <alignment horizontal="center" vertical="center" wrapText="1"/>
    </xf>
    <xf numFmtId="0" fontId="65" fillId="0" borderId="4" xfId="69" applyFont="1" applyBorder="1" applyAlignment="1">
      <alignment vertical="center" wrapText="1"/>
    </xf>
    <xf numFmtId="171" fontId="88" fillId="0" borderId="0" xfId="69" applyNumberFormat="1" applyFont="1" applyAlignment="1">
      <alignment wrapText="1"/>
    </xf>
    <xf numFmtId="171" fontId="65" fillId="0" borderId="4" xfId="13" applyNumberFormat="1" applyFont="1" applyBorder="1" applyAlignment="1">
      <alignment vertical="center" wrapText="1"/>
    </xf>
    <xf numFmtId="171" fontId="88" fillId="0" borderId="4" xfId="20" applyNumberFormat="1" applyFont="1" applyBorder="1" applyAlignment="1">
      <alignment vertical="center" wrapText="1"/>
    </xf>
    <xf numFmtId="171" fontId="88" fillId="0" borderId="4" xfId="20" applyNumberFormat="1" applyFont="1" applyBorder="1" applyAlignment="1">
      <alignment horizontal="center" vertical="center" wrapText="1"/>
    </xf>
    <xf numFmtId="0" fontId="33" fillId="10" borderId="0" xfId="69" applyFont="1" applyFill="1" applyAlignment="1"/>
    <xf numFmtId="0" fontId="88" fillId="10" borderId="0" xfId="69" applyFont="1" applyFill="1" applyAlignment="1">
      <alignment wrapText="1"/>
    </xf>
    <xf numFmtId="0" fontId="65" fillId="10" borderId="0" xfId="69" applyFont="1" applyFill="1" applyAlignment="1">
      <alignment horizontal="center" wrapText="1"/>
    </xf>
    <xf numFmtId="0" fontId="65" fillId="10" borderId="4" xfId="69" applyFont="1" applyFill="1" applyBorder="1" applyAlignment="1">
      <alignment horizontal="center" vertical="center" wrapText="1"/>
    </xf>
    <xf numFmtId="0" fontId="65" fillId="10" borderId="4" xfId="0" applyFont="1" applyFill="1" applyBorder="1" applyAlignment="1">
      <alignment horizontal="left" vertical="center" wrapText="1"/>
    </xf>
    <xf numFmtId="1" fontId="88" fillId="10" borderId="4" xfId="0" applyNumberFormat="1" applyFont="1" applyFill="1" applyBorder="1" applyAlignment="1">
      <alignment horizontal="center" vertical="center" wrapText="1"/>
    </xf>
    <xf numFmtId="0" fontId="88" fillId="10" borderId="4" xfId="0" quotePrefix="1" applyFont="1" applyFill="1" applyBorder="1" applyAlignment="1">
      <alignment horizontal="left" vertical="center" wrapText="1"/>
    </xf>
    <xf numFmtId="0" fontId="88" fillId="10" borderId="4" xfId="0" applyFont="1" applyFill="1" applyBorder="1" applyAlignment="1">
      <alignment horizontal="center" vertical="center" wrapText="1"/>
    </xf>
    <xf numFmtId="0" fontId="65" fillId="0" borderId="17" xfId="69" applyFont="1" applyBorder="1" applyAlignment="1">
      <alignment horizontal="center" vertical="center" wrapText="1"/>
    </xf>
    <xf numFmtId="167" fontId="19" fillId="0" borderId="4" xfId="20" applyNumberFormat="1" applyFont="1" applyFill="1" applyBorder="1" applyAlignment="1">
      <alignment horizontal="right" vertical="center" wrapText="1"/>
    </xf>
    <xf numFmtId="3" fontId="19" fillId="0" borderId="4" xfId="69" quotePrefix="1" applyNumberFormat="1" applyFont="1" applyFill="1" applyBorder="1" applyAlignment="1">
      <alignment horizontal="right" vertical="center" wrapText="1"/>
    </xf>
    <xf numFmtId="168" fontId="120" fillId="0" borderId="4" xfId="69" applyNumberFormat="1" applyFont="1" applyFill="1" applyBorder="1" applyAlignment="1">
      <alignment horizontal="right" vertical="center" wrapText="1"/>
    </xf>
    <xf numFmtId="3" fontId="120" fillId="0" borderId="4" xfId="69" applyNumberFormat="1" applyFont="1" applyFill="1" applyBorder="1" applyAlignment="1">
      <alignment horizontal="right" vertical="center" wrapText="1"/>
    </xf>
    <xf numFmtId="3" fontId="17" fillId="0" borderId="4" xfId="13" applyNumberFormat="1" applyFont="1" applyFill="1" applyBorder="1" applyAlignment="1">
      <alignment horizontal="center" vertical="center" wrapText="1"/>
    </xf>
    <xf numFmtId="3" fontId="17" fillId="0" borderId="4" xfId="13" applyNumberFormat="1" applyFont="1" applyFill="1" applyBorder="1" applyAlignment="1">
      <alignment horizontal="left" vertical="center"/>
    </xf>
    <xf numFmtId="3" fontId="17" fillId="0" borderId="4" xfId="13" applyNumberFormat="1" applyFont="1" applyFill="1" applyBorder="1" applyAlignment="1">
      <alignment horizontal="center" vertical="center"/>
    </xf>
    <xf numFmtId="0" fontId="72" fillId="0" borderId="4" xfId="69" applyFont="1" applyFill="1" applyBorder="1" applyAlignment="1">
      <alignment horizontal="left" vertical="center" wrapText="1"/>
    </xf>
    <xf numFmtId="0" fontId="72" fillId="0" borderId="4" xfId="69" applyFont="1" applyFill="1" applyBorder="1" applyAlignment="1">
      <alignment horizontal="center" vertical="center" wrapText="1"/>
    </xf>
    <xf numFmtId="0" fontId="72" fillId="0" borderId="4" xfId="69" applyFont="1" applyFill="1" applyBorder="1" applyAlignment="1">
      <alignment horizontal="center" vertical="center"/>
    </xf>
    <xf numFmtId="0" fontId="19" fillId="0" borderId="4" xfId="0" quotePrefix="1" applyFont="1" applyFill="1" applyBorder="1" applyAlignment="1">
      <alignment vertical="center" wrapText="1"/>
    </xf>
    <xf numFmtId="4" fontId="19" fillId="0" borderId="4" xfId="20" applyNumberFormat="1" applyFont="1" applyFill="1" applyBorder="1" applyAlignment="1">
      <alignment vertical="center"/>
    </xf>
    <xf numFmtId="3" fontId="19" fillId="0" borderId="4" xfId="13" applyNumberFormat="1" applyFont="1" applyFill="1" applyBorder="1" applyAlignment="1">
      <alignment vertical="center"/>
    </xf>
    <xf numFmtId="0" fontId="72" fillId="0" borderId="4" xfId="69" applyFont="1" applyFill="1" applyBorder="1" applyAlignment="1">
      <alignment vertical="center" wrapText="1"/>
    </xf>
    <xf numFmtId="0" fontId="19" fillId="0" borderId="4" xfId="69" applyFont="1" applyFill="1" applyBorder="1" applyAlignment="1">
      <alignment horizontal="justify" vertical="center" wrapText="1"/>
    </xf>
    <xf numFmtId="168" fontId="19" fillId="0" borderId="4" xfId="20" applyNumberFormat="1" applyFont="1" applyFill="1" applyBorder="1" applyAlignment="1">
      <alignment horizontal="right" vertical="center"/>
    </xf>
    <xf numFmtId="0" fontId="19" fillId="0" borderId="4" xfId="69" quotePrefix="1" applyFont="1" applyFill="1" applyBorder="1" applyAlignment="1">
      <alignment horizontal="justify" vertical="center" wrapText="1"/>
    </xf>
    <xf numFmtId="0" fontId="19" fillId="0" borderId="4" xfId="0" applyFont="1" applyFill="1" applyBorder="1" applyAlignment="1">
      <alignment horizontal="justify" vertical="center" wrapText="1"/>
    </xf>
    <xf numFmtId="0" fontId="88" fillId="0" borderId="29" xfId="69" applyFont="1" applyBorder="1" applyAlignment="1">
      <alignment horizontal="center" vertical="center" wrapText="1"/>
    </xf>
    <xf numFmtId="0" fontId="88" fillId="0" borderId="4" xfId="69" quotePrefix="1" applyFont="1" applyFill="1" applyBorder="1" applyAlignment="1">
      <alignment horizontal="center" vertical="center" wrapText="1"/>
    </xf>
    <xf numFmtId="4" fontId="19" fillId="0" borderId="4" xfId="13" applyNumberFormat="1" applyFont="1" applyFill="1" applyBorder="1" applyAlignment="1">
      <alignment horizontal="center" vertical="center"/>
    </xf>
    <xf numFmtId="3" fontId="19" fillId="0" borderId="4" xfId="0" applyNumberFormat="1" applyFont="1" applyFill="1" applyBorder="1" applyAlignment="1">
      <alignment horizontal="center" vertical="center"/>
    </xf>
    <xf numFmtId="2" fontId="77" fillId="0" borderId="4" xfId="68" applyNumberFormat="1" applyFont="1" applyFill="1" applyBorder="1" applyAlignment="1">
      <alignment horizontal="center" vertical="center"/>
    </xf>
    <xf numFmtId="192" fontId="17" fillId="0" borderId="4" xfId="60" quotePrefix="1" applyNumberFormat="1" applyFont="1" applyFill="1" applyBorder="1" applyAlignment="1">
      <alignment horizontal="center" vertical="center"/>
    </xf>
    <xf numFmtId="170" fontId="19" fillId="0" borderId="17" xfId="0" applyNumberFormat="1" applyFont="1" applyFill="1" applyBorder="1" applyAlignment="1">
      <alignment horizontal="center" vertical="center"/>
    </xf>
    <xf numFmtId="3" fontId="19" fillId="0" borderId="4" xfId="69" quotePrefix="1" applyNumberFormat="1" applyFont="1" applyFill="1" applyBorder="1" applyAlignment="1">
      <alignment horizontal="center" vertical="center" wrapText="1"/>
    </xf>
    <xf numFmtId="0" fontId="20" fillId="0" borderId="0" xfId="69" applyFont="1" applyFill="1" applyBorder="1" applyAlignment="1">
      <alignment vertical="center"/>
    </xf>
    <xf numFmtId="196" fontId="19" fillId="0" borderId="4" xfId="70" applyNumberFormat="1" applyFont="1" applyFill="1" applyBorder="1" applyAlignment="1">
      <alignment horizontal="center" vertical="center"/>
    </xf>
    <xf numFmtId="2" fontId="19" fillId="0" borderId="4" xfId="70" applyNumberFormat="1" applyFont="1" applyFill="1" applyBorder="1" applyAlignment="1">
      <alignment horizontal="center" vertical="center"/>
    </xf>
    <xf numFmtId="172" fontId="17" fillId="0" borderId="4" xfId="70" applyNumberFormat="1" applyFont="1" applyFill="1" applyBorder="1" applyAlignment="1">
      <alignment vertical="center" wrapText="1"/>
    </xf>
    <xf numFmtId="170" fontId="19" fillId="0" borderId="4" xfId="70" applyNumberFormat="1" applyFont="1" applyFill="1" applyBorder="1" applyAlignment="1">
      <alignment horizontal="center" vertical="center"/>
    </xf>
    <xf numFmtId="164" fontId="17" fillId="0" borderId="4" xfId="70" applyNumberFormat="1" applyFont="1" applyFill="1" applyBorder="1" applyAlignment="1">
      <alignment horizontal="center" vertical="center"/>
    </xf>
    <xf numFmtId="0" fontId="65" fillId="0" borderId="4" xfId="0" applyFont="1" applyFill="1" applyBorder="1" applyAlignment="1">
      <alignment horizontal="center" vertical="center" wrapText="1"/>
    </xf>
    <xf numFmtId="0" fontId="88" fillId="0" borderId="4" xfId="0" applyFont="1" applyFill="1" applyBorder="1" applyAlignment="1">
      <alignment horizontal="center" vertical="center" wrapText="1"/>
    </xf>
    <xf numFmtId="3" fontId="88" fillId="0" borderId="4" xfId="0" applyNumberFormat="1" applyFont="1" applyBorder="1" applyAlignment="1">
      <alignment horizontal="center" vertical="center"/>
    </xf>
    <xf numFmtId="0" fontId="88" fillId="0" borderId="17" xfId="69" applyFont="1" applyBorder="1" applyAlignment="1">
      <alignment horizontal="center" vertical="center" wrapText="1"/>
    </xf>
    <xf numFmtId="0" fontId="19" fillId="13" borderId="4" xfId="0" applyFont="1" applyFill="1" applyBorder="1" applyAlignment="1">
      <alignment vertical="center"/>
    </xf>
    <xf numFmtId="0" fontId="19" fillId="13" borderId="4" xfId="0" quotePrefix="1" applyFont="1" applyFill="1" applyBorder="1" applyAlignment="1">
      <alignment horizontal="center" vertical="center" wrapText="1"/>
    </xf>
    <xf numFmtId="0" fontId="19" fillId="13" borderId="4" xfId="0" quotePrefix="1" applyFont="1" applyFill="1" applyBorder="1" applyAlignment="1">
      <alignment horizontal="left" vertical="center" wrapText="1"/>
    </xf>
    <xf numFmtId="168" fontId="120" fillId="10" borderId="4" xfId="13" applyNumberFormat="1" applyFont="1" applyFill="1" applyBorder="1" applyAlignment="1">
      <alignment horizontal="right"/>
    </xf>
    <xf numFmtId="3" fontId="120" fillId="10" borderId="4" xfId="13" applyNumberFormat="1" applyFont="1" applyFill="1" applyBorder="1" applyAlignment="1">
      <alignment horizontal="right"/>
    </xf>
    <xf numFmtId="0" fontId="17" fillId="13" borderId="0" xfId="69" applyFont="1" applyFill="1" applyAlignment="1">
      <alignment vertical="center"/>
    </xf>
    <xf numFmtId="0" fontId="17" fillId="13" borderId="0" xfId="69" applyFont="1" applyFill="1" applyAlignment="1">
      <alignment horizontal="left" vertical="center"/>
    </xf>
    <xf numFmtId="0" fontId="17" fillId="13" borderId="0" xfId="69" applyFont="1" applyFill="1" applyAlignment="1">
      <alignment horizontal="right" vertical="center"/>
    </xf>
    <xf numFmtId="171" fontId="19" fillId="13" borderId="0" xfId="69" applyNumberFormat="1" applyFont="1" applyFill="1" applyAlignment="1">
      <alignment vertical="center"/>
    </xf>
    <xf numFmtId="0" fontId="65" fillId="10" borderId="17" xfId="69" quotePrefix="1" applyFont="1" applyFill="1" applyBorder="1" applyAlignment="1">
      <alignment vertical="center" wrapText="1"/>
    </xf>
    <xf numFmtId="4" fontId="19" fillId="0" borderId="0" xfId="69" applyNumberFormat="1" applyFont="1" applyFill="1" applyAlignment="1">
      <alignment vertical="center"/>
    </xf>
    <xf numFmtId="171" fontId="19" fillId="0" borderId="0" xfId="69" applyNumberFormat="1" applyFont="1" applyFill="1" applyAlignment="1">
      <alignment vertical="center"/>
    </xf>
    <xf numFmtId="49" fontId="17" fillId="0" borderId="4" xfId="69" applyNumberFormat="1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17" fillId="10" borderId="4" xfId="0" applyFont="1" applyFill="1" applyBorder="1" applyAlignment="1">
      <alignment horizontal="center" vertical="center" wrapText="1"/>
    </xf>
    <xf numFmtId="0" fontId="17" fillId="10" borderId="0" xfId="69" applyFont="1" applyFill="1" applyAlignment="1">
      <alignment horizontal="center" vertical="center"/>
    </xf>
    <xf numFmtId="43" fontId="19" fillId="13" borderId="4" xfId="40" applyFont="1" applyFill="1" applyBorder="1" applyAlignment="1">
      <alignment vertical="center"/>
    </xf>
    <xf numFmtId="0" fontId="19" fillId="13" borderId="4" xfId="0" applyFont="1" applyFill="1" applyBorder="1" applyAlignment="1">
      <alignment horizontal="center" vertical="center"/>
    </xf>
    <xf numFmtId="0" fontId="20" fillId="13" borderId="4" xfId="0" applyFont="1" applyFill="1" applyBorder="1" applyAlignment="1">
      <alignment horizontal="center" vertical="center"/>
    </xf>
    <xf numFmtId="0" fontId="20" fillId="13" borderId="4" xfId="0" applyFont="1" applyFill="1" applyBorder="1" applyAlignment="1">
      <alignment vertical="center"/>
    </xf>
    <xf numFmtId="170" fontId="19" fillId="13" borderId="4" xfId="0" applyNumberFormat="1" applyFont="1" applyFill="1" applyBorder="1" applyAlignment="1">
      <alignment vertical="center"/>
    </xf>
    <xf numFmtId="0" fontId="19" fillId="13" borderId="17" xfId="0" quotePrefix="1" applyFont="1" applyFill="1" applyBorder="1" applyAlignment="1">
      <alignment horizontal="center" vertical="center" wrapText="1"/>
    </xf>
    <xf numFmtId="0" fontId="19" fillId="13" borderId="17" xfId="0" quotePrefix="1" applyFont="1" applyFill="1" applyBorder="1" applyAlignment="1">
      <alignment horizontal="left" vertical="center" wrapText="1"/>
    </xf>
    <xf numFmtId="167" fontId="19" fillId="13" borderId="17" xfId="13" quotePrefix="1" applyNumberFormat="1" applyFont="1" applyFill="1" applyBorder="1" applyAlignment="1">
      <alignment horizontal="center" vertical="center" wrapText="1"/>
    </xf>
    <xf numFmtId="171" fontId="19" fillId="13" borderId="17" xfId="13" quotePrefix="1" applyNumberFormat="1" applyFont="1" applyFill="1" applyBorder="1" applyAlignment="1">
      <alignment horizontal="center" vertical="center" wrapText="1"/>
    </xf>
    <xf numFmtId="170" fontId="19" fillId="13" borderId="17" xfId="0" applyNumberFormat="1" applyFont="1" applyFill="1" applyBorder="1" applyAlignment="1">
      <alignment vertical="center"/>
    </xf>
    <xf numFmtId="170" fontId="19" fillId="13" borderId="17" xfId="0" applyNumberFormat="1" applyFont="1" applyFill="1" applyBorder="1" applyAlignment="1">
      <alignment horizontal="center" vertical="center"/>
    </xf>
    <xf numFmtId="0" fontId="20" fillId="13" borderId="17" xfId="0" applyFont="1" applyFill="1" applyBorder="1" applyAlignment="1">
      <alignment horizontal="center" vertical="center"/>
    </xf>
    <xf numFmtId="0" fontId="20" fillId="13" borderId="17" xfId="0" applyFont="1" applyFill="1" applyBorder="1" applyAlignment="1">
      <alignment vertical="center"/>
    </xf>
    <xf numFmtId="171" fontId="19" fillId="0" borderId="4" xfId="13" applyNumberFormat="1" applyFont="1" applyFill="1" applyBorder="1" applyAlignment="1">
      <alignment horizontal="center" vertical="center" wrapText="1"/>
    </xf>
    <xf numFmtId="3" fontId="19" fillId="0" borderId="4" xfId="79" applyNumberFormat="1" applyFont="1" applyFill="1" applyBorder="1" applyAlignment="1">
      <alignment horizontal="center" vertical="center"/>
    </xf>
    <xf numFmtId="170" fontId="19" fillId="0" borderId="4" xfId="0" applyNumberFormat="1" applyFont="1" applyFill="1" applyBorder="1" applyAlignment="1">
      <alignment horizontal="center" vertical="center"/>
    </xf>
    <xf numFmtId="168" fontId="19" fillId="0" borderId="4" xfId="13" applyNumberFormat="1" applyFont="1" applyFill="1" applyBorder="1" applyAlignment="1">
      <alignment horizontal="right" vertical="center"/>
    </xf>
    <xf numFmtId="1" fontId="19" fillId="0" borderId="4" xfId="24" applyNumberFormat="1" applyFont="1" applyFill="1" applyBorder="1" applyAlignment="1">
      <alignment horizontal="center" vertical="center"/>
    </xf>
    <xf numFmtId="1" fontId="19" fillId="0" borderId="4" xfId="0" applyNumberFormat="1" applyFont="1" applyFill="1" applyBorder="1" applyAlignment="1">
      <alignment horizontal="center" vertical="center" wrapText="1"/>
    </xf>
    <xf numFmtId="168" fontId="19" fillId="0" borderId="4" xfId="20" applyNumberFormat="1" applyFont="1" applyFill="1" applyBorder="1" applyAlignment="1">
      <alignment horizontal="center" vertical="center"/>
    </xf>
    <xf numFmtId="0" fontId="112" fillId="0" borderId="4" xfId="69" quotePrefix="1" applyFont="1" applyFill="1" applyBorder="1" applyAlignment="1">
      <alignment horizontal="left" vertical="center" wrapText="1"/>
    </xf>
    <xf numFmtId="0" fontId="112" fillId="0" borderId="4" xfId="69" applyFont="1" applyFill="1" applyBorder="1" applyAlignment="1">
      <alignment horizontal="center" vertical="center" wrapText="1"/>
    </xf>
    <xf numFmtId="2" fontId="19" fillId="0" borderId="4" xfId="0" quotePrefix="1" applyNumberFormat="1" applyFont="1" applyFill="1" applyBorder="1" applyAlignment="1">
      <alignment horizontal="center" vertical="center" wrapText="1"/>
    </xf>
    <xf numFmtId="2" fontId="112" fillId="0" borderId="4" xfId="0" quotePrefix="1" applyNumberFormat="1" applyFont="1" applyFill="1" applyBorder="1" applyAlignment="1">
      <alignment horizontal="center" vertical="center" wrapText="1"/>
    </xf>
    <xf numFmtId="0" fontId="19" fillId="0" borderId="29" xfId="69" applyFont="1" applyFill="1" applyBorder="1" applyAlignment="1">
      <alignment horizontal="center" vertical="center"/>
    </xf>
    <xf numFmtId="0" fontId="19" fillId="0" borderId="29" xfId="69" applyFont="1" applyFill="1" applyBorder="1" applyAlignment="1">
      <alignment horizontal="left" vertical="center" wrapText="1"/>
    </xf>
    <xf numFmtId="0" fontId="19" fillId="0" borderId="29" xfId="69" applyFont="1" applyFill="1" applyBorder="1" applyAlignment="1">
      <alignment horizontal="center" vertical="center" wrapText="1"/>
    </xf>
    <xf numFmtId="0" fontId="19" fillId="0" borderId="4" xfId="79" quotePrefix="1" applyFont="1" applyFill="1" applyBorder="1" applyAlignment="1">
      <alignment horizontal="center" vertical="center" wrapText="1"/>
    </xf>
    <xf numFmtId="3" fontId="19" fillId="0" borderId="4" xfId="24" applyNumberFormat="1" applyFont="1" applyFill="1" applyBorder="1" applyAlignment="1">
      <alignment horizontal="center" vertical="center"/>
    </xf>
    <xf numFmtId="168" fontId="19" fillId="0" borderId="4" xfId="24" applyNumberFormat="1" applyFont="1" applyFill="1" applyBorder="1" applyAlignment="1">
      <alignment horizontal="right" vertical="center"/>
    </xf>
    <xf numFmtId="171" fontId="19" fillId="0" borderId="4" xfId="24" applyNumberFormat="1" applyFont="1" applyFill="1" applyBorder="1" applyAlignment="1">
      <alignment horizontal="center" vertical="center"/>
    </xf>
    <xf numFmtId="2" fontId="20" fillId="0" borderId="4" xfId="77" applyNumberFormat="1" applyFont="1" applyFill="1" applyBorder="1" applyAlignment="1">
      <alignment vertical="center"/>
    </xf>
    <xf numFmtId="167" fontId="17" fillId="0" borderId="4" xfId="29" applyNumberFormat="1" applyFont="1" applyFill="1" applyBorder="1" applyAlignment="1">
      <alignment vertical="center"/>
    </xf>
    <xf numFmtId="168" fontId="17" fillId="0" borderId="4" xfId="29" applyNumberFormat="1" applyFont="1" applyFill="1" applyBorder="1" applyAlignment="1">
      <alignment vertical="center"/>
    </xf>
    <xf numFmtId="168" fontId="19" fillId="0" borderId="4" xfId="24" applyNumberFormat="1" applyFont="1" applyFill="1" applyBorder="1" applyAlignment="1">
      <alignment vertical="center"/>
    </xf>
    <xf numFmtId="171" fontId="19" fillId="0" borderId="4" xfId="24" applyNumberFormat="1" applyFont="1" applyFill="1" applyBorder="1" applyAlignment="1">
      <alignment vertical="center"/>
    </xf>
    <xf numFmtId="0" fontId="64" fillId="0" borderId="0" xfId="69" applyFont="1" applyFill="1" applyAlignment="1">
      <alignment vertical="center"/>
    </xf>
    <xf numFmtId="167" fontId="19" fillId="0" borderId="4" xfId="13" quotePrefix="1" applyNumberFormat="1" applyFont="1" applyFill="1" applyBorder="1" applyAlignment="1">
      <alignment horizontal="center" vertical="center" wrapText="1"/>
    </xf>
    <xf numFmtId="3" fontId="19" fillId="0" borderId="4" xfId="20" applyNumberFormat="1" applyFont="1" applyFill="1" applyBorder="1" applyAlignment="1">
      <alignment horizontal="right" vertical="center"/>
    </xf>
    <xf numFmtId="0" fontId="19" fillId="0" borderId="29" xfId="0" quotePrefix="1" applyFont="1" applyFill="1" applyBorder="1" applyAlignment="1">
      <alignment horizontal="left" vertical="center" wrapText="1"/>
    </xf>
    <xf numFmtId="0" fontId="19" fillId="0" borderId="29" xfId="0" applyFont="1" applyFill="1" applyBorder="1" applyAlignment="1">
      <alignment horizontal="center" vertical="center" wrapText="1"/>
    </xf>
    <xf numFmtId="4" fontId="19" fillId="0" borderId="4" xfId="20" applyNumberFormat="1" applyFont="1" applyFill="1" applyBorder="1" applyAlignment="1">
      <alignment horizontal="center" vertical="center" wrapText="1"/>
    </xf>
    <xf numFmtId="4" fontId="19" fillId="0" borderId="4" xfId="20" quotePrefix="1" applyNumberFormat="1" applyFont="1" applyFill="1" applyBorder="1" applyAlignment="1">
      <alignment horizontal="center" vertical="center"/>
    </xf>
    <xf numFmtId="4" fontId="19" fillId="0" borderId="4" xfId="20" applyNumberFormat="1" applyFont="1" applyFill="1" applyBorder="1" applyAlignment="1">
      <alignment horizontal="center" vertical="center"/>
    </xf>
    <xf numFmtId="3" fontId="19" fillId="0" borderId="4" xfId="20" applyNumberFormat="1" applyFont="1" applyFill="1" applyBorder="1" applyAlignment="1">
      <alignment horizontal="center" vertical="center" wrapText="1"/>
    </xf>
    <xf numFmtId="4" fontId="19" fillId="0" borderId="4" xfId="20" applyNumberFormat="1" applyFont="1" applyFill="1" applyBorder="1" applyAlignment="1">
      <alignment horizontal="right" vertical="center"/>
    </xf>
    <xf numFmtId="3" fontId="19" fillId="0" borderId="4" xfId="20" applyNumberFormat="1" applyFont="1" applyFill="1" applyBorder="1" applyAlignment="1">
      <alignment horizontal="center" vertical="center"/>
    </xf>
    <xf numFmtId="167" fontId="19" fillId="0" borderId="4" xfId="13" applyNumberFormat="1" applyFont="1" applyFill="1" applyBorder="1" applyAlignment="1">
      <alignment horizontal="right" vertical="center" wrapText="1"/>
    </xf>
    <xf numFmtId="3" fontId="19" fillId="0" borderId="4" xfId="69" applyNumberFormat="1" applyFont="1" applyFill="1" applyBorder="1" applyAlignment="1">
      <alignment vertical="center"/>
    </xf>
    <xf numFmtId="168" fontId="19" fillId="0" borderId="4" xfId="20" quotePrefix="1" applyNumberFormat="1" applyFont="1" applyFill="1" applyBorder="1" applyAlignment="1">
      <alignment horizontal="right" vertical="center"/>
    </xf>
    <xf numFmtId="3" fontId="19" fillId="0" borderId="4" xfId="20" quotePrefix="1" applyNumberFormat="1" applyFont="1" applyFill="1" applyBorder="1" applyAlignment="1">
      <alignment horizontal="right" vertical="center"/>
    </xf>
    <xf numFmtId="3" fontId="17" fillId="0" borderId="4" xfId="20" applyNumberFormat="1" applyFont="1" applyFill="1" applyBorder="1" applyAlignment="1">
      <alignment horizontal="right" vertical="center"/>
    </xf>
    <xf numFmtId="3" fontId="17" fillId="0" borderId="4" xfId="20" applyNumberFormat="1" applyFont="1" applyFill="1" applyBorder="1" applyAlignment="1">
      <alignment horizontal="right" vertical="center" wrapText="1"/>
    </xf>
    <xf numFmtId="167" fontId="17" fillId="0" borderId="4" xfId="20" applyNumberFormat="1" applyFont="1" applyFill="1" applyBorder="1" applyAlignment="1">
      <alignment horizontal="right" vertical="center" wrapText="1"/>
    </xf>
    <xf numFmtId="168" fontId="17" fillId="0" borderId="4" xfId="20" applyNumberFormat="1" applyFont="1" applyFill="1" applyBorder="1" applyAlignment="1">
      <alignment horizontal="right" vertical="center"/>
    </xf>
    <xf numFmtId="0" fontId="62" fillId="0" borderId="0" xfId="69" quotePrefix="1" applyFont="1" applyFill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49" fontId="19" fillId="0" borderId="4" xfId="0" applyNumberFormat="1" applyFont="1" applyFill="1" applyBorder="1" applyAlignment="1">
      <alignment horizontal="center" vertical="center" wrapText="1"/>
    </xf>
    <xf numFmtId="0" fontId="99" fillId="0" borderId="4" xfId="0" applyFont="1" applyFill="1" applyBorder="1" applyAlignment="1">
      <alignment vertical="center" wrapText="1"/>
    </xf>
    <xf numFmtId="197" fontId="19" fillId="0" borderId="4" xfId="70" applyNumberFormat="1" applyFont="1" applyFill="1" applyBorder="1" applyAlignment="1">
      <alignment horizontal="center" vertical="center"/>
    </xf>
    <xf numFmtId="0" fontId="65" fillId="0" borderId="0" xfId="69" applyFont="1" applyFill="1" applyAlignment="1"/>
    <xf numFmtId="0" fontId="65" fillId="0" borderId="4" xfId="0" applyFont="1" applyFill="1" applyBorder="1" applyAlignment="1">
      <alignment horizontal="left" vertical="center" wrapText="1"/>
    </xf>
    <xf numFmtId="1" fontId="88" fillId="0" borderId="4" xfId="0" applyNumberFormat="1" applyFont="1" applyFill="1" applyBorder="1" applyAlignment="1">
      <alignment horizontal="center" vertical="center" wrapText="1"/>
    </xf>
    <xf numFmtId="0" fontId="88" fillId="0" borderId="4" xfId="0" quotePrefix="1" applyFont="1" applyFill="1" applyBorder="1" applyAlignment="1">
      <alignment horizontal="justify" vertical="justify" wrapText="1"/>
    </xf>
    <xf numFmtId="0" fontId="88" fillId="0" borderId="4" xfId="0" quotePrefix="1" applyFont="1" applyFill="1" applyBorder="1" applyAlignment="1">
      <alignment horizontal="left" vertical="center" wrapText="1"/>
    </xf>
    <xf numFmtId="0" fontId="20" fillId="0" borderId="4" xfId="0" applyFont="1" applyBorder="1" applyAlignment="1">
      <alignment horizontal="center" vertical="center"/>
    </xf>
    <xf numFmtId="3" fontId="20" fillId="0" borderId="4" xfId="0" quotePrefix="1" applyNumberFormat="1" applyFont="1" applyFill="1" applyBorder="1" applyAlignment="1">
      <alignment horizontal="center" vertical="center"/>
    </xf>
    <xf numFmtId="3" fontId="20" fillId="0" borderId="4" xfId="0" applyNumberFormat="1" applyFont="1" applyBorder="1" applyAlignment="1">
      <alignment horizontal="center" vertical="center"/>
    </xf>
    <xf numFmtId="168" fontId="19" fillId="0" borderId="4" xfId="13" applyNumberFormat="1" applyFont="1" applyFill="1" applyBorder="1" applyAlignment="1">
      <alignment horizontal="center" vertical="center"/>
    </xf>
    <xf numFmtId="3" fontId="19" fillId="0" borderId="4" xfId="41" applyNumberFormat="1" applyFont="1" applyFill="1" applyBorder="1" applyAlignment="1">
      <alignment horizontal="center" vertical="center"/>
    </xf>
    <xf numFmtId="170" fontId="19" fillId="0" borderId="4" xfId="0" quotePrefix="1" applyNumberFormat="1" applyFont="1" applyFill="1" applyBorder="1" applyAlignment="1">
      <alignment horizontal="center" vertical="center" wrapText="1"/>
    </xf>
    <xf numFmtId="1" fontId="19" fillId="0" borderId="4" xfId="0" quotePrefix="1" applyNumberFormat="1" applyFont="1" applyFill="1" applyBorder="1" applyAlignment="1">
      <alignment horizontal="center" vertical="center" wrapText="1"/>
    </xf>
    <xf numFmtId="168" fontId="19" fillId="0" borderId="4" xfId="40" applyNumberFormat="1" applyFont="1" applyFill="1" applyBorder="1" applyAlignment="1">
      <alignment horizontal="center" vertical="center"/>
    </xf>
    <xf numFmtId="2" fontId="19" fillId="0" borderId="4" xfId="0" applyNumberFormat="1" applyFont="1" applyFill="1" applyBorder="1" applyAlignment="1">
      <alignment horizontal="center" vertical="center" wrapText="1"/>
    </xf>
    <xf numFmtId="0" fontId="19" fillId="0" borderId="4" xfId="69" quotePrefix="1" applyFont="1" applyFill="1" applyBorder="1" applyAlignment="1">
      <alignment horizontal="center" vertical="center"/>
    </xf>
    <xf numFmtId="168" fontId="19" fillId="0" borderId="4" xfId="79" applyNumberFormat="1" applyFont="1" applyFill="1" applyBorder="1" applyAlignment="1">
      <alignment horizontal="center" vertical="center"/>
    </xf>
    <xf numFmtId="4" fontId="19" fillId="0" borderId="4" xfId="79" applyNumberFormat="1" applyFont="1" applyFill="1" applyBorder="1" applyAlignment="1">
      <alignment horizontal="center" vertical="center"/>
    </xf>
    <xf numFmtId="43" fontId="19" fillId="0" borderId="4" xfId="24" applyNumberFormat="1" applyFont="1" applyFill="1" applyBorder="1" applyAlignment="1">
      <alignment horizontal="center" vertical="center"/>
    </xf>
    <xf numFmtId="169" fontId="17" fillId="0" borderId="4" xfId="24" applyNumberFormat="1" applyFont="1" applyFill="1" applyBorder="1" applyAlignment="1">
      <alignment vertical="center"/>
    </xf>
    <xf numFmtId="49" fontId="17" fillId="10" borderId="4" xfId="69" applyNumberFormat="1" applyFont="1" applyFill="1" applyBorder="1" applyAlignment="1">
      <alignment horizontal="center" vertical="center" wrapText="1"/>
    </xf>
    <xf numFmtId="0" fontId="17" fillId="10" borderId="4" xfId="69" applyFont="1" applyFill="1" applyBorder="1" applyAlignment="1">
      <alignment horizontal="center" vertical="center" wrapText="1"/>
    </xf>
    <xf numFmtId="1" fontId="17" fillId="10" borderId="4" xfId="0" applyNumberFormat="1" applyFont="1" applyFill="1" applyBorder="1" applyAlignment="1">
      <alignment horizontal="center" vertical="center" wrapText="1"/>
    </xf>
    <xf numFmtId="0" fontId="17" fillId="10" borderId="4" xfId="0" applyFont="1" applyFill="1" applyBorder="1" applyAlignment="1">
      <alignment horizontal="left" vertical="center" wrapText="1"/>
    </xf>
    <xf numFmtId="0" fontId="19" fillId="10" borderId="4" xfId="0" applyFont="1" applyFill="1" applyBorder="1" applyAlignment="1">
      <alignment horizontal="center" vertical="center" wrapText="1"/>
    </xf>
    <xf numFmtId="0" fontId="19" fillId="10" borderId="4" xfId="0" applyFont="1" applyFill="1" applyBorder="1" applyAlignment="1">
      <alignment horizontal="left" vertical="center" wrapText="1"/>
    </xf>
    <xf numFmtId="1" fontId="87" fillId="10" borderId="4" xfId="0" applyNumberFormat="1" applyFont="1" applyFill="1" applyBorder="1" applyAlignment="1">
      <alignment horizontal="center" vertical="center" wrapText="1"/>
    </xf>
    <xf numFmtId="0" fontId="87" fillId="10" borderId="4" xfId="0" applyFont="1" applyFill="1" applyBorder="1" applyAlignment="1">
      <alignment horizontal="left" vertical="center" wrapText="1"/>
    </xf>
    <xf numFmtId="0" fontId="18" fillId="10" borderId="4" xfId="0" applyFont="1" applyFill="1" applyBorder="1" applyAlignment="1">
      <alignment horizontal="center" vertical="center" wrapText="1"/>
    </xf>
    <xf numFmtId="1" fontId="87" fillId="13" borderId="4" xfId="0" applyNumberFormat="1" applyFont="1" applyFill="1" applyBorder="1" applyAlignment="1">
      <alignment horizontal="center" vertical="center" wrapText="1"/>
    </xf>
    <xf numFmtId="0" fontId="18" fillId="13" borderId="4" xfId="0" applyFont="1" applyFill="1" applyBorder="1" applyAlignment="1">
      <alignment horizontal="left" vertical="center" wrapText="1"/>
    </xf>
    <xf numFmtId="0" fontId="18" fillId="13" borderId="4" xfId="0" applyFont="1" applyFill="1" applyBorder="1" applyAlignment="1">
      <alignment horizontal="center" vertical="center" wrapText="1"/>
    </xf>
    <xf numFmtId="3" fontId="17" fillId="13" borderId="4" xfId="69" applyNumberFormat="1" applyFont="1" applyFill="1" applyBorder="1" applyAlignment="1">
      <alignment vertical="center" wrapText="1"/>
    </xf>
    <xf numFmtId="168" fontId="19" fillId="0" borderId="4" xfId="13" applyNumberFormat="1" applyFont="1" applyFill="1" applyBorder="1" applyAlignment="1">
      <alignment horizontal="center"/>
    </xf>
    <xf numFmtId="3" fontId="19" fillId="0" borderId="4" xfId="13" applyNumberFormat="1" applyFont="1" applyFill="1" applyBorder="1" applyAlignment="1">
      <alignment horizontal="center"/>
    </xf>
    <xf numFmtId="3" fontId="19" fillId="10" borderId="4" xfId="69" quotePrefix="1" applyNumberFormat="1" applyFont="1" applyFill="1" applyBorder="1" applyAlignment="1">
      <alignment horizontal="right" wrapText="1"/>
    </xf>
    <xf numFmtId="3" fontId="19" fillId="10" borderId="4" xfId="69" applyNumberFormat="1" applyFont="1" applyFill="1" applyBorder="1" applyAlignment="1">
      <alignment horizontal="right"/>
    </xf>
    <xf numFmtId="3" fontId="19" fillId="10" borderId="4" xfId="69" quotePrefix="1" applyNumberFormat="1" applyFont="1" applyFill="1" applyBorder="1" applyAlignment="1">
      <alignment horizontal="center" wrapText="1"/>
    </xf>
    <xf numFmtId="168" fontId="19" fillId="10" borderId="4" xfId="69" applyNumberFormat="1" applyFont="1" applyFill="1" applyBorder="1" applyAlignment="1">
      <alignment horizontal="center" wrapText="1"/>
    </xf>
    <xf numFmtId="169" fontId="19" fillId="0" borderId="4" xfId="79" applyNumberFormat="1" applyFont="1" applyFill="1" applyBorder="1" applyAlignment="1">
      <alignment horizontal="center" vertical="center"/>
    </xf>
    <xf numFmtId="0" fontId="19" fillId="0" borderId="4" xfId="69" quotePrefix="1" applyFont="1" applyFill="1" applyBorder="1" applyAlignment="1">
      <alignment horizontal="center" vertical="top"/>
    </xf>
    <xf numFmtId="0" fontId="17" fillId="0" borderId="4" xfId="69" quotePrefix="1" applyFont="1" applyFill="1" applyBorder="1" applyAlignment="1">
      <alignment horizontal="center" vertical="center"/>
    </xf>
    <xf numFmtId="3" fontId="19" fillId="0" borderId="4" xfId="13" applyNumberFormat="1" applyFont="1" applyFill="1" applyBorder="1" applyAlignment="1">
      <alignment horizontal="center" vertical="center" wrapText="1"/>
    </xf>
    <xf numFmtId="193" fontId="72" fillId="4" borderId="4" xfId="69" applyNumberFormat="1" applyFont="1" applyFill="1" applyBorder="1" applyAlignment="1">
      <alignment horizontal="right" vertical="center"/>
    </xf>
    <xf numFmtId="0" fontId="62" fillId="11" borderId="0" xfId="69" applyFont="1" applyFill="1" applyAlignment="1">
      <alignment vertical="center"/>
    </xf>
    <xf numFmtId="0" fontId="72" fillId="0" borderId="4" xfId="69" quotePrefix="1" applyFont="1" applyFill="1" applyBorder="1" applyAlignment="1">
      <alignment horizontal="center" vertical="center"/>
    </xf>
    <xf numFmtId="0" fontId="88" fillId="0" borderId="4" xfId="69" quotePrefix="1" applyFont="1" applyFill="1" applyBorder="1" applyAlignment="1">
      <alignment horizontal="center" vertical="center"/>
    </xf>
    <xf numFmtId="167" fontId="62" fillId="0" borderId="0" xfId="69" applyNumberFormat="1" applyFont="1" applyFill="1" applyAlignment="1">
      <alignment vertical="center"/>
    </xf>
    <xf numFmtId="167" fontId="19" fillId="0" borderId="4" xfId="29" applyNumberFormat="1" applyFont="1" applyFill="1" applyBorder="1" applyAlignment="1">
      <alignment horizontal="right" vertical="center"/>
    </xf>
    <xf numFmtId="0" fontId="20" fillId="0" borderId="4" xfId="0" applyFont="1" applyBorder="1" applyAlignment="1">
      <alignment horizontal="center" wrapText="1"/>
    </xf>
    <xf numFmtId="171" fontId="17" fillId="0" borderId="4" xfId="23" applyNumberFormat="1" applyFont="1" applyFill="1" applyBorder="1" applyAlignment="1">
      <alignment horizontal="right" vertical="center" wrapText="1"/>
    </xf>
    <xf numFmtId="1" fontId="20" fillId="0" borderId="4" xfId="77" applyNumberFormat="1" applyFont="1" applyFill="1" applyBorder="1" applyAlignment="1">
      <alignment horizontal="center" vertical="center"/>
    </xf>
    <xf numFmtId="170" fontId="20" fillId="0" borderId="4" xfId="77" applyNumberFormat="1" applyFont="1" applyFill="1" applyBorder="1" applyAlignment="1">
      <alignment horizontal="center" vertical="center"/>
    </xf>
    <xf numFmtId="170" fontId="19" fillId="0" borderId="4" xfId="72" quotePrefix="1" applyNumberFormat="1" applyFont="1" applyFill="1" applyBorder="1" applyAlignment="1">
      <alignment vertical="center" wrapText="1"/>
    </xf>
    <xf numFmtId="2" fontId="62" fillId="0" borderId="0" xfId="69" applyNumberFormat="1" applyFont="1" applyFill="1" applyAlignment="1">
      <alignment vertical="center" wrapText="1"/>
    </xf>
    <xf numFmtId="0" fontId="17" fillId="0" borderId="4" xfId="72" applyFont="1" applyFill="1" applyBorder="1" applyAlignment="1">
      <alignment horizontal="center" vertical="center" wrapText="1"/>
    </xf>
    <xf numFmtId="49" fontId="17" fillId="0" borderId="4" xfId="72" applyNumberFormat="1" applyFont="1" applyFill="1" applyBorder="1" applyAlignment="1">
      <alignment vertical="center" wrapText="1"/>
    </xf>
    <xf numFmtId="0" fontId="17" fillId="0" borderId="4" xfId="69" applyFont="1" applyFill="1" applyBorder="1" applyAlignment="1">
      <alignment horizontal="right" vertical="center" wrapText="1"/>
    </xf>
    <xf numFmtId="171" fontId="19" fillId="0" borderId="4" xfId="59" applyNumberFormat="1" applyFont="1" applyFill="1" applyBorder="1" applyAlignment="1">
      <alignment horizontal="right" vertical="center" wrapText="1"/>
    </xf>
    <xf numFmtId="0" fontId="19" fillId="0" borderId="4" xfId="72" applyFont="1" applyFill="1" applyBorder="1" applyAlignment="1">
      <alignment horizontal="center" vertical="center" wrapText="1"/>
    </xf>
    <xf numFmtId="49" fontId="19" fillId="0" borderId="4" xfId="72" applyNumberFormat="1" applyFont="1" applyFill="1" applyBorder="1" applyAlignment="1">
      <alignment vertical="center" wrapText="1"/>
    </xf>
    <xf numFmtId="49" fontId="19" fillId="0" borderId="30" xfId="72" quotePrefix="1" applyNumberFormat="1" applyFont="1" applyFill="1" applyBorder="1" applyAlignment="1">
      <alignment vertical="center" wrapText="1"/>
    </xf>
    <xf numFmtId="49" fontId="19" fillId="0" borderId="30" xfId="72" applyNumberFormat="1" applyFont="1" applyFill="1" applyBorder="1" applyAlignment="1">
      <alignment vertical="center" wrapText="1"/>
    </xf>
    <xf numFmtId="170" fontId="19" fillId="0" borderId="4" xfId="72" applyNumberFormat="1" applyFont="1" applyFill="1" applyBorder="1" applyAlignment="1">
      <alignment vertical="center" wrapText="1"/>
    </xf>
    <xf numFmtId="170" fontId="19" fillId="0" borderId="4" xfId="59" applyNumberFormat="1" applyFont="1" applyFill="1" applyBorder="1" applyAlignment="1">
      <alignment vertical="center"/>
    </xf>
    <xf numFmtId="193" fontId="17" fillId="0" borderId="4" xfId="69" applyNumberFormat="1" applyFont="1" applyFill="1" applyBorder="1" applyAlignment="1">
      <alignment horizontal="right" vertical="center"/>
    </xf>
    <xf numFmtId="3" fontId="17" fillId="0" borderId="4" xfId="79" applyNumberFormat="1" applyFont="1" applyFill="1" applyBorder="1" applyAlignment="1">
      <alignment horizontal="center" vertical="center"/>
    </xf>
    <xf numFmtId="4" fontId="19" fillId="0" borderId="4" xfId="41" applyNumberFormat="1" applyFont="1" applyFill="1" applyBorder="1" applyAlignment="1">
      <alignment horizontal="center" vertical="center"/>
    </xf>
    <xf numFmtId="0" fontId="20" fillId="0" borderId="4" xfId="0" quotePrefix="1" applyFont="1" applyFill="1" applyBorder="1" applyAlignment="1">
      <alignment vertical="center" wrapText="1"/>
    </xf>
    <xf numFmtId="0" fontId="20" fillId="0" borderId="4" xfId="73" applyFont="1" applyFill="1" applyBorder="1" applyAlignment="1">
      <alignment horizontal="center" vertical="center"/>
    </xf>
    <xf numFmtId="0" fontId="20" fillId="0" borderId="4" xfId="73" applyFont="1" applyFill="1" applyBorder="1" applyAlignment="1">
      <alignment horizontal="left" vertical="center" wrapText="1"/>
    </xf>
    <xf numFmtId="0" fontId="20" fillId="0" borderId="4" xfId="59" applyFont="1" applyFill="1" applyBorder="1" applyAlignment="1">
      <alignment horizontal="center" vertical="center"/>
    </xf>
    <xf numFmtId="2" fontId="20" fillId="0" borderId="4" xfId="59" applyNumberFormat="1" applyFont="1" applyFill="1" applyBorder="1" applyAlignment="1">
      <alignment horizontal="left" vertical="center" wrapText="1"/>
    </xf>
    <xf numFmtId="1" fontId="20" fillId="0" borderId="29" xfId="0" applyNumberFormat="1" applyFont="1" applyFill="1" applyBorder="1" applyAlignment="1">
      <alignment horizontal="center" vertical="center" wrapText="1"/>
    </xf>
    <xf numFmtId="4" fontId="20" fillId="0" borderId="4" xfId="20" applyNumberFormat="1" applyFont="1" applyFill="1" applyBorder="1" applyAlignment="1">
      <alignment horizontal="center" vertical="center" wrapText="1"/>
    </xf>
    <xf numFmtId="0" fontId="20" fillId="0" borderId="4" xfId="0" quotePrefix="1" applyFont="1" applyFill="1" applyBorder="1" applyAlignment="1">
      <alignment horizontal="left" vertical="center" wrapText="1"/>
    </xf>
    <xf numFmtId="168" fontId="20" fillId="0" borderId="4" xfId="20" applyNumberFormat="1" applyFont="1" applyFill="1" applyBorder="1" applyAlignment="1">
      <alignment horizontal="right" vertical="center"/>
    </xf>
    <xf numFmtId="4" fontId="20" fillId="0" borderId="4" xfId="20" applyNumberFormat="1" applyFont="1" applyFill="1" applyBorder="1" applyAlignment="1">
      <alignment horizontal="center" vertical="center"/>
    </xf>
    <xf numFmtId="3" fontId="20" fillId="0" borderId="4" xfId="20" applyNumberFormat="1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 wrapText="1"/>
    </xf>
    <xf numFmtId="168" fontId="20" fillId="0" borderId="4" xfId="20" applyNumberFormat="1" applyFont="1" applyFill="1" applyBorder="1" applyAlignment="1">
      <alignment vertical="center"/>
    </xf>
    <xf numFmtId="0" fontId="61" fillId="0" borderId="4" xfId="73" applyFont="1" applyFill="1" applyBorder="1" applyAlignment="1">
      <alignment horizontal="center" vertical="center"/>
    </xf>
    <xf numFmtId="0" fontId="61" fillId="0" borderId="4" xfId="73" applyFont="1" applyFill="1" applyBorder="1" applyAlignment="1">
      <alignment horizontal="left" vertical="center" wrapText="1"/>
    </xf>
    <xf numFmtId="0" fontId="61" fillId="0" borderId="4" xfId="59" applyFont="1" applyFill="1" applyBorder="1" applyAlignment="1">
      <alignment horizontal="center" vertical="center"/>
    </xf>
    <xf numFmtId="2" fontId="61" fillId="0" borderId="4" xfId="59" applyNumberFormat="1" applyFont="1" applyFill="1" applyBorder="1" applyAlignment="1">
      <alignment horizontal="left" vertical="center" wrapText="1"/>
    </xf>
    <xf numFmtId="3" fontId="20" fillId="0" borderId="4" xfId="20" quotePrefix="1" applyNumberFormat="1" applyFont="1" applyFill="1" applyBorder="1" applyAlignment="1">
      <alignment horizontal="right" vertical="center"/>
    </xf>
    <xf numFmtId="3" fontId="62" fillId="0" borderId="4" xfId="20" applyNumberFormat="1" applyFont="1" applyFill="1" applyBorder="1" applyAlignment="1">
      <alignment horizontal="right" vertical="center"/>
    </xf>
    <xf numFmtId="3" fontId="62" fillId="0" borderId="4" xfId="20" applyNumberFormat="1" applyFont="1" applyFill="1" applyBorder="1" applyAlignment="1">
      <alignment horizontal="right" vertical="center" wrapText="1"/>
    </xf>
    <xf numFmtId="167" fontId="62" fillId="0" borderId="4" xfId="20" applyNumberFormat="1" applyFont="1" applyFill="1" applyBorder="1" applyAlignment="1">
      <alignment horizontal="right" vertical="center" wrapText="1"/>
    </xf>
    <xf numFmtId="168" fontId="62" fillId="0" borderId="4" xfId="20" applyNumberFormat="1" applyFont="1" applyFill="1" applyBorder="1" applyAlignment="1">
      <alignment horizontal="right" vertical="center"/>
    </xf>
    <xf numFmtId="1" fontId="20" fillId="0" borderId="4" xfId="0" applyNumberFormat="1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left" vertical="center" wrapText="1"/>
    </xf>
    <xf numFmtId="49" fontId="20" fillId="0" borderId="4" xfId="0" applyNumberFormat="1" applyFont="1" applyFill="1" applyBorder="1" applyAlignment="1">
      <alignment horizontal="center" vertical="center" wrapText="1"/>
    </xf>
    <xf numFmtId="1" fontId="62" fillId="0" borderId="4" xfId="0" applyNumberFormat="1" applyFont="1" applyFill="1" applyBorder="1" applyAlignment="1">
      <alignment horizontal="center" vertical="center" wrapText="1"/>
    </xf>
    <xf numFmtId="0" fontId="62" fillId="0" borderId="4" xfId="0" applyFont="1" applyFill="1" applyBorder="1" applyAlignment="1">
      <alignment vertical="center" wrapText="1"/>
    </xf>
    <xf numFmtId="0" fontId="61" fillId="0" borderId="4" xfId="69" quotePrefix="1" applyFont="1" applyFill="1" applyBorder="1" applyAlignment="1">
      <alignment horizontal="center" vertical="center"/>
    </xf>
    <xf numFmtId="3" fontId="19" fillId="0" borderId="4" xfId="20" quotePrefix="1" applyNumberFormat="1" applyFont="1" applyFill="1" applyBorder="1" applyAlignment="1">
      <alignment horizontal="center" vertical="center"/>
    </xf>
    <xf numFmtId="3" fontId="20" fillId="0" borderId="4" xfId="20" applyNumberFormat="1" applyFont="1" applyFill="1" applyBorder="1" applyAlignment="1">
      <alignment horizontal="center" vertical="center" wrapText="1"/>
    </xf>
    <xf numFmtId="0" fontId="65" fillId="10" borderId="4" xfId="69" applyFont="1" applyFill="1" applyBorder="1" applyAlignment="1">
      <alignment horizontal="left" vertical="center" wrapText="1"/>
    </xf>
    <xf numFmtId="0" fontId="88" fillId="10" borderId="4" xfId="69" applyFont="1" applyFill="1" applyBorder="1" applyAlignment="1">
      <alignment horizontal="center" vertical="center" wrapText="1"/>
    </xf>
    <xf numFmtId="0" fontId="88" fillId="10" borderId="4" xfId="69" applyFont="1" applyFill="1" applyBorder="1" applyAlignment="1">
      <alignment vertical="center" wrapText="1"/>
    </xf>
    <xf numFmtId="0" fontId="88" fillId="10" borderId="4" xfId="0" applyFont="1" applyFill="1" applyBorder="1" applyAlignment="1">
      <alignment horizontal="center" vertical="center"/>
    </xf>
    <xf numFmtId="0" fontId="66" fillId="10" borderId="4" xfId="69" applyFont="1" applyFill="1" applyBorder="1" applyAlignment="1">
      <alignment vertical="center" wrapText="1"/>
    </xf>
    <xf numFmtId="0" fontId="88" fillId="10" borderId="4" xfId="69" quotePrefix="1" applyFont="1" applyFill="1" applyBorder="1" applyAlignment="1">
      <alignment horizontal="center" vertical="center" wrapText="1"/>
    </xf>
    <xf numFmtId="0" fontId="65" fillId="10" borderId="4" xfId="69" applyFont="1" applyFill="1" applyBorder="1" applyAlignment="1">
      <alignment vertical="center" wrapText="1"/>
    </xf>
    <xf numFmtId="171" fontId="65" fillId="10" borderId="4" xfId="13" applyNumberFormat="1" applyFont="1" applyFill="1" applyBorder="1" applyAlignment="1">
      <alignment vertical="center" wrapText="1"/>
    </xf>
    <xf numFmtId="171" fontId="65" fillId="10" borderId="4" xfId="20" applyNumberFormat="1" applyFont="1" applyFill="1" applyBorder="1" applyAlignment="1">
      <alignment horizontal="center" vertical="center" wrapText="1"/>
    </xf>
    <xf numFmtId="3" fontId="111" fillId="0" borderId="4" xfId="79" applyNumberFormat="1" applyFont="1" applyFill="1" applyBorder="1" applyAlignment="1">
      <alignment horizontal="center" vertical="center"/>
    </xf>
    <xf numFmtId="164" fontId="19" fillId="0" borderId="0" xfId="70" applyNumberFormat="1" applyFont="1" applyFill="1" applyAlignment="1">
      <alignment vertical="center"/>
    </xf>
    <xf numFmtId="2" fontId="19" fillId="0" borderId="0" xfId="70" applyNumberFormat="1" applyFont="1" applyFill="1" applyAlignment="1">
      <alignment vertical="center"/>
    </xf>
    <xf numFmtId="171" fontId="19" fillId="0" borderId="4" xfId="0" applyNumberFormat="1" applyFont="1" applyFill="1" applyBorder="1" applyAlignment="1">
      <alignment horizontal="right" vertical="center"/>
    </xf>
    <xf numFmtId="0" fontId="19" fillId="0" borderId="4" xfId="0" applyFont="1" applyFill="1" applyBorder="1" applyAlignment="1">
      <alignment horizontal="right" vertical="center"/>
    </xf>
    <xf numFmtId="164" fontId="20" fillId="0" borderId="0" xfId="0" applyNumberFormat="1" applyFont="1" applyFill="1" applyAlignment="1">
      <alignment vertical="center"/>
    </xf>
    <xf numFmtId="2" fontId="19" fillId="0" borderId="4" xfId="70" applyNumberFormat="1" applyFont="1" applyFill="1" applyBorder="1" applyAlignment="1">
      <alignment vertical="center"/>
    </xf>
    <xf numFmtId="192" fontId="19" fillId="0" borderId="4" xfId="0" applyNumberFormat="1" applyFont="1" applyFill="1" applyBorder="1" applyAlignment="1">
      <alignment vertical="center"/>
    </xf>
    <xf numFmtId="0" fontId="17" fillId="0" borderId="4" xfId="0" applyFont="1" applyFill="1" applyBorder="1" applyAlignment="1">
      <alignment horizontal="center" vertical="center" wrapText="1"/>
    </xf>
    <xf numFmtId="0" fontId="17" fillId="0" borderId="4" xfId="69" applyFont="1" applyFill="1" applyBorder="1" applyAlignment="1">
      <alignment horizontal="center" vertical="center" wrapText="1"/>
    </xf>
    <xf numFmtId="0" fontId="17" fillId="0" borderId="4" xfId="69" applyFont="1" applyFill="1" applyBorder="1" applyAlignment="1">
      <alignment horizontal="center" vertical="center"/>
    </xf>
    <xf numFmtId="0" fontId="17" fillId="0" borderId="4" xfId="70" applyFont="1" applyFill="1" applyBorder="1" applyAlignment="1">
      <alignment horizontal="center" vertical="center"/>
    </xf>
    <xf numFmtId="0" fontId="17" fillId="0" borderId="4" xfId="70" applyFont="1" applyFill="1" applyBorder="1" applyAlignment="1">
      <alignment horizontal="left" vertical="center" wrapText="1"/>
    </xf>
    <xf numFmtId="0" fontId="17" fillId="0" borderId="0" xfId="70" applyFont="1" applyFill="1" applyAlignment="1">
      <alignment horizontal="center" vertical="center" wrapText="1"/>
    </xf>
    <xf numFmtId="0" fontId="17" fillId="0" borderId="0" xfId="70" applyFont="1" applyFill="1" applyAlignment="1">
      <alignment horizontal="center" vertical="center"/>
    </xf>
    <xf numFmtId="0" fontId="65" fillId="10" borderId="4" xfId="69" applyFont="1" applyFill="1" applyBorder="1" applyAlignment="1">
      <alignment horizontal="center" vertical="center" wrapText="1"/>
    </xf>
    <xf numFmtId="168" fontId="19" fillId="0" borderId="4" xfId="69" applyNumberFormat="1" applyFont="1" applyFill="1" applyBorder="1" applyAlignment="1">
      <alignment horizontal="center" vertical="center" wrapText="1"/>
    </xf>
    <xf numFmtId="3" fontId="19" fillId="0" borderId="4" xfId="69" applyNumberFormat="1" applyFont="1" applyFill="1" applyBorder="1" applyAlignment="1">
      <alignment horizontal="center" vertical="center" wrapText="1"/>
    </xf>
    <xf numFmtId="4" fontId="19" fillId="0" borderId="4" xfId="13" applyNumberFormat="1" applyFont="1" applyFill="1" applyBorder="1" applyAlignment="1">
      <alignment horizontal="center"/>
    </xf>
    <xf numFmtId="169" fontId="19" fillId="0" borderId="4" xfId="13" applyNumberFormat="1" applyFont="1" applyFill="1" applyBorder="1" applyAlignment="1">
      <alignment horizontal="center"/>
    </xf>
    <xf numFmtId="3" fontId="19" fillId="0" borderId="4" xfId="69" quotePrefix="1" applyNumberFormat="1" applyFont="1" applyFill="1" applyBorder="1" applyAlignment="1">
      <alignment horizontal="center" wrapText="1"/>
    </xf>
    <xf numFmtId="172" fontId="19" fillId="0" borderId="4" xfId="69" applyNumberFormat="1" applyFont="1" applyFill="1" applyBorder="1" applyAlignment="1">
      <alignment horizontal="center" vertical="center"/>
    </xf>
    <xf numFmtId="0" fontId="17" fillId="10" borderId="4" xfId="69" applyFont="1" applyFill="1" applyBorder="1" applyAlignment="1">
      <alignment horizontal="left" vertical="center" wrapText="1"/>
    </xf>
    <xf numFmtId="0" fontId="106" fillId="0" borderId="0" xfId="0" applyFont="1" applyAlignment="1">
      <alignment horizontal="center"/>
    </xf>
    <xf numFmtId="0" fontId="17" fillId="0" borderId="0" xfId="0" applyFont="1" applyFill="1" applyBorder="1" applyAlignment="1">
      <alignment horizontal="center" vertical="center" wrapText="1"/>
    </xf>
    <xf numFmtId="0" fontId="65" fillId="0" borderId="0" xfId="69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72" fillId="0" borderId="0" xfId="0" applyFont="1" applyFill="1" applyAlignment="1">
      <alignment horizontal="center" vertical="center"/>
    </xf>
    <xf numFmtId="0" fontId="17" fillId="0" borderId="0" xfId="69" applyFont="1" applyFill="1" applyBorder="1" applyAlignment="1">
      <alignment horizontal="center" vertical="center" wrapText="1"/>
    </xf>
    <xf numFmtId="0" fontId="17" fillId="0" borderId="0" xfId="69" applyFont="1" applyFill="1" applyBorder="1" applyAlignment="1">
      <alignment horizontal="center" vertical="center"/>
    </xf>
    <xf numFmtId="0" fontId="17" fillId="0" borderId="17" xfId="69" applyFont="1" applyFill="1" applyBorder="1" applyAlignment="1">
      <alignment horizontal="center" vertical="center" wrapText="1"/>
    </xf>
    <xf numFmtId="0" fontId="17" fillId="0" borderId="29" xfId="69" applyFont="1" applyFill="1" applyBorder="1" applyAlignment="1">
      <alignment horizontal="center" vertical="center" wrapText="1"/>
    </xf>
    <xf numFmtId="0" fontId="19" fillId="0" borderId="0" xfId="69" applyFont="1" applyFill="1" applyBorder="1" applyAlignment="1">
      <alignment horizontal="center" vertical="center" wrapText="1"/>
    </xf>
    <xf numFmtId="0" fontId="17" fillId="0" borderId="6" xfId="69" applyFont="1" applyFill="1" applyBorder="1" applyAlignment="1">
      <alignment horizontal="center" vertical="center"/>
    </xf>
    <xf numFmtId="0" fontId="17" fillId="0" borderId="3" xfId="69" applyFont="1" applyFill="1" applyBorder="1" applyAlignment="1">
      <alignment horizontal="center" vertical="center"/>
    </xf>
    <xf numFmtId="0" fontId="17" fillId="0" borderId="30" xfId="69" applyFont="1" applyFill="1" applyBorder="1" applyAlignment="1">
      <alignment horizontal="center" vertical="center"/>
    </xf>
    <xf numFmtId="0" fontId="91" fillId="0" borderId="0" xfId="69" applyFont="1" applyFill="1" applyBorder="1" applyAlignment="1">
      <alignment horizontal="center" vertical="center"/>
    </xf>
    <xf numFmtId="0" fontId="19" fillId="0" borderId="0" xfId="69" applyFont="1" applyFill="1" applyAlignment="1">
      <alignment horizontal="center" vertical="center"/>
    </xf>
    <xf numFmtId="49" fontId="17" fillId="0" borderId="17" xfId="69" applyNumberFormat="1" applyFont="1" applyFill="1" applyBorder="1" applyAlignment="1">
      <alignment horizontal="center" vertical="center" wrapText="1"/>
    </xf>
    <xf numFmtId="49" fontId="17" fillId="0" borderId="29" xfId="69" applyNumberFormat="1" applyFont="1" applyFill="1" applyBorder="1" applyAlignment="1">
      <alignment horizontal="center" vertical="center" wrapText="1"/>
    </xf>
    <xf numFmtId="0" fontId="17" fillId="0" borderId="0" xfId="69" applyFont="1" applyFill="1" applyAlignment="1">
      <alignment horizontal="center" vertical="center"/>
    </xf>
    <xf numFmtId="0" fontId="35" fillId="0" borderId="0" xfId="69" applyFont="1" applyFill="1" applyAlignment="1">
      <alignment horizontal="right"/>
    </xf>
    <xf numFmtId="0" fontId="19" fillId="0" borderId="0" xfId="69" applyFont="1" applyFill="1" applyAlignment="1">
      <alignment horizontal="left" vertical="center" wrapText="1"/>
    </xf>
    <xf numFmtId="49" fontId="17" fillId="0" borderId="4" xfId="69" applyNumberFormat="1" applyFont="1" applyFill="1" applyBorder="1" applyAlignment="1">
      <alignment horizontal="center" vertical="center" wrapText="1"/>
    </xf>
    <xf numFmtId="0" fontId="17" fillId="0" borderId="4" xfId="69" applyFont="1" applyFill="1" applyBorder="1" applyAlignment="1">
      <alignment horizontal="center" vertical="center" wrapText="1"/>
    </xf>
    <xf numFmtId="0" fontId="17" fillId="0" borderId="4" xfId="69" applyFont="1" applyFill="1" applyBorder="1" applyAlignment="1">
      <alignment horizontal="center" vertical="center"/>
    </xf>
    <xf numFmtId="0" fontId="121" fillId="0" borderId="0" xfId="69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 wrapText="1"/>
    </xf>
    <xf numFmtId="0" fontId="17" fillId="0" borderId="29" xfId="0" applyFont="1" applyFill="1" applyBorder="1" applyAlignment="1">
      <alignment horizontal="center" vertical="center" wrapText="1"/>
    </xf>
    <xf numFmtId="0" fontId="62" fillId="4" borderId="28" xfId="69" applyFont="1" applyFill="1" applyBorder="1" applyAlignment="1">
      <alignment horizontal="center" vertical="center"/>
    </xf>
    <xf numFmtId="0" fontId="20" fillId="0" borderId="4" xfId="69" applyFont="1" applyFill="1" applyBorder="1" applyAlignment="1">
      <alignment horizontal="center" vertical="center" wrapText="1"/>
    </xf>
    <xf numFmtId="0" fontId="121" fillId="0" borderId="0" xfId="70" applyFont="1" applyFill="1" applyBorder="1" applyAlignment="1">
      <alignment horizontal="center" vertical="center"/>
    </xf>
    <xf numFmtId="0" fontId="17" fillId="0" borderId="4" xfId="70" applyFont="1" applyFill="1" applyBorder="1" applyAlignment="1">
      <alignment horizontal="center" vertical="center"/>
    </xf>
    <xf numFmtId="0" fontId="17" fillId="0" borderId="4" xfId="70" applyFont="1" applyFill="1" applyBorder="1" applyAlignment="1">
      <alignment horizontal="left" vertical="center" wrapText="1"/>
    </xf>
    <xf numFmtId="0" fontId="17" fillId="0" borderId="0" xfId="70" applyFont="1" applyFill="1" applyAlignment="1">
      <alignment horizontal="center" vertical="center" wrapText="1"/>
    </xf>
    <xf numFmtId="0" fontId="17" fillId="0" borderId="0" xfId="70" applyFont="1" applyFill="1" applyAlignment="1">
      <alignment horizontal="center" vertical="center"/>
    </xf>
    <xf numFmtId="0" fontId="17" fillId="0" borderId="4" xfId="70" applyFont="1" applyFill="1" applyBorder="1" applyAlignment="1">
      <alignment horizontal="center" vertical="center" wrapText="1"/>
    </xf>
    <xf numFmtId="43" fontId="17" fillId="0" borderId="4" xfId="40" applyNumberFormat="1" applyFont="1" applyFill="1" applyBorder="1" applyAlignment="1">
      <alignment horizontal="center" vertical="center" wrapText="1"/>
    </xf>
    <xf numFmtId="0" fontId="65" fillId="0" borderId="17" xfId="69" applyFont="1" applyBorder="1" applyAlignment="1">
      <alignment horizontal="center" vertical="center" wrapText="1"/>
    </xf>
    <xf numFmtId="0" fontId="65" fillId="0" borderId="29" xfId="69" applyFont="1" applyBorder="1" applyAlignment="1">
      <alignment horizontal="center" vertical="center" wrapText="1"/>
    </xf>
    <xf numFmtId="0" fontId="73" fillId="0" borderId="0" xfId="69" applyFont="1" applyFill="1" applyBorder="1" applyAlignment="1">
      <alignment horizontal="center" vertical="center"/>
    </xf>
    <xf numFmtId="0" fontId="65" fillId="0" borderId="4" xfId="69" applyFont="1" applyBorder="1" applyAlignment="1">
      <alignment horizontal="center" vertical="center" wrapText="1"/>
    </xf>
    <xf numFmtId="0" fontId="89" fillId="0" borderId="0" xfId="69" applyFont="1" applyFill="1" applyBorder="1" applyAlignment="1">
      <alignment horizontal="center" vertical="center"/>
    </xf>
    <xf numFmtId="0" fontId="88" fillId="0" borderId="0" xfId="69" applyFont="1" applyAlignment="1">
      <alignment horizontal="center" vertical="center" wrapText="1"/>
    </xf>
    <xf numFmtId="0" fontId="65" fillId="0" borderId="0" xfId="69" applyFont="1" applyAlignment="1">
      <alignment horizontal="center" vertical="center" wrapText="1"/>
    </xf>
    <xf numFmtId="0" fontId="29" fillId="0" borderId="31" xfId="0" applyFont="1" applyBorder="1" applyAlignment="1">
      <alignment horizontal="left" vertical="center" wrapText="1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33" fillId="4" borderId="0" xfId="62" applyFont="1" applyFill="1" applyAlignment="1">
      <alignment horizontal="right" vertical="center" wrapText="1"/>
    </xf>
    <xf numFmtId="0" fontId="65" fillId="4" borderId="0" xfId="62" applyFont="1" applyFill="1" applyAlignment="1">
      <alignment horizontal="center" vertical="center" wrapText="1"/>
    </xf>
    <xf numFmtId="0" fontId="66" fillId="4" borderId="0" xfId="62" applyFont="1" applyFill="1" applyAlignment="1">
      <alignment horizontal="center" vertical="center" wrapText="1"/>
    </xf>
    <xf numFmtId="0" fontId="61" fillId="4" borderId="0" xfId="62" applyNumberFormat="1" applyFont="1" applyFill="1" applyBorder="1" applyAlignment="1">
      <alignment horizontal="right" vertical="center" wrapText="1"/>
    </xf>
    <xf numFmtId="0" fontId="61" fillId="4" borderId="18" xfId="62" applyNumberFormat="1" applyFont="1" applyFill="1" applyBorder="1" applyAlignment="1">
      <alignment horizontal="left" vertical="center" wrapText="1"/>
    </xf>
    <xf numFmtId="0" fontId="61" fillId="4" borderId="14" xfId="62" applyNumberFormat="1" applyFont="1" applyFill="1" applyBorder="1" applyAlignment="1">
      <alignment horizontal="left" vertical="center" wrapText="1"/>
    </xf>
    <xf numFmtId="0" fontId="62" fillId="4" borderId="6" xfId="62" applyFont="1" applyFill="1" applyBorder="1" applyAlignment="1">
      <alignment horizontal="center" vertical="center" wrapText="1"/>
    </xf>
    <xf numFmtId="0" fontId="62" fillId="4" borderId="30" xfId="62" applyFont="1" applyFill="1" applyBorder="1" applyAlignment="1">
      <alignment horizontal="center" vertical="center" wrapText="1"/>
    </xf>
    <xf numFmtId="0" fontId="62" fillId="4" borderId="18" xfId="62" applyNumberFormat="1" applyFont="1" applyFill="1" applyBorder="1" applyAlignment="1">
      <alignment horizontal="center" vertical="center" wrapText="1"/>
    </xf>
    <xf numFmtId="0" fontId="62" fillId="4" borderId="14" xfId="62" applyNumberFormat="1" applyFont="1" applyFill="1" applyBorder="1" applyAlignment="1">
      <alignment horizontal="center" vertical="center" wrapText="1"/>
    </xf>
    <xf numFmtId="0" fontId="10" fillId="4" borderId="18" xfId="62" applyNumberFormat="1" applyFont="1" applyFill="1" applyBorder="1" applyAlignment="1">
      <alignment horizontal="left" vertical="center" wrapText="1"/>
    </xf>
    <xf numFmtId="0" fontId="10" fillId="4" borderId="14" xfId="62" applyNumberFormat="1" applyFont="1" applyFill="1" applyBorder="1" applyAlignment="1">
      <alignment horizontal="left" vertical="center" wrapText="1"/>
    </xf>
    <xf numFmtId="0" fontId="61" fillId="4" borderId="18" xfId="62" applyNumberFormat="1" applyFont="1" applyFill="1" applyBorder="1" applyAlignment="1">
      <alignment horizontal="right" vertical="center" wrapText="1"/>
    </xf>
    <xf numFmtId="0" fontId="63" fillId="4" borderId="18" xfId="62" applyNumberFormat="1" applyFont="1" applyFill="1" applyBorder="1" applyAlignment="1">
      <alignment horizontal="left" vertical="center" wrapText="1"/>
    </xf>
    <xf numFmtId="0" fontId="63" fillId="4" borderId="14" xfId="62" applyNumberFormat="1" applyFont="1" applyFill="1" applyBorder="1" applyAlignment="1">
      <alignment horizontal="left" vertical="center" wrapText="1"/>
    </xf>
    <xf numFmtId="0" fontId="20" fillId="4" borderId="18" xfId="62" applyFont="1" applyFill="1" applyBorder="1" applyAlignment="1">
      <alignment horizontal="right" vertical="center" wrapText="1"/>
    </xf>
    <xf numFmtId="0" fontId="20" fillId="4" borderId="14" xfId="62" applyFont="1" applyFill="1" applyBorder="1" applyAlignment="1">
      <alignment horizontal="center" vertical="center" wrapText="1"/>
    </xf>
    <xf numFmtId="0" fontId="20" fillId="4" borderId="18" xfId="62" applyNumberFormat="1" applyFont="1" applyFill="1" applyBorder="1" applyAlignment="1">
      <alignment horizontal="right" vertical="center" wrapText="1"/>
    </xf>
    <xf numFmtId="0" fontId="20" fillId="4" borderId="14" xfId="62" applyNumberFormat="1" applyFont="1" applyFill="1" applyBorder="1" applyAlignment="1">
      <alignment horizontal="left" vertical="center" wrapText="1"/>
    </xf>
    <xf numFmtId="0" fontId="62" fillId="4" borderId="0" xfId="71" applyFont="1" applyFill="1" applyAlignment="1">
      <alignment horizontal="center" vertical="center" wrapText="1"/>
    </xf>
    <xf numFmtId="0" fontId="62" fillId="4" borderId="0" xfId="71" applyFont="1" applyFill="1" applyAlignment="1">
      <alignment horizontal="center" vertical="center"/>
    </xf>
    <xf numFmtId="43" fontId="61" fillId="4" borderId="0" xfId="34" applyFont="1" applyFill="1" applyBorder="1" applyAlignment="1">
      <alignment horizontal="right" vertical="center"/>
    </xf>
    <xf numFmtId="43" fontId="61" fillId="4" borderId="1" xfId="34" applyFont="1" applyFill="1" applyBorder="1" applyAlignment="1">
      <alignment horizontal="right" vertical="center"/>
    </xf>
    <xf numFmtId="0" fontId="17" fillId="0" borderId="0" xfId="74" applyFont="1" applyFill="1" applyBorder="1" applyAlignment="1">
      <alignment horizontal="right" vertical="center" wrapText="1"/>
    </xf>
    <xf numFmtId="0" fontId="35" fillId="0" borderId="0" xfId="74" applyFont="1" applyFill="1" applyBorder="1" applyAlignment="1">
      <alignment horizontal="right" vertical="center" wrapText="1"/>
    </xf>
    <xf numFmtId="0" fontId="17" fillId="0" borderId="0" xfId="74" applyFont="1" applyFill="1" applyBorder="1" applyAlignment="1">
      <alignment horizontal="center" vertical="center" wrapText="1"/>
    </xf>
    <xf numFmtId="0" fontId="17" fillId="0" borderId="6" xfId="74" applyFont="1" applyFill="1" applyBorder="1" applyAlignment="1">
      <alignment horizontal="center" vertical="center" wrapText="1"/>
    </xf>
    <xf numFmtId="0" fontId="17" fillId="0" borderId="3" xfId="74" applyFont="1" applyFill="1" applyBorder="1" applyAlignment="1">
      <alignment horizontal="center" vertical="center" wrapText="1"/>
    </xf>
    <xf numFmtId="0" fontId="17" fillId="0" borderId="30" xfId="74" applyFont="1" applyFill="1" applyBorder="1" applyAlignment="1">
      <alignment horizontal="center" vertical="center" wrapText="1"/>
    </xf>
    <xf numFmtId="3" fontId="19" fillId="0" borderId="18" xfId="74" applyNumberFormat="1" applyFont="1" applyFill="1" applyBorder="1" applyAlignment="1">
      <alignment horizontal="center" vertical="center"/>
    </xf>
    <xf numFmtId="3" fontId="19" fillId="0" borderId="20" xfId="74" applyNumberFormat="1" applyFont="1" applyFill="1" applyBorder="1" applyAlignment="1">
      <alignment horizontal="center" vertical="center"/>
    </xf>
    <xf numFmtId="3" fontId="19" fillId="0" borderId="14" xfId="74" applyNumberFormat="1" applyFont="1" applyFill="1" applyBorder="1" applyAlignment="1">
      <alignment horizontal="center" vertical="center"/>
    </xf>
    <xf numFmtId="3" fontId="19" fillId="0" borderId="18" xfId="74" applyNumberFormat="1" applyFont="1" applyFill="1" applyBorder="1" applyAlignment="1">
      <alignment horizontal="center" vertical="center" wrapText="1"/>
    </xf>
    <xf numFmtId="3" fontId="19" fillId="0" borderId="20" xfId="74" applyNumberFormat="1" applyFont="1" applyFill="1" applyBorder="1" applyAlignment="1">
      <alignment horizontal="center" vertical="center" wrapText="1"/>
    </xf>
    <xf numFmtId="3" fontId="19" fillId="0" borderId="14" xfId="74" applyNumberFormat="1" applyFont="1" applyFill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0" fillId="0" borderId="2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65" fillId="0" borderId="28" xfId="0" applyFont="1" applyFill="1" applyBorder="1" applyAlignment="1">
      <alignment horizontal="center" vertical="center" wrapText="1"/>
    </xf>
    <xf numFmtId="0" fontId="65" fillId="0" borderId="0" xfId="0" applyFont="1" applyFill="1" applyAlignment="1">
      <alignment horizontal="center" vertical="center"/>
    </xf>
    <xf numFmtId="0" fontId="65" fillId="0" borderId="28" xfId="0" applyFont="1" applyFill="1" applyBorder="1" applyAlignment="1">
      <alignment horizontal="center" vertical="center"/>
    </xf>
    <xf numFmtId="0" fontId="92" fillId="0" borderId="0" xfId="69" applyFont="1" applyFill="1" applyBorder="1" applyAlignment="1">
      <alignment horizontal="center" vertical="center"/>
    </xf>
    <xf numFmtId="0" fontId="92" fillId="10" borderId="0" xfId="69" applyFont="1" applyFill="1" applyBorder="1" applyAlignment="1">
      <alignment horizontal="center" vertical="center"/>
    </xf>
    <xf numFmtId="0" fontId="65" fillId="10" borderId="0" xfId="69" applyFont="1" applyFill="1" applyBorder="1" applyAlignment="1">
      <alignment horizontal="center" vertical="center"/>
    </xf>
    <xf numFmtId="0" fontId="17" fillId="10" borderId="0" xfId="69" applyFont="1" applyFill="1" applyAlignment="1">
      <alignment horizontal="center" vertical="center"/>
    </xf>
    <xf numFmtId="49" fontId="17" fillId="10" borderId="17" xfId="69" applyNumberFormat="1" applyFont="1" applyFill="1" applyBorder="1" applyAlignment="1">
      <alignment horizontal="center" vertical="center" wrapText="1"/>
    </xf>
    <xf numFmtId="49" fontId="17" fillId="10" borderId="29" xfId="69" applyNumberFormat="1" applyFont="1" applyFill="1" applyBorder="1" applyAlignment="1">
      <alignment horizontal="center" vertical="center" wrapText="1"/>
    </xf>
    <xf numFmtId="0" fontId="17" fillId="10" borderId="17" xfId="69" applyFont="1" applyFill="1" applyBorder="1" applyAlignment="1">
      <alignment horizontal="center" vertical="center" wrapText="1"/>
    </xf>
    <xf numFmtId="0" fontId="17" fillId="10" borderId="29" xfId="69" applyFont="1" applyFill="1" applyBorder="1" applyAlignment="1">
      <alignment horizontal="center" vertical="center" wrapText="1"/>
    </xf>
    <xf numFmtId="0" fontId="17" fillId="10" borderId="4" xfId="0" applyFont="1" applyFill="1" applyBorder="1" applyAlignment="1">
      <alignment horizontal="center" vertical="center" wrapText="1"/>
    </xf>
    <xf numFmtId="0" fontId="17" fillId="10" borderId="6" xfId="69" applyFont="1" applyFill="1" applyBorder="1" applyAlignment="1">
      <alignment horizontal="center" vertical="center"/>
    </xf>
    <xf numFmtId="0" fontId="17" fillId="10" borderId="3" xfId="69" applyFont="1" applyFill="1" applyBorder="1" applyAlignment="1">
      <alignment horizontal="center" vertical="center"/>
    </xf>
    <xf numFmtId="0" fontId="17" fillId="10" borderId="30" xfId="69" applyFont="1" applyFill="1" applyBorder="1" applyAlignment="1">
      <alignment horizontal="center" vertical="center"/>
    </xf>
    <xf numFmtId="0" fontId="19" fillId="10" borderId="0" xfId="69" applyFont="1" applyFill="1" applyAlignment="1">
      <alignment horizontal="center" vertical="center"/>
    </xf>
    <xf numFmtId="0" fontId="122" fillId="0" borderId="0" xfId="69" applyFont="1" applyFill="1" applyBorder="1" applyAlignment="1">
      <alignment horizontal="center" vertical="center"/>
    </xf>
    <xf numFmtId="0" fontId="105" fillId="0" borderId="0" xfId="69" applyFont="1" applyFill="1" applyBorder="1" applyAlignment="1">
      <alignment horizontal="center" vertical="center"/>
    </xf>
    <xf numFmtId="0" fontId="33" fillId="0" borderId="0" xfId="69" applyFont="1" applyFill="1" applyAlignment="1">
      <alignment horizontal="right" vertical="center"/>
    </xf>
    <xf numFmtId="0" fontId="97" fillId="0" borderId="0" xfId="69" applyFont="1" applyFill="1" applyBorder="1" applyAlignment="1">
      <alignment horizontal="center" vertical="center"/>
    </xf>
    <xf numFmtId="0" fontId="61" fillId="0" borderId="0" xfId="69" applyFont="1" applyFill="1" applyAlignment="1">
      <alignment horizontal="left" vertical="center" wrapText="1"/>
    </xf>
    <xf numFmtId="0" fontId="62" fillId="0" borderId="4" xfId="69" applyFont="1" applyFill="1" applyBorder="1" applyAlignment="1">
      <alignment horizontal="center" vertical="center" wrapText="1"/>
    </xf>
    <xf numFmtId="0" fontId="62" fillId="0" borderId="4" xfId="0" applyFont="1" applyFill="1" applyBorder="1" applyAlignment="1">
      <alignment horizontal="center" vertical="center" wrapText="1"/>
    </xf>
    <xf numFmtId="0" fontId="19" fillId="0" borderId="0" xfId="70" applyFont="1" applyFill="1" applyAlignment="1">
      <alignment horizontal="center" vertical="center"/>
    </xf>
    <xf numFmtId="0" fontId="65" fillId="10" borderId="4" xfId="69" applyFont="1" applyFill="1" applyBorder="1" applyAlignment="1">
      <alignment horizontal="center" vertical="center" wrapText="1"/>
    </xf>
    <xf numFmtId="0" fontId="65" fillId="10" borderId="4" xfId="0" applyFont="1" applyFill="1" applyBorder="1" applyAlignment="1">
      <alignment horizontal="center" vertical="center" wrapText="1"/>
    </xf>
    <xf numFmtId="0" fontId="89" fillId="10" borderId="0" xfId="69" applyFont="1" applyFill="1" applyBorder="1" applyAlignment="1">
      <alignment horizontal="center" vertical="center"/>
    </xf>
    <xf numFmtId="0" fontId="73" fillId="10" borderId="0" xfId="69" applyFont="1" applyFill="1" applyBorder="1" applyAlignment="1">
      <alignment horizontal="center" vertical="center"/>
    </xf>
    <xf numFmtId="0" fontId="65" fillId="10" borderId="0" xfId="69" applyFont="1" applyFill="1" applyAlignment="1">
      <alignment horizontal="center" vertical="center" wrapText="1"/>
    </xf>
    <xf numFmtId="0" fontId="20" fillId="10" borderId="0" xfId="69" applyFont="1" applyFill="1" applyAlignment="1">
      <alignment horizontal="center" vertical="center" wrapText="1"/>
    </xf>
  </cellXfs>
  <cellStyles count="110">
    <cellStyle name="_73118_79029" xfId="1"/>
    <cellStyle name="52" xfId="2"/>
    <cellStyle name="AeE­ [0]_INQUIRY ¿μ¾÷AßAø " xfId="3"/>
    <cellStyle name="AeE­_INQUIRY ¿µ¾÷AßAø " xfId="4"/>
    <cellStyle name="AÞ¸¶ [0]_INQUIRY ¿?¾÷AßAø " xfId="5"/>
    <cellStyle name="AÞ¸¶_INQUIRY ¿?¾÷AßAø " xfId="6"/>
    <cellStyle name="Bad" xfId="88" builtinId="27"/>
    <cellStyle name="Bình thường 2" xfId="7"/>
    <cellStyle name="C?AØ_¿?¾÷CoE² " xfId="8"/>
    <cellStyle name="C￥AØ_¿μ¾÷CoE² " xfId="9"/>
    <cellStyle name="Chuẩn 2" xfId="38"/>
    <cellStyle name="Comma" xfId="40" builtinId="3"/>
    <cellStyle name="Comma [0] 2" xfId="10"/>
    <cellStyle name="Comma 10 2" xfId="11"/>
    <cellStyle name="Comma 10 3" xfId="12"/>
    <cellStyle name="Comma 2" xfId="13"/>
    <cellStyle name="Comma 2 2" xfId="14"/>
    <cellStyle name="Comma 2 2 2" xfId="15"/>
    <cellStyle name="Comma 2 3" xfId="16"/>
    <cellStyle name="Comma 2 3 2" xfId="17"/>
    <cellStyle name="Comma 2 4" xfId="18"/>
    <cellStyle name="Comma 28 4" xfId="19"/>
    <cellStyle name="Comma 3" xfId="20"/>
    <cellStyle name="Comma 3 2" xfId="21"/>
    <cellStyle name="Comma 3 3" xfId="22"/>
    <cellStyle name="Comma 4" xfId="23"/>
    <cellStyle name="Comma 4 2" xfId="24"/>
    <cellStyle name="Comma 4 2 2" xfId="25"/>
    <cellStyle name="Comma 4 2 3" xfId="26"/>
    <cellStyle name="Comma 4 2 4" xfId="27"/>
    <cellStyle name="Comma 4 3" xfId="28"/>
    <cellStyle name="Comma 5" xfId="29"/>
    <cellStyle name="Comma 5 2" xfId="30"/>
    <cellStyle name="Comma 5 3" xfId="31"/>
    <cellStyle name="Comma 7" xfId="32"/>
    <cellStyle name="comma zerodec" xfId="33"/>
    <cellStyle name="Comma_Cocau2004(22-11)" xfId="34"/>
    <cellStyle name="Comma0" xfId="35"/>
    <cellStyle name="Currency0" xfId="36"/>
    <cellStyle name="Currency1" xfId="37"/>
    <cellStyle name="Date" xfId="39"/>
    <cellStyle name="Dấu_phảy 2" xfId="41"/>
    <cellStyle name="Dollar (zero dec)" xfId="42"/>
    <cellStyle name="Fixed" xfId="43"/>
    <cellStyle name="Good" xfId="83" builtinId="26"/>
    <cellStyle name="Grey" xfId="44"/>
    <cellStyle name="Header1" xfId="45"/>
    <cellStyle name="Header2" xfId="46"/>
    <cellStyle name="HEADING1" xfId="47"/>
    <cellStyle name="HEADING2" xfId="48"/>
    <cellStyle name="Input [yellow]" xfId="49"/>
    <cellStyle name="Loai CBDT" xfId="50"/>
    <cellStyle name="Loai CT" xfId="51"/>
    <cellStyle name="Loai GD" xfId="52"/>
    <cellStyle name="Monétaire [0]_TARIFFS DB" xfId="53"/>
    <cellStyle name="Monétaire_TARIFFS DB" xfId="54"/>
    <cellStyle name="n" xfId="55"/>
    <cellStyle name="Neutral" xfId="85" builtinId="28"/>
    <cellStyle name="New Times Roman" xfId="56"/>
    <cellStyle name="no dec" xfId="57"/>
    <cellStyle name="Normal" xfId="0" builtinId="0"/>
    <cellStyle name="Normal - Style1" xfId="58"/>
    <cellStyle name="Normal 11 3 3" xfId="59"/>
    <cellStyle name="Normal 2" xfId="60"/>
    <cellStyle name="Normal 2 2" xfId="61"/>
    <cellStyle name="Normal 3" xfId="62"/>
    <cellStyle name="Normal 4" xfId="63"/>
    <cellStyle name="Normal 4_73205_79112(1)" xfId="64"/>
    <cellStyle name="Normal 5" xfId="65"/>
    <cellStyle name="Normal 5 2" xfId="66"/>
    <cellStyle name="Normal 8 2" xfId="67"/>
    <cellStyle name="Normal_73115_79028" xfId="68"/>
    <cellStyle name="Normal_73205_79112(1)" xfId="69"/>
    <cellStyle name="Normal_73383_79292(1)" xfId="70"/>
    <cellStyle name="Normal_Chi tieu nam 2009 moi" xfId="72"/>
    <cellStyle name="Normal_Chi tieu PTSNYT và hoat dong tinh 2009" xfId="73"/>
    <cellStyle name="Normal_Cocau2004(22-11)" xfId="71"/>
    <cellStyle name="Normal_Phu luc 2 (11.10.08)" xfId="74"/>
    <cellStyle name="Percent" xfId="78" builtinId="5"/>
    <cellStyle name="Percent [2]" xfId="75"/>
    <cellStyle name="Percent 2" xfId="76"/>
    <cellStyle name="Percent 3" xfId="77"/>
    <cellStyle name="Style 1" xfId="79"/>
    <cellStyle name="T" xfId="80"/>
    <cellStyle name="th" xfId="84"/>
    <cellStyle name="Tong so" xfId="81"/>
    <cellStyle name="tong so 1" xfId="82"/>
    <cellStyle name="viet" xfId="86"/>
    <cellStyle name="viet2" xfId="87"/>
    <cellStyle name="xuan" xfId="89"/>
    <cellStyle name=" [0.00]_ Att. 1- Cover" xfId="90"/>
    <cellStyle name="_ Att. 1- Cover" xfId="91"/>
    <cellStyle name="?_ Att. 1- Cover" xfId="92"/>
    <cellStyle name="똿뗦먛귟 [0.00]_PRODUCT DETAIL Q1" xfId="93"/>
    <cellStyle name="똿뗦먛귟_PRODUCT DETAIL Q1" xfId="94"/>
    <cellStyle name="믅됞 [0.00]_PRODUCT DETAIL Q1" xfId="95"/>
    <cellStyle name="믅됞_PRODUCT DETAIL Q1" xfId="96"/>
    <cellStyle name="백분율_95" xfId="97"/>
    <cellStyle name="뷭?_BOOKSHIP" xfId="98"/>
    <cellStyle name="콤마 [0]_1202" xfId="99"/>
    <cellStyle name="콤마_1202" xfId="100"/>
    <cellStyle name="통화 [0]_1202" xfId="101"/>
    <cellStyle name="통화_1202" xfId="102"/>
    <cellStyle name="표준_(정보부문)월별인원계획" xfId="103"/>
    <cellStyle name="一般_00Q3902REV.1" xfId="104"/>
    <cellStyle name="千分位[0]_00Q3902REV.1" xfId="105"/>
    <cellStyle name="千分位_00Q3902REV.1" xfId="106"/>
    <cellStyle name="貨幣 [0]_00Q3902REV.1" xfId="107"/>
    <cellStyle name="貨幣[0]_BRE" xfId="108"/>
    <cellStyle name="貨幣_00Q3902REV.1" xfId="10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K11"/>
  <sheetViews>
    <sheetView tabSelected="1" topLeftCell="A2" workbookViewId="0">
      <selection activeCell="C11" sqref="C11"/>
    </sheetView>
  </sheetViews>
  <sheetFormatPr defaultRowHeight="15"/>
  <sheetData>
    <row r="11" spans="1:11" ht="20.25">
      <c r="A11" s="1046" t="s">
        <v>528</v>
      </c>
      <c r="B11" s="1046"/>
      <c r="C11" s="1046"/>
      <c r="D11" s="1046"/>
      <c r="E11" s="1046"/>
      <c r="F11" s="1046"/>
      <c r="G11" s="1046"/>
      <c r="H11" s="1046"/>
      <c r="I11" s="1046"/>
      <c r="J11" s="1046"/>
      <c r="K11" s="554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4"/>
  <sheetViews>
    <sheetView workbookViewId="0"/>
  </sheetViews>
  <sheetFormatPr defaultRowHeight="15"/>
  <sheetData>
    <row r="1" spans="1:24" ht="37.5">
      <c r="B1" s="509" t="s">
        <v>721</v>
      </c>
      <c r="C1" s="519"/>
      <c r="D1" s="519"/>
      <c r="E1" s="595"/>
      <c r="F1" s="519"/>
      <c r="I1" s="1074"/>
      <c r="J1" s="1074"/>
      <c r="K1" s="550"/>
      <c r="L1" s="550"/>
      <c r="M1" s="550"/>
      <c r="N1" s="550"/>
    </row>
    <row r="2" spans="1:24" ht="132">
      <c r="A2" s="1077" t="s">
        <v>543</v>
      </c>
      <c r="B2" s="1078"/>
      <c r="C2" s="1078"/>
      <c r="D2" s="1078"/>
      <c r="E2" s="1078"/>
      <c r="F2" s="1078"/>
      <c r="G2" s="1078"/>
      <c r="H2" s="1078"/>
      <c r="I2" s="1078"/>
      <c r="J2" s="1078"/>
      <c r="K2" s="1078"/>
      <c r="L2" s="551"/>
      <c r="M2" s="551"/>
      <c r="N2" s="551"/>
    </row>
    <row r="3" spans="1:24" ht="165">
      <c r="A3" s="1079" t="s">
        <v>0</v>
      </c>
      <c r="B3" s="1079" t="s">
        <v>487</v>
      </c>
      <c r="C3" s="1079" t="s">
        <v>184</v>
      </c>
      <c r="D3" s="1079" t="s">
        <v>317</v>
      </c>
      <c r="E3" s="1080" t="s">
        <v>323</v>
      </c>
      <c r="F3" s="1079" t="s">
        <v>329</v>
      </c>
      <c r="G3" s="1075" t="s">
        <v>760</v>
      </c>
      <c r="H3" s="1075"/>
      <c r="I3" s="1075"/>
      <c r="J3" s="1075"/>
      <c r="K3" s="1075"/>
      <c r="L3" s="1049" t="s">
        <v>531</v>
      </c>
      <c r="M3" s="1049" t="s">
        <v>532</v>
      </c>
      <c r="N3" s="551"/>
    </row>
    <row r="4" spans="1:24" ht="66">
      <c r="A4" s="1079"/>
      <c r="B4" s="1079"/>
      <c r="C4" s="1079"/>
      <c r="D4" s="1079"/>
      <c r="E4" s="1080"/>
      <c r="F4" s="1079"/>
      <c r="G4" s="332" t="s">
        <v>706</v>
      </c>
      <c r="H4" s="332" t="s">
        <v>707</v>
      </c>
      <c r="I4" s="332" t="s">
        <v>708</v>
      </c>
      <c r="J4" s="332" t="s">
        <v>709</v>
      </c>
      <c r="K4" s="332" t="s">
        <v>710</v>
      </c>
      <c r="L4" s="1049"/>
      <c r="M4" s="1049"/>
      <c r="N4" s="553"/>
    </row>
    <row r="5" spans="1:24" ht="82.5">
      <c r="A5" s="497" t="s">
        <v>101</v>
      </c>
      <c r="B5" s="496" t="s">
        <v>336</v>
      </c>
      <c r="C5" s="498" t="s">
        <v>488</v>
      </c>
      <c r="D5" s="482"/>
      <c r="E5" s="482"/>
      <c r="F5" s="482"/>
      <c r="G5" s="482"/>
      <c r="H5" s="482"/>
      <c r="I5" s="482"/>
      <c r="J5" s="482"/>
      <c r="K5" s="482"/>
      <c r="L5" s="482"/>
      <c r="M5" s="482"/>
      <c r="N5" s="552"/>
      <c r="W5" s="499"/>
      <c r="X5" s="499"/>
    </row>
    <row r="6" spans="1:24" ht="82.5">
      <c r="A6" s="502">
        <v>1</v>
      </c>
      <c r="B6" s="624" t="s">
        <v>555</v>
      </c>
      <c r="C6" s="498" t="s">
        <v>488</v>
      </c>
      <c r="D6" s="635"/>
      <c r="E6" s="635"/>
      <c r="F6" s="635"/>
      <c r="G6" s="635"/>
      <c r="H6" s="635"/>
      <c r="I6" s="635"/>
      <c r="J6" s="635"/>
      <c r="K6" s="635"/>
      <c r="L6" s="635"/>
      <c r="M6" s="635"/>
      <c r="N6" s="552"/>
      <c r="W6" s="499"/>
      <c r="X6" s="499"/>
    </row>
    <row r="7" spans="1:24" ht="115.5">
      <c r="A7" s="502">
        <v>2</v>
      </c>
      <c r="B7" s="624" t="s">
        <v>556</v>
      </c>
      <c r="C7" s="498" t="s">
        <v>488</v>
      </c>
      <c r="D7" s="635"/>
      <c r="E7" s="635"/>
      <c r="F7" s="635"/>
      <c r="G7" s="635"/>
      <c r="H7" s="635"/>
      <c r="I7" s="635"/>
      <c r="J7" s="635"/>
      <c r="K7" s="635"/>
      <c r="L7" s="635"/>
      <c r="M7" s="635"/>
      <c r="N7" s="552"/>
      <c r="W7" s="499"/>
      <c r="X7" s="499"/>
    </row>
    <row r="8" spans="1:24" ht="66">
      <c r="A8" s="502">
        <v>3</v>
      </c>
      <c r="B8" s="624" t="s">
        <v>557</v>
      </c>
      <c r="C8" s="498" t="s">
        <v>488</v>
      </c>
      <c r="D8" s="635"/>
      <c r="E8" s="635"/>
      <c r="F8" s="635"/>
      <c r="G8" s="635"/>
      <c r="H8" s="635"/>
      <c r="I8" s="635"/>
      <c r="J8" s="635"/>
      <c r="K8" s="635"/>
      <c r="L8" s="635"/>
      <c r="M8" s="635"/>
      <c r="N8" s="552"/>
      <c r="W8" s="499"/>
      <c r="X8" s="499"/>
    </row>
    <row r="9" spans="1:24" ht="82.5">
      <c r="A9" s="502">
        <v>4</v>
      </c>
      <c r="B9" s="624" t="s">
        <v>558</v>
      </c>
      <c r="C9" s="498" t="s">
        <v>488</v>
      </c>
      <c r="D9" s="635"/>
      <c r="E9" s="635"/>
      <c r="F9" s="635"/>
      <c r="G9" s="635"/>
      <c r="H9" s="635"/>
      <c r="I9" s="635"/>
      <c r="J9" s="635"/>
      <c r="K9" s="635"/>
      <c r="L9" s="635"/>
      <c r="M9" s="635"/>
      <c r="N9" s="552"/>
      <c r="W9" s="499"/>
      <c r="X9" s="499"/>
    </row>
    <row r="10" spans="1:24" ht="82.5">
      <c r="A10" s="502">
        <v>5</v>
      </c>
      <c r="B10" s="624" t="s">
        <v>559</v>
      </c>
      <c r="C10" s="498" t="s">
        <v>488</v>
      </c>
      <c r="D10" s="635"/>
      <c r="E10" s="635"/>
      <c r="F10" s="635"/>
      <c r="G10" s="635"/>
      <c r="H10" s="635"/>
      <c r="I10" s="635"/>
      <c r="J10" s="635"/>
      <c r="K10" s="635"/>
      <c r="L10" s="635"/>
      <c r="M10" s="635"/>
      <c r="N10" s="552"/>
      <c r="W10" s="499"/>
      <c r="X10" s="499"/>
    </row>
    <row r="11" spans="1:24" ht="66">
      <c r="A11" s="502"/>
      <c r="B11" s="624" t="s">
        <v>576</v>
      </c>
      <c r="C11" s="498"/>
      <c r="D11" s="635"/>
      <c r="E11" s="635"/>
      <c r="F11" s="635"/>
      <c r="G11" s="635"/>
      <c r="H11" s="635"/>
      <c r="I11" s="635"/>
      <c r="J11" s="635"/>
      <c r="K11" s="635"/>
      <c r="L11" s="635"/>
      <c r="M11" s="635"/>
      <c r="N11" s="552"/>
      <c r="W11" s="499"/>
      <c r="X11" s="499"/>
    </row>
    <row r="12" spans="1:24" ht="33">
      <c r="A12" s="502"/>
      <c r="B12" s="624" t="s">
        <v>577</v>
      </c>
      <c r="C12" s="498"/>
      <c r="D12" s="635"/>
      <c r="E12" s="635"/>
      <c r="F12" s="635"/>
      <c r="G12" s="635"/>
      <c r="H12" s="635"/>
      <c r="I12" s="635"/>
      <c r="J12" s="635"/>
      <c r="K12" s="635"/>
      <c r="L12" s="635"/>
      <c r="M12" s="635"/>
      <c r="N12" s="552"/>
      <c r="W12" s="499"/>
      <c r="X12" s="499"/>
    </row>
    <row r="13" spans="1:24" ht="33">
      <c r="A13" s="502"/>
      <c r="B13" s="624" t="s">
        <v>578</v>
      </c>
      <c r="C13" s="498"/>
      <c r="D13" s="635"/>
      <c r="E13" s="635"/>
      <c r="F13" s="635"/>
      <c r="G13" s="635"/>
      <c r="H13" s="635"/>
      <c r="I13" s="635"/>
      <c r="J13" s="635"/>
      <c r="K13" s="635"/>
      <c r="L13" s="635"/>
      <c r="M13" s="635"/>
      <c r="N13" s="552"/>
      <c r="W13" s="499"/>
      <c r="X13" s="499"/>
    </row>
    <row r="14" spans="1:24" ht="49.5">
      <c r="A14" s="502"/>
      <c r="B14" s="624" t="s">
        <v>579</v>
      </c>
      <c r="C14" s="498"/>
      <c r="D14" s="635"/>
      <c r="E14" s="635"/>
      <c r="F14" s="635"/>
      <c r="G14" s="635"/>
      <c r="H14" s="635"/>
      <c r="I14" s="635"/>
      <c r="J14" s="635"/>
      <c r="K14" s="635"/>
      <c r="L14" s="635"/>
      <c r="M14" s="635"/>
      <c r="N14" s="552"/>
      <c r="W14" s="499"/>
      <c r="X14" s="499"/>
    </row>
    <row r="15" spans="1:24" ht="49.5">
      <c r="A15" s="502">
        <v>6</v>
      </c>
      <c r="B15" s="624" t="s">
        <v>560</v>
      </c>
      <c r="C15" s="498" t="s">
        <v>488</v>
      </c>
      <c r="D15" s="635"/>
      <c r="E15" s="635"/>
      <c r="F15" s="635"/>
      <c r="G15" s="635"/>
      <c r="H15" s="635"/>
      <c r="I15" s="635"/>
      <c r="J15" s="635"/>
      <c r="K15" s="635"/>
      <c r="L15" s="635"/>
      <c r="M15" s="635"/>
      <c r="N15" s="552"/>
      <c r="W15" s="499"/>
      <c r="X15" s="499"/>
    </row>
    <row r="16" spans="1:24" ht="99">
      <c r="A16" s="497" t="s">
        <v>101</v>
      </c>
      <c r="B16" s="631" t="s">
        <v>546</v>
      </c>
      <c r="C16" s="501"/>
      <c r="D16" s="834"/>
      <c r="E16" s="596"/>
      <c r="F16" s="501"/>
      <c r="G16" s="501"/>
      <c r="H16" s="501"/>
      <c r="I16" s="1076"/>
      <c r="J16" s="1076"/>
      <c r="K16" s="1076"/>
      <c r="L16" s="500"/>
      <c r="M16" s="500"/>
      <c r="N16" s="592"/>
    </row>
    <row r="17" spans="1:17" ht="33">
      <c r="A17" s="621">
        <v>1</v>
      </c>
      <c r="B17" s="622" t="s">
        <v>547</v>
      </c>
      <c r="C17" s="623" t="s">
        <v>342</v>
      </c>
      <c r="D17" s="833">
        <v>48.24</v>
      </c>
      <c r="E17" s="833">
        <f>0.09915*1000</f>
        <v>99.15</v>
      </c>
      <c r="F17" s="593"/>
      <c r="G17" s="833">
        <f>1000*0.039068624829</f>
        <v>39.068624828999994</v>
      </c>
      <c r="H17" s="833">
        <f>1000*0.014753676472</f>
        <v>14.753676472</v>
      </c>
      <c r="I17" s="833">
        <f>1000*0.01575616708</f>
        <v>15.756167080000001</v>
      </c>
      <c r="J17" s="833">
        <f>1000*0.014074783073</f>
        <v>14.074783073000001</v>
      </c>
      <c r="K17" s="835">
        <f>1000*0.0155</f>
        <v>15.5</v>
      </c>
      <c r="L17" s="835">
        <f>SUM(G17:K17)</f>
        <v>99.153251453999999</v>
      </c>
      <c r="M17" s="502" t="s">
        <v>36</v>
      </c>
      <c r="N17" s="1025">
        <f>H17+H21</f>
        <v>508.92598602700002</v>
      </c>
      <c r="O17" s="1025">
        <f t="shared" ref="O17:P17" si="0">I17+I21</f>
        <v>647.68662302599989</v>
      </c>
      <c r="P17" s="1025">
        <f t="shared" si="0"/>
        <v>721.681629015</v>
      </c>
      <c r="Q17" s="1025">
        <f>K17+K21</f>
        <v>665.83500000000004</v>
      </c>
    </row>
    <row r="18" spans="1:17" ht="33">
      <c r="A18" s="621">
        <v>2</v>
      </c>
      <c r="B18" s="622" t="s">
        <v>489</v>
      </c>
      <c r="C18" s="623" t="s">
        <v>342</v>
      </c>
      <c r="D18" s="832"/>
      <c r="E18" s="832"/>
      <c r="F18" s="502"/>
      <c r="G18" s="832"/>
      <c r="H18" s="832"/>
      <c r="I18" s="832"/>
      <c r="J18" s="832"/>
      <c r="K18" s="832"/>
      <c r="L18" s="594"/>
      <c r="M18" s="502"/>
      <c r="N18" s="504"/>
    </row>
    <row r="19" spans="1:17" ht="132">
      <c r="A19" s="623">
        <v>3</v>
      </c>
      <c r="B19" s="622" t="s">
        <v>548</v>
      </c>
      <c r="C19" s="623" t="s">
        <v>342</v>
      </c>
      <c r="D19" s="832"/>
      <c r="E19" s="832"/>
      <c r="F19" s="502"/>
      <c r="G19" s="832"/>
      <c r="H19" s="832"/>
      <c r="I19" s="832"/>
      <c r="J19" s="832"/>
      <c r="K19" s="832"/>
      <c r="L19" s="594"/>
      <c r="M19" s="502"/>
      <c r="N19" s="504"/>
    </row>
    <row r="20" spans="1:17" ht="33">
      <c r="A20" s="621">
        <v>4</v>
      </c>
      <c r="B20" s="622" t="s">
        <v>549</v>
      </c>
      <c r="C20" s="623" t="s">
        <v>342</v>
      </c>
      <c r="D20" s="832"/>
      <c r="E20" s="832"/>
      <c r="F20" s="502"/>
      <c r="G20" s="832"/>
      <c r="H20" s="832"/>
      <c r="I20" s="832"/>
      <c r="J20" s="832"/>
      <c r="K20" s="832"/>
      <c r="L20" s="594"/>
      <c r="M20" s="502"/>
      <c r="N20" s="504"/>
    </row>
    <row r="21" spans="1:17" ht="49.5">
      <c r="A21" s="621">
        <v>5</v>
      </c>
      <c r="B21" s="622" t="s">
        <v>561</v>
      </c>
      <c r="C21" s="623" t="s">
        <v>342</v>
      </c>
      <c r="D21" s="833">
        <v>2168.25</v>
      </c>
      <c r="E21" s="833">
        <f>2.87*1000</f>
        <v>2870</v>
      </c>
      <c r="F21" s="502"/>
      <c r="G21" s="833">
        <f>1000*0.497332575199</f>
        <v>497.33257519899996</v>
      </c>
      <c r="H21" s="833">
        <f>1000*0.494172309555</f>
        <v>494.17230955500003</v>
      </c>
      <c r="I21" s="833">
        <f>1000*0.631930455946</f>
        <v>631.93045594599994</v>
      </c>
      <c r="J21" s="833">
        <f>1000*0.707606845942</f>
        <v>707.60684594199995</v>
      </c>
      <c r="K21" s="833">
        <f>1000*0.543855+106.48</f>
        <v>650.33500000000004</v>
      </c>
      <c r="L21" s="916">
        <f>SUM(G21:K21)</f>
        <v>2981.3771866419997</v>
      </c>
      <c r="M21" s="502" t="s">
        <v>78</v>
      </c>
      <c r="N21" s="504"/>
    </row>
    <row r="22" spans="1:17" ht="99">
      <c r="A22" s="632" t="s">
        <v>102</v>
      </c>
      <c r="B22" s="631" t="s">
        <v>550</v>
      </c>
      <c r="C22" s="632" t="s">
        <v>342</v>
      </c>
      <c r="D22" s="836">
        <f>D24+D25</f>
        <v>2203.5086619799999</v>
      </c>
      <c r="E22" s="836">
        <f t="shared" ref="E22:K22" si="1">E24+E25</f>
        <v>2969.16</v>
      </c>
      <c r="F22" s="836">
        <f t="shared" si="1"/>
        <v>0</v>
      </c>
      <c r="G22" s="836">
        <f t="shared" si="1"/>
        <v>535.949782325</v>
      </c>
      <c r="H22" s="836">
        <f t="shared" si="1"/>
        <v>506.68867509200004</v>
      </c>
      <c r="I22" s="836">
        <f t="shared" si="1"/>
        <v>646.52037113199992</v>
      </c>
      <c r="J22" s="836">
        <f t="shared" si="1"/>
        <v>720.65602247900006</v>
      </c>
      <c r="K22" s="836">
        <f t="shared" si="1"/>
        <v>665.83404565800004</v>
      </c>
      <c r="L22" s="836">
        <f>SUM(G22:K22)</f>
        <v>3075.6488966860002</v>
      </c>
      <c r="M22" s="497" t="s">
        <v>36</v>
      </c>
      <c r="N22" s="1024">
        <f>D17+D21</f>
        <v>2216.4899999999998</v>
      </c>
    </row>
    <row r="23" spans="1:17" ht="33">
      <c r="A23" s="621"/>
      <c r="B23" s="625" t="s">
        <v>214</v>
      </c>
      <c r="C23" s="623"/>
      <c r="D23" s="502"/>
      <c r="E23" s="502"/>
      <c r="F23" s="502"/>
      <c r="G23" s="502"/>
      <c r="H23" s="502"/>
      <c r="I23" s="502"/>
      <c r="J23" s="502"/>
      <c r="K23" s="502"/>
      <c r="L23" s="594"/>
      <c r="M23" s="502"/>
      <c r="N23" s="504"/>
    </row>
    <row r="24" spans="1:17" ht="49.5">
      <c r="A24" s="621">
        <v>1</v>
      </c>
      <c r="B24" s="622" t="s">
        <v>491</v>
      </c>
      <c r="C24" s="623" t="s">
        <v>342</v>
      </c>
      <c r="D24" s="833">
        <f>1000*0.01078260951</f>
        <v>10.78260951</v>
      </c>
      <c r="E24" s="833">
        <f>0.03939*1000</f>
        <v>39.39</v>
      </c>
      <c r="F24" s="502"/>
      <c r="G24" s="833">
        <f>1000*0.023040948897</f>
        <v>23.040948897</v>
      </c>
      <c r="H24" s="833">
        <f>1000*0.00598981772</f>
        <v>5.9898177200000005</v>
      </c>
      <c r="I24" s="833">
        <f>1000*0.006353411374</f>
        <v>6.3534113740000002</v>
      </c>
      <c r="J24" s="833">
        <f>1000*0.002210709995</f>
        <v>2.2107099949999998</v>
      </c>
      <c r="K24" s="833">
        <f>1000*0.0018</f>
        <v>1.8</v>
      </c>
      <c r="L24" s="916">
        <f>SUM(G24:K24)</f>
        <v>39.394887986000001</v>
      </c>
      <c r="M24" s="502" t="s">
        <v>36</v>
      </c>
      <c r="N24" s="504"/>
    </row>
    <row r="25" spans="1:17" ht="49.5">
      <c r="A25" s="623">
        <v>2</v>
      </c>
      <c r="B25" s="622" t="s">
        <v>490</v>
      </c>
      <c r="C25" s="623" t="s">
        <v>342</v>
      </c>
      <c r="D25" s="916">
        <f>1000*2.19272605247</f>
        <v>2192.72605247</v>
      </c>
      <c r="E25" s="833">
        <f>2.92977*1000</f>
        <v>2929.77</v>
      </c>
      <c r="F25" s="502"/>
      <c r="G25" s="833">
        <f>1000*0.512908833428</f>
        <v>512.90883342799998</v>
      </c>
      <c r="H25" s="833">
        <f>1000*0.500698857372</f>
        <v>500.69885737200002</v>
      </c>
      <c r="I25" s="833">
        <f>1000*0.640166959758</f>
        <v>640.16695975799996</v>
      </c>
      <c r="J25" s="833">
        <f>1000*0.718445312484</f>
        <v>718.44531248400006</v>
      </c>
      <c r="K25" s="833">
        <f>'Biểu 1A'!J65</f>
        <v>664.03404565800008</v>
      </c>
      <c r="L25" s="916">
        <f>SUM(G25:K25)</f>
        <v>3036.2540087000002</v>
      </c>
      <c r="M25" s="502" t="s">
        <v>36</v>
      </c>
      <c r="N25" s="504"/>
    </row>
    <row r="26" spans="1:17" ht="49.5">
      <c r="A26" s="502">
        <v>3</v>
      </c>
      <c r="B26" s="533" t="s">
        <v>492</v>
      </c>
      <c r="C26" s="498"/>
      <c r="D26" s="502"/>
      <c r="E26" s="502"/>
      <c r="F26" s="502"/>
      <c r="G26" s="502"/>
      <c r="H26" s="502"/>
      <c r="I26" s="502"/>
      <c r="J26" s="502"/>
      <c r="K26" s="502"/>
      <c r="L26" s="594"/>
      <c r="M26" s="502"/>
      <c r="N26" s="504"/>
    </row>
    <row r="27" spans="1:17" ht="33">
      <c r="A27" s="502">
        <v>4</v>
      </c>
      <c r="B27" s="633" t="s">
        <v>523</v>
      </c>
      <c r="C27" s="498"/>
      <c r="D27" s="502"/>
      <c r="E27" s="502"/>
      <c r="F27" s="502"/>
      <c r="G27" s="502"/>
      <c r="H27" s="502"/>
      <c r="I27" s="502"/>
      <c r="J27" s="502"/>
      <c r="K27" s="502"/>
      <c r="L27" s="594"/>
      <c r="M27" s="502"/>
      <c r="N27" s="504"/>
    </row>
    <row r="28" spans="1:17" ht="82.5">
      <c r="A28" s="497" t="s">
        <v>115</v>
      </c>
      <c r="B28" s="631" t="s">
        <v>551</v>
      </c>
      <c r="C28" s="623"/>
      <c r="D28" s="497"/>
      <c r="E28" s="497"/>
      <c r="F28" s="497"/>
      <c r="G28" s="497"/>
      <c r="H28" s="497"/>
      <c r="I28" s="497"/>
      <c r="J28" s="497"/>
      <c r="K28" s="497"/>
      <c r="L28" s="599"/>
      <c r="M28" s="497"/>
      <c r="N28" s="598"/>
    </row>
    <row r="29" spans="1:17" ht="82.5">
      <c r="A29" s="621">
        <v>1</v>
      </c>
      <c r="B29" s="622" t="s">
        <v>552</v>
      </c>
      <c r="C29" s="623" t="s">
        <v>342</v>
      </c>
      <c r="D29" s="502"/>
      <c r="E29" s="502"/>
      <c r="F29" s="502"/>
      <c r="G29" s="502"/>
      <c r="H29" s="502"/>
      <c r="I29" s="502"/>
      <c r="J29" s="502"/>
      <c r="K29" s="502"/>
      <c r="L29" s="594"/>
      <c r="M29" s="502"/>
      <c r="N29" s="504"/>
    </row>
    <row r="30" spans="1:17" ht="66">
      <c r="A30" s="621">
        <v>2</v>
      </c>
      <c r="B30" s="622" t="s">
        <v>553</v>
      </c>
      <c r="C30" s="623" t="s">
        <v>342</v>
      </c>
      <c r="D30" s="502">
        <f>0.1298*1000</f>
        <v>129.80000000000001</v>
      </c>
      <c r="E30" s="502">
        <f>0.00488*1000</f>
        <v>4.88</v>
      </c>
      <c r="F30" s="502"/>
      <c r="G30" s="502">
        <f>0.000451*1000</f>
        <v>0.45100000000000001</v>
      </c>
      <c r="H30" s="502">
        <f>0.00224*1000</f>
        <v>2.2399999999999998</v>
      </c>
      <c r="I30" s="502">
        <f>0.001166*1000</f>
        <v>1.1659999999999999</v>
      </c>
      <c r="J30" s="502">
        <f>0.001026*1000</f>
        <v>1.026</v>
      </c>
      <c r="K30" s="502"/>
      <c r="L30" s="916">
        <f>SUM(G30:K30)</f>
        <v>4.883</v>
      </c>
      <c r="M30" s="502" t="s">
        <v>36</v>
      </c>
      <c r="N30" s="504"/>
    </row>
    <row r="31" spans="1:17" ht="33">
      <c r="A31" s="634" t="s">
        <v>116</v>
      </c>
      <c r="B31" s="631" t="s">
        <v>338</v>
      </c>
      <c r="C31" s="498"/>
      <c r="D31" s="502"/>
      <c r="E31" s="355"/>
      <c r="F31" s="502"/>
      <c r="G31" s="594"/>
      <c r="H31" s="594"/>
      <c r="I31" s="594"/>
      <c r="J31" s="502"/>
      <c r="K31" s="594"/>
      <c r="L31" s="594"/>
      <c r="M31" s="594"/>
      <c r="N31" s="504"/>
    </row>
    <row r="32" spans="1:17" ht="16.5">
      <c r="A32" s="503"/>
      <c r="B32" s="505"/>
      <c r="C32" s="535"/>
      <c r="D32" s="503"/>
      <c r="E32" s="597"/>
      <c r="F32" s="503"/>
      <c r="G32" s="504"/>
      <c r="H32" s="504"/>
      <c r="I32" s="504"/>
      <c r="J32" s="503"/>
      <c r="K32" s="504"/>
      <c r="L32" s="504"/>
      <c r="M32" s="504"/>
      <c r="N32" s="504"/>
    </row>
    <row r="33" spans="1:14" ht="16.5">
      <c r="A33" s="503"/>
      <c r="B33" s="505"/>
      <c r="C33" s="535"/>
      <c r="D33" s="503"/>
      <c r="E33" s="597"/>
      <c r="F33" s="503"/>
      <c r="G33" s="504"/>
      <c r="H33" s="504"/>
      <c r="I33" s="504"/>
      <c r="J33" s="503"/>
      <c r="K33" s="504"/>
      <c r="L33" s="504"/>
      <c r="M33" s="504"/>
      <c r="N33" s="504"/>
    </row>
    <row r="34" spans="1:14" ht="16.5">
      <c r="A34" s="503"/>
      <c r="B34" s="505"/>
      <c r="C34" s="535"/>
      <c r="D34" s="503"/>
      <c r="E34" s="597"/>
      <c r="F34" s="503"/>
      <c r="G34" s="504"/>
      <c r="H34" s="504"/>
      <c r="I34" s="504"/>
      <c r="J34" s="503"/>
      <c r="K34" s="504"/>
      <c r="L34" s="504"/>
      <c r="M34" s="504"/>
      <c r="N34" s="504"/>
    </row>
    <row r="35" spans="1:14" ht="16.5">
      <c r="A35" s="503"/>
      <c r="B35" s="505"/>
      <c r="C35" s="535"/>
      <c r="D35" s="503"/>
      <c r="E35" s="597"/>
      <c r="F35" s="503"/>
      <c r="G35" s="504"/>
      <c r="H35" s="504"/>
      <c r="I35" s="504"/>
      <c r="J35" s="503"/>
      <c r="K35" s="504"/>
      <c r="L35" s="504"/>
      <c r="M35" s="504"/>
      <c r="N35" s="504"/>
    </row>
    <row r="36" spans="1:14" ht="16.5">
      <c r="A36" s="503"/>
      <c r="B36" s="505"/>
      <c r="C36" s="535"/>
      <c r="D36" s="503"/>
      <c r="E36" s="597"/>
      <c r="F36" s="503"/>
      <c r="G36" s="504"/>
      <c r="H36" s="504"/>
      <c r="I36" s="504"/>
      <c r="J36" s="503"/>
      <c r="K36" s="504"/>
      <c r="L36" s="504"/>
      <c r="M36" s="504"/>
      <c r="N36" s="504"/>
    </row>
    <row r="37" spans="1:14" ht="16.5">
      <c r="A37" s="503"/>
      <c r="B37" s="505"/>
      <c r="C37" s="535"/>
      <c r="D37" s="503"/>
      <c r="E37" s="597"/>
      <c r="F37" s="503"/>
      <c r="G37" s="504"/>
      <c r="H37" s="504"/>
      <c r="I37" s="504"/>
      <c r="J37" s="503"/>
      <c r="K37" s="504"/>
      <c r="L37" s="504"/>
      <c r="M37" s="504"/>
      <c r="N37" s="504"/>
    </row>
    <row r="38" spans="1:14" ht="16.5">
      <c r="A38" s="503"/>
      <c r="B38" s="505"/>
      <c r="C38" s="535"/>
      <c r="D38" s="503"/>
      <c r="E38" s="597"/>
      <c r="F38" s="503"/>
      <c r="G38" s="504"/>
      <c r="H38" s="504"/>
      <c r="I38" s="504"/>
      <c r="J38" s="503"/>
      <c r="K38" s="504"/>
      <c r="L38" s="504"/>
      <c r="M38" s="504"/>
      <c r="N38" s="504"/>
    </row>
    <row r="39" spans="1:14" ht="16.5">
      <c r="A39" s="503"/>
      <c r="B39" s="505"/>
      <c r="C39" s="535"/>
      <c r="D39" s="503"/>
      <c r="E39" s="597"/>
      <c r="F39" s="503"/>
      <c r="G39" s="504"/>
      <c r="H39" s="504"/>
      <c r="I39" s="504"/>
      <c r="J39" s="503"/>
      <c r="K39" s="504"/>
      <c r="L39" s="504"/>
      <c r="M39" s="504"/>
      <c r="N39" s="504"/>
    </row>
    <row r="40" spans="1:14" ht="16.5">
      <c r="A40" s="503"/>
      <c r="B40" s="505"/>
      <c r="C40" s="535"/>
      <c r="D40" s="503"/>
      <c r="E40" s="597"/>
      <c r="F40" s="503"/>
      <c r="G40" s="504"/>
      <c r="H40" s="504"/>
      <c r="I40" s="504"/>
      <c r="J40" s="503"/>
      <c r="K40" s="504"/>
      <c r="L40" s="504"/>
      <c r="M40" s="504"/>
      <c r="N40" s="504"/>
    </row>
    <row r="41" spans="1:14" ht="16.5">
      <c r="A41" s="503"/>
      <c r="B41" s="505"/>
      <c r="C41" s="535"/>
      <c r="D41" s="503"/>
      <c r="E41" s="597"/>
      <c r="F41" s="503"/>
      <c r="G41" s="504"/>
      <c r="H41" s="504"/>
      <c r="I41" s="504"/>
      <c r="J41" s="503"/>
      <c r="K41" s="504"/>
      <c r="L41" s="504"/>
      <c r="M41" s="504"/>
      <c r="N41" s="504"/>
    </row>
    <row r="42" spans="1:14" ht="16.5">
      <c r="A42" s="503"/>
      <c r="B42" s="505"/>
      <c r="C42" s="535"/>
      <c r="D42" s="503"/>
      <c r="E42" s="597"/>
      <c r="F42" s="503"/>
      <c r="G42" s="504"/>
      <c r="H42" s="504"/>
      <c r="I42" s="504"/>
      <c r="J42" s="503"/>
      <c r="K42" s="504"/>
      <c r="L42" s="504"/>
      <c r="M42" s="504"/>
      <c r="N42" s="504"/>
    </row>
    <row r="43" spans="1:14" ht="16.5">
      <c r="A43" s="503"/>
      <c r="B43" s="505"/>
      <c r="C43" s="535"/>
      <c r="D43" s="503"/>
      <c r="E43" s="597"/>
      <c r="F43" s="503"/>
      <c r="G43" s="504"/>
      <c r="H43" s="504"/>
      <c r="I43" s="504"/>
      <c r="J43" s="503"/>
      <c r="K43" s="504"/>
      <c r="L43" s="504"/>
      <c r="M43" s="504"/>
      <c r="N43" s="504"/>
    </row>
    <row r="44" spans="1:14" ht="16.5">
      <c r="A44" s="503"/>
      <c r="B44" s="505"/>
      <c r="C44" s="535"/>
      <c r="D44" s="503"/>
      <c r="E44" s="597"/>
      <c r="F44" s="503"/>
      <c r="G44" s="504"/>
      <c r="H44" s="504"/>
      <c r="I44" s="504"/>
      <c r="J44" s="503"/>
      <c r="K44" s="504"/>
      <c r="L44" s="504"/>
      <c r="M44" s="504"/>
      <c r="N44" s="504"/>
    </row>
    <row r="45" spans="1:14" ht="16.5">
      <c r="A45" s="503"/>
      <c r="B45" s="505"/>
      <c r="C45" s="535"/>
      <c r="D45" s="503"/>
      <c r="E45" s="597"/>
      <c r="F45" s="503"/>
      <c r="G45" s="504"/>
      <c r="H45" s="504"/>
      <c r="I45" s="504"/>
      <c r="J45" s="503"/>
      <c r="K45" s="504"/>
      <c r="L45" s="504"/>
      <c r="M45" s="504"/>
      <c r="N45" s="504"/>
    </row>
    <row r="46" spans="1:14" ht="16.5">
      <c r="A46" s="503"/>
      <c r="B46" s="505"/>
      <c r="C46" s="535"/>
      <c r="D46" s="503"/>
      <c r="E46" s="597"/>
      <c r="F46" s="503"/>
      <c r="G46" s="504"/>
      <c r="H46" s="504"/>
      <c r="I46" s="504"/>
      <c r="J46" s="503"/>
      <c r="K46" s="504"/>
      <c r="L46" s="504"/>
      <c r="M46" s="504"/>
      <c r="N46" s="504"/>
    </row>
    <row r="47" spans="1:14" ht="16.5">
      <c r="A47" s="503"/>
      <c r="B47" s="505"/>
      <c r="C47" s="535"/>
      <c r="D47" s="503"/>
      <c r="E47" s="597"/>
      <c r="F47" s="503"/>
      <c r="G47" s="504"/>
      <c r="H47" s="504"/>
      <c r="I47" s="504"/>
      <c r="J47" s="503"/>
      <c r="K47" s="504"/>
      <c r="L47" s="504"/>
      <c r="M47" s="504"/>
      <c r="N47" s="504"/>
    </row>
    <row r="48" spans="1:14" ht="16.5">
      <c r="A48" s="503"/>
      <c r="B48" s="505"/>
      <c r="C48" s="535"/>
      <c r="D48" s="503"/>
      <c r="E48" s="597"/>
      <c r="F48" s="503"/>
      <c r="G48" s="504"/>
      <c r="H48" s="504"/>
      <c r="I48" s="504"/>
      <c r="J48" s="503"/>
      <c r="K48" s="504"/>
      <c r="L48" s="504"/>
      <c r="M48" s="504"/>
      <c r="N48" s="504"/>
    </row>
    <row r="49" spans="1:14" ht="16.5">
      <c r="A49" s="503"/>
      <c r="B49" s="505"/>
      <c r="C49" s="535"/>
      <c r="D49" s="503"/>
      <c r="E49" s="597"/>
      <c r="F49" s="503"/>
      <c r="G49" s="504"/>
      <c r="H49" s="504"/>
      <c r="I49" s="504"/>
      <c r="J49" s="503"/>
      <c r="K49" s="504"/>
      <c r="L49" s="504"/>
      <c r="M49" s="504"/>
      <c r="N49" s="504"/>
    </row>
    <row r="50" spans="1:14" ht="16.5">
      <c r="A50" s="503"/>
      <c r="B50" s="505"/>
      <c r="C50" s="535"/>
      <c r="D50" s="503"/>
      <c r="E50" s="597"/>
      <c r="F50" s="503"/>
      <c r="G50" s="504"/>
      <c r="H50" s="504"/>
      <c r="I50" s="504"/>
      <c r="J50" s="503"/>
      <c r="K50" s="504"/>
      <c r="L50" s="504"/>
      <c r="M50" s="504"/>
      <c r="N50" s="504"/>
    </row>
    <row r="51" spans="1:14" ht="16.5">
      <c r="A51" s="503"/>
      <c r="B51" s="505"/>
      <c r="C51" s="535"/>
      <c r="D51" s="503"/>
      <c r="E51" s="597"/>
      <c r="F51" s="503"/>
      <c r="G51" s="504"/>
      <c r="H51" s="504"/>
      <c r="I51" s="504"/>
      <c r="J51" s="503"/>
      <c r="K51" s="504"/>
      <c r="L51" s="504"/>
      <c r="M51" s="504"/>
      <c r="N51" s="504"/>
    </row>
    <row r="52" spans="1:14" ht="16.5">
      <c r="A52" s="503"/>
      <c r="B52" s="505"/>
      <c r="C52" s="535"/>
      <c r="D52" s="503"/>
      <c r="E52" s="597"/>
      <c r="F52" s="503"/>
      <c r="G52" s="504"/>
      <c r="H52" s="504"/>
      <c r="I52" s="504"/>
      <c r="J52" s="503"/>
      <c r="K52" s="504"/>
      <c r="L52" s="504"/>
      <c r="M52" s="504"/>
      <c r="N52" s="504"/>
    </row>
    <row r="53" spans="1:14" ht="16.5">
      <c r="A53" s="503"/>
      <c r="B53" s="505"/>
      <c r="C53" s="535"/>
      <c r="D53" s="503"/>
      <c r="E53" s="597"/>
      <c r="F53" s="503"/>
      <c r="G53" s="504"/>
      <c r="H53" s="504"/>
      <c r="I53" s="504"/>
      <c r="J53" s="503"/>
      <c r="K53" s="504"/>
      <c r="L53" s="504"/>
      <c r="M53" s="504"/>
      <c r="N53" s="504"/>
    </row>
    <row r="54" spans="1:14" ht="16.5">
      <c r="A54" s="503"/>
      <c r="B54" s="505"/>
      <c r="C54" s="535"/>
      <c r="D54" s="503"/>
      <c r="E54" s="597"/>
      <c r="F54" s="503"/>
      <c r="G54" s="504"/>
      <c r="H54" s="504"/>
      <c r="I54" s="504"/>
      <c r="J54" s="503"/>
      <c r="K54" s="504"/>
      <c r="L54" s="504"/>
      <c r="M54" s="504"/>
      <c r="N54" s="504"/>
    </row>
    <row r="55" spans="1:14" ht="16.5">
      <c r="A55" s="503"/>
      <c r="B55" s="505"/>
      <c r="C55" s="535"/>
      <c r="D55" s="503"/>
      <c r="E55" s="597"/>
      <c r="F55" s="503"/>
      <c r="G55" s="504"/>
      <c r="H55" s="504"/>
      <c r="I55" s="504"/>
      <c r="J55" s="503"/>
      <c r="K55" s="504"/>
      <c r="L55" s="504"/>
      <c r="M55" s="504"/>
      <c r="N55" s="504"/>
    </row>
    <row r="56" spans="1:14" ht="16.5">
      <c r="A56" s="503"/>
      <c r="B56" s="505"/>
      <c r="C56" s="535"/>
      <c r="D56" s="503"/>
      <c r="E56" s="597"/>
      <c r="F56" s="503"/>
      <c r="G56" s="504"/>
      <c r="H56" s="504"/>
      <c r="I56" s="504"/>
      <c r="J56" s="503"/>
      <c r="K56" s="504"/>
      <c r="L56" s="504"/>
      <c r="M56" s="504"/>
      <c r="N56" s="504"/>
    </row>
    <row r="57" spans="1:14" ht="16.5">
      <c r="A57" s="503"/>
      <c r="B57" s="505"/>
      <c r="C57" s="535"/>
      <c r="D57" s="503"/>
      <c r="E57" s="597"/>
      <c r="F57" s="503"/>
      <c r="G57" s="504"/>
      <c r="H57" s="504"/>
      <c r="I57" s="504"/>
      <c r="J57" s="503"/>
      <c r="K57" s="504"/>
      <c r="L57" s="504"/>
      <c r="M57" s="504"/>
      <c r="N57" s="504"/>
    </row>
    <row r="58" spans="1:14" ht="16.5">
      <c r="A58" s="503"/>
      <c r="B58" s="505"/>
      <c r="C58" s="535"/>
      <c r="D58" s="503"/>
      <c r="E58" s="597"/>
      <c r="F58" s="503"/>
      <c r="G58" s="504"/>
      <c r="H58" s="504"/>
      <c r="I58" s="504"/>
      <c r="J58" s="503"/>
      <c r="K58" s="504"/>
      <c r="L58" s="504"/>
      <c r="M58" s="504"/>
      <c r="N58" s="504"/>
    </row>
    <row r="59" spans="1:14" ht="16.5">
      <c r="A59" s="503"/>
      <c r="B59" s="505"/>
      <c r="C59" s="535"/>
      <c r="D59" s="503"/>
      <c r="E59" s="597"/>
      <c r="F59" s="503"/>
      <c r="G59" s="504"/>
      <c r="H59" s="504"/>
      <c r="I59" s="504"/>
      <c r="J59" s="503"/>
      <c r="K59" s="504"/>
      <c r="L59" s="504"/>
      <c r="M59" s="504"/>
      <c r="N59" s="504"/>
    </row>
    <row r="60" spans="1:14" ht="16.5">
      <c r="A60" s="503"/>
      <c r="B60" s="505"/>
      <c r="C60" s="535"/>
      <c r="D60" s="503"/>
      <c r="E60" s="597"/>
      <c r="F60" s="503"/>
      <c r="G60" s="504"/>
      <c r="H60" s="504"/>
      <c r="I60" s="504"/>
      <c r="J60" s="503"/>
      <c r="K60" s="504"/>
      <c r="L60" s="504"/>
      <c r="M60" s="504"/>
      <c r="N60" s="504"/>
    </row>
    <row r="61" spans="1:14" ht="16.5">
      <c r="A61" s="503"/>
      <c r="B61" s="505"/>
      <c r="C61" s="535"/>
      <c r="D61" s="503"/>
      <c r="E61" s="597"/>
      <c r="F61" s="503"/>
      <c r="G61" s="504"/>
      <c r="H61" s="504"/>
      <c r="I61" s="504"/>
      <c r="J61" s="503"/>
      <c r="K61" s="504"/>
      <c r="L61" s="504"/>
      <c r="M61" s="504"/>
      <c r="N61" s="504"/>
    </row>
    <row r="62" spans="1:14" ht="16.5">
      <c r="A62" s="503"/>
      <c r="B62" s="505"/>
      <c r="C62" s="535"/>
      <c r="D62" s="503"/>
      <c r="E62" s="597"/>
      <c r="F62" s="503"/>
      <c r="G62" s="504"/>
      <c r="H62" s="504"/>
      <c r="I62" s="504"/>
      <c r="J62" s="503"/>
      <c r="K62" s="504"/>
      <c r="L62" s="504"/>
      <c r="M62" s="504"/>
      <c r="N62" s="504"/>
    </row>
    <row r="63" spans="1:14" ht="16.5">
      <c r="A63" s="503"/>
      <c r="B63" s="505"/>
      <c r="C63" s="535"/>
      <c r="D63" s="503"/>
      <c r="E63" s="597"/>
      <c r="F63" s="503"/>
      <c r="G63" s="504"/>
      <c r="H63" s="504"/>
      <c r="I63" s="504"/>
      <c r="J63" s="503"/>
      <c r="K63" s="504"/>
      <c r="L63" s="504"/>
      <c r="M63" s="504"/>
      <c r="N63" s="504"/>
    </row>
    <row r="64" spans="1:14" ht="16.5">
      <c r="A64" s="503"/>
      <c r="B64" s="505"/>
      <c r="C64" s="535"/>
      <c r="D64" s="503"/>
      <c r="E64" s="597"/>
      <c r="F64" s="503"/>
      <c r="G64" s="504"/>
      <c r="H64" s="504"/>
      <c r="I64" s="504"/>
      <c r="J64" s="503"/>
      <c r="K64" s="504"/>
      <c r="L64" s="504"/>
      <c r="M64" s="504"/>
      <c r="N64" s="504"/>
    </row>
    <row r="65" spans="1:14" ht="16.5">
      <c r="A65" s="503"/>
      <c r="B65" s="505"/>
      <c r="C65" s="535"/>
      <c r="D65" s="503"/>
      <c r="E65" s="597"/>
      <c r="F65" s="503"/>
      <c r="G65" s="504"/>
      <c r="H65" s="504"/>
      <c r="I65" s="504"/>
      <c r="J65" s="503"/>
      <c r="K65" s="504"/>
      <c r="L65" s="504"/>
      <c r="M65" s="504"/>
      <c r="N65" s="504"/>
    </row>
    <row r="66" spans="1:14" ht="16.5">
      <c r="A66" s="503"/>
      <c r="B66" s="505"/>
      <c r="C66" s="535"/>
      <c r="D66" s="503"/>
      <c r="E66" s="597"/>
      <c r="F66" s="503"/>
      <c r="G66" s="504"/>
      <c r="H66" s="504"/>
      <c r="I66" s="504"/>
      <c r="J66" s="503"/>
      <c r="K66" s="504"/>
      <c r="L66" s="504"/>
      <c r="M66" s="504"/>
      <c r="N66" s="504"/>
    </row>
    <row r="67" spans="1:14" ht="16.5">
      <c r="A67" s="503"/>
      <c r="B67" s="505"/>
      <c r="C67" s="535"/>
      <c r="D67" s="503"/>
      <c r="E67" s="597"/>
      <c r="F67" s="503"/>
      <c r="G67" s="504"/>
      <c r="H67" s="504"/>
      <c r="I67" s="504"/>
      <c r="J67" s="503"/>
      <c r="K67" s="504"/>
      <c r="L67" s="504"/>
      <c r="M67" s="504"/>
      <c r="N67" s="504"/>
    </row>
    <row r="68" spans="1:14" ht="16.5">
      <c r="A68" s="503"/>
      <c r="B68" s="505"/>
      <c r="C68" s="535"/>
      <c r="D68" s="503"/>
      <c r="E68" s="597"/>
      <c r="F68" s="503"/>
      <c r="G68" s="504"/>
      <c r="H68" s="504"/>
      <c r="I68" s="504"/>
      <c r="J68" s="503"/>
      <c r="K68" s="504"/>
      <c r="L68" s="504"/>
      <c r="M68" s="504"/>
      <c r="N68" s="504"/>
    </row>
    <row r="69" spans="1:14" ht="16.5">
      <c r="A69" s="503"/>
      <c r="B69" s="505"/>
      <c r="C69" s="535"/>
      <c r="D69" s="503"/>
      <c r="E69" s="597"/>
      <c r="F69" s="503"/>
      <c r="G69" s="504"/>
      <c r="H69" s="504"/>
      <c r="I69" s="504"/>
      <c r="J69" s="503"/>
      <c r="K69" s="504"/>
      <c r="L69" s="504"/>
      <c r="M69" s="504"/>
      <c r="N69" s="504"/>
    </row>
    <row r="70" spans="1:14" ht="16.5">
      <c r="A70" s="503"/>
      <c r="B70" s="505"/>
      <c r="C70" s="535"/>
      <c r="D70" s="503"/>
      <c r="E70" s="597"/>
      <c r="F70" s="503"/>
      <c r="G70" s="504"/>
      <c r="H70" s="504"/>
      <c r="I70" s="504"/>
      <c r="J70" s="503"/>
      <c r="K70" s="504"/>
      <c r="L70" s="504"/>
      <c r="M70" s="504"/>
      <c r="N70" s="504"/>
    </row>
    <row r="71" spans="1:14" ht="16.5">
      <c r="A71" s="503"/>
      <c r="B71" s="505"/>
      <c r="C71" s="535"/>
      <c r="D71" s="503"/>
      <c r="E71" s="597"/>
      <c r="F71" s="503"/>
      <c r="G71" s="504"/>
      <c r="H71" s="504"/>
      <c r="I71" s="504"/>
      <c r="J71" s="503"/>
      <c r="K71" s="504"/>
      <c r="L71" s="504"/>
      <c r="M71" s="504"/>
      <c r="N71" s="504"/>
    </row>
    <row r="72" spans="1:14" ht="16.5">
      <c r="A72" s="503"/>
      <c r="B72" s="505"/>
      <c r="C72" s="535"/>
      <c r="D72" s="503"/>
      <c r="E72" s="597"/>
      <c r="F72" s="503"/>
      <c r="G72" s="504"/>
      <c r="H72" s="504"/>
      <c r="I72" s="504"/>
      <c r="J72" s="503"/>
      <c r="K72" s="504"/>
      <c r="L72" s="504"/>
      <c r="M72" s="504"/>
      <c r="N72" s="504"/>
    </row>
    <row r="73" spans="1:14" ht="16.5">
      <c r="A73" s="503"/>
      <c r="B73" s="505"/>
      <c r="C73" s="535"/>
      <c r="D73" s="503"/>
      <c r="E73" s="597"/>
      <c r="F73" s="503"/>
      <c r="G73" s="504"/>
      <c r="H73" s="504"/>
      <c r="I73" s="504"/>
      <c r="J73" s="503"/>
      <c r="K73" s="504"/>
      <c r="L73" s="504"/>
      <c r="M73" s="504"/>
      <c r="N73" s="504"/>
    </row>
    <row r="74" spans="1:14" ht="16.5">
      <c r="A74" s="503"/>
      <c r="B74" s="505"/>
      <c r="C74" s="535"/>
      <c r="D74" s="503"/>
      <c r="E74" s="597"/>
      <c r="F74" s="503"/>
      <c r="G74" s="504"/>
      <c r="H74" s="504"/>
      <c r="I74" s="504"/>
      <c r="J74" s="503"/>
      <c r="K74" s="504"/>
      <c r="L74" s="504"/>
      <c r="M74" s="504"/>
      <c r="N74" s="504"/>
    </row>
    <row r="75" spans="1:14" ht="16.5">
      <c r="A75" s="503"/>
      <c r="B75" s="505"/>
      <c r="C75" s="535"/>
      <c r="D75" s="503"/>
      <c r="E75" s="597"/>
      <c r="F75" s="503"/>
      <c r="G75" s="504"/>
      <c r="H75" s="504"/>
      <c r="I75" s="504"/>
      <c r="J75" s="503"/>
      <c r="K75" s="504"/>
      <c r="L75" s="504"/>
      <c r="M75" s="504"/>
      <c r="N75" s="504"/>
    </row>
    <row r="76" spans="1:14" ht="16.5">
      <c r="A76" s="503"/>
      <c r="B76" s="505"/>
      <c r="C76" s="535"/>
      <c r="D76" s="503"/>
      <c r="E76" s="597"/>
      <c r="F76" s="503"/>
      <c r="G76" s="504"/>
      <c r="H76" s="504"/>
      <c r="I76" s="504"/>
      <c r="J76" s="503"/>
      <c r="K76" s="504"/>
      <c r="L76" s="504"/>
      <c r="M76" s="504"/>
      <c r="N76" s="504"/>
    </row>
    <row r="77" spans="1:14" ht="16.5">
      <c r="A77" s="503"/>
      <c r="B77" s="505"/>
      <c r="C77" s="535"/>
      <c r="D77" s="503"/>
      <c r="E77" s="597"/>
      <c r="F77" s="503"/>
      <c r="G77" s="504"/>
      <c r="H77" s="504"/>
      <c r="I77" s="504"/>
      <c r="J77" s="503"/>
      <c r="K77" s="504"/>
      <c r="L77" s="504"/>
      <c r="M77" s="504"/>
      <c r="N77" s="504"/>
    </row>
    <row r="78" spans="1:14" ht="16.5">
      <c r="A78" s="503"/>
      <c r="B78" s="505"/>
      <c r="C78" s="535"/>
      <c r="D78" s="503"/>
      <c r="E78" s="597"/>
      <c r="F78" s="503"/>
      <c r="G78" s="504"/>
      <c r="H78" s="504"/>
      <c r="I78" s="504"/>
      <c r="J78" s="503"/>
      <c r="K78" s="504"/>
      <c r="L78" s="504"/>
      <c r="M78" s="504"/>
      <c r="N78" s="504"/>
    </row>
    <row r="79" spans="1:14" ht="16.5">
      <c r="A79" s="503"/>
      <c r="B79" s="505"/>
      <c r="C79" s="535"/>
      <c r="D79" s="503"/>
      <c r="E79" s="597"/>
      <c r="F79" s="503"/>
      <c r="G79" s="504"/>
      <c r="H79" s="504"/>
      <c r="I79" s="504"/>
      <c r="J79" s="503"/>
      <c r="K79" s="504"/>
      <c r="L79" s="504"/>
      <c r="M79" s="504"/>
      <c r="N79" s="504"/>
    </row>
    <row r="80" spans="1:14" ht="16.5">
      <c r="A80" s="503"/>
      <c r="B80" s="505"/>
      <c r="C80" s="535"/>
      <c r="D80" s="503"/>
      <c r="E80" s="597"/>
      <c r="F80" s="503"/>
      <c r="G80" s="504"/>
      <c r="H80" s="504"/>
      <c r="I80" s="504"/>
      <c r="J80" s="503"/>
      <c r="K80" s="504"/>
      <c r="L80" s="504"/>
      <c r="M80" s="504"/>
      <c r="N80" s="504"/>
    </row>
    <row r="81" spans="1:14" ht="16.5">
      <c r="A81" s="503"/>
      <c r="B81" s="505"/>
      <c r="C81" s="535"/>
      <c r="D81" s="503"/>
      <c r="E81" s="597"/>
      <c r="F81" s="503"/>
      <c r="G81" s="504"/>
      <c r="H81" s="504"/>
      <c r="I81" s="504"/>
      <c r="J81" s="503"/>
      <c r="K81" s="504"/>
      <c r="L81" s="504"/>
      <c r="M81" s="504"/>
      <c r="N81" s="504"/>
    </row>
    <row r="82" spans="1:14" ht="16.5">
      <c r="A82" s="503"/>
      <c r="B82" s="505"/>
      <c r="C82" s="535"/>
      <c r="D82" s="503"/>
      <c r="E82" s="597"/>
      <c r="F82" s="503"/>
      <c r="G82" s="504"/>
      <c r="H82" s="504"/>
      <c r="I82" s="504"/>
      <c r="J82" s="503"/>
      <c r="K82" s="504"/>
      <c r="L82" s="504"/>
      <c r="M82" s="504"/>
      <c r="N82" s="504"/>
    </row>
    <row r="83" spans="1:14" ht="16.5">
      <c r="A83" s="503"/>
      <c r="B83" s="505"/>
      <c r="C83" s="535"/>
      <c r="D83" s="503"/>
      <c r="E83" s="597"/>
      <c r="F83" s="503"/>
      <c r="G83" s="504"/>
      <c r="H83" s="504"/>
      <c r="I83" s="504"/>
      <c r="J83" s="503"/>
      <c r="K83" s="504"/>
      <c r="L83" s="504"/>
      <c r="M83" s="504"/>
      <c r="N83" s="504"/>
    </row>
    <row r="84" spans="1:14" ht="16.5">
      <c r="A84" s="503"/>
      <c r="B84" s="505"/>
      <c r="C84" s="535"/>
      <c r="D84" s="503"/>
      <c r="E84" s="597"/>
      <c r="F84" s="503"/>
      <c r="G84" s="504"/>
      <c r="H84" s="504"/>
      <c r="I84" s="504"/>
      <c r="J84" s="503"/>
      <c r="K84" s="504"/>
      <c r="L84" s="504"/>
      <c r="M84" s="504"/>
      <c r="N84" s="504"/>
    </row>
    <row r="85" spans="1:14" ht="16.5">
      <c r="A85" s="503"/>
      <c r="B85" s="505"/>
      <c r="C85" s="535"/>
      <c r="D85" s="503"/>
      <c r="E85" s="597"/>
      <c r="F85" s="503"/>
      <c r="G85" s="504"/>
      <c r="H85" s="504"/>
      <c r="I85" s="504"/>
      <c r="J85" s="503"/>
      <c r="K85" s="504"/>
      <c r="L85" s="504"/>
      <c r="M85" s="504"/>
      <c r="N85" s="504"/>
    </row>
    <row r="86" spans="1:14" ht="16.5">
      <c r="A86" s="503"/>
      <c r="B86" s="505"/>
      <c r="C86" s="535"/>
      <c r="D86" s="503"/>
      <c r="E86" s="597"/>
      <c r="F86" s="503"/>
      <c r="G86" s="504"/>
      <c r="H86" s="504"/>
      <c r="I86" s="504"/>
      <c r="J86" s="503"/>
      <c r="K86" s="504"/>
      <c r="L86" s="504"/>
      <c r="M86" s="504"/>
      <c r="N86" s="504"/>
    </row>
    <row r="87" spans="1:14" ht="16.5">
      <c r="A87" s="503"/>
      <c r="B87" s="505"/>
      <c r="C87" s="535"/>
      <c r="D87" s="503"/>
      <c r="E87" s="597"/>
      <c r="F87" s="503"/>
      <c r="G87" s="504"/>
      <c r="H87" s="504"/>
      <c r="I87" s="504"/>
      <c r="J87" s="503"/>
      <c r="K87" s="504"/>
      <c r="L87" s="504"/>
      <c r="M87" s="504"/>
      <c r="N87" s="504"/>
    </row>
    <row r="88" spans="1:14" ht="16.5">
      <c r="A88" s="503"/>
      <c r="B88" s="505"/>
      <c r="C88" s="535"/>
      <c r="D88" s="503"/>
      <c r="E88" s="597"/>
      <c r="F88" s="503"/>
      <c r="G88" s="504"/>
      <c r="H88" s="504"/>
      <c r="I88" s="504"/>
      <c r="J88" s="503"/>
      <c r="K88" s="504"/>
      <c r="L88" s="504"/>
      <c r="M88" s="504"/>
      <c r="N88" s="504"/>
    </row>
    <row r="89" spans="1:14" ht="16.5">
      <c r="A89" s="503"/>
      <c r="B89" s="505"/>
      <c r="C89" s="535"/>
      <c r="D89" s="503"/>
      <c r="E89" s="597"/>
      <c r="F89" s="503"/>
      <c r="G89" s="504"/>
      <c r="H89" s="504"/>
      <c r="I89" s="504"/>
      <c r="J89" s="503"/>
      <c r="K89" s="504"/>
      <c r="L89" s="504"/>
      <c r="M89" s="504"/>
      <c r="N89" s="504"/>
    </row>
    <row r="90" spans="1:14" ht="16.5">
      <c r="A90" s="503"/>
      <c r="B90" s="505"/>
      <c r="C90" s="535"/>
      <c r="D90" s="503"/>
      <c r="E90" s="597"/>
      <c r="F90" s="503"/>
      <c r="G90" s="504"/>
      <c r="H90" s="504"/>
      <c r="I90" s="504"/>
      <c r="J90" s="503"/>
      <c r="K90" s="504"/>
      <c r="L90" s="504"/>
      <c r="M90" s="504"/>
      <c r="N90" s="504"/>
    </row>
    <row r="91" spans="1:14" ht="16.5">
      <c r="A91" s="503"/>
      <c r="B91" s="505"/>
      <c r="C91" s="535"/>
      <c r="D91" s="503"/>
      <c r="E91" s="597"/>
      <c r="F91" s="503"/>
      <c r="G91" s="504"/>
      <c r="H91" s="504"/>
      <c r="I91" s="504"/>
      <c r="J91" s="503"/>
      <c r="K91" s="504"/>
      <c r="L91" s="504"/>
      <c r="M91" s="504"/>
      <c r="N91" s="504"/>
    </row>
    <row r="92" spans="1:14" ht="16.5">
      <c r="A92" s="503"/>
      <c r="B92" s="505"/>
      <c r="C92" s="535"/>
      <c r="D92" s="503"/>
      <c r="E92" s="597"/>
      <c r="F92" s="503"/>
      <c r="G92" s="504"/>
      <c r="H92" s="504"/>
      <c r="I92" s="504"/>
      <c r="J92" s="503"/>
      <c r="K92" s="504"/>
      <c r="L92" s="504"/>
      <c r="M92" s="504"/>
      <c r="N92" s="504"/>
    </row>
    <row r="93" spans="1:14" ht="16.5">
      <c r="A93" s="503"/>
      <c r="B93" s="505"/>
      <c r="C93" s="535"/>
      <c r="D93" s="503"/>
      <c r="E93" s="597"/>
      <c r="F93" s="503"/>
      <c r="G93" s="504"/>
      <c r="H93" s="504"/>
      <c r="I93" s="504"/>
      <c r="J93" s="503"/>
      <c r="K93" s="504"/>
      <c r="L93" s="504"/>
      <c r="M93" s="504"/>
      <c r="N93" s="504"/>
    </row>
    <row r="94" spans="1:14" ht="16.5">
      <c r="A94" s="503"/>
      <c r="B94" s="505"/>
      <c r="C94" s="535"/>
      <c r="D94" s="503"/>
      <c r="E94" s="597"/>
      <c r="F94" s="503"/>
      <c r="G94" s="504"/>
      <c r="H94" s="504"/>
      <c r="I94" s="504"/>
      <c r="J94" s="503"/>
      <c r="K94" s="504"/>
      <c r="L94" s="504"/>
      <c r="M94" s="504"/>
      <c r="N94" s="504"/>
    </row>
    <row r="95" spans="1:14" ht="16.5">
      <c r="A95" s="503"/>
      <c r="B95" s="505"/>
      <c r="C95" s="535"/>
      <c r="D95" s="503"/>
      <c r="E95" s="597"/>
      <c r="F95" s="503"/>
      <c r="G95" s="504"/>
      <c r="H95" s="504"/>
      <c r="I95" s="504"/>
      <c r="J95" s="503"/>
      <c r="K95" s="504"/>
      <c r="L95" s="504"/>
      <c r="M95" s="504"/>
      <c r="N95" s="504"/>
    </row>
    <row r="96" spans="1:14" ht="16.5">
      <c r="A96" s="503"/>
      <c r="B96" s="505"/>
      <c r="C96" s="535"/>
      <c r="D96" s="503"/>
      <c r="E96" s="597"/>
      <c r="F96" s="503"/>
      <c r="G96" s="504"/>
      <c r="H96" s="504"/>
      <c r="I96" s="504"/>
      <c r="J96" s="503"/>
      <c r="K96" s="504"/>
      <c r="L96" s="504"/>
      <c r="M96" s="504"/>
      <c r="N96" s="504"/>
    </row>
    <row r="97" spans="1:14" ht="16.5">
      <c r="A97" s="503"/>
      <c r="B97" s="505"/>
      <c r="C97" s="535"/>
      <c r="D97" s="503"/>
      <c r="E97" s="597"/>
      <c r="F97" s="503"/>
      <c r="G97" s="504"/>
      <c r="H97" s="504"/>
      <c r="I97" s="504"/>
      <c r="J97" s="503"/>
      <c r="K97" s="504"/>
      <c r="L97" s="504"/>
      <c r="M97" s="504"/>
      <c r="N97" s="504"/>
    </row>
    <row r="98" spans="1:14" ht="16.5">
      <c r="A98" s="503"/>
      <c r="B98" s="505"/>
      <c r="C98" s="535"/>
      <c r="D98" s="503"/>
      <c r="E98" s="597"/>
      <c r="F98" s="503"/>
      <c r="G98" s="504"/>
      <c r="H98" s="504"/>
      <c r="I98" s="504"/>
      <c r="J98" s="503"/>
      <c r="K98" s="504"/>
      <c r="L98" s="504"/>
      <c r="M98" s="504"/>
      <c r="N98" s="504"/>
    </row>
    <row r="99" spans="1:14" ht="16.5">
      <c r="A99" s="503"/>
      <c r="B99" s="505"/>
      <c r="C99" s="535"/>
      <c r="D99" s="503"/>
      <c r="E99" s="597"/>
      <c r="F99" s="503"/>
      <c r="G99" s="504"/>
      <c r="H99" s="504"/>
      <c r="I99" s="504"/>
      <c r="J99" s="503"/>
      <c r="K99" s="504"/>
      <c r="L99" s="504"/>
      <c r="M99" s="504"/>
      <c r="N99" s="504"/>
    </row>
    <row r="100" spans="1:14" ht="16.5">
      <c r="A100" s="503"/>
      <c r="B100" s="505"/>
      <c r="C100" s="535"/>
      <c r="D100" s="503"/>
      <c r="E100" s="597"/>
      <c r="F100" s="503"/>
      <c r="G100" s="504"/>
      <c r="H100" s="504"/>
      <c r="I100" s="504"/>
      <c r="J100" s="503"/>
      <c r="K100" s="504"/>
      <c r="L100" s="504"/>
      <c r="M100" s="504"/>
      <c r="N100" s="504"/>
    </row>
    <row r="101" spans="1:14" ht="16.5">
      <c r="A101" s="503"/>
      <c r="B101" s="505"/>
      <c r="C101" s="535"/>
      <c r="D101" s="503"/>
      <c r="E101" s="597"/>
      <c r="F101" s="503"/>
      <c r="G101" s="504"/>
      <c r="H101" s="504"/>
      <c r="I101" s="504"/>
      <c r="J101" s="503"/>
      <c r="K101" s="504"/>
      <c r="L101" s="504"/>
      <c r="M101" s="504"/>
      <c r="N101" s="504"/>
    </row>
    <row r="102" spans="1:14" ht="16.5">
      <c r="A102" s="503"/>
      <c r="B102" s="505"/>
      <c r="C102" s="535"/>
      <c r="D102" s="503"/>
      <c r="E102" s="597"/>
      <c r="F102" s="503"/>
      <c r="G102" s="504"/>
      <c r="H102" s="504"/>
      <c r="I102" s="504"/>
      <c r="J102" s="503"/>
      <c r="K102" s="504"/>
      <c r="L102" s="504"/>
      <c r="M102" s="504"/>
      <c r="N102" s="504"/>
    </row>
    <row r="103" spans="1:14" ht="16.5">
      <c r="A103" s="503"/>
      <c r="B103" s="505"/>
      <c r="C103" s="535"/>
      <c r="D103" s="503"/>
      <c r="E103" s="597"/>
      <c r="F103" s="503"/>
      <c r="G103" s="504"/>
      <c r="H103" s="504"/>
      <c r="I103" s="504"/>
      <c r="J103" s="503"/>
      <c r="K103" s="504"/>
      <c r="L103" s="504"/>
      <c r="M103" s="504"/>
      <c r="N103" s="504"/>
    </row>
    <row r="104" spans="1:14" ht="16.5">
      <c r="A104" s="503"/>
      <c r="B104" s="505"/>
      <c r="C104" s="535"/>
      <c r="D104" s="503"/>
      <c r="E104" s="597"/>
      <c r="F104" s="503"/>
      <c r="G104" s="504"/>
      <c r="H104" s="504"/>
      <c r="I104" s="504"/>
      <c r="J104" s="503"/>
      <c r="K104" s="504"/>
      <c r="L104" s="504"/>
      <c r="M104" s="504"/>
      <c r="N104" s="504"/>
    </row>
    <row r="105" spans="1:14" ht="16.5">
      <c r="A105" s="503"/>
      <c r="B105" s="505"/>
      <c r="C105" s="535"/>
      <c r="D105" s="503"/>
      <c r="E105" s="597"/>
      <c r="F105" s="503"/>
      <c r="G105" s="504"/>
      <c r="H105" s="504"/>
      <c r="I105" s="504"/>
      <c r="J105" s="503"/>
      <c r="K105" s="504"/>
      <c r="L105" s="504"/>
      <c r="M105" s="504"/>
      <c r="N105" s="504"/>
    </row>
    <row r="106" spans="1:14" ht="16.5">
      <c r="A106" s="503"/>
      <c r="B106" s="505"/>
      <c r="C106" s="535"/>
      <c r="D106" s="503"/>
      <c r="E106" s="597"/>
      <c r="F106" s="503"/>
      <c r="G106" s="504"/>
      <c r="H106" s="504"/>
      <c r="I106" s="504"/>
      <c r="J106" s="503"/>
      <c r="K106" s="504"/>
      <c r="L106" s="504"/>
      <c r="M106" s="504"/>
      <c r="N106" s="504"/>
    </row>
    <row r="107" spans="1:14" ht="16.5">
      <c r="A107" s="503"/>
      <c r="B107" s="505"/>
      <c r="C107" s="535"/>
      <c r="D107" s="503"/>
      <c r="E107" s="597"/>
      <c r="F107" s="503"/>
      <c r="G107" s="504"/>
      <c r="H107" s="504"/>
      <c r="I107" s="504"/>
      <c r="J107" s="503"/>
      <c r="K107" s="504"/>
      <c r="L107" s="504"/>
      <c r="M107" s="504"/>
      <c r="N107" s="504"/>
    </row>
    <row r="108" spans="1:14" ht="16.5">
      <c r="A108" s="503"/>
      <c r="B108" s="505"/>
      <c r="C108" s="535"/>
      <c r="D108" s="503"/>
      <c r="E108" s="597"/>
      <c r="F108" s="503"/>
      <c r="G108" s="504"/>
      <c r="H108" s="504"/>
      <c r="I108" s="504"/>
      <c r="J108" s="503"/>
      <c r="K108" s="504"/>
      <c r="L108" s="504"/>
      <c r="M108" s="504"/>
      <c r="N108" s="504"/>
    </row>
    <row r="109" spans="1:14" ht="16.5">
      <c r="A109" s="503"/>
      <c r="B109" s="505"/>
      <c r="C109" s="535"/>
      <c r="D109" s="503"/>
      <c r="E109" s="597"/>
      <c r="F109" s="503"/>
      <c r="G109" s="504"/>
      <c r="H109" s="504"/>
      <c r="I109" s="504"/>
      <c r="J109" s="503"/>
      <c r="K109" s="504"/>
      <c r="L109" s="504"/>
      <c r="M109" s="504"/>
      <c r="N109" s="504"/>
    </row>
    <row r="110" spans="1:14" ht="16.5">
      <c r="A110" s="503"/>
      <c r="B110" s="505"/>
      <c r="C110" s="535"/>
      <c r="D110" s="503"/>
      <c r="E110" s="597"/>
      <c r="F110" s="503"/>
      <c r="G110" s="504"/>
      <c r="H110" s="504"/>
      <c r="I110" s="504"/>
      <c r="J110" s="503"/>
      <c r="K110" s="504"/>
      <c r="L110" s="504"/>
      <c r="M110" s="504"/>
      <c r="N110" s="504"/>
    </row>
    <row r="111" spans="1:14" ht="16.5">
      <c r="A111" s="503"/>
      <c r="B111" s="505"/>
      <c r="C111" s="535"/>
      <c r="D111" s="503"/>
      <c r="E111" s="597"/>
      <c r="F111" s="503"/>
      <c r="G111" s="504"/>
      <c r="H111" s="504"/>
      <c r="I111" s="504"/>
      <c r="J111" s="503"/>
      <c r="K111" s="504"/>
      <c r="L111" s="504"/>
      <c r="M111" s="504"/>
      <c r="N111" s="504"/>
    </row>
    <row r="112" spans="1:14" ht="16.5">
      <c r="A112" s="503"/>
      <c r="B112" s="505"/>
      <c r="C112" s="535"/>
      <c r="D112" s="503"/>
      <c r="E112" s="597"/>
      <c r="F112" s="503"/>
      <c r="G112" s="504"/>
      <c r="H112" s="504"/>
      <c r="I112" s="504"/>
      <c r="J112" s="503"/>
      <c r="K112" s="504"/>
      <c r="L112" s="504"/>
      <c r="M112" s="504"/>
      <c r="N112" s="504"/>
    </row>
    <row r="113" spans="1:14" ht="16.5">
      <c r="A113" s="503"/>
      <c r="B113" s="505"/>
      <c r="C113" s="535"/>
      <c r="D113" s="503"/>
      <c r="E113" s="597"/>
      <c r="F113" s="503"/>
      <c r="G113" s="504"/>
      <c r="H113" s="504"/>
      <c r="I113" s="504"/>
      <c r="J113" s="503"/>
      <c r="K113" s="504"/>
      <c r="L113" s="504"/>
      <c r="M113" s="504"/>
      <c r="N113" s="504"/>
    </row>
    <row r="114" spans="1:14" ht="16.5">
      <c r="A114" s="503"/>
      <c r="B114" s="505"/>
      <c r="C114" s="535"/>
      <c r="D114" s="503"/>
      <c r="E114" s="597"/>
      <c r="F114" s="503"/>
      <c r="G114" s="504"/>
      <c r="H114" s="504"/>
      <c r="I114" s="504"/>
      <c r="J114" s="503"/>
      <c r="K114" s="504"/>
      <c r="L114" s="504"/>
      <c r="M114" s="504"/>
      <c r="N114" s="504"/>
    </row>
    <row r="115" spans="1:14" ht="16.5">
      <c r="A115" s="503"/>
      <c r="B115" s="505"/>
      <c r="C115" s="535"/>
      <c r="D115" s="503"/>
      <c r="E115" s="597"/>
      <c r="F115" s="503"/>
      <c r="G115" s="504"/>
      <c r="H115" s="504"/>
      <c r="I115" s="504"/>
      <c r="J115" s="503"/>
      <c r="K115" s="504"/>
      <c r="L115" s="504"/>
      <c r="M115" s="504"/>
      <c r="N115" s="504"/>
    </row>
    <row r="116" spans="1:14" ht="16.5">
      <c r="A116" s="503"/>
      <c r="B116" s="505"/>
      <c r="C116" s="535"/>
      <c r="D116" s="503"/>
      <c r="E116" s="597"/>
      <c r="F116" s="503"/>
      <c r="G116" s="504"/>
      <c r="H116" s="504"/>
      <c r="I116" s="504"/>
      <c r="J116" s="503"/>
      <c r="K116" s="504"/>
      <c r="L116" s="504"/>
      <c r="M116" s="504"/>
      <c r="N116" s="504"/>
    </row>
    <row r="117" spans="1:14" ht="16.5">
      <c r="A117" s="503"/>
      <c r="B117" s="505"/>
      <c r="C117" s="535"/>
      <c r="D117" s="503"/>
      <c r="E117" s="597"/>
      <c r="F117" s="503"/>
      <c r="G117" s="504"/>
      <c r="H117" s="504"/>
      <c r="I117" s="504"/>
      <c r="J117" s="503"/>
      <c r="K117" s="504"/>
      <c r="L117" s="504"/>
      <c r="M117" s="504"/>
      <c r="N117" s="504"/>
    </row>
    <row r="118" spans="1:14" ht="16.5">
      <c r="A118" s="503"/>
      <c r="B118" s="505"/>
      <c r="C118" s="535"/>
      <c r="D118" s="503"/>
      <c r="E118" s="597"/>
      <c r="F118" s="503"/>
      <c r="G118" s="504"/>
      <c r="H118" s="504"/>
      <c r="I118" s="504"/>
      <c r="J118" s="503"/>
      <c r="K118" s="504"/>
      <c r="L118" s="504"/>
      <c r="M118" s="504"/>
      <c r="N118" s="504"/>
    </row>
    <row r="119" spans="1:14" ht="16.5">
      <c r="A119" s="503"/>
      <c r="B119" s="505"/>
      <c r="C119" s="535"/>
      <c r="D119" s="503"/>
      <c r="E119" s="597"/>
      <c r="F119" s="503"/>
      <c r="G119" s="504"/>
      <c r="H119" s="504"/>
      <c r="I119" s="504"/>
      <c r="J119" s="503"/>
      <c r="K119" s="504"/>
      <c r="L119" s="504"/>
      <c r="M119" s="504"/>
      <c r="N119" s="504"/>
    </row>
    <row r="120" spans="1:14" ht="16.5">
      <c r="A120" s="503"/>
      <c r="B120" s="505"/>
      <c r="C120" s="535"/>
      <c r="D120" s="503"/>
      <c r="E120" s="597"/>
      <c r="F120" s="503"/>
      <c r="G120" s="504"/>
      <c r="H120" s="504"/>
      <c r="I120" s="504"/>
      <c r="J120" s="503"/>
      <c r="K120" s="504"/>
      <c r="L120" s="504"/>
      <c r="M120" s="504"/>
      <c r="N120" s="504"/>
    </row>
    <row r="121" spans="1:14" ht="16.5">
      <c r="A121" s="503"/>
      <c r="B121" s="505"/>
      <c r="C121" s="535"/>
      <c r="D121" s="503"/>
      <c r="E121" s="597"/>
      <c r="F121" s="503"/>
      <c r="G121" s="504"/>
      <c r="H121" s="504"/>
      <c r="I121" s="504"/>
      <c r="J121" s="503"/>
      <c r="K121" s="504"/>
      <c r="L121" s="504"/>
      <c r="M121" s="504"/>
      <c r="N121" s="504"/>
    </row>
    <row r="122" spans="1:14" ht="16.5">
      <c r="A122" s="503"/>
      <c r="B122" s="505"/>
      <c r="C122" s="535"/>
      <c r="D122" s="503"/>
      <c r="E122" s="597"/>
      <c r="F122" s="503"/>
      <c r="G122" s="504"/>
      <c r="H122" s="504"/>
      <c r="I122" s="504"/>
      <c r="J122" s="503"/>
      <c r="K122" s="504"/>
      <c r="L122" s="504"/>
      <c r="M122" s="504"/>
      <c r="N122" s="504"/>
    </row>
    <row r="123" spans="1:14" ht="16.5">
      <c r="A123" s="503"/>
      <c r="B123" s="505"/>
      <c r="C123" s="535"/>
      <c r="D123" s="503"/>
      <c r="E123" s="597"/>
      <c r="F123" s="503"/>
      <c r="G123" s="504"/>
      <c r="H123" s="504"/>
      <c r="I123" s="504"/>
      <c r="J123" s="503"/>
      <c r="K123" s="504"/>
      <c r="L123" s="504"/>
      <c r="M123" s="504"/>
      <c r="N123" s="504"/>
    </row>
    <row r="124" spans="1:14" ht="16.5">
      <c r="A124" s="503"/>
      <c r="B124" s="505"/>
      <c r="C124" s="535"/>
      <c r="D124" s="503"/>
      <c r="E124" s="597"/>
      <c r="F124" s="503"/>
      <c r="G124" s="504"/>
      <c r="H124" s="504"/>
      <c r="I124" s="504"/>
      <c r="J124" s="503"/>
      <c r="K124" s="504"/>
      <c r="L124" s="504"/>
      <c r="M124" s="504"/>
      <c r="N124" s="504"/>
    </row>
    <row r="125" spans="1:14" ht="16.5">
      <c r="A125" s="503"/>
      <c r="B125" s="505"/>
      <c r="C125" s="535"/>
      <c r="D125" s="503"/>
      <c r="E125" s="597"/>
      <c r="F125" s="503"/>
      <c r="G125" s="504"/>
      <c r="H125" s="504"/>
      <c r="I125" s="504"/>
      <c r="J125" s="503"/>
      <c r="K125" s="504"/>
      <c r="L125" s="504"/>
      <c r="M125" s="504"/>
      <c r="N125" s="504"/>
    </row>
    <row r="126" spans="1:14" ht="16.5">
      <c r="A126" s="503"/>
      <c r="B126" s="505"/>
      <c r="C126" s="535"/>
      <c r="D126" s="503"/>
      <c r="E126" s="597"/>
      <c r="F126" s="503"/>
      <c r="G126" s="504"/>
      <c r="H126" s="504"/>
      <c r="I126" s="504"/>
      <c r="J126" s="503"/>
      <c r="K126" s="504"/>
      <c r="L126" s="504"/>
      <c r="M126" s="504"/>
      <c r="N126" s="504"/>
    </row>
    <row r="127" spans="1:14" ht="16.5">
      <c r="A127" s="503"/>
      <c r="B127" s="505"/>
      <c r="C127" s="535"/>
      <c r="D127" s="503"/>
      <c r="E127" s="597"/>
      <c r="F127" s="503"/>
      <c r="G127" s="504"/>
      <c r="H127" s="504"/>
      <c r="I127" s="504"/>
      <c r="J127" s="503"/>
      <c r="K127" s="504"/>
      <c r="L127" s="504"/>
      <c r="M127" s="504"/>
      <c r="N127" s="504"/>
    </row>
    <row r="128" spans="1:14" ht="16.5">
      <c r="A128" s="503"/>
      <c r="B128" s="505"/>
      <c r="C128" s="535"/>
      <c r="D128" s="503"/>
      <c r="E128" s="597"/>
      <c r="F128" s="503"/>
      <c r="G128" s="504"/>
      <c r="H128" s="504"/>
      <c r="I128" s="504"/>
      <c r="J128" s="503"/>
      <c r="K128" s="504"/>
      <c r="L128" s="504"/>
      <c r="M128" s="504"/>
      <c r="N128" s="504"/>
    </row>
    <row r="129" spans="1:14" ht="16.5">
      <c r="A129" s="503"/>
      <c r="B129" s="505"/>
      <c r="C129" s="535"/>
      <c r="D129" s="503"/>
      <c r="E129" s="597"/>
      <c r="F129" s="503"/>
      <c r="G129" s="504"/>
      <c r="H129" s="504"/>
      <c r="I129" s="504"/>
      <c r="J129" s="503"/>
      <c r="K129" s="504"/>
      <c r="L129" s="504"/>
      <c r="M129" s="504"/>
      <c r="N129" s="504"/>
    </row>
    <row r="130" spans="1:14" ht="16.5">
      <c r="A130" s="503"/>
      <c r="B130" s="505"/>
      <c r="C130" s="535"/>
      <c r="D130" s="503"/>
      <c r="E130" s="597"/>
      <c r="F130" s="503"/>
      <c r="G130" s="504"/>
      <c r="H130" s="504"/>
      <c r="I130" s="504"/>
      <c r="J130" s="503"/>
      <c r="K130" s="504"/>
      <c r="L130" s="504"/>
      <c r="M130" s="504"/>
      <c r="N130" s="504"/>
    </row>
    <row r="131" spans="1:14" ht="16.5">
      <c r="A131" s="503"/>
      <c r="B131" s="505"/>
      <c r="C131" s="535"/>
      <c r="D131" s="503"/>
      <c r="E131" s="597"/>
      <c r="F131" s="503"/>
      <c r="G131" s="504"/>
      <c r="H131" s="504"/>
      <c r="I131" s="504"/>
      <c r="J131" s="503"/>
      <c r="K131" s="504"/>
      <c r="L131" s="504"/>
      <c r="M131" s="504"/>
      <c r="N131" s="504"/>
    </row>
    <row r="132" spans="1:14" ht="16.5">
      <c r="A132" s="503"/>
      <c r="B132" s="505"/>
      <c r="C132" s="535"/>
      <c r="D132" s="503"/>
      <c r="E132" s="597"/>
      <c r="F132" s="503"/>
      <c r="G132" s="504"/>
      <c r="H132" s="504"/>
      <c r="I132" s="504"/>
      <c r="J132" s="503"/>
      <c r="K132" s="504"/>
      <c r="L132" s="504"/>
      <c r="M132" s="504"/>
      <c r="N132" s="504"/>
    </row>
    <row r="133" spans="1:14" ht="16.5">
      <c r="A133" s="503"/>
      <c r="B133" s="505"/>
      <c r="C133" s="535"/>
      <c r="D133" s="503"/>
      <c r="E133" s="597"/>
      <c r="F133" s="503"/>
      <c r="G133" s="504"/>
      <c r="H133" s="504"/>
      <c r="I133" s="504"/>
      <c r="J133" s="503"/>
      <c r="K133" s="504"/>
      <c r="L133" s="504"/>
      <c r="M133" s="504"/>
      <c r="N133" s="504"/>
    </row>
    <row r="134" spans="1:14" ht="16.5">
      <c r="A134" s="503"/>
      <c r="B134" s="505"/>
      <c r="C134" s="535"/>
      <c r="D134" s="503"/>
      <c r="E134" s="597"/>
      <c r="F134" s="503"/>
      <c r="G134" s="504"/>
      <c r="H134" s="504"/>
      <c r="I134" s="504"/>
      <c r="J134" s="503"/>
      <c r="K134" s="504"/>
      <c r="L134" s="504"/>
      <c r="M134" s="504"/>
      <c r="N134" s="504"/>
    </row>
    <row r="135" spans="1:14" ht="16.5">
      <c r="A135" s="503"/>
      <c r="B135" s="505"/>
      <c r="C135" s="535"/>
      <c r="D135" s="503"/>
      <c r="E135" s="597"/>
      <c r="F135" s="503"/>
      <c r="G135" s="504"/>
      <c r="H135" s="504"/>
      <c r="I135" s="504"/>
      <c r="J135" s="503"/>
      <c r="K135" s="504"/>
      <c r="L135" s="504"/>
      <c r="M135" s="504"/>
      <c r="N135" s="504"/>
    </row>
    <row r="136" spans="1:14" ht="16.5">
      <c r="A136" s="503"/>
      <c r="B136" s="505"/>
      <c r="C136" s="535"/>
      <c r="D136" s="503"/>
      <c r="E136" s="597"/>
      <c r="F136" s="503"/>
      <c r="G136" s="504"/>
      <c r="H136" s="504"/>
      <c r="I136" s="504"/>
      <c r="J136" s="503"/>
      <c r="K136" s="504"/>
      <c r="L136" s="504"/>
      <c r="M136" s="504"/>
      <c r="N136" s="504"/>
    </row>
    <row r="137" spans="1:14" ht="16.5">
      <c r="A137" s="503"/>
      <c r="B137" s="505"/>
      <c r="C137" s="535"/>
      <c r="D137" s="503"/>
      <c r="E137" s="597"/>
      <c r="F137" s="503"/>
      <c r="G137" s="504"/>
      <c r="H137" s="504"/>
      <c r="I137" s="504"/>
      <c r="J137" s="503"/>
      <c r="K137" s="504"/>
      <c r="L137" s="504"/>
      <c r="M137" s="504"/>
      <c r="N137" s="504"/>
    </row>
    <row r="138" spans="1:14" ht="16.5">
      <c r="A138" s="503"/>
      <c r="B138" s="505"/>
      <c r="C138" s="535"/>
      <c r="D138" s="503"/>
      <c r="E138" s="597"/>
      <c r="F138" s="503"/>
      <c r="G138" s="504"/>
      <c r="H138" s="504"/>
      <c r="I138" s="504"/>
      <c r="J138" s="503"/>
      <c r="K138" s="504"/>
      <c r="L138" s="504"/>
      <c r="M138" s="504"/>
      <c r="N138" s="504"/>
    </row>
    <row r="139" spans="1:14" ht="16.5">
      <c r="A139" s="503"/>
      <c r="B139" s="505"/>
      <c r="C139" s="535"/>
      <c r="D139" s="503"/>
      <c r="E139" s="597"/>
      <c r="F139" s="503"/>
      <c r="G139" s="504"/>
      <c r="H139" s="504"/>
      <c r="I139" s="504"/>
      <c r="J139" s="503"/>
      <c r="K139" s="504"/>
      <c r="L139" s="504"/>
      <c r="M139" s="504"/>
      <c r="N139" s="504"/>
    </row>
    <row r="140" spans="1:14" ht="16.5">
      <c r="A140" s="503"/>
      <c r="B140" s="505"/>
      <c r="C140" s="535"/>
      <c r="D140" s="503"/>
      <c r="E140" s="597"/>
      <c r="F140" s="503"/>
      <c r="G140" s="504"/>
      <c r="H140" s="504"/>
      <c r="I140" s="504"/>
      <c r="J140" s="503"/>
      <c r="K140" s="504"/>
      <c r="L140" s="504"/>
      <c r="M140" s="504"/>
      <c r="N140" s="504"/>
    </row>
    <row r="141" spans="1:14" ht="16.5">
      <c r="A141" s="503"/>
      <c r="B141" s="505"/>
      <c r="C141" s="535"/>
      <c r="D141" s="503"/>
      <c r="E141" s="597"/>
      <c r="F141" s="503"/>
      <c r="G141" s="504"/>
      <c r="H141" s="504"/>
      <c r="I141" s="504"/>
      <c r="J141" s="503"/>
      <c r="K141" s="504"/>
      <c r="L141" s="504"/>
      <c r="M141" s="504"/>
      <c r="N141" s="504"/>
    </row>
    <row r="142" spans="1:14" ht="16.5">
      <c r="A142" s="503"/>
      <c r="B142" s="505"/>
      <c r="C142" s="535"/>
      <c r="D142" s="503"/>
      <c r="E142" s="597"/>
      <c r="F142" s="503"/>
      <c r="G142" s="504"/>
      <c r="H142" s="504"/>
      <c r="I142" s="504"/>
      <c r="J142" s="503"/>
      <c r="K142" s="504"/>
      <c r="L142" s="504"/>
      <c r="M142" s="504"/>
      <c r="N142" s="504"/>
    </row>
    <row r="143" spans="1:14" ht="16.5">
      <c r="A143" s="503"/>
      <c r="B143" s="505"/>
      <c r="C143" s="535"/>
      <c r="D143" s="503"/>
      <c r="E143" s="597"/>
      <c r="F143" s="503"/>
      <c r="G143" s="504"/>
      <c r="H143" s="504"/>
      <c r="I143" s="504"/>
      <c r="J143" s="503"/>
      <c r="K143" s="504"/>
      <c r="L143" s="504"/>
      <c r="M143" s="504"/>
      <c r="N143" s="504"/>
    </row>
    <row r="144" spans="1:14" ht="16.5">
      <c r="A144" s="503"/>
      <c r="B144" s="505"/>
      <c r="C144" s="535"/>
      <c r="D144" s="503"/>
      <c r="E144" s="597"/>
      <c r="F144" s="503"/>
      <c r="G144" s="504"/>
      <c r="H144" s="504"/>
      <c r="I144" s="504"/>
      <c r="J144" s="503"/>
      <c r="K144" s="504"/>
      <c r="L144" s="504"/>
      <c r="M144" s="504"/>
      <c r="N144" s="504"/>
    </row>
    <row r="145" spans="1:14" ht="16.5">
      <c r="A145" s="503"/>
      <c r="B145" s="505"/>
      <c r="C145" s="535"/>
      <c r="D145" s="503"/>
      <c r="E145" s="597"/>
      <c r="F145" s="503"/>
      <c r="G145" s="504"/>
      <c r="H145" s="504"/>
      <c r="I145" s="504"/>
      <c r="J145" s="503"/>
      <c r="K145" s="504"/>
      <c r="L145" s="504"/>
      <c r="M145" s="504"/>
      <c r="N145" s="504"/>
    </row>
    <row r="146" spans="1:14" ht="16.5">
      <c r="A146" s="503"/>
      <c r="B146" s="505"/>
      <c r="C146" s="535"/>
      <c r="D146" s="503"/>
      <c r="E146" s="597"/>
      <c r="F146" s="503"/>
      <c r="G146" s="504"/>
      <c r="H146" s="504"/>
      <c r="I146" s="504"/>
      <c r="J146" s="503"/>
      <c r="K146" s="504"/>
      <c r="L146" s="504"/>
      <c r="M146" s="504"/>
      <c r="N146" s="504"/>
    </row>
    <row r="147" spans="1:14" ht="16.5">
      <c r="A147" s="503"/>
      <c r="B147" s="505"/>
      <c r="C147" s="535"/>
      <c r="D147" s="503"/>
      <c r="E147" s="597"/>
      <c r="F147" s="503"/>
      <c r="G147" s="504"/>
      <c r="H147" s="504"/>
      <c r="I147" s="504"/>
      <c r="J147" s="503"/>
      <c r="K147" s="504"/>
      <c r="L147" s="504"/>
      <c r="M147" s="504"/>
      <c r="N147" s="504"/>
    </row>
    <row r="148" spans="1:14" ht="16.5">
      <c r="A148" s="503"/>
      <c r="B148" s="505"/>
      <c r="C148" s="535"/>
      <c r="D148" s="503"/>
      <c r="E148" s="597"/>
      <c r="F148" s="503"/>
      <c r="G148" s="504"/>
      <c r="H148" s="504"/>
      <c r="I148" s="504"/>
      <c r="J148" s="503"/>
      <c r="K148" s="504"/>
      <c r="L148" s="504"/>
      <c r="M148" s="504"/>
      <c r="N148" s="504"/>
    </row>
    <row r="149" spans="1:14" ht="16.5">
      <c r="A149" s="503"/>
      <c r="B149" s="505"/>
      <c r="C149" s="535"/>
      <c r="D149" s="503"/>
      <c r="E149" s="597"/>
      <c r="F149" s="503"/>
      <c r="G149" s="504"/>
      <c r="H149" s="504"/>
      <c r="I149" s="504"/>
      <c r="J149" s="503"/>
      <c r="K149" s="504"/>
      <c r="L149" s="504"/>
      <c r="M149" s="504"/>
      <c r="N149" s="504"/>
    </row>
    <row r="150" spans="1:14" ht="16.5">
      <c r="A150" s="503"/>
      <c r="B150" s="505"/>
      <c r="C150" s="535"/>
      <c r="D150" s="503"/>
      <c r="E150" s="597"/>
      <c r="F150" s="503"/>
      <c r="G150" s="504"/>
      <c r="H150" s="504"/>
      <c r="I150" s="504"/>
      <c r="J150" s="503"/>
      <c r="K150" s="504"/>
      <c r="L150" s="504"/>
      <c r="M150" s="504"/>
      <c r="N150" s="504"/>
    </row>
    <row r="151" spans="1:14" ht="16.5">
      <c r="A151" s="503"/>
      <c r="B151" s="505"/>
      <c r="C151" s="535"/>
      <c r="D151" s="503"/>
      <c r="E151" s="597"/>
      <c r="F151" s="503"/>
      <c r="G151" s="504"/>
      <c r="H151" s="504"/>
      <c r="I151" s="504"/>
      <c r="J151" s="503"/>
      <c r="K151" s="504"/>
      <c r="L151" s="504"/>
      <c r="M151" s="504"/>
      <c r="N151" s="504"/>
    </row>
    <row r="152" spans="1:14" ht="16.5">
      <c r="A152" s="503"/>
      <c r="B152" s="505"/>
      <c r="C152" s="535"/>
      <c r="D152" s="503"/>
      <c r="E152" s="597"/>
      <c r="F152" s="503"/>
      <c r="G152" s="504"/>
      <c r="H152" s="504"/>
      <c r="I152" s="504"/>
      <c r="J152" s="503"/>
      <c r="K152" s="504"/>
      <c r="L152" s="504"/>
      <c r="M152" s="504"/>
      <c r="N152" s="504"/>
    </row>
    <row r="153" spans="1:14" ht="16.5">
      <c r="A153" s="503"/>
      <c r="B153" s="505"/>
      <c r="C153" s="535"/>
      <c r="D153" s="503"/>
      <c r="E153" s="597"/>
      <c r="F153" s="503"/>
      <c r="G153" s="504"/>
      <c r="H153" s="504"/>
      <c r="I153" s="504"/>
      <c r="J153" s="503"/>
      <c r="K153" s="504"/>
      <c r="L153" s="504"/>
      <c r="M153" s="504"/>
      <c r="N153" s="504"/>
    </row>
    <row r="154" spans="1:14" ht="16.5">
      <c r="A154" s="503"/>
      <c r="B154" s="505"/>
      <c r="C154" s="535"/>
      <c r="D154" s="503"/>
      <c r="E154" s="597"/>
      <c r="F154" s="503"/>
      <c r="G154" s="504"/>
      <c r="H154" s="504"/>
      <c r="I154" s="504"/>
      <c r="J154" s="503"/>
      <c r="K154" s="504"/>
      <c r="L154" s="504"/>
      <c r="M154" s="504"/>
      <c r="N154" s="504"/>
    </row>
    <row r="155" spans="1:14" ht="16.5">
      <c r="A155" s="503"/>
      <c r="B155" s="505"/>
      <c r="C155" s="535"/>
      <c r="D155" s="503"/>
      <c r="E155" s="597"/>
      <c r="F155" s="503"/>
      <c r="G155" s="504"/>
      <c r="H155" s="504"/>
      <c r="I155" s="504"/>
      <c r="J155" s="503"/>
      <c r="K155" s="504"/>
      <c r="L155" s="504"/>
      <c r="M155" s="504"/>
      <c r="N155" s="504"/>
    </row>
    <row r="156" spans="1:14" ht="16.5">
      <c r="A156" s="503"/>
      <c r="B156" s="505"/>
      <c r="C156" s="535"/>
      <c r="D156" s="503"/>
      <c r="E156" s="597"/>
      <c r="F156" s="503"/>
      <c r="G156" s="504"/>
      <c r="H156" s="504"/>
      <c r="I156" s="504"/>
      <c r="J156" s="503"/>
      <c r="K156" s="504"/>
      <c r="L156" s="504"/>
      <c r="M156" s="504"/>
      <c r="N156" s="504"/>
    </row>
    <row r="157" spans="1:14" ht="16.5">
      <c r="A157" s="503"/>
      <c r="B157" s="505"/>
      <c r="C157" s="535"/>
      <c r="D157" s="503"/>
      <c r="E157" s="597"/>
      <c r="F157" s="503"/>
      <c r="G157" s="504"/>
      <c r="H157" s="504"/>
      <c r="I157" s="504"/>
      <c r="J157" s="503"/>
      <c r="K157" s="504"/>
      <c r="L157" s="504"/>
      <c r="M157" s="504"/>
      <c r="N157" s="504"/>
    </row>
    <row r="158" spans="1:14" ht="16.5">
      <c r="A158" s="503"/>
      <c r="B158" s="505"/>
      <c r="C158" s="535"/>
      <c r="D158" s="503"/>
      <c r="E158" s="597"/>
      <c r="F158" s="503"/>
      <c r="G158" s="504"/>
      <c r="H158" s="504"/>
      <c r="I158" s="504"/>
      <c r="J158" s="503"/>
      <c r="K158" s="504"/>
      <c r="L158" s="504"/>
      <c r="M158" s="504"/>
      <c r="N158" s="504"/>
    </row>
    <row r="159" spans="1:14" ht="16.5">
      <c r="A159" s="503"/>
      <c r="B159" s="505"/>
      <c r="C159" s="535"/>
      <c r="D159" s="503"/>
      <c r="E159" s="597"/>
      <c r="F159" s="503"/>
      <c r="G159" s="504"/>
      <c r="H159" s="504"/>
      <c r="I159" s="504"/>
      <c r="J159" s="503"/>
      <c r="K159" s="504"/>
      <c r="L159" s="504"/>
      <c r="M159" s="504"/>
      <c r="N159" s="504"/>
    </row>
    <row r="160" spans="1:14" ht="16.5">
      <c r="A160" s="503"/>
      <c r="B160" s="505"/>
      <c r="C160" s="535"/>
      <c r="D160" s="503"/>
      <c r="E160" s="597"/>
      <c r="F160" s="503"/>
      <c r="G160" s="504"/>
      <c r="H160" s="504"/>
      <c r="I160" s="504"/>
      <c r="J160" s="503"/>
      <c r="K160" s="504"/>
      <c r="L160" s="504"/>
      <c r="M160" s="504"/>
      <c r="N160" s="504"/>
    </row>
    <row r="161" spans="1:14" ht="16.5">
      <c r="A161" s="503"/>
      <c r="B161" s="505"/>
      <c r="C161" s="535"/>
      <c r="D161" s="503"/>
      <c r="E161" s="597"/>
      <c r="F161" s="503"/>
      <c r="G161" s="504"/>
      <c r="H161" s="504"/>
      <c r="I161" s="504"/>
      <c r="J161" s="503"/>
      <c r="K161" s="504"/>
      <c r="L161" s="504"/>
      <c r="M161" s="504"/>
      <c r="N161" s="504"/>
    </row>
    <row r="162" spans="1:14" ht="16.5">
      <c r="A162" s="503"/>
      <c r="B162" s="505"/>
      <c r="C162" s="535"/>
      <c r="D162" s="503"/>
      <c r="E162" s="597"/>
      <c r="F162" s="503"/>
      <c r="G162" s="504"/>
      <c r="H162" s="504"/>
      <c r="I162" s="504"/>
      <c r="J162" s="503"/>
      <c r="K162" s="504"/>
      <c r="L162" s="504"/>
      <c r="M162" s="504"/>
      <c r="N162" s="504"/>
    </row>
    <row r="163" spans="1:14" ht="16.5">
      <c r="A163" s="503"/>
      <c r="B163" s="505"/>
      <c r="C163" s="535"/>
      <c r="D163" s="503"/>
      <c r="E163" s="597"/>
      <c r="F163" s="503"/>
      <c r="G163" s="504"/>
      <c r="H163" s="504"/>
      <c r="I163" s="504"/>
      <c r="J163" s="503"/>
      <c r="K163" s="504"/>
      <c r="L163" s="504"/>
      <c r="M163" s="504"/>
      <c r="N163" s="504"/>
    </row>
    <row r="164" spans="1:14" ht="16.5">
      <c r="A164" s="503"/>
      <c r="B164" s="505"/>
      <c r="C164" s="535"/>
      <c r="D164" s="503"/>
      <c r="E164" s="597"/>
      <c r="F164" s="503"/>
      <c r="G164" s="504"/>
      <c r="H164" s="504"/>
      <c r="I164" s="504"/>
      <c r="J164" s="503"/>
      <c r="K164" s="504"/>
      <c r="L164" s="504"/>
      <c r="M164" s="504"/>
      <c r="N164" s="504"/>
    </row>
    <row r="165" spans="1:14" ht="16.5">
      <c r="A165" s="503"/>
      <c r="B165" s="505"/>
      <c r="C165" s="535"/>
      <c r="D165" s="503"/>
      <c r="E165" s="597"/>
      <c r="F165" s="503"/>
      <c r="G165" s="504"/>
      <c r="H165" s="504"/>
      <c r="I165" s="504"/>
      <c r="J165" s="503"/>
      <c r="K165" s="504"/>
      <c r="L165" s="504"/>
      <c r="M165" s="504"/>
      <c r="N165" s="504"/>
    </row>
    <row r="166" spans="1:14" ht="16.5">
      <c r="A166" s="503"/>
      <c r="B166" s="505"/>
      <c r="C166" s="535"/>
      <c r="D166" s="503"/>
      <c r="E166" s="597"/>
      <c r="F166" s="503"/>
      <c r="G166" s="504"/>
      <c r="H166" s="504"/>
      <c r="I166" s="504"/>
      <c r="J166" s="503"/>
      <c r="K166" s="504"/>
      <c r="L166" s="504"/>
      <c r="M166" s="504"/>
      <c r="N166" s="504"/>
    </row>
    <row r="167" spans="1:14" ht="16.5">
      <c r="A167" s="503"/>
      <c r="B167" s="505"/>
      <c r="C167" s="535"/>
      <c r="D167" s="503"/>
      <c r="E167" s="597"/>
      <c r="F167" s="503"/>
      <c r="G167" s="504"/>
      <c r="H167" s="504"/>
      <c r="I167" s="504"/>
      <c r="J167" s="503"/>
      <c r="K167" s="504"/>
      <c r="L167" s="504"/>
      <c r="M167" s="504"/>
      <c r="N167" s="504"/>
    </row>
    <row r="168" spans="1:14" ht="16.5">
      <c r="A168" s="503"/>
      <c r="B168" s="505"/>
      <c r="C168" s="535"/>
      <c r="D168" s="503"/>
      <c r="E168" s="597"/>
      <c r="F168" s="503"/>
      <c r="G168" s="504"/>
      <c r="H168" s="504"/>
      <c r="I168" s="504"/>
      <c r="J168" s="503"/>
      <c r="K168" s="504"/>
      <c r="L168" s="504"/>
      <c r="M168" s="504"/>
      <c r="N168" s="504"/>
    </row>
    <row r="169" spans="1:14" ht="16.5">
      <c r="A169" s="503"/>
      <c r="B169" s="505"/>
      <c r="C169" s="535"/>
      <c r="D169" s="503"/>
      <c r="E169" s="597"/>
      <c r="F169" s="503"/>
      <c r="G169" s="504"/>
      <c r="H169" s="504"/>
      <c r="I169" s="504"/>
      <c r="J169" s="503"/>
      <c r="K169" s="504"/>
      <c r="L169" s="504"/>
      <c r="M169" s="504"/>
      <c r="N169" s="504"/>
    </row>
    <row r="170" spans="1:14" ht="16.5">
      <c r="A170" s="503"/>
      <c r="B170" s="505"/>
      <c r="C170" s="535"/>
      <c r="D170" s="503"/>
      <c r="E170" s="597"/>
      <c r="F170" s="503"/>
      <c r="G170" s="504"/>
      <c r="H170" s="504"/>
      <c r="I170" s="504"/>
      <c r="J170" s="503"/>
      <c r="K170" s="504"/>
      <c r="L170" s="504"/>
      <c r="M170" s="504"/>
      <c r="N170" s="504"/>
    </row>
    <row r="171" spans="1:14" ht="16.5">
      <c r="A171" s="503"/>
      <c r="B171" s="505"/>
      <c r="C171" s="535"/>
      <c r="D171" s="503"/>
      <c r="E171" s="597"/>
      <c r="F171" s="503"/>
      <c r="G171" s="504"/>
      <c r="H171" s="504"/>
      <c r="I171" s="504"/>
      <c r="J171" s="503"/>
      <c r="K171" s="504"/>
      <c r="L171" s="504"/>
      <c r="M171" s="504"/>
      <c r="N171" s="504"/>
    </row>
    <row r="172" spans="1:14" ht="16.5">
      <c r="A172" s="503"/>
      <c r="B172" s="505"/>
      <c r="C172" s="535"/>
      <c r="D172" s="503"/>
      <c r="E172" s="597"/>
      <c r="F172" s="503"/>
      <c r="G172" s="504"/>
      <c r="H172" s="504"/>
      <c r="I172" s="504"/>
      <c r="J172" s="503"/>
      <c r="K172" s="504"/>
      <c r="L172" s="504"/>
      <c r="M172" s="504"/>
      <c r="N172" s="504"/>
    </row>
    <row r="173" spans="1:14" ht="16.5">
      <c r="A173" s="503"/>
      <c r="B173" s="505"/>
      <c r="C173" s="535"/>
      <c r="D173" s="503"/>
      <c r="E173" s="597"/>
      <c r="F173" s="503"/>
      <c r="G173" s="504"/>
      <c r="H173" s="504"/>
      <c r="I173" s="504"/>
      <c r="J173" s="503"/>
      <c r="K173" s="504"/>
      <c r="L173" s="504"/>
      <c r="M173" s="504"/>
      <c r="N173" s="504"/>
    </row>
    <row r="174" spans="1:14" ht="16.5">
      <c r="A174" s="503"/>
      <c r="B174" s="505"/>
      <c r="C174" s="535"/>
      <c r="D174" s="503"/>
      <c r="E174" s="597"/>
      <c r="F174" s="503"/>
      <c r="G174" s="504"/>
      <c r="H174" s="504"/>
      <c r="I174" s="504"/>
      <c r="J174" s="503"/>
      <c r="K174" s="504"/>
      <c r="L174" s="504"/>
      <c r="M174" s="504"/>
      <c r="N174" s="504"/>
    </row>
    <row r="175" spans="1:14" ht="16.5">
      <c r="A175" s="503"/>
      <c r="B175" s="505"/>
      <c r="C175" s="535"/>
      <c r="D175" s="503"/>
      <c r="E175" s="597"/>
      <c r="F175" s="503"/>
      <c r="G175" s="504"/>
      <c r="H175" s="504"/>
      <c r="I175" s="504"/>
      <c r="J175" s="503"/>
      <c r="K175" s="504"/>
      <c r="L175" s="504"/>
      <c r="M175" s="504"/>
      <c r="N175" s="504"/>
    </row>
    <row r="176" spans="1:14" ht="16.5">
      <c r="A176" s="503"/>
      <c r="B176" s="505"/>
      <c r="C176" s="535"/>
      <c r="D176" s="503"/>
      <c r="E176" s="597"/>
      <c r="F176" s="503"/>
      <c r="G176" s="504"/>
      <c r="H176" s="504"/>
      <c r="I176" s="504"/>
      <c r="J176" s="503"/>
      <c r="K176" s="504"/>
      <c r="L176" s="504"/>
      <c r="M176" s="504"/>
      <c r="N176" s="504"/>
    </row>
    <row r="177" spans="1:14" ht="16.5">
      <c r="A177" s="503"/>
      <c r="B177" s="505"/>
      <c r="C177" s="535"/>
      <c r="D177" s="503"/>
      <c r="E177" s="597"/>
      <c r="F177" s="503"/>
      <c r="G177" s="504"/>
      <c r="H177" s="504"/>
      <c r="I177" s="504"/>
      <c r="J177" s="503"/>
      <c r="K177" s="504"/>
      <c r="L177" s="504"/>
      <c r="M177" s="504"/>
      <c r="N177" s="504"/>
    </row>
    <row r="178" spans="1:14" ht="16.5">
      <c r="A178" s="503"/>
      <c r="B178" s="505"/>
      <c r="C178" s="535"/>
      <c r="D178" s="503"/>
      <c r="E178" s="597"/>
      <c r="F178" s="503"/>
      <c r="G178" s="504"/>
      <c r="H178" s="504"/>
      <c r="I178" s="504"/>
      <c r="J178" s="503"/>
      <c r="K178" s="504"/>
      <c r="L178" s="504"/>
      <c r="M178" s="504"/>
      <c r="N178" s="504"/>
    </row>
    <row r="179" spans="1:14" ht="16.5">
      <c r="A179" s="503"/>
      <c r="B179" s="505"/>
      <c r="C179" s="535"/>
      <c r="D179" s="503"/>
      <c r="E179" s="597"/>
      <c r="F179" s="503"/>
      <c r="G179" s="504"/>
      <c r="H179" s="504"/>
      <c r="I179" s="504"/>
      <c r="J179" s="503"/>
      <c r="K179" s="504"/>
      <c r="L179" s="504"/>
      <c r="M179" s="504"/>
      <c r="N179" s="504"/>
    </row>
    <row r="180" spans="1:14" ht="16.5">
      <c r="A180" s="503"/>
      <c r="B180" s="505"/>
      <c r="C180" s="535"/>
      <c r="D180" s="503"/>
      <c r="E180" s="597"/>
      <c r="F180" s="503"/>
      <c r="G180" s="504"/>
      <c r="H180" s="504"/>
      <c r="I180" s="504"/>
      <c r="J180" s="503"/>
      <c r="K180" s="504"/>
      <c r="L180" s="504"/>
      <c r="M180" s="504"/>
      <c r="N180" s="504"/>
    </row>
    <row r="181" spans="1:14" ht="16.5">
      <c r="A181" s="503"/>
      <c r="B181" s="505"/>
      <c r="C181" s="535"/>
      <c r="D181" s="503"/>
      <c r="E181" s="597"/>
      <c r="F181" s="503"/>
      <c r="G181" s="504"/>
      <c r="H181" s="504"/>
      <c r="I181" s="504"/>
      <c r="J181" s="503"/>
      <c r="K181" s="504"/>
      <c r="L181" s="504"/>
      <c r="M181" s="504"/>
      <c r="N181" s="504"/>
    </row>
    <row r="182" spans="1:14" ht="16.5">
      <c r="A182" s="503"/>
      <c r="B182" s="505"/>
      <c r="C182" s="535"/>
      <c r="D182" s="503"/>
      <c r="E182" s="597"/>
      <c r="F182" s="503"/>
      <c r="G182" s="504"/>
      <c r="H182" s="504"/>
      <c r="I182" s="504"/>
      <c r="J182" s="503"/>
      <c r="K182" s="504"/>
      <c r="L182" s="504"/>
      <c r="M182" s="504"/>
      <c r="N182" s="504"/>
    </row>
    <row r="183" spans="1:14" ht="16.5">
      <c r="A183" s="503"/>
      <c r="B183" s="505"/>
      <c r="C183" s="535"/>
      <c r="D183" s="503"/>
      <c r="E183" s="597"/>
      <c r="F183" s="503"/>
      <c r="G183" s="504"/>
      <c r="H183" s="504"/>
      <c r="I183" s="504"/>
      <c r="J183" s="503"/>
      <c r="K183" s="504"/>
      <c r="L183" s="504"/>
      <c r="M183" s="504"/>
      <c r="N183" s="504"/>
    </row>
    <row r="184" spans="1:14" ht="16.5">
      <c r="A184" s="503"/>
      <c r="B184" s="505"/>
      <c r="C184" s="535"/>
      <c r="D184" s="503"/>
      <c r="E184" s="597"/>
      <c r="F184" s="503"/>
      <c r="G184" s="504"/>
      <c r="H184" s="504"/>
      <c r="I184" s="504"/>
      <c r="J184" s="503"/>
      <c r="K184" s="504"/>
      <c r="L184" s="504"/>
      <c r="M184" s="504"/>
      <c r="N184" s="504"/>
    </row>
    <row r="185" spans="1:14" ht="16.5">
      <c r="A185" s="503"/>
      <c r="B185" s="505"/>
      <c r="C185" s="535"/>
      <c r="D185" s="503"/>
      <c r="E185" s="597"/>
      <c r="F185" s="503"/>
      <c r="G185" s="504"/>
      <c r="H185" s="504"/>
      <c r="I185" s="504"/>
      <c r="J185" s="503"/>
      <c r="K185" s="504"/>
      <c r="L185" s="504"/>
      <c r="M185" s="504"/>
      <c r="N185" s="504"/>
    </row>
    <row r="186" spans="1:14" ht="16.5">
      <c r="A186" s="503"/>
      <c r="B186" s="505"/>
      <c r="C186" s="535"/>
      <c r="D186" s="503"/>
      <c r="E186" s="597"/>
      <c r="F186" s="503"/>
      <c r="G186" s="504"/>
      <c r="H186" s="504"/>
      <c r="I186" s="504"/>
      <c r="J186" s="503"/>
      <c r="K186" s="504"/>
      <c r="L186" s="504"/>
      <c r="M186" s="504"/>
      <c r="N186" s="504"/>
    </row>
    <row r="187" spans="1:14" ht="16.5">
      <c r="A187" s="503"/>
      <c r="B187" s="505"/>
      <c r="C187" s="535"/>
      <c r="D187" s="503"/>
      <c r="E187" s="597"/>
      <c r="F187" s="503"/>
      <c r="G187" s="504"/>
      <c r="H187" s="504"/>
      <c r="I187" s="504"/>
      <c r="J187" s="503"/>
      <c r="K187" s="504"/>
      <c r="L187" s="504"/>
      <c r="M187" s="504"/>
      <c r="N187" s="504"/>
    </row>
    <row r="188" spans="1:14" ht="16.5">
      <c r="A188" s="503"/>
      <c r="B188" s="505"/>
      <c r="C188" s="535"/>
      <c r="D188" s="503"/>
      <c r="E188" s="597"/>
      <c r="F188" s="503"/>
      <c r="G188" s="504"/>
      <c r="H188" s="504"/>
      <c r="I188" s="504"/>
      <c r="J188" s="503"/>
      <c r="K188" s="504"/>
      <c r="L188" s="504"/>
      <c r="M188" s="504"/>
      <c r="N188" s="504"/>
    </row>
    <row r="189" spans="1:14" ht="16.5">
      <c r="A189" s="503"/>
      <c r="B189" s="505"/>
      <c r="C189" s="535"/>
      <c r="D189" s="503"/>
      <c r="E189" s="597"/>
      <c r="F189" s="503"/>
      <c r="G189" s="504"/>
      <c r="H189" s="504"/>
      <c r="I189" s="504"/>
      <c r="J189" s="503"/>
      <c r="K189" s="504"/>
      <c r="L189" s="504"/>
      <c r="M189" s="504"/>
      <c r="N189" s="504"/>
    </row>
    <row r="190" spans="1:14" ht="16.5">
      <c r="A190" s="503"/>
      <c r="B190" s="505"/>
      <c r="C190" s="535"/>
      <c r="D190" s="503"/>
      <c r="E190" s="597"/>
      <c r="F190" s="503"/>
      <c r="G190" s="504"/>
      <c r="H190" s="504"/>
      <c r="I190" s="504"/>
      <c r="J190" s="503"/>
      <c r="K190" s="504"/>
      <c r="L190" s="504"/>
      <c r="M190" s="504"/>
      <c r="N190" s="504"/>
    </row>
    <row r="191" spans="1:14" ht="16.5">
      <c r="A191" s="503"/>
      <c r="B191" s="505"/>
      <c r="C191" s="535"/>
      <c r="D191" s="503"/>
      <c r="E191" s="597"/>
      <c r="F191" s="503"/>
      <c r="G191" s="504"/>
      <c r="H191" s="504"/>
      <c r="I191" s="504"/>
      <c r="J191" s="503"/>
      <c r="K191" s="504"/>
      <c r="L191" s="504"/>
      <c r="M191" s="504"/>
      <c r="N191" s="504"/>
    </row>
    <row r="192" spans="1:14" ht="16.5">
      <c r="A192" s="503"/>
      <c r="B192" s="505"/>
      <c r="C192" s="535"/>
      <c r="D192" s="503"/>
      <c r="E192" s="597"/>
      <c r="F192" s="503"/>
      <c r="G192" s="504"/>
      <c r="H192" s="504"/>
      <c r="I192" s="504"/>
      <c r="J192" s="503"/>
      <c r="K192" s="504"/>
      <c r="L192" s="504"/>
      <c r="M192" s="504"/>
      <c r="N192" s="504"/>
    </row>
    <row r="193" spans="1:14" ht="16.5">
      <c r="A193" s="503"/>
      <c r="B193" s="505"/>
      <c r="C193" s="535"/>
      <c r="D193" s="503"/>
      <c r="E193" s="597"/>
      <c r="F193" s="503"/>
      <c r="G193" s="504"/>
      <c r="H193" s="504"/>
      <c r="I193" s="504"/>
      <c r="J193" s="503"/>
      <c r="K193" s="504"/>
      <c r="L193" s="504"/>
      <c r="M193" s="504"/>
      <c r="N193" s="504"/>
    </row>
    <row r="194" spans="1:14" ht="16.5">
      <c r="A194" s="503"/>
      <c r="B194" s="505"/>
      <c r="C194" s="535"/>
      <c r="D194" s="503"/>
      <c r="E194" s="597"/>
      <c r="F194" s="503"/>
      <c r="G194" s="504"/>
      <c r="H194" s="504"/>
      <c r="I194" s="504"/>
      <c r="J194" s="503"/>
      <c r="K194" s="504"/>
      <c r="L194" s="504"/>
      <c r="M194" s="504"/>
      <c r="N194" s="504"/>
    </row>
    <row r="195" spans="1:14" ht="16.5">
      <c r="A195" s="503"/>
      <c r="B195" s="505"/>
      <c r="C195" s="535"/>
      <c r="D195" s="503"/>
      <c r="E195" s="597"/>
      <c r="F195" s="503"/>
      <c r="G195" s="504"/>
      <c r="H195" s="504"/>
      <c r="I195" s="504"/>
      <c r="J195" s="503"/>
      <c r="K195" s="504"/>
      <c r="L195" s="504"/>
      <c r="M195" s="504"/>
      <c r="N195" s="504"/>
    </row>
    <row r="196" spans="1:14" ht="16.5">
      <c r="A196" s="503"/>
      <c r="B196" s="505"/>
      <c r="C196" s="535"/>
      <c r="D196" s="503"/>
      <c r="E196" s="597"/>
      <c r="F196" s="503"/>
      <c r="G196" s="504"/>
      <c r="H196" s="504"/>
      <c r="I196" s="504"/>
      <c r="J196" s="503"/>
      <c r="K196" s="504"/>
      <c r="L196" s="504"/>
      <c r="M196" s="504"/>
      <c r="N196" s="504"/>
    </row>
    <row r="197" spans="1:14" ht="16.5">
      <c r="A197" s="503"/>
      <c r="B197" s="505"/>
      <c r="C197" s="535"/>
      <c r="D197" s="503"/>
      <c r="E197" s="597"/>
      <c r="F197" s="503"/>
      <c r="G197" s="504"/>
      <c r="H197" s="504"/>
      <c r="I197" s="504"/>
      <c r="J197" s="503"/>
      <c r="K197" s="504"/>
      <c r="L197" s="504"/>
      <c r="M197" s="504"/>
      <c r="N197" s="504"/>
    </row>
    <row r="198" spans="1:14" ht="16.5">
      <c r="A198" s="503"/>
      <c r="B198" s="505"/>
      <c r="C198" s="535"/>
      <c r="D198" s="503"/>
      <c r="E198" s="597"/>
      <c r="F198" s="503"/>
      <c r="G198" s="504"/>
      <c r="H198" s="504"/>
      <c r="I198" s="504"/>
      <c r="J198" s="503"/>
      <c r="K198" s="504"/>
      <c r="L198" s="504"/>
      <c r="M198" s="504"/>
      <c r="N198" s="504"/>
    </row>
    <row r="199" spans="1:14" ht="16.5">
      <c r="A199" s="503"/>
      <c r="B199" s="505"/>
      <c r="C199" s="535"/>
      <c r="D199" s="503"/>
      <c r="E199" s="597"/>
      <c r="F199" s="503"/>
      <c r="G199" s="504"/>
      <c r="H199" s="504"/>
      <c r="I199" s="504"/>
      <c r="J199" s="503"/>
      <c r="K199" s="504"/>
      <c r="L199" s="504"/>
      <c r="M199" s="504"/>
      <c r="N199" s="504"/>
    </row>
    <row r="200" spans="1:14" ht="16.5">
      <c r="A200" s="503"/>
      <c r="B200" s="505"/>
      <c r="C200" s="535"/>
      <c r="D200" s="503"/>
      <c r="E200" s="597"/>
      <c r="F200" s="503"/>
      <c r="G200" s="504"/>
      <c r="H200" s="504"/>
      <c r="I200" s="504"/>
      <c r="J200" s="503"/>
      <c r="K200" s="504"/>
      <c r="L200" s="504"/>
      <c r="M200" s="504"/>
      <c r="N200" s="504"/>
    </row>
    <row r="201" spans="1:14" ht="16.5">
      <c r="A201" s="503"/>
      <c r="B201" s="505"/>
      <c r="C201" s="535"/>
      <c r="D201" s="503"/>
      <c r="E201" s="597"/>
      <c r="F201" s="503"/>
      <c r="G201" s="504"/>
      <c r="H201" s="504"/>
      <c r="I201" s="504"/>
      <c r="J201" s="503"/>
      <c r="K201" s="504"/>
      <c r="L201" s="504"/>
      <c r="M201" s="504"/>
      <c r="N201" s="504"/>
    </row>
    <row r="202" spans="1:14" ht="16.5">
      <c r="A202" s="503"/>
      <c r="B202" s="505"/>
      <c r="C202" s="535"/>
      <c r="D202" s="503"/>
      <c r="E202" s="597"/>
      <c r="F202" s="503"/>
      <c r="G202" s="504"/>
      <c r="H202" s="504"/>
      <c r="I202" s="504"/>
      <c r="J202" s="503"/>
      <c r="K202" s="504"/>
      <c r="L202" s="504"/>
      <c r="M202" s="504"/>
      <c r="N202" s="504"/>
    </row>
    <row r="203" spans="1:14" ht="16.5">
      <c r="A203" s="503"/>
      <c r="B203" s="505"/>
      <c r="C203" s="535"/>
      <c r="D203" s="503"/>
      <c r="E203" s="597"/>
      <c r="F203" s="503"/>
      <c r="G203" s="504"/>
      <c r="H203" s="504"/>
      <c r="I203" s="504"/>
      <c r="J203" s="503"/>
      <c r="K203" s="504"/>
      <c r="L203" s="504"/>
      <c r="M203" s="504"/>
      <c r="N203" s="504"/>
    </row>
    <row r="204" spans="1:14" ht="16.5">
      <c r="A204" s="503"/>
      <c r="B204" s="505"/>
      <c r="C204" s="535"/>
      <c r="D204" s="503"/>
      <c r="E204" s="597"/>
      <c r="F204" s="503"/>
      <c r="G204" s="504"/>
      <c r="H204" s="504"/>
      <c r="I204" s="504"/>
      <c r="J204" s="503"/>
      <c r="K204" s="504"/>
      <c r="L204" s="504"/>
      <c r="M204" s="504"/>
      <c r="N204" s="504"/>
    </row>
    <row r="205" spans="1:14" ht="16.5">
      <c r="A205" s="503"/>
      <c r="B205" s="505"/>
      <c r="C205" s="535"/>
      <c r="D205" s="503"/>
      <c r="E205" s="597"/>
      <c r="F205" s="503"/>
      <c r="G205" s="504"/>
      <c r="H205" s="504"/>
      <c r="I205" s="504"/>
      <c r="J205" s="503"/>
      <c r="K205" s="504"/>
      <c r="L205" s="504"/>
      <c r="M205" s="504"/>
      <c r="N205" s="504"/>
    </row>
    <row r="206" spans="1:14" ht="16.5">
      <c r="A206" s="503"/>
      <c r="B206" s="505"/>
      <c r="C206" s="535"/>
      <c r="D206" s="503"/>
      <c r="E206" s="597"/>
      <c r="F206" s="503"/>
      <c r="G206" s="504"/>
      <c r="H206" s="504"/>
      <c r="I206" s="504"/>
      <c r="J206" s="503"/>
      <c r="K206" s="504"/>
      <c r="L206" s="504"/>
      <c r="M206" s="504"/>
      <c r="N206" s="504"/>
    </row>
    <row r="207" spans="1:14" ht="16.5">
      <c r="A207" s="503"/>
      <c r="B207" s="505"/>
      <c r="C207" s="535"/>
      <c r="D207" s="503"/>
      <c r="E207" s="597"/>
      <c r="F207" s="503"/>
      <c r="G207" s="504"/>
      <c r="H207" s="504"/>
      <c r="I207" s="504"/>
      <c r="J207" s="503"/>
      <c r="K207" s="504"/>
      <c r="L207" s="504"/>
      <c r="M207" s="504"/>
      <c r="N207" s="504"/>
    </row>
    <row r="208" spans="1:14" ht="16.5">
      <c r="A208" s="503"/>
      <c r="B208" s="505"/>
      <c r="C208" s="535"/>
      <c r="D208" s="503"/>
      <c r="E208" s="597"/>
      <c r="F208" s="503"/>
      <c r="G208" s="504"/>
      <c r="H208" s="504"/>
      <c r="I208" s="504"/>
      <c r="J208" s="503"/>
      <c r="K208" s="504"/>
      <c r="L208" s="504"/>
      <c r="M208" s="504"/>
      <c r="N208" s="504"/>
    </row>
    <row r="209" spans="1:14" ht="16.5">
      <c r="A209" s="503"/>
      <c r="B209" s="505"/>
      <c r="C209" s="535"/>
      <c r="D209" s="503"/>
      <c r="E209" s="597"/>
      <c r="F209" s="503"/>
      <c r="G209" s="504"/>
      <c r="H209" s="504"/>
      <c r="I209" s="504"/>
      <c r="J209" s="503"/>
      <c r="K209" s="504"/>
      <c r="L209" s="504"/>
      <c r="M209" s="504"/>
      <c r="N209" s="504"/>
    </row>
    <row r="210" spans="1:14" ht="16.5">
      <c r="A210" s="503"/>
      <c r="B210" s="505"/>
      <c r="C210" s="535"/>
      <c r="D210" s="503"/>
      <c r="E210" s="597"/>
      <c r="F210" s="503"/>
      <c r="G210" s="504"/>
      <c r="H210" s="504"/>
      <c r="I210" s="504"/>
      <c r="J210" s="503"/>
      <c r="K210" s="504"/>
      <c r="L210" s="504"/>
      <c r="M210" s="504"/>
      <c r="N210" s="504"/>
    </row>
    <row r="211" spans="1:14" ht="16.5">
      <c r="A211" s="503"/>
      <c r="B211" s="505"/>
      <c r="C211" s="535"/>
      <c r="D211" s="503"/>
      <c r="E211" s="597"/>
      <c r="F211" s="503"/>
      <c r="G211" s="504"/>
      <c r="H211" s="504"/>
      <c r="I211" s="504"/>
      <c r="J211" s="503"/>
      <c r="K211" s="504"/>
      <c r="L211" s="504"/>
      <c r="M211" s="504"/>
      <c r="N211" s="504"/>
    </row>
    <row r="212" spans="1:14" ht="16.5">
      <c r="A212" s="503"/>
      <c r="B212" s="505"/>
      <c r="C212" s="535"/>
      <c r="D212" s="503"/>
      <c r="E212" s="597"/>
      <c r="F212" s="503"/>
      <c r="G212" s="504"/>
      <c r="H212" s="504"/>
      <c r="I212" s="504"/>
      <c r="J212" s="503"/>
      <c r="K212" s="504"/>
      <c r="L212" s="504"/>
      <c r="M212" s="504"/>
      <c r="N212" s="504"/>
    </row>
    <row r="213" spans="1:14" ht="16.5">
      <c r="A213" s="503"/>
      <c r="B213" s="505"/>
      <c r="C213" s="535"/>
      <c r="D213" s="503"/>
      <c r="E213" s="597"/>
      <c r="F213" s="503"/>
      <c r="G213" s="504"/>
      <c r="H213" s="504"/>
      <c r="I213" s="504"/>
      <c r="J213" s="503"/>
      <c r="K213" s="504"/>
      <c r="L213" s="504"/>
      <c r="M213" s="504"/>
      <c r="N213" s="504"/>
    </row>
    <row r="214" spans="1:14" ht="16.5">
      <c r="A214" s="503"/>
      <c r="B214" s="505"/>
      <c r="C214" s="535"/>
      <c r="D214" s="503"/>
      <c r="E214" s="597"/>
      <c r="F214" s="503"/>
      <c r="G214" s="504"/>
      <c r="H214" s="504"/>
      <c r="I214" s="504"/>
      <c r="J214" s="503"/>
      <c r="K214" s="504"/>
      <c r="L214" s="504"/>
      <c r="M214" s="504"/>
      <c r="N214" s="504"/>
    </row>
    <row r="215" spans="1:14" ht="16.5">
      <c r="A215" s="503"/>
      <c r="B215" s="505"/>
      <c r="C215" s="535"/>
      <c r="D215" s="503"/>
      <c r="E215" s="597"/>
      <c r="F215" s="503"/>
      <c r="G215" s="504"/>
      <c r="H215" s="504"/>
      <c r="I215" s="504"/>
      <c r="J215" s="503"/>
      <c r="K215" s="504"/>
      <c r="L215" s="504"/>
      <c r="M215" s="504"/>
      <c r="N215" s="504"/>
    </row>
    <row r="216" spans="1:14" ht="16.5">
      <c r="A216" s="503"/>
      <c r="B216" s="505"/>
      <c r="C216" s="535"/>
      <c r="D216" s="503"/>
      <c r="E216" s="597"/>
      <c r="F216" s="503"/>
      <c r="G216" s="504"/>
      <c r="H216" s="504"/>
      <c r="I216" s="504"/>
      <c r="J216" s="503"/>
      <c r="K216" s="504"/>
      <c r="L216" s="504"/>
      <c r="M216" s="504"/>
      <c r="N216" s="504"/>
    </row>
    <row r="217" spans="1:14" ht="16.5">
      <c r="A217" s="503"/>
      <c r="B217" s="505"/>
      <c r="C217" s="535"/>
      <c r="D217" s="503"/>
      <c r="E217" s="597"/>
      <c r="F217" s="503"/>
      <c r="G217" s="504"/>
      <c r="H217" s="504"/>
      <c r="I217" s="504"/>
      <c r="J217" s="503"/>
      <c r="K217" s="504"/>
      <c r="L217" s="504"/>
      <c r="M217" s="504"/>
      <c r="N217" s="504"/>
    </row>
    <row r="218" spans="1:14" ht="16.5">
      <c r="A218" s="503"/>
      <c r="B218" s="505"/>
      <c r="C218" s="535"/>
      <c r="D218" s="503"/>
      <c r="E218" s="597"/>
      <c r="F218" s="503"/>
      <c r="G218" s="504"/>
      <c r="H218" s="504"/>
      <c r="I218" s="504"/>
      <c r="J218" s="503"/>
      <c r="K218" s="504"/>
      <c r="L218" s="504"/>
      <c r="M218" s="504"/>
      <c r="N218" s="504"/>
    </row>
    <row r="219" spans="1:14" ht="16.5">
      <c r="A219" s="503"/>
      <c r="B219" s="505"/>
      <c r="C219" s="535"/>
      <c r="D219" s="503"/>
      <c r="E219" s="597"/>
      <c r="F219" s="503"/>
      <c r="G219" s="504"/>
      <c r="H219" s="504"/>
      <c r="I219" s="504"/>
      <c r="J219" s="503"/>
      <c r="K219" s="504"/>
      <c r="L219" s="504"/>
      <c r="M219" s="504"/>
      <c r="N219" s="504"/>
    </row>
    <row r="220" spans="1:14" ht="16.5">
      <c r="A220" s="503"/>
      <c r="B220" s="505"/>
      <c r="C220" s="535"/>
      <c r="D220" s="503"/>
      <c r="E220" s="597"/>
      <c r="F220" s="503"/>
      <c r="G220" s="504"/>
      <c r="H220" s="504"/>
      <c r="I220" s="504"/>
      <c r="J220" s="503"/>
      <c r="K220" s="504"/>
      <c r="L220" s="504"/>
      <c r="M220" s="504"/>
      <c r="N220" s="504"/>
    </row>
    <row r="221" spans="1:14" ht="16.5">
      <c r="A221" s="503"/>
      <c r="B221" s="505"/>
      <c r="C221" s="535"/>
      <c r="D221" s="503"/>
      <c r="E221" s="597"/>
      <c r="F221" s="503"/>
      <c r="G221" s="504"/>
      <c r="H221" s="504"/>
      <c r="I221" s="504"/>
      <c r="J221" s="503"/>
      <c r="K221" s="504"/>
      <c r="L221" s="504"/>
      <c r="M221" s="504"/>
      <c r="N221" s="504"/>
    </row>
    <row r="222" spans="1:14" ht="16.5">
      <c r="A222" s="503"/>
      <c r="B222" s="505"/>
      <c r="C222" s="535"/>
      <c r="D222" s="503"/>
      <c r="E222" s="597"/>
      <c r="F222" s="503"/>
      <c r="G222" s="504"/>
      <c r="H222" s="504"/>
      <c r="I222" s="504"/>
      <c r="J222" s="503"/>
      <c r="K222" s="504"/>
      <c r="L222" s="504"/>
      <c r="M222" s="504"/>
      <c r="N222" s="504"/>
    </row>
    <row r="223" spans="1:14" ht="16.5">
      <c r="A223" s="503"/>
      <c r="B223" s="505"/>
      <c r="C223" s="535"/>
      <c r="D223" s="503"/>
      <c r="E223" s="597"/>
      <c r="F223" s="503"/>
      <c r="G223" s="504"/>
      <c r="H223" s="504"/>
      <c r="I223" s="504"/>
      <c r="J223" s="503"/>
      <c r="K223" s="504"/>
      <c r="L223" s="504"/>
      <c r="M223" s="504"/>
      <c r="N223" s="504"/>
    </row>
    <row r="224" spans="1:14" ht="16.5">
      <c r="A224" s="503"/>
      <c r="B224" s="505"/>
      <c r="C224" s="535"/>
      <c r="D224" s="503"/>
      <c r="E224" s="597"/>
      <c r="F224" s="503"/>
      <c r="G224" s="504"/>
      <c r="H224" s="504"/>
      <c r="I224" s="504"/>
      <c r="J224" s="503"/>
      <c r="K224" s="504"/>
      <c r="L224" s="504"/>
      <c r="M224" s="504"/>
      <c r="N224" s="504"/>
    </row>
    <row r="225" spans="1:14" ht="16.5">
      <c r="A225" s="503"/>
      <c r="B225" s="505"/>
      <c r="C225" s="535"/>
      <c r="D225" s="503"/>
      <c r="E225" s="597"/>
      <c r="F225" s="503"/>
      <c r="G225" s="504"/>
      <c r="H225" s="504"/>
      <c r="I225" s="504"/>
      <c r="J225" s="503"/>
      <c r="K225" s="504"/>
      <c r="L225" s="504"/>
      <c r="M225" s="504"/>
      <c r="N225" s="504"/>
    </row>
    <row r="226" spans="1:14" ht="16.5">
      <c r="A226" s="503"/>
      <c r="B226" s="505"/>
      <c r="C226" s="535"/>
      <c r="D226" s="503"/>
      <c r="E226" s="597"/>
      <c r="F226" s="503"/>
      <c r="G226" s="504"/>
      <c r="H226" s="504"/>
      <c r="I226" s="504"/>
      <c r="J226" s="503"/>
      <c r="K226" s="504"/>
      <c r="L226" s="504"/>
      <c r="M226" s="504"/>
      <c r="N226" s="504"/>
    </row>
    <row r="227" spans="1:14" ht="16.5">
      <c r="A227" s="503"/>
      <c r="B227" s="505"/>
      <c r="C227" s="535"/>
      <c r="D227" s="503"/>
      <c r="E227" s="597"/>
      <c r="F227" s="503"/>
      <c r="G227" s="504"/>
      <c r="H227" s="504"/>
      <c r="I227" s="504"/>
      <c r="J227" s="503"/>
      <c r="K227" s="504"/>
      <c r="L227" s="504"/>
      <c r="M227" s="504"/>
      <c r="N227" s="504"/>
    </row>
    <row r="228" spans="1:14" ht="16.5">
      <c r="A228" s="503"/>
      <c r="B228" s="505"/>
      <c r="C228" s="535"/>
      <c r="D228" s="503"/>
      <c r="E228" s="597"/>
      <c r="F228" s="503"/>
      <c r="G228" s="504"/>
      <c r="H228" s="504"/>
      <c r="I228" s="504"/>
      <c r="J228" s="503"/>
      <c r="K228" s="504"/>
      <c r="L228" s="504"/>
      <c r="M228" s="504"/>
      <c r="N228" s="504"/>
    </row>
    <row r="229" spans="1:14" ht="16.5">
      <c r="A229" s="503"/>
      <c r="B229" s="505"/>
      <c r="C229" s="535"/>
      <c r="D229" s="503"/>
      <c r="E229" s="597"/>
      <c r="F229" s="503"/>
      <c r="G229" s="504"/>
      <c r="H229" s="504"/>
      <c r="I229" s="504"/>
      <c r="J229" s="503"/>
      <c r="K229" s="504"/>
      <c r="L229" s="504"/>
      <c r="M229" s="504"/>
      <c r="N229" s="504"/>
    </row>
    <row r="230" spans="1:14" ht="16.5">
      <c r="A230" s="503"/>
      <c r="B230" s="505"/>
      <c r="C230" s="535"/>
      <c r="D230" s="503"/>
      <c r="E230" s="597"/>
      <c r="F230" s="503"/>
      <c r="G230" s="504"/>
      <c r="H230" s="504"/>
      <c r="I230" s="504"/>
      <c r="J230" s="503"/>
      <c r="K230" s="504"/>
      <c r="L230" s="504"/>
      <c r="M230" s="504"/>
      <c r="N230" s="504"/>
    </row>
    <row r="231" spans="1:14" ht="16.5">
      <c r="A231" s="503"/>
      <c r="B231" s="505"/>
      <c r="C231" s="535"/>
      <c r="D231" s="503"/>
      <c r="E231" s="597"/>
      <c r="F231" s="503"/>
      <c r="G231" s="504"/>
      <c r="H231" s="504"/>
      <c r="I231" s="504"/>
      <c r="J231" s="503"/>
      <c r="K231" s="504"/>
      <c r="L231" s="504"/>
      <c r="M231" s="504"/>
      <c r="N231" s="504"/>
    </row>
    <row r="232" spans="1:14" ht="16.5">
      <c r="A232" s="503"/>
      <c r="B232" s="505"/>
      <c r="C232" s="535"/>
      <c r="D232" s="503"/>
      <c r="E232" s="597"/>
      <c r="F232" s="503"/>
      <c r="G232" s="504"/>
      <c r="H232" s="504"/>
      <c r="I232" s="504"/>
      <c r="J232" s="503"/>
      <c r="K232" s="504"/>
      <c r="L232" s="504"/>
      <c r="M232" s="504"/>
      <c r="N232" s="504"/>
    </row>
    <row r="233" spans="1:14" ht="16.5">
      <c r="A233" s="503"/>
      <c r="B233" s="505"/>
      <c r="C233" s="535"/>
      <c r="D233" s="503"/>
      <c r="E233" s="597"/>
      <c r="F233" s="503"/>
      <c r="G233" s="504"/>
      <c r="H233" s="504"/>
      <c r="I233" s="504"/>
      <c r="J233" s="503"/>
      <c r="K233" s="504"/>
      <c r="L233" s="504"/>
      <c r="M233" s="504"/>
      <c r="N233" s="504"/>
    </row>
    <row r="234" spans="1:14" ht="16.5">
      <c r="A234" s="503"/>
      <c r="B234" s="505"/>
      <c r="C234" s="535"/>
      <c r="D234" s="503"/>
      <c r="E234" s="597"/>
      <c r="F234" s="503"/>
      <c r="G234" s="504"/>
      <c r="H234" s="504"/>
      <c r="I234" s="504"/>
      <c r="J234" s="503"/>
      <c r="K234" s="504"/>
      <c r="L234" s="504"/>
      <c r="M234" s="504"/>
      <c r="N234" s="50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/>
  </sheetViews>
  <sheetFormatPr defaultRowHeight="15"/>
  <sheetData>
    <row r="1" spans="1:13" ht="25.5">
      <c r="A1" s="483"/>
      <c r="B1" s="917" t="s">
        <v>727</v>
      </c>
      <c r="C1" s="483"/>
      <c r="D1" s="483"/>
      <c r="E1" s="483"/>
      <c r="F1" s="483"/>
      <c r="G1" s="483"/>
      <c r="H1" s="1085"/>
      <c r="I1" s="1085"/>
      <c r="J1" s="1083"/>
      <c r="K1" s="1083"/>
      <c r="L1" s="1083"/>
      <c r="M1" s="483"/>
    </row>
    <row r="2" spans="1:13" ht="187.5">
      <c r="A2" s="1087" t="s">
        <v>571</v>
      </c>
      <c r="B2" s="1087"/>
      <c r="C2" s="1087"/>
      <c r="D2" s="1087"/>
      <c r="E2" s="1087"/>
      <c r="F2" s="1087"/>
      <c r="G2" s="1087"/>
      <c r="H2" s="1087"/>
      <c r="I2" s="1087"/>
      <c r="J2" s="1087"/>
      <c r="K2" s="1087"/>
      <c r="L2" s="1087"/>
    </row>
    <row r="3" spans="1:13" ht="243.75">
      <c r="A3" s="1086" t="s">
        <v>812</v>
      </c>
      <c r="B3" s="1086"/>
      <c r="C3" s="1086"/>
      <c r="D3" s="1086"/>
      <c r="E3" s="1086"/>
      <c r="F3" s="1086"/>
      <c r="G3" s="1086"/>
      <c r="H3" s="1086"/>
      <c r="I3" s="1086"/>
      <c r="J3" s="1086"/>
      <c r="K3" s="1086"/>
      <c r="L3" s="1086"/>
    </row>
    <row r="4" spans="1:13" ht="18.75">
      <c r="A4" s="490"/>
      <c r="B4" s="490"/>
      <c r="C4" s="490"/>
      <c r="D4" s="490"/>
      <c r="E4" s="490"/>
      <c r="F4" s="490"/>
      <c r="G4" s="490"/>
      <c r="H4" s="490"/>
      <c r="I4" s="490"/>
    </row>
    <row r="5" spans="1:13" ht="165">
      <c r="A5" s="1084" t="s">
        <v>0</v>
      </c>
      <c r="B5" s="1084" t="s">
        <v>287</v>
      </c>
      <c r="C5" s="1084" t="s">
        <v>184</v>
      </c>
      <c r="D5" s="1084" t="s">
        <v>317</v>
      </c>
      <c r="E5" s="1081" t="s">
        <v>495</v>
      </c>
      <c r="F5" s="1068" t="s">
        <v>760</v>
      </c>
      <c r="G5" s="1068"/>
      <c r="H5" s="1068"/>
      <c r="I5" s="1068"/>
      <c r="J5" s="1068"/>
      <c r="K5" s="1049" t="s">
        <v>531</v>
      </c>
      <c r="L5" s="1049" t="s">
        <v>532</v>
      </c>
    </row>
    <row r="6" spans="1:13" ht="66">
      <c r="A6" s="1084"/>
      <c r="B6" s="1084"/>
      <c r="C6" s="1084"/>
      <c r="D6" s="1084"/>
      <c r="E6" s="1082"/>
      <c r="F6" s="332" t="s">
        <v>706</v>
      </c>
      <c r="G6" s="332" t="s">
        <v>707</v>
      </c>
      <c r="H6" s="332" t="s">
        <v>708</v>
      </c>
      <c r="I6" s="332" t="s">
        <v>709</v>
      </c>
      <c r="J6" s="332" t="s">
        <v>710</v>
      </c>
      <c r="K6" s="1049"/>
      <c r="L6" s="1049"/>
    </row>
    <row r="7" spans="1:13" ht="37.5">
      <c r="A7" s="783" t="s">
        <v>101</v>
      </c>
      <c r="B7" s="918" t="s">
        <v>493</v>
      </c>
      <c r="C7" s="783"/>
      <c r="D7" s="783"/>
      <c r="E7" s="784"/>
      <c r="F7" s="785"/>
      <c r="G7" s="785"/>
      <c r="H7" s="785"/>
      <c r="I7" s="785"/>
      <c r="J7" s="785"/>
      <c r="K7" s="837"/>
      <c r="L7" s="837"/>
    </row>
    <row r="8" spans="1:13" ht="168.75">
      <c r="A8" s="919">
        <v>1</v>
      </c>
      <c r="B8" s="920" t="s">
        <v>810</v>
      </c>
      <c r="C8" s="838" t="s">
        <v>493</v>
      </c>
      <c r="D8" s="787">
        <v>18</v>
      </c>
      <c r="E8" s="823">
        <v>18</v>
      </c>
      <c r="F8" s="840">
        <v>18</v>
      </c>
      <c r="G8" s="840">
        <v>29</v>
      </c>
      <c r="H8" s="840">
        <v>30</v>
      </c>
      <c r="I8" s="840">
        <v>31</v>
      </c>
      <c r="J8" s="840">
        <v>34</v>
      </c>
      <c r="K8" s="838">
        <f>J8</f>
        <v>34</v>
      </c>
      <c r="L8" s="838" t="s">
        <v>36</v>
      </c>
    </row>
    <row r="9" spans="1:13" ht="281.25">
      <c r="A9" s="919">
        <v>2</v>
      </c>
      <c r="B9" s="920" t="s">
        <v>813</v>
      </c>
      <c r="C9" s="838" t="s">
        <v>493</v>
      </c>
      <c r="D9" s="787">
        <v>18</v>
      </c>
      <c r="E9" s="823">
        <v>18</v>
      </c>
      <c r="F9" s="840">
        <v>18</v>
      </c>
      <c r="G9" s="840">
        <v>29</v>
      </c>
      <c r="H9" s="840">
        <v>30</v>
      </c>
      <c r="I9" s="840">
        <v>31</v>
      </c>
      <c r="J9" s="840">
        <v>34</v>
      </c>
      <c r="K9" s="838">
        <f>J9</f>
        <v>34</v>
      </c>
      <c r="L9" s="838" t="s">
        <v>36</v>
      </c>
    </row>
    <row r="10" spans="1:13" ht="93.75">
      <c r="A10" s="919">
        <v>3</v>
      </c>
      <c r="B10" s="921" t="s">
        <v>811</v>
      </c>
      <c r="C10" s="838" t="s">
        <v>493</v>
      </c>
      <c r="D10" s="783"/>
      <c r="E10" s="823">
        <v>1</v>
      </c>
      <c r="F10" s="840"/>
      <c r="G10" s="840">
        <v>11</v>
      </c>
      <c r="H10" s="840">
        <v>1</v>
      </c>
      <c r="I10" s="840">
        <v>1</v>
      </c>
      <c r="J10" s="840">
        <v>3</v>
      </c>
      <c r="K10" s="838">
        <f>SUM(F10:J10)</f>
        <v>16</v>
      </c>
      <c r="L10" s="838" t="s">
        <v>78</v>
      </c>
    </row>
    <row r="11" spans="1:13" ht="150">
      <c r="A11" s="838">
        <v>4</v>
      </c>
      <c r="B11" s="921" t="s">
        <v>574</v>
      </c>
      <c r="C11" s="838" t="s">
        <v>684</v>
      </c>
      <c r="D11" s="783"/>
      <c r="E11" s="784"/>
      <c r="F11" s="804"/>
      <c r="G11" s="804"/>
      <c r="H11" s="804"/>
      <c r="I11" s="804"/>
      <c r="J11" s="804"/>
      <c r="K11" s="837"/>
      <c r="L11" s="837"/>
    </row>
    <row r="12" spans="1:13" ht="131.25">
      <c r="A12" s="919">
        <v>5</v>
      </c>
      <c r="B12" s="921" t="s">
        <v>575</v>
      </c>
      <c r="C12" s="838" t="s">
        <v>493</v>
      </c>
      <c r="D12" s="783"/>
      <c r="E12" s="784"/>
      <c r="F12" s="804"/>
      <c r="G12" s="804"/>
      <c r="H12" s="804"/>
      <c r="I12" s="804"/>
      <c r="J12" s="804"/>
      <c r="K12" s="837"/>
      <c r="L12" s="837"/>
    </row>
    <row r="13" spans="1:13" ht="37.5">
      <c r="A13" s="783" t="s">
        <v>102</v>
      </c>
      <c r="B13" s="786" t="s">
        <v>496</v>
      </c>
      <c r="C13" s="783"/>
      <c r="D13" s="491"/>
      <c r="E13" s="491"/>
      <c r="F13" s="492"/>
      <c r="G13" s="492"/>
      <c r="H13" s="492"/>
      <c r="I13" s="492"/>
      <c r="J13" s="491"/>
      <c r="K13" s="491"/>
      <c r="L13" s="491"/>
    </row>
    <row r="14" spans="1:13" ht="75">
      <c r="A14" s="787">
        <v>1</v>
      </c>
      <c r="B14" s="788" t="s">
        <v>497</v>
      </c>
      <c r="C14" s="787" t="s">
        <v>496</v>
      </c>
      <c r="D14" s="492">
        <v>20</v>
      </c>
      <c r="E14" s="492">
        <v>23</v>
      </c>
      <c r="F14" s="492">
        <v>3</v>
      </c>
      <c r="G14" s="492">
        <v>3</v>
      </c>
      <c r="H14" s="492">
        <v>6</v>
      </c>
      <c r="I14" s="492">
        <v>7</v>
      </c>
      <c r="J14" s="492">
        <v>9</v>
      </c>
      <c r="K14" s="492">
        <f>J14</f>
        <v>9</v>
      </c>
      <c r="L14" s="492" t="s">
        <v>42</v>
      </c>
    </row>
    <row r="15" spans="1:13" ht="37.5">
      <c r="A15" s="787"/>
      <c r="B15" s="789" t="s">
        <v>214</v>
      </c>
      <c r="C15" s="787"/>
      <c r="D15" s="491"/>
      <c r="E15" s="491"/>
      <c r="F15" s="492"/>
      <c r="G15" s="492"/>
      <c r="H15" s="492"/>
      <c r="I15" s="492"/>
      <c r="J15" s="491"/>
      <c r="K15" s="491"/>
      <c r="L15" s="491"/>
    </row>
    <row r="16" spans="1:13" ht="75">
      <c r="A16" s="790" t="s">
        <v>284</v>
      </c>
      <c r="B16" s="788" t="s">
        <v>498</v>
      </c>
      <c r="C16" s="787" t="s">
        <v>496</v>
      </c>
      <c r="D16" s="492">
        <v>5</v>
      </c>
      <c r="E16" s="492">
        <v>3</v>
      </c>
      <c r="F16" s="824"/>
      <c r="G16" s="824"/>
      <c r="H16" s="492">
        <v>3</v>
      </c>
      <c r="I16" s="492">
        <v>2</v>
      </c>
      <c r="J16" s="492">
        <v>2</v>
      </c>
      <c r="K16" s="839">
        <f>H16+I16+J16</f>
        <v>7</v>
      </c>
      <c r="L16" s="492" t="s">
        <v>78</v>
      </c>
    </row>
    <row r="17" spans="1:15" ht="56.25">
      <c r="A17" s="790" t="s">
        <v>284</v>
      </c>
      <c r="B17" s="788" t="s">
        <v>499</v>
      </c>
      <c r="C17" s="787" t="s">
        <v>496</v>
      </c>
      <c r="D17" s="824"/>
      <c r="E17" s="491"/>
      <c r="F17" s="492">
        <v>17</v>
      </c>
      <c r="G17" s="824"/>
      <c r="H17" s="824"/>
      <c r="I17" s="824">
        <v>1</v>
      </c>
      <c r="J17" s="492">
        <v>1</v>
      </c>
      <c r="K17" s="492"/>
      <c r="L17" s="491"/>
    </row>
    <row r="18" spans="1:15" ht="112.5">
      <c r="A18" s="787">
        <v>2</v>
      </c>
      <c r="B18" s="788" t="s">
        <v>500</v>
      </c>
      <c r="C18" s="787" t="s">
        <v>461</v>
      </c>
      <c r="D18" s="492">
        <v>157</v>
      </c>
      <c r="E18" s="492">
        <v>161</v>
      </c>
      <c r="F18" s="492">
        <v>21</v>
      </c>
      <c r="G18" s="492">
        <v>21</v>
      </c>
      <c r="H18" s="492">
        <v>42</v>
      </c>
      <c r="I18" s="492">
        <v>64</v>
      </c>
      <c r="J18" s="492">
        <v>81</v>
      </c>
      <c r="K18" s="492">
        <f>J18</f>
        <v>81</v>
      </c>
      <c r="L18" s="494" t="s">
        <v>42</v>
      </c>
    </row>
    <row r="19" spans="1:15" ht="112.5">
      <c r="A19" s="787">
        <v>3</v>
      </c>
      <c r="B19" s="788" t="s">
        <v>501</v>
      </c>
      <c r="C19" s="787" t="s">
        <v>461</v>
      </c>
      <c r="D19" s="492">
        <v>157</v>
      </c>
      <c r="E19" s="492">
        <v>161</v>
      </c>
      <c r="F19" s="492">
        <v>21</v>
      </c>
      <c r="G19" s="492">
        <v>21</v>
      </c>
      <c r="H19" s="492">
        <v>42</v>
      </c>
      <c r="I19" s="492">
        <v>64</v>
      </c>
      <c r="J19" s="492">
        <v>81</v>
      </c>
      <c r="K19" s="492">
        <f>J19</f>
        <v>81</v>
      </c>
      <c r="L19" s="494" t="s">
        <v>42</v>
      </c>
    </row>
    <row r="20" spans="1:15" ht="37.5">
      <c r="A20" s="787"/>
      <c r="B20" s="789" t="s">
        <v>516</v>
      </c>
      <c r="C20" s="787" t="s">
        <v>461</v>
      </c>
      <c r="D20" s="492">
        <v>157</v>
      </c>
      <c r="E20" s="492">
        <v>161</v>
      </c>
      <c r="F20" s="492">
        <v>21</v>
      </c>
      <c r="G20" s="492">
        <v>21</v>
      </c>
      <c r="H20" s="492">
        <v>42</v>
      </c>
      <c r="I20" s="492">
        <v>64</v>
      </c>
      <c r="J20" s="492">
        <v>81</v>
      </c>
      <c r="K20" s="492">
        <f>J20</f>
        <v>81</v>
      </c>
      <c r="L20" s="494" t="s">
        <v>42</v>
      </c>
    </row>
    <row r="21" spans="1:15" ht="75">
      <c r="A21" s="783" t="s">
        <v>102</v>
      </c>
      <c r="B21" s="786" t="s">
        <v>502</v>
      </c>
      <c r="C21" s="787"/>
      <c r="D21" s="491"/>
      <c r="E21" s="491"/>
      <c r="F21" s="492"/>
      <c r="G21" s="492"/>
      <c r="H21" s="493"/>
      <c r="I21" s="493"/>
      <c r="J21" s="492"/>
      <c r="K21" s="492"/>
      <c r="L21" s="491"/>
    </row>
    <row r="22" spans="1:15" ht="93.75">
      <c r="A22" s="787">
        <v>1</v>
      </c>
      <c r="B22" s="788" t="s">
        <v>503</v>
      </c>
      <c r="C22" s="787" t="s">
        <v>502</v>
      </c>
      <c r="D22" s="491"/>
      <c r="E22" s="491"/>
      <c r="K22" s="492"/>
      <c r="L22" s="491"/>
    </row>
    <row r="23" spans="1:15" ht="37.5">
      <c r="A23" s="787"/>
      <c r="B23" s="789" t="s">
        <v>214</v>
      </c>
      <c r="C23" s="787"/>
      <c r="D23" s="491"/>
      <c r="E23" s="491"/>
      <c r="K23" s="492"/>
      <c r="L23" s="491"/>
    </row>
    <row r="24" spans="1:15" ht="112.5">
      <c r="A24" s="790" t="s">
        <v>284</v>
      </c>
      <c r="B24" s="788" t="s">
        <v>504</v>
      </c>
      <c r="C24" s="787" t="s">
        <v>502</v>
      </c>
      <c r="D24" s="491"/>
      <c r="E24" s="491"/>
      <c r="F24" s="492"/>
      <c r="G24" s="492"/>
      <c r="H24" s="493"/>
      <c r="I24" s="493"/>
      <c r="J24" s="492"/>
      <c r="K24" s="492"/>
      <c r="L24" s="491"/>
    </row>
    <row r="25" spans="1:15" ht="93.75">
      <c r="A25" s="790" t="s">
        <v>284</v>
      </c>
      <c r="B25" s="788" t="s">
        <v>505</v>
      </c>
      <c r="C25" s="787" t="s">
        <v>502</v>
      </c>
      <c r="D25" s="491"/>
      <c r="E25" s="491"/>
      <c r="F25" s="492"/>
      <c r="G25" s="492"/>
      <c r="H25" s="493"/>
      <c r="I25" s="493"/>
      <c r="J25" s="492"/>
      <c r="K25" s="492"/>
      <c r="L25" s="491"/>
    </row>
    <row r="26" spans="1:15" ht="93.75">
      <c r="A26" s="787">
        <v>2</v>
      </c>
      <c r="B26" s="788" t="s">
        <v>506</v>
      </c>
      <c r="C26" s="787" t="s">
        <v>496</v>
      </c>
      <c r="D26" s="491"/>
      <c r="E26" s="491"/>
      <c r="F26" s="492"/>
      <c r="G26" s="492"/>
      <c r="H26" s="493"/>
      <c r="I26" s="493"/>
      <c r="J26" s="492"/>
      <c r="K26" s="492"/>
      <c r="L26" s="491"/>
    </row>
    <row r="27" spans="1:15" ht="150">
      <c r="A27" s="787">
        <v>3</v>
      </c>
      <c r="B27" s="788" t="s">
        <v>507</v>
      </c>
      <c r="C27" s="787" t="s">
        <v>461</v>
      </c>
      <c r="D27" s="791"/>
      <c r="E27" s="791"/>
      <c r="F27" s="788"/>
      <c r="G27" s="788"/>
      <c r="H27" s="788"/>
      <c r="I27" s="788"/>
      <c r="J27" s="787"/>
      <c r="K27" s="787"/>
      <c r="L27" s="491"/>
    </row>
    <row r="28" spans="1:15" ht="56.25">
      <c r="A28" s="783" t="s">
        <v>115</v>
      </c>
      <c r="B28" s="786" t="s">
        <v>508</v>
      </c>
      <c r="C28" s="783"/>
      <c r="D28" s="791"/>
      <c r="E28" s="791"/>
      <c r="F28" s="788"/>
      <c r="G28" s="788"/>
      <c r="H28" s="788"/>
      <c r="I28" s="788"/>
      <c r="J28" s="788"/>
      <c r="K28" s="788"/>
      <c r="L28" s="495"/>
    </row>
    <row r="29" spans="1:15" ht="75">
      <c r="A29" s="787">
        <v>1</v>
      </c>
      <c r="B29" s="788" t="s">
        <v>509</v>
      </c>
      <c r="C29" s="787" t="s">
        <v>510</v>
      </c>
      <c r="D29" s="791"/>
      <c r="E29" s="791"/>
      <c r="F29" s="659"/>
      <c r="G29" s="922"/>
      <c r="H29" s="922"/>
      <c r="I29" s="922"/>
      <c r="J29" s="922"/>
      <c r="K29" s="788"/>
      <c r="L29" s="495"/>
      <c r="O29" s="792"/>
    </row>
    <row r="30" spans="1:15" ht="18.75">
      <c r="A30" s="787"/>
      <c r="B30" s="789" t="s">
        <v>517</v>
      </c>
      <c r="C30" s="787"/>
      <c r="D30" s="791"/>
      <c r="E30" s="791"/>
      <c r="F30" s="659"/>
      <c r="G30" s="922"/>
      <c r="H30" s="922"/>
      <c r="I30" s="922"/>
      <c r="J30" s="922"/>
      <c r="K30" s="788"/>
      <c r="L30" s="495"/>
    </row>
    <row r="31" spans="1:15" ht="112.5">
      <c r="A31" s="787">
        <v>2</v>
      </c>
      <c r="B31" s="788" t="s">
        <v>511</v>
      </c>
      <c r="C31" s="787" t="s">
        <v>512</v>
      </c>
      <c r="D31" s="793"/>
      <c r="E31" s="793"/>
      <c r="F31" s="923"/>
      <c r="G31" s="924"/>
      <c r="H31" s="924"/>
      <c r="I31" s="924"/>
      <c r="J31" s="924"/>
      <c r="K31" s="794"/>
      <c r="L31" s="495"/>
    </row>
    <row r="32" spans="1:15" ht="18.75">
      <c r="A32" s="788"/>
      <c r="B32" s="789" t="s">
        <v>518</v>
      </c>
      <c r="C32" s="787" t="s">
        <v>461</v>
      </c>
      <c r="D32" s="793"/>
      <c r="E32" s="793"/>
      <c r="F32" s="794"/>
      <c r="G32" s="794"/>
      <c r="H32" s="794"/>
      <c r="I32" s="794"/>
      <c r="J32" s="794"/>
      <c r="K32" s="794"/>
      <c r="L32" s="495"/>
    </row>
    <row r="33" spans="1:13" ht="112.5">
      <c r="A33" s="787">
        <v>3</v>
      </c>
      <c r="B33" s="788" t="s">
        <v>513</v>
      </c>
      <c r="C33" s="787" t="s">
        <v>461</v>
      </c>
      <c r="D33" s="793"/>
      <c r="E33" s="793"/>
      <c r="F33" s="923"/>
      <c r="G33" s="924"/>
      <c r="H33" s="924"/>
      <c r="I33" s="924"/>
      <c r="J33" s="924"/>
      <c r="K33" s="794"/>
      <c r="L33" s="795"/>
      <c r="M33" s="495">
        <v>4390</v>
      </c>
    </row>
    <row r="34" spans="1:13" ht="37.5">
      <c r="A34" s="788"/>
      <c r="B34" s="789" t="s">
        <v>214</v>
      </c>
      <c r="C34" s="787"/>
      <c r="D34" s="793"/>
      <c r="E34" s="793"/>
      <c r="F34" s="794"/>
      <c r="G34" s="794"/>
      <c r="H34" s="794"/>
      <c r="I34" s="794"/>
      <c r="J34" s="794"/>
      <c r="K34" s="794"/>
      <c r="L34" s="495"/>
    </row>
    <row r="35" spans="1:13" ht="112.5">
      <c r="A35" s="790" t="s">
        <v>284</v>
      </c>
      <c r="B35" s="788" t="s">
        <v>514</v>
      </c>
      <c r="C35" s="787" t="s">
        <v>461</v>
      </c>
      <c r="D35" s="793"/>
      <c r="E35" s="793"/>
      <c r="F35" s="923"/>
      <c r="G35" s="924"/>
      <c r="H35" s="924"/>
      <c r="I35" s="924"/>
      <c r="J35" s="924"/>
      <c r="K35" s="794"/>
      <c r="L35" s="495"/>
    </row>
    <row r="36" spans="1:13" ht="206.25">
      <c r="A36" s="790" t="s">
        <v>284</v>
      </c>
      <c r="B36" s="788" t="s">
        <v>515</v>
      </c>
      <c r="C36" s="787" t="s">
        <v>461</v>
      </c>
      <c r="D36" s="793"/>
      <c r="E36" s="793"/>
      <c r="F36" s="794"/>
      <c r="G36" s="794"/>
      <c r="H36" s="794"/>
      <c r="I36" s="794"/>
      <c r="J36" s="794"/>
      <c r="K36" s="794"/>
      <c r="L36" s="49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/>
  </sheetViews>
  <sheetFormatPr defaultRowHeight="15"/>
  <sheetData>
    <row r="1" spans="1:12" ht="20.25">
      <c r="A1" s="1089" t="s">
        <v>130</v>
      </c>
      <c r="B1" s="1089"/>
      <c r="C1" s="1089"/>
      <c r="D1" s="1089"/>
      <c r="E1" s="1089"/>
      <c r="F1" s="1089"/>
      <c r="G1" s="1089"/>
      <c r="H1" s="1089"/>
      <c r="I1" s="1089"/>
      <c r="J1" s="1089"/>
      <c r="K1" s="1089"/>
      <c r="L1" s="1089"/>
    </row>
    <row r="2" spans="1:12" ht="16.5">
      <c r="A2" s="1090" t="s">
        <v>100</v>
      </c>
      <c r="B2" s="1090"/>
      <c r="C2" s="1090"/>
      <c r="D2" s="1090"/>
      <c r="E2" s="1090"/>
      <c r="F2" s="1090"/>
      <c r="G2" s="1090"/>
      <c r="H2" s="1090"/>
      <c r="I2" s="1090"/>
      <c r="J2" s="1090"/>
      <c r="K2" s="1090"/>
      <c r="L2" s="1090"/>
    </row>
    <row r="3" spans="1:12" ht="12.75">
      <c r="A3" s="43"/>
      <c r="B3" s="43"/>
      <c r="C3" s="43"/>
      <c r="D3" s="44"/>
      <c r="E3" s="44"/>
      <c r="F3" s="29"/>
      <c r="G3" s="29"/>
      <c r="H3" s="29"/>
      <c r="I3" s="44"/>
      <c r="J3" s="43"/>
      <c r="K3" s="43"/>
      <c r="L3" s="43"/>
    </row>
    <row r="4" spans="1:12" ht="110.25">
      <c r="A4" s="1091" t="s">
        <v>0</v>
      </c>
      <c r="B4" s="1091" t="s">
        <v>19</v>
      </c>
      <c r="C4" s="1091" t="s">
        <v>20</v>
      </c>
      <c r="D4" s="1093" t="s">
        <v>21</v>
      </c>
      <c r="E4" s="1093" t="s">
        <v>98</v>
      </c>
      <c r="F4" s="1093" t="s">
        <v>22</v>
      </c>
      <c r="G4" s="1093" t="s">
        <v>23</v>
      </c>
      <c r="H4" s="1093" t="s">
        <v>24</v>
      </c>
      <c r="I4" s="1093" t="s">
        <v>124</v>
      </c>
      <c r="J4" s="1095" t="s">
        <v>95</v>
      </c>
      <c r="K4" s="1096"/>
      <c r="L4" s="1091" t="s">
        <v>25</v>
      </c>
    </row>
    <row r="5" spans="1:12" ht="15.75">
      <c r="A5" s="1092"/>
      <c r="B5" s="1092"/>
      <c r="C5" s="1092"/>
      <c r="D5" s="1094"/>
      <c r="E5" s="1094"/>
      <c r="F5" s="1094"/>
      <c r="G5" s="1094"/>
      <c r="H5" s="1094"/>
      <c r="I5" s="1094"/>
      <c r="J5" s="45">
        <v>2009</v>
      </c>
      <c r="K5" s="45">
        <v>2010</v>
      </c>
      <c r="L5" s="1092"/>
    </row>
    <row r="6" spans="1:12" ht="47.25">
      <c r="A6" s="32" t="s">
        <v>26</v>
      </c>
      <c r="B6" s="33" t="s">
        <v>27</v>
      </c>
      <c r="C6" s="32"/>
      <c r="D6" s="34"/>
      <c r="E6" s="34"/>
      <c r="F6" s="32"/>
      <c r="G6" s="32"/>
      <c r="H6" s="32">
        <v>6.2</v>
      </c>
      <c r="I6" s="32"/>
      <c r="J6" s="32"/>
      <c r="K6" s="32"/>
      <c r="L6" s="32"/>
    </row>
    <row r="7" spans="1:12" ht="94.5">
      <c r="A7" s="35">
        <v>1</v>
      </c>
      <c r="B7" s="36" t="s">
        <v>28</v>
      </c>
      <c r="C7" s="35" t="s">
        <v>5</v>
      </c>
      <c r="D7" s="37" t="s">
        <v>29</v>
      </c>
      <c r="E7" s="51" t="e">
        <f>#REF!</f>
        <v>#REF!</v>
      </c>
      <c r="F7" s="51" t="e">
        <f>#REF!</f>
        <v>#REF!</v>
      </c>
      <c r="G7" s="51" t="e">
        <f>#REF!</f>
        <v>#REF!</v>
      </c>
      <c r="H7" s="51" t="e">
        <f>#REF!</f>
        <v>#REF!</v>
      </c>
      <c r="I7" s="55" t="e">
        <f>#REF!</f>
        <v>#REF!</v>
      </c>
      <c r="J7" s="38" t="e">
        <f>#REF!</f>
        <v>#REF!</v>
      </c>
      <c r="K7" s="38">
        <v>7</v>
      </c>
      <c r="L7" s="35" t="s">
        <v>126</v>
      </c>
    </row>
    <row r="8" spans="1:12" ht="78.75">
      <c r="A8" s="35">
        <v>2</v>
      </c>
      <c r="B8" s="36" t="s">
        <v>31</v>
      </c>
      <c r="C8" s="35" t="s">
        <v>32</v>
      </c>
      <c r="D8" s="37" t="s">
        <v>33</v>
      </c>
      <c r="E8" s="37"/>
      <c r="F8" s="39">
        <v>425373</v>
      </c>
      <c r="G8" s="39">
        <v>461443</v>
      </c>
      <c r="H8" s="35" t="s">
        <v>34</v>
      </c>
      <c r="I8" s="35" t="s">
        <v>96</v>
      </c>
      <c r="J8" s="39" t="s">
        <v>97</v>
      </c>
      <c r="K8" s="39" t="s">
        <v>127</v>
      </c>
      <c r="L8" s="35" t="s">
        <v>30</v>
      </c>
    </row>
    <row r="9" spans="1:12" ht="63">
      <c r="A9" s="35">
        <v>3</v>
      </c>
      <c r="B9" s="36" t="s">
        <v>35</v>
      </c>
      <c r="C9" s="35" t="s">
        <v>10</v>
      </c>
      <c r="D9" s="37" t="e">
        <f>#REF!</f>
        <v>#REF!</v>
      </c>
      <c r="E9" s="37" t="e">
        <f>#REF!</f>
        <v>#REF!</v>
      </c>
      <c r="F9" s="37" t="e">
        <f>#REF!</f>
        <v>#REF!</v>
      </c>
      <c r="G9" s="37" t="e">
        <f>#REF!</f>
        <v>#REF!</v>
      </c>
      <c r="H9" s="37" t="e">
        <f>#REF!</f>
        <v>#REF!</v>
      </c>
      <c r="I9" s="37" t="e">
        <f>#REF!</f>
        <v>#REF!</v>
      </c>
      <c r="J9" s="39" t="e">
        <f>#REF!</f>
        <v>#REF!</v>
      </c>
      <c r="K9" s="39">
        <v>1380</v>
      </c>
      <c r="L9" s="35" t="s">
        <v>78</v>
      </c>
    </row>
    <row r="10" spans="1:12" ht="63">
      <c r="A10" s="35">
        <v>4</v>
      </c>
      <c r="B10" s="36" t="s">
        <v>37</v>
      </c>
      <c r="C10" s="35" t="s">
        <v>5</v>
      </c>
      <c r="D10" s="37" t="e">
        <f>#REF!</f>
        <v>#REF!</v>
      </c>
      <c r="E10" s="37" t="e">
        <f>#REF!</f>
        <v>#REF!</v>
      </c>
      <c r="F10" s="37" t="e">
        <f>#REF!</f>
        <v>#REF!</v>
      </c>
      <c r="G10" s="37" t="e">
        <f>#REF!</f>
        <v>#REF!</v>
      </c>
      <c r="H10" s="37" t="e">
        <f>#REF!</f>
        <v>#REF!</v>
      </c>
      <c r="I10" s="53" t="e">
        <f>#REF!</f>
        <v>#REF!</v>
      </c>
      <c r="J10" s="38" t="e">
        <f>#REF!</f>
        <v>#REF!</v>
      </c>
      <c r="K10" s="38">
        <v>3.5</v>
      </c>
      <c r="L10" s="35" t="s">
        <v>78</v>
      </c>
    </row>
    <row r="11" spans="1:12" ht="63">
      <c r="A11" s="35">
        <v>5</v>
      </c>
      <c r="B11" s="36" t="s">
        <v>38</v>
      </c>
      <c r="C11" s="35" t="s">
        <v>5</v>
      </c>
      <c r="D11" s="37" t="e">
        <f>#REF!</f>
        <v>#REF!</v>
      </c>
      <c r="E11" s="37" t="e">
        <f>#REF!</f>
        <v>#REF!</v>
      </c>
      <c r="F11" s="37" t="e">
        <f>#REF!</f>
        <v>#REF!</v>
      </c>
      <c r="G11" s="37" t="e">
        <f>#REF!</f>
        <v>#REF!</v>
      </c>
      <c r="H11" s="37" t="e">
        <f>#REF!</f>
        <v>#REF!</v>
      </c>
      <c r="I11" s="53" t="e">
        <f>#REF!</f>
        <v>#REF!</v>
      </c>
      <c r="J11" s="38" t="e">
        <f>#REF!</f>
        <v>#REF!</v>
      </c>
      <c r="K11" s="38">
        <v>8</v>
      </c>
      <c r="L11" s="35" t="s">
        <v>126</v>
      </c>
    </row>
    <row r="12" spans="1:12" ht="63">
      <c r="A12" s="35">
        <v>6</v>
      </c>
      <c r="B12" s="36" t="s">
        <v>39</v>
      </c>
      <c r="C12" s="35" t="s">
        <v>5</v>
      </c>
      <c r="D12" s="37" t="e">
        <f>#REF!</f>
        <v>#REF!</v>
      </c>
      <c r="E12" s="37" t="e">
        <f>#REF!</f>
        <v>#REF!</v>
      </c>
      <c r="F12" s="37" t="e">
        <f>#REF!</f>
        <v>#REF!</v>
      </c>
      <c r="G12" s="37" t="e">
        <f>#REF!</f>
        <v>#REF!</v>
      </c>
      <c r="H12" s="37" t="e">
        <f>#REF!</f>
        <v>#REF!</v>
      </c>
      <c r="I12" s="53" t="e">
        <f>#REF!</f>
        <v>#REF!</v>
      </c>
      <c r="J12" s="38" t="e">
        <f>#REF!</f>
        <v>#REF!</v>
      </c>
      <c r="K12" s="35">
        <v>7.8</v>
      </c>
      <c r="L12" s="35" t="s">
        <v>36</v>
      </c>
    </row>
    <row r="13" spans="1:12" ht="31.5">
      <c r="A13" s="35">
        <v>7</v>
      </c>
      <c r="B13" s="36" t="s">
        <v>40</v>
      </c>
      <c r="C13" s="35"/>
      <c r="D13" s="37"/>
      <c r="E13" s="37"/>
      <c r="F13" s="35"/>
      <c r="G13" s="35"/>
      <c r="H13" s="35"/>
      <c r="I13" s="35"/>
      <c r="J13" s="35"/>
      <c r="K13" s="35"/>
      <c r="L13" s="35"/>
    </row>
    <row r="14" spans="1:12" ht="63">
      <c r="A14" s="35"/>
      <c r="B14" s="36" t="s">
        <v>41</v>
      </c>
      <c r="C14" s="35" t="s">
        <v>5</v>
      </c>
      <c r="D14" s="37" t="e">
        <f>#REF!</f>
        <v>#REF!</v>
      </c>
      <c r="E14" s="37" t="e">
        <f>#REF!</f>
        <v>#REF!</v>
      </c>
      <c r="F14" s="37" t="e">
        <f>#REF!</f>
        <v>#REF!</v>
      </c>
      <c r="G14" s="37" t="e">
        <f>#REF!</f>
        <v>#REF!</v>
      </c>
      <c r="H14" s="37" t="e">
        <f>#REF!</f>
        <v>#REF!</v>
      </c>
      <c r="I14" s="37" t="e">
        <f>#REF!</f>
        <v>#REF!</v>
      </c>
      <c r="J14" s="109" t="e">
        <f>#REF!</f>
        <v>#REF!</v>
      </c>
      <c r="K14" s="35">
        <v>20</v>
      </c>
      <c r="L14" s="35" t="s">
        <v>42</v>
      </c>
    </row>
    <row r="15" spans="1:12" ht="47.25">
      <c r="A15" s="35"/>
      <c r="B15" s="36" t="s">
        <v>43</v>
      </c>
      <c r="C15" s="35" t="s">
        <v>5</v>
      </c>
      <c r="D15" s="37" t="e">
        <f>#REF!</f>
        <v>#REF!</v>
      </c>
      <c r="E15" s="37" t="e">
        <f>#REF!</f>
        <v>#REF!</v>
      </c>
      <c r="F15" s="37" t="e">
        <f>#REF!</f>
        <v>#REF!</v>
      </c>
      <c r="G15" s="37" t="e">
        <f>#REF!</f>
        <v>#REF!</v>
      </c>
      <c r="H15" s="37" t="e">
        <f>#REF!</f>
        <v>#REF!</v>
      </c>
      <c r="I15" s="37" t="e">
        <f>#REF!</f>
        <v>#REF!</v>
      </c>
      <c r="J15" s="109" t="e">
        <f>#REF!</f>
        <v>#REF!</v>
      </c>
      <c r="K15" s="35">
        <v>40.799999999999997</v>
      </c>
      <c r="L15" s="35" t="s">
        <v>42</v>
      </c>
    </row>
    <row r="16" spans="1:12" ht="31.5">
      <c r="A16" s="35"/>
      <c r="B16" s="36" t="s">
        <v>44</v>
      </c>
      <c r="C16" s="35" t="s">
        <v>5</v>
      </c>
      <c r="D16" s="37" t="e">
        <f>#REF!</f>
        <v>#REF!</v>
      </c>
      <c r="E16" s="37" t="e">
        <f>#REF!</f>
        <v>#REF!</v>
      </c>
      <c r="F16" s="37" t="e">
        <f>#REF!</f>
        <v>#REF!</v>
      </c>
      <c r="G16" s="37" t="e">
        <f>#REF!</f>
        <v>#REF!</v>
      </c>
      <c r="H16" s="37" t="e">
        <f>#REF!</f>
        <v>#REF!</v>
      </c>
      <c r="I16" s="37" t="e">
        <f>#REF!</f>
        <v>#REF!</v>
      </c>
      <c r="J16" s="109" t="e">
        <f>#REF!</f>
        <v>#REF!</v>
      </c>
      <c r="K16" s="35">
        <v>40.5</v>
      </c>
      <c r="L16" s="35" t="s">
        <v>30</v>
      </c>
    </row>
    <row r="17" spans="1:15" ht="94.5">
      <c r="A17" s="35">
        <v>8</v>
      </c>
      <c r="B17" s="36" t="s">
        <v>45</v>
      </c>
      <c r="C17" s="35" t="s">
        <v>5</v>
      </c>
      <c r="D17" s="37" t="e">
        <f>#REF!</f>
        <v>#REF!</v>
      </c>
      <c r="E17" s="37" t="e">
        <f>#REF!</f>
        <v>#REF!</v>
      </c>
      <c r="F17" s="37" t="e">
        <f>#REF!</f>
        <v>#REF!</v>
      </c>
      <c r="G17" s="37" t="e">
        <f>#REF!</f>
        <v>#REF!</v>
      </c>
      <c r="H17" s="47" t="e">
        <f>#REF!</f>
        <v>#REF!</v>
      </c>
      <c r="I17" s="47" t="e">
        <f>#REF!</f>
        <v>#REF!</v>
      </c>
      <c r="J17" s="38" t="e">
        <f>#REF!</f>
        <v>#REF!</v>
      </c>
      <c r="K17" s="35">
        <v>20</v>
      </c>
      <c r="L17" s="35" t="s">
        <v>78</v>
      </c>
      <c r="O17" s="101"/>
    </row>
    <row r="18" spans="1:15" ht="78.75">
      <c r="A18" s="35">
        <v>9</v>
      </c>
      <c r="B18" s="36" t="s">
        <v>47</v>
      </c>
      <c r="C18" s="35" t="s">
        <v>5</v>
      </c>
      <c r="D18" s="37" t="e">
        <f>#REF!</f>
        <v>#REF!</v>
      </c>
      <c r="E18" s="37" t="e">
        <f>#REF!</f>
        <v>#REF!</v>
      </c>
      <c r="F18" s="37" t="e">
        <f>#REF!</f>
        <v>#REF!</v>
      </c>
      <c r="G18" s="37" t="e">
        <f>#REF!</f>
        <v>#REF!</v>
      </c>
      <c r="H18" s="37" t="e">
        <f>#REF!</f>
        <v>#REF!</v>
      </c>
      <c r="I18" s="37" t="e">
        <f>#REF!</f>
        <v>#REF!</v>
      </c>
      <c r="J18" s="35" t="e">
        <f>#REF!</f>
        <v>#REF!</v>
      </c>
      <c r="K18" s="35">
        <v>40</v>
      </c>
      <c r="L18" s="35" t="s">
        <v>36</v>
      </c>
    </row>
    <row r="19" spans="1:15" ht="94.5">
      <c r="A19" s="35">
        <v>10</v>
      </c>
      <c r="B19" s="36" t="s">
        <v>49</v>
      </c>
      <c r="C19" s="35" t="s">
        <v>5</v>
      </c>
      <c r="D19" s="37" t="s">
        <v>50</v>
      </c>
      <c r="E19" s="37">
        <v>27.2</v>
      </c>
      <c r="F19" s="35">
        <v>28.7</v>
      </c>
      <c r="G19" s="35">
        <v>27.6</v>
      </c>
      <c r="H19" s="35">
        <v>26.8</v>
      </c>
      <c r="I19" s="38" t="e">
        <f>#REF!</f>
        <v>#REF!</v>
      </c>
      <c r="J19" s="85" t="e">
        <f>#REF!</f>
        <v>#REF!</v>
      </c>
      <c r="K19" s="40">
        <v>23</v>
      </c>
      <c r="L19" s="35" t="s">
        <v>78</v>
      </c>
    </row>
    <row r="20" spans="1:15" ht="31.5">
      <c r="A20" s="35" t="s">
        <v>51</v>
      </c>
      <c r="B20" s="36" t="s">
        <v>52</v>
      </c>
      <c r="C20" s="35"/>
      <c r="D20" s="37"/>
      <c r="E20" s="37"/>
      <c r="F20" s="35"/>
      <c r="G20" s="35"/>
      <c r="H20" s="35"/>
      <c r="I20" s="35"/>
      <c r="J20" s="35"/>
      <c r="K20" s="35"/>
      <c r="L20" s="35"/>
    </row>
    <row r="21" spans="1:15" ht="157.5">
      <c r="A21" s="35">
        <v>11</v>
      </c>
      <c r="B21" s="36" t="s">
        <v>53</v>
      </c>
      <c r="C21" s="35" t="s">
        <v>54</v>
      </c>
      <c r="D21" s="37" t="s">
        <v>55</v>
      </c>
      <c r="E21" s="52" t="e">
        <f>#REF!</f>
        <v>#REF!</v>
      </c>
      <c r="F21" s="52" t="e">
        <f>#REF!</f>
        <v>#REF!</v>
      </c>
      <c r="G21" s="52" t="e">
        <f>#REF!</f>
        <v>#REF!</v>
      </c>
      <c r="H21" s="52" t="e">
        <f>#REF!</f>
        <v>#REF!</v>
      </c>
      <c r="I21" s="52" t="e">
        <f>#REF!</f>
        <v>#REF!</v>
      </c>
      <c r="J21" s="39" t="e">
        <f>#REF!</f>
        <v>#REF!</v>
      </c>
      <c r="K21" s="35" t="s">
        <v>104</v>
      </c>
      <c r="L21" s="35" t="s">
        <v>42</v>
      </c>
    </row>
    <row r="22" spans="1:15" ht="63">
      <c r="A22" s="35">
        <v>12</v>
      </c>
      <c r="B22" s="36" t="s">
        <v>56</v>
      </c>
      <c r="C22" s="35" t="s">
        <v>57</v>
      </c>
      <c r="D22" s="37" t="s">
        <v>58</v>
      </c>
      <c r="E22" s="37"/>
      <c r="F22" s="35">
        <v>183</v>
      </c>
      <c r="G22" s="35" t="s">
        <v>59</v>
      </c>
      <c r="H22" s="35" t="s">
        <v>60</v>
      </c>
      <c r="I22" s="102" t="e">
        <f>#REF!</f>
        <v>#REF!</v>
      </c>
      <c r="J22" s="35">
        <v>196</v>
      </c>
      <c r="K22" s="35">
        <v>204</v>
      </c>
      <c r="L22" s="35" t="s">
        <v>30</v>
      </c>
    </row>
    <row r="23" spans="1:15" ht="47.25">
      <c r="A23" s="35">
        <v>13</v>
      </c>
      <c r="B23" s="36" t="s">
        <v>61</v>
      </c>
      <c r="C23" s="35" t="s">
        <v>5</v>
      </c>
      <c r="D23" s="37" t="s">
        <v>48</v>
      </c>
      <c r="E23" s="37"/>
      <c r="F23" s="35">
        <v>27.8</v>
      </c>
      <c r="G23" s="35" t="s">
        <v>62</v>
      </c>
      <c r="H23" s="35" t="s">
        <v>63</v>
      </c>
      <c r="I23" s="38" t="str">
        <f>H23</f>
        <v>37</v>
      </c>
      <c r="J23" s="35">
        <v>40</v>
      </c>
      <c r="K23" s="35">
        <v>43</v>
      </c>
      <c r="L23" s="35" t="s">
        <v>36</v>
      </c>
    </row>
    <row r="24" spans="1:15" ht="110.25">
      <c r="A24" s="35">
        <v>14</v>
      </c>
      <c r="B24" s="36" t="s">
        <v>75</v>
      </c>
      <c r="C24" s="35" t="s">
        <v>5</v>
      </c>
      <c r="D24" s="37" t="s">
        <v>76</v>
      </c>
      <c r="E24" s="37"/>
      <c r="F24" s="35">
        <v>8.4700000000000006</v>
      </c>
      <c r="G24" s="35">
        <v>21.5</v>
      </c>
      <c r="H24" s="35">
        <v>12.4</v>
      </c>
      <c r="I24" s="103" t="s">
        <v>128</v>
      </c>
      <c r="J24" s="35">
        <v>18</v>
      </c>
      <c r="K24" s="35"/>
      <c r="L24" s="35" t="s">
        <v>78</v>
      </c>
    </row>
    <row r="25" spans="1:15" ht="47.25">
      <c r="A25" s="35">
        <v>15</v>
      </c>
      <c r="B25" s="36" t="s">
        <v>64</v>
      </c>
      <c r="C25" s="35" t="s">
        <v>5</v>
      </c>
      <c r="D25" s="51" t="e">
        <f>#REF!</f>
        <v>#REF!</v>
      </c>
      <c r="E25" s="51" t="e">
        <f>#REF!</f>
        <v>#REF!</v>
      </c>
      <c r="F25" s="51" t="e">
        <f>#REF!</f>
        <v>#REF!</v>
      </c>
      <c r="G25" s="51" t="e">
        <f>#REF!</f>
        <v>#REF!</v>
      </c>
      <c r="H25" s="51" t="e">
        <f>#REF!</f>
        <v>#REF!</v>
      </c>
      <c r="I25" s="51" t="e">
        <f>#REF!</f>
        <v>#REF!</v>
      </c>
      <c r="J25" s="109" t="e">
        <f>#REF!</f>
        <v>#REF!</v>
      </c>
      <c r="K25" s="35">
        <v>1.1599999999999999</v>
      </c>
      <c r="L25" s="35" t="s">
        <v>42</v>
      </c>
    </row>
    <row r="26" spans="1:15" ht="31.5">
      <c r="A26" s="35">
        <v>16</v>
      </c>
      <c r="B26" s="36" t="s">
        <v>65</v>
      </c>
      <c r="C26" s="35" t="s">
        <v>66</v>
      </c>
      <c r="D26" s="37" t="s">
        <v>103</v>
      </c>
      <c r="E26" s="37" t="e">
        <f>#REF!</f>
        <v>#REF!</v>
      </c>
      <c r="F26" s="37" t="e">
        <f>#REF!</f>
        <v>#REF!</v>
      </c>
      <c r="G26" s="37" t="e">
        <f>#REF!</f>
        <v>#REF!</v>
      </c>
      <c r="H26" s="37" t="e">
        <f>#REF!</f>
        <v>#REF!</v>
      </c>
      <c r="I26" s="37" t="e">
        <f>#REF!</f>
        <v>#REF!</v>
      </c>
      <c r="J26" s="35" t="e">
        <f>#REF!</f>
        <v>#REF!</v>
      </c>
      <c r="K26" s="35">
        <v>1.8</v>
      </c>
      <c r="L26" s="35" t="s">
        <v>78</v>
      </c>
    </row>
    <row r="27" spans="1:15" ht="47.25">
      <c r="A27" s="35">
        <v>17</v>
      </c>
      <c r="B27" s="36" t="s">
        <v>67</v>
      </c>
      <c r="C27" s="35" t="s">
        <v>5</v>
      </c>
      <c r="D27" s="51" t="e">
        <f>#REF!</f>
        <v>#REF!</v>
      </c>
      <c r="E27" s="51" t="e">
        <f>#REF!</f>
        <v>#REF!</v>
      </c>
      <c r="F27" s="51" t="e">
        <f>#REF!</f>
        <v>#REF!</v>
      </c>
      <c r="G27" s="51" t="e">
        <f>#REF!</f>
        <v>#REF!</v>
      </c>
      <c r="H27" s="51" t="e">
        <f>#REF!</f>
        <v>#REF!</v>
      </c>
      <c r="I27" s="51" t="e">
        <f>#REF!</f>
        <v>#REF!</v>
      </c>
      <c r="J27" s="109" t="e">
        <f>#REF!</f>
        <v>#REF!</v>
      </c>
      <c r="K27" s="35" t="s">
        <v>125</v>
      </c>
      <c r="L27" s="35" t="s">
        <v>78</v>
      </c>
    </row>
    <row r="28" spans="1:15" ht="173.25">
      <c r="A28" s="35">
        <v>18</v>
      </c>
      <c r="B28" s="36" t="s">
        <v>68</v>
      </c>
      <c r="C28" s="35" t="s">
        <v>5</v>
      </c>
      <c r="D28" s="37" t="e">
        <f>#REF!</f>
        <v>#REF!</v>
      </c>
      <c r="E28" s="37" t="e">
        <f>#REF!</f>
        <v>#REF!</v>
      </c>
      <c r="F28" s="37" t="e">
        <f>#REF!</f>
        <v>#REF!</v>
      </c>
      <c r="G28" s="37" t="e">
        <f>#REF!</f>
        <v>#REF!</v>
      </c>
      <c r="H28" s="37" t="e">
        <f>#REF!</f>
        <v>#REF!</v>
      </c>
      <c r="I28" s="53" t="e">
        <f>#REF!</f>
        <v>#REF!</v>
      </c>
      <c r="J28" s="53" t="e">
        <f>#REF!</f>
        <v>#REF!</v>
      </c>
      <c r="K28" s="35"/>
      <c r="L28" s="35" t="s">
        <v>30</v>
      </c>
    </row>
    <row r="29" spans="1:15" ht="47.25">
      <c r="A29" s="35">
        <v>19</v>
      </c>
      <c r="B29" s="36" t="s">
        <v>69</v>
      </c>
      <c r="C29" s="35" t="s">
        <v>70</v>
      </c>
      <c r="D29" s="37" t="s">
        <v>71</v>
      </c>
      <c r="E29" s="37"/>
      <c r="F29" s="35" t="s">
        <v>72</v>
      </c>
      <c r="G29" s="35" t="s">
        <v>72</v>
      </c>
      <c r="H29" s="41">
        <v>71.7</v>
      </c>
      <c r="I29" s="38">
        <f>H29</f>
        <v>71.7</v>
      </c>
      <c r="J29" s="35" t="s">
        <v>71</v>
      </c>
      <c r="K29" s="35"/>
      <c r="L29" s="35" t="s">
        <v>36</v>
      </c>
    </row>
    <row r="30" spans="1:15" ht="18.75">
      <c r="A30" s="1088" t="s">
        <v>129</v>
      </c>
      <c r="B30" s="1088"/>
      <c r="C30" s="1088"/>
      <c r="D30" s="1088"/>
      <c r="E30" s="1088"/>
      <c r="F30" s="1088"/>
      <c r="G30" s="1088"/>
      <c r="H30" s="1088"/>
      <c r="I30" s="1088"/>
      <c r="J30" s="1088"/>
      <c r="K30" s="1088"/>
      <c r="L30" s="1088"/>
    </row>
    <row r="31" spans="1:15" ht="110.25">
      <c r="A31" s="32">
        <v>20</v>
      </c>
      <c r="B31" s="33" t="s">
        <v>73</v>
      </c>
      <c r="C31" s="32" t="s">
        <v>5</v>
      </c>
      <c r="D31" s="34">
        <v>15</v>
      </c>
      <c r="E31" s="34"/>
      <c r="F31" s="32" t="s">
        <v>74</v>
      </c>
      <c r="G31" s="32">
        <v>20.8</v>
      </c>
      <c r="H31" s="32" t="s">
        <v>46</v>
      </c>
      <c r="I31" s="104" t="e">
        <f>(F31+G31+H31)/3</f>
        <v>#VALUE!</v>
      </c>
      <c r="J31" s="32">
        <v>17</v>
      </c>
      <c r="K31" s="32">
        <v>18.5</v>
      </c>
      <c r="L31" s="32" t="s">
        <v>78</v>
      </c>
    </row>
    <row r="32" spans="1:15" ht="63">
      <c r="A32" s="35">
        <v>21</v>
      </c>
      <c r="B32" s="36" t="s">
        <v>77</v>
      </c>
      <c r="C32" s="35" t="s">
        <v>14</v>
      </c>
      <c r="D32" s="55" t="e">
        <f>#REF!</f>
        <v>#REF!</v>
      </c>
      <c r="E32" s="55" t="e">
        <f>#REF!</f>
        <v>#REF!</v>
      </c>
      <c r="F32" s="55" t="e">
        <f>#REF!</f>
        <v>#REF!</v>
      </c>
      <c r="G32" s="55" t="e">
        <f>#REF!</f>
        <v>#REF!</v>
      </c>
      <c r="H32" s="55" t="e">
        <f>#REF!</f>
        <v>#REF!</v>
      </c>
      <c r="I32" s="55" t="e">
        <f>#REF!</f>
        <v>#REF!</v>
      </c>
      <c r="J32" s="41" t="e">
        <f>#REF!</f>
        <v>#REF!</v>
      </c>
      <c r="K32" s="41">
        <v>15</v>
      </c>
      <c r="L32" s="35" t="s">
        <v>78</v>
      </c>
    </row>
    <row r="33" spans="1:12" ht="78.75">
      <c r="A33" s="35">
        <v>22</v>
      </c>
      <c r="B33" s="36" t="s">
        <v>79</v>
      </c>
      <c r="C33" s="35" t="s">
        <v>5</v>
      </c>
      <c r="D33" s="37" t="e">
        <f>#REF!</f>
        <v>#REF!</v>
      </c>
      <c r="E33" s="37" t="e">
        <f>#REF!</f>
        <v>#REF!</v>
      </c>
      <c r="F33" s="37" t="e">
        <f>#REF!</f>
        <v>#REF!</v>
      </c>
      <c r="G33" s="37" t="e">
        <f>#REF!</f>
        <v>#REF!</v>
      </c>
      <c r="H33" s="37" t="e">
        <f>#REF!</f>
        <v>#REF!</v>
      </c>
      <c r="I33" s="37" t="e">
        <f>#REF!</f>
        <v>#REF!</v>
      </c>
      <c r="J33" s="41" t="e">
        <f>#REF!</f>
        <v>#REF!</v>
      </c>
      <c r="K33" s="41" t="s">
        <v>99</v>
      </c>
      <c r="L33" s="35" t="s">
        <v>78</v>
      </c>
    </row>
    <row r="34" spans="1:12" ht="126">
      <c r="A34" s="35">
        <v>23</v>
      </c>
      <c r="B34" s="36" t="s">
        <v>80</v>
      </c>
      <c r="C34" s="35" t="s">
        <v>13</v>
      </c>
      <c r="D34" s="55" t="e">
        <f>#REF!</f>
        <v>#REF!</v>
      </c>
      <c r="E34" s="55" t="e">
        <f>#REF!</f>
        <v>#REF!</v>
      </c>
      <c r="F34" s="55" t="e">
        <f>#REF!</f>
        <v>#REF!</v>
      </c>
      <c r="G34" s="55" t="e">
        <f>#REF!</f>
        <v>#REF!</v>
      </c>
      <c r="H34" s="55" t="e">
        <f>#REF!</f>
        <v>#REF!</v>
      </c>
      <c r="I34" s="55" t="e">
        <f>#REF!</f>
        <v>#REF!</v>
      </c>
      <c r="J34" s="41" t="e">
        <f>#REF!</f>
        <v>#REF!</v>
      </c>
      <c r="K34" s="41">
        <v>74</v>
      </c>
      <c r="L34" s="35" t="s">
        <v>42</v>
      </c>
    </row>
    <row r="35" spans="1:12" ht="47.25">
      <c r="A35" s="35">
        <v>24</v>
      </c>
      <c r="B35" s="36" t="s">
        <v>81</v>
      </c>
      <c r="C35" s="35" t="s">
        <v>82</v>
      </c>
      <c r="D35" s="47" t="e">
        <f>#REF!</f>
        <v>#REF!</v>
      </c>
      <c r="E35" s="47" t="e">
        <f>#REF!</f>
        <v>#REF!</v>
      </c>
      <c r="F35" s="47" t="e">
        <f>#REF!</f>
        <v>#REF!</v>
      </c>
      <c r="G35" s="47" t="e">
        <f>#REF!</f>
        <v>#REF!</v>
      </c>
      <c r="H35" s="47" t="e">
        <f>#REF!</f>
        <v>#REF!</v>
      </c>
      <c r="I35" s="47" t="e">
        <f>#REF!</f>
        <v>#REF!</v>
      </c>
      <c r="J35" s="47" t="e">
        <f>#REF!</f>
        <v>#REF!</v>
      </c>
      <c r="K35" s="35">
        <v>7</v>
      </c>
      <c r="L35" s="35" t="s">
        <v>30</v>
      </c>
    </row>
    <row r="36" spans="1:12" ht="78.75">
      <c r="A36" s="35">
        <v>25</v>
      </c>
      <c r="B36" s="36" t="s">
        <v>83</v>
      </c>
      <c r="C36" s="35" t="s">
        <v>5</v>
      </c>
      <c r="D36" s="54" t="e">
        <f>#REF!</f>
        <v>#REF!</v>
      </c>
      <c r="E36" s="54" t="e">
        <f>#REF!</f>
        <v>#REF!</v>
      </c>
      <c r="F36" s="54" t="e">
        <f>#REF!</f>
        <v>#REF!</v>
      </c>
      <c r="G36" s="54" t="e">
        <f>#REF!</f>
        <v>#REF!</v>
      </c>
      <c r="H36" s="54" t="e">
        <f>#REF!</f>
        <v>#REF!</v>
      </c>
      <c r="I36" s="38" t="e">
        <f>#REF!</f>
        <v>#REF!</v>
      </c>
      <c r="J36" s="35" t="e">
        <f>#REF!</f>
        <v>#REF!</v>
      </c>
      <c r="K36" s="48" t="s">
        <v>12</v>
      </c>
      <c r="L36" s="35" t="s">
        <v>30</v>
      </c>
    </row>
    <row r="37" spans="1:12" ht="47.25">
      <c r="A37" s="35">
        <v>26</v>
      </c>
      <c r="B37" s="36" t="s">
        <v>84</v>
      </c>
      <c r="C37" s="35" t="s">
        <v>85</v>
      </c>
      <c r="D37" s="52" t="e">
        <f>#REF!</f>
        <v>#REF!</v>
      </c>
      <c r="E37" s="52" t="e">
        <f>#REF!</f>
        <v>#REF!</v>
      </c>
      <c r="F37" s="52" t="e">
        <f>#REF!</f>
        <v>#REF!</v>
      </c>
      <c r="G37" s="52" t="e">
        <f>#REF!</f>
        <v>#REF!</v>
      </c>
      <c r="H37" s="52" t="e">
        <f>#REF!</f>
        <v>#REF!</v>
      </c>
      <c r="I37" s="55" t="e">
        <f>#REF!</f>
        <v>#REF!</v>
      </c>
      <c r="J37" s="35" t="e">
        <f>#REF!</f>
        <v>#REF!</v>
      </c>
      <c r="K37" s="35">
        <v>100</v>
      </c>
      <c r="L37" s="35" t="s">
        <v>78</v>
      </c>
    </row>
    <row r="38" spans="1:12" ht="31.5">
      <c r="A38" s="35">
        <v>27</v>
      </c>
      <c r="B38" s="36" t="s">
        <v>86</v>
      </c>
      <c r="C38" s="35" t="s">
        <v>87</v>
      </c>
      <c r="D38" s="37" t="e">
        <f>#REF!</f>
        <v>#REF!</v>
      </c>
      <c r="E38" s="37" t="e">
        <f>#REF!</f>
        <v>#REF!</v>
      </c>
      <c r="F38" s="37" t="e">
        <f>#REF!</f>
        <v>#REF!</v>
      </c>
      <c r="G38" s="37" t="e">
        <f>#REF!</f>
        <v>#REF!</v>
      </c>
      <c r="H38" s="37" t="e">
        <f>#REF!</f>
        <v>#REF!</v>
      </c>
      <c r="I38" s="37" t="e">
        <f>#REF!</f>
        <v>#REF!</v>
      </c>
      <c r="J38" s="109" t="e">
        <f>#REF!</f>
        <v>#REF!</v>
      </c>
      <c r="K38" s="35">
        <v>9.5</v>
      </c>
      <c r="L38" s="35" t="s">
        <v>42</v>
      </c>
    </row>
    <row r="39" spans="1:12" ht="47.25">
      <c r="A39" s="35" t="s">
        <v>88</v>
      </c>
      <c r="B39" s="36" t="s">
        <v>89</v>
      </c>
      <c r="C39" s="35"/>
      <c r="D39" s="37"/>
      <c r="E39" s="37"/>
      <c r="F39" s="35"/>
      <c r="G39" s="35"/>
      <c r="H39" s="35"/>
      <c r="I39" s="35"/>
      <c r="J39" s="35"/>
      <c r="K39" s="35"/>
      <c r="L39" s="35"/>
    </row>
    <row r="40" spans="1:12" ht="31.5">
      <c r="A40" s="35">
        <v>28</v>
      </c>
      <c r="B40" s="36" t="s">
        <v>90</v>
      </c>
      <c r="C40" s="35" t="s">
        <v>5</v>
      </c>
      <c r="D40" s="37" t="e">
        <f>#REF!</f>
        <v>#REF!</v>
      </c>
      <c r="E40" s="37" t="e">
        <f>#REF!</f>
        <v>#REF!</v>
      </c>
      <c r="F40" s="37" t="e">
        <f>#REF!</f>
        <v>#REF!</v>
      </c>
      <c r="G40" s="37" t="e">
        <f>#REF!</f>
        <v>#REF!</v>
      </c>
      <c r="H40" s="37" t="e">
        <f>#REF!</f>
        <v>#REF!</v>
      </c>
      <c r="I40" s="46" t="e">
        <f>+#REF!</f>
        <v>#REF!</v>
      </c>
      <c r="J40" s="35" t="e">
        <f>#REF!</f>
        <v>#REF!</v>
      </c>
      <c r="K40" s="35">
        <v>40.6</v>
      </c>
      <c r="L40" s="35" t="s">
        <v>42</v>
      </c>
    </row>
    <row r="41" spans="1:12" ht="126">
      <c r="A41" s="35">
        <v>29</v>
      </c>
      <c r="B41" s="36" t="s">
        <v>91</v>
      </c>
      <c r="C41" s="35" t="s">
        <v>5</v>
      </c>
      <c r="D41" s="47" t="e">
        <f>#REF!</f>
        <v>#REF!</v>
      </c>
      <c r="E41" s="47" t="e">
        <f>#REF!</f>
        <v>#REF!</v>
      </c>
      <c r="F41" s="47" t="e">
        <f>#REF!</f>
        <v>#REF!</v>
      </c>
      <c r="G41" s="47" t="e">
        <f>#REF!</f>
        <v>#REF!</v>
      </c>
      <c r="H41" s="47" t="e">
        <f>#REF!</f>
        <v>#REF!</v>
      </c>
      <c r="I41" s="38" t="e">
        <f>+#REF!</f>
        <v>#REF!</v>
      </c>
      <c r="J41" s="35" t="e">
        <f>#REF!</f>
        <v>#REF!</v>
      </c>
      <c r="K41" s="35">
        <v>84</v>
      </c>
      <c r="L41" s="35" t="s">
        <v>78</v>
      </c>
    </row>
    <row r="42" spans="1:12" ht="94.5">
      <c r="A42" s="35">
        <v>30</v>
      </c>
      <c r="B42" s="36" t="s">
        <v>92</v>
      </c>
      <c r="C42" s="35" t="s">
        <v>5</v>
      </c>
      <c r="D42" s="47" t="e">
        <f>#REF!</f>
        <v>#REF!</v>
      </c>
      <c r="E42" s="47" t="e">
        <f>#REF!</f>
        <v>#REF!</v>
      </c>
      <c r="F42" s="47" t="e">
        <f>#REF!</f>
        <v>#REF!</v>
      </c>
      <c r="G42" s="47" t="e">
        <f>#REF!</f>
        <v>#REF!</v>
      </c>
      <c r="H42" s="47" t="e">
        <f>#REF!</f>
        <v>#REF!</v>
      </c>
      <c r="I42" s="47" t="e">
        <f>#REF!</f>
        <v>#REF!</v>
      </c>
      <c r="J42" s="35" t="e">
        <f>#REF!</f>
        <v>#REF!</v>
      </c>
      <c r="K42" s="35">
        <v>95</v>
      </c>
      <c r="L42" s="35" t="s">
        <v>30</v>
      </c>
    </row>
    <row r="43" spans="1:12" ht="16.5">
      <c r="A43" s="30"/>
      <c r="B43" s="30"/>
      <c r="C43" s="30"/>
      <c r="D43" s="31"/>
      <c r="E43" s="31"/>
      <c r="F43" s="30"/>
      <c r="G43" s="30"/>
      <c r="H43" s="30"/>
      <c r="I43" s="30"/>
      <c r="J43" s="30"/>
      <c r="K43" s="30"/>
      <c r="L43" s="30"/>
    </row>
    <row r="44" spans="1:12" ht="12.75"/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workbookViewId="0"/>
  </sheetViews>
  <sheetFormatPr defaultRowHeight="15"/>
  <sheetData>
    <row r="1" spans="1:22" ht="58.5">
      <c r="A1" s="1097" t="s">
        <v>279</v>
      </c>
      <c r="B1" s="1097"/>
      <c r="C1" s="1097"/>
      <c r="D1" s="1097"/>
      <c r="E1" s="1097"/>
      <c r="F1" s="1097"/>
      <c r="G1" s="1097"/>
      <c r="H1" s="1097"/>
      <c r="I1" s="1097"/>
      <c r="J1" s="1097"/>
      <c r="K1" s="1097"/>
      <c r="L1" s="1097"/>
      <c r="M1" s="1097"/>
      <c r="N1" s="1097"/>
      <c r="O1" s="1097"/>
    </row>
    <row r="2" spans="1:22" ht="18.75">
      <c r="A2" s="1098" t="s">
        <v>283</v>
      </c>
      <c r="B2" s="1098"/>
      <c r="C2" s="1098"/>
      <c r="D2" s="1098"/>
      <c r="E2" s="1098"/>
      <c r="F2" s="1098"/>
      <c r="G2" s="1098"/>
      <c r="H2" s="1098"/>
      <c r="I2" s="1098"/>
      <c r="J2" s="1098"/>
      <c r="K2" s="1098"/>
      <c r="L2" s="1098"/>
      <c r="M2" s="1098"/>
      <c r="N2" s="1098"/>
      <c r="O2" s="1098"/>
    </row>
    <row r="3" spans="1:22" ht="18.75">
      <c r="A3" s="1099"/>
      <c r="B3" s="1099"/>
      <c r="C3" s="1099"/>
      <c r="D3" s="1099"/>
      <c r="E3" s="1099"/>
      <c r="F3" s="1099"/>
      <c r="G3" s="1099"/>
      <c r="H3" s="1099"/>
      <c r="I3" s="1099"/>
      <c r="J3" s="1099"/>
      <c r="K3" s="1099"/>
      <c r="L3" s="1099"/>
      <c r="M3" s="1099"/>
      <c r="N3" s="1099"/>
      <c r="O3" s="1099"/>
    </row>
    <row r="4" spans="1:22" ht="63">
      <c r="C4" s="186"/>
      <c r="D4" s="186"/>
      <c r="E4" s="186"/>
      <c r="F4" s="186"/>
      <c r="G4" s="186"/>
      <c r="H4" s="186"/>
      <c r="I4" s="186"/>
      <c r="J4" s="186"/>
      <c r="K4" s="186"/>
      <c r="L4" s="187"/>
      <c r="M4" s="1100" t="s">
        <v>285</v>
      </c>
      <c r="N4" s="1100"/>
      <c r="O4" s="1100"/>
    </row>
    <row r="5" spans="1:22" ht="31.5">
      <c r="A5" s="188" t="s">
        <v>0</v>
      </c>
      <c r="B5" s="1103" t="s">
        <v>277</v>
      </c>
      <c r="C5" s="1104"/>
      <c r="D5" s="188">
        <v>2000</v>
      </c>
      <c r="E5" s="188">
        <v>2001</v>
      </c>
      <c r="F5" s="188">
        <v>2002</v>
      </c>
      <c r="G5" s="188">
        <v>2003</v>
      </c>
      <c r="H5" s="188">
        <v>2004</v>
      </c>
      <c r="I5" s="188">
        <v>2005</v>
      </c>
      <c r="J5" s="188" t="s">
        <v>276</v>
      </c>
      <c r="K5" s="188">
        <v>2011</v>
      </c>
      <c r="L5" s="189">
        <v>2012</v>
      </c>
      <c r="M5" s="188">
        <v>2013</v>
      </c>
      <c r="N5" s="189">
        <v>2014</v>
      </c>
      <c r="O5" s="188">
        <v>2015</v>
      </c>
    </row>
    <row r="6" spans="1:22" ht="31.5">
      <c r="A6" s="190"/>
      <c r="B6" s="1105" t="s">
        <v>215</v>
      </c>
      <c r="C6" s="1106"/>
      <c r="D6" s="191"/>
      <c r="E6" s="191"/>
      <c r="F6" s="191"/>
      <c r="G6" s="191"/>
      <c r="H6" s="191"/>
      <c r="I6" s="191"/>
      <c r="J6" s="311" t="e">
        <f>+K6+L6+M6+N6+O6</f>
        <v>#REF!</v>
      </c>
      <c r="K6" s="192" t="e">
        <f>+K8+K10+K23</f>
        <v>#REF!</v>
      </c>
      <c r="L6" s="192" t="e">
        <f>+L8+L10+L23</f>
        <v>#REF!</v>
      </c>
      <c r="M6" s="192" t="e">
        <f>+M8+M10+M23</f>
        <v>#REF!</v>
      </c>
      <c r="N6" s="192" t="e">
        <f>+N8+N10+N23</f>
        <v>#REF!</v>
      </c>
      <c r="O6" s="192" t="e">
        <f>+O8+O10+O23</f>
        <v>#REF!</v>
      </c>
    </row>
    <row r="7" spans="1:22" ht="15.75">
      <c r="A7" s="193"/>
      <c r="B7" s="1112"/>
      <c r="C7" s="1113"/>
      <c r="D7" s="312"/>
      <c r="E7" s="313"/>
      <c r="F7" s="313"/>
      <c r="G7" s="313"/>
      <c r="H7" s="313"/>
      <c r="I7" s="313"/>
      <c r="J7" s="314" t="e">
        <f t="shared" ref="J7:O7" si="0">+J9+J14+J16+J18+J20+J22+J27+J29+J31+J33+J35+J37+J39+J41+J43+J45+J47+J49+J51</f>
        <v>#REF!</v>
      </c>
      <c r="K7" s="314" t="e">
        <f t="shared" si="0"/>
        <v>#REF!</v>
      </c>
      <c r="L7" s="314" t="e">
        <f t="shared" si="0"/>
        <v>#REF!</v>
      </c>
      <c r="M7" s="315" t="e">
        <f t="shared" si="0"/>
        <v>#REF!</v>
      </c>
      <c r="N7" s="314" t="e">
        <f t="shared" si="0"/>
        <v>#REF!</v>
      </c>
      <c r="O7" s="314" t="e">
        <f t="shared" si="0"/>
        <v>#REF!</v>
      </c>
      <c r="P7" s="194"/>
      <c r="Q7" s="195"/>
      <c r="S7" s="196"/>
      <c r="T7" s="195"/>
      <c r="V7" s="196"/>
    </row>
    <row r="8" spans="1:22" ht="31.5">
      <c r="A8" s="193">
        <v>1</v>
      </c>
      <c r="B8" s="1114" t="s">
        <v>216</v>
      </c>
      <c r="C8" s="1115"/>
      <c r="D8" s="316" t="e">
        <f>+#REF!+#REF!</f>
        <v>#REF!</v>
      </c>
      <c r="E8" s="317" t="e">
        <f>+#REF!+#REF!</f>
        <v>#REF!</v>
      </c>
      <c r="F8" s="317" t="e">
        <f>+#REF!+#REF!</f>
        <v>#REF!</v>
      </c>
      <c r="G8" s="317" t="e">
        <f>+#REF!+#REF!</f>
        <v>#REF!</v>
      </c>
      <c r="H8" s="317" t="e">
        <f>+#REF!+#REF!</f>
        <v>#REF!</v>
      </c>
      <c r="I8" s="317" t="e">
        <f>+#REF!+#REF!</f>
        <v>#REF!</v>
      </c>
      <c r="J8" s="318" t="e">
        <f>+K8+L8+M8+N8+O8</f>
        <v>#REF!</v>
      </c>
      <c r="K8" s="318" t="e">
        <f>+K$54*K9/100</f>
        <v>#REF!</v>
      </c>
      <c r="L8" s="318" t="e">
        <f>+L$54*L9/100</f>
        <v>#REF!</v>
      </c>
      <c r="M8" s="319" t="e">
        <f>+M$54*M9/100</f>
        <v>#REF!</v>
      </c>
      <c r="N8" s="318" t="e">
        <f>+N$54*N9/100</f>
        <v>#REF!</v>
      </c>
      <c r="O8" s="318" t="e">
        <f>+O$54*O9/100</f>
        <v>#REF!</v>
      </c>
      <c r="P8" s="196"/>
      <c r="Q8" s="195"/>
      <c r="S8" s="196"/>
      <c r="T8" s="195"/>
      <c r="V8" s="196"/>
    </row>
    <row r="9" spans="1:22" ht="63">
      <c r="A9" s="197"/>
      <c r="B9" s="1109" t="s">
        <v>217</v>
      </c>
      <c r="C9" s="1102"/>
      <c r="D9" s="320"/>
      <c r="E9" s="321"/>
      <c r="F9" s="321"/>
      <c r="G9" s="321"/>
      <c r="H9" s="321"/>
      <c r="I9" s="321"/>
      <c r="J9" s="322">
        <v>6.2</v>
      </c>
      <c r="K9" s="322">
        <v>6.2</v>
      </c>
      <c r="L9" s="322">
        <v>6.2</v>
      </c>
      <c r="M9" s="323">
        <v>6.2</v>
      </c>
      <c r="N9" s="322">
        <v>6.2</v>
      </c>
      <c r="O9" s="322">
        <v>6.2</v>
      </c>
      <c r="P9" s="198"/>
      <c r="Q9" s="199"/>
      <c r="S9" s="198"/>
      <c r="T9" s="199"/>
      <c r="V9" s="198"/>
    </row>
    <row r="10" spans="1:22" ht="47.25">
      <c r="A10" s="193">
        <v>2</v>
      </c>
      <c r="B10" s="1114" t="s">
        <v>218</v>
      </c>
      <c r="C10" s="1115"/>
      <c r="D10" s="316"/>
      <c r="E10" s="317"/>
      <c r="F10" s="317"/>
      <c r="G10" s="317"/>
      <c r="H10" s="317"/>
      <c r="I10" s="317"/>
      <c r="J10" s="318" t="e">
        <f>+J13+J15+J17+J19+J21</f>
        <v>#REF!</v>
      </c>
      <c r="K10" s="318" t="e">
        <f t="shared" ref="K10:O11" si="1">+K13+K15+K17+K19+K21</f>
        <v>#REF!</v>
      </c>
      <c r="L10" s="318" t="e">
        <f t="shared" si="1"/>
        <v>#REF!</v>
      </c>
      <c r="M10" s="319" t="e">
        <f t="shared" si="1"/>
        <v>#REF!</v>
      </c>
      <c r="N10" s="318" t="e">
        <f t="shared" si="1"/>
        <v>#REF!</v>
      </c>
      <c r="O10" s="318" t="e">
        <f t="shared" si="1"/>
        <v>#REF!</v>
      </c>
      <c r="P10" s="196"/>
      <c r="Q10" s="195"/>
      <c r="S10" s="196"/>
      <c r="T10" s="195"/>
      <c r="V10" s="196"/>
    </row>
    <row r="11" spans="1:22" ht="63">
      <c r="A11" s="197"/>
      <c r="B11" s="1101" t="s">
        <v>217</v>
      </c>
      <c r="C11" s="1102"/>
      <c r="D11" s="321"/>
      <c r="E11" s="321"/>
      <c r="F11" s="321"/>
      <c r="G11" s="321"/>
      <c r="H11" s="321"/>
      <c r="I11" s="321"/>
      <c r="J11" s="322" t="e">
        <f>+J14+J16+J18+J20+J22</f>
        <v>#REF!</v>
      </c>
      <c r="K11" s="322">
        <f t="shared" si="1"/>
        <v>41.8</v>
      </c>
      <c r="L11" s="322">
        <f t="shared" si="1"/>
        <v>42.5</v>
      </c>
      <c r="M11" s="322">
        <f t="shared" si="1"/>
        <v>43.3</v>
      </c>
      <c r="N11" s="322">
        <f t="shared" si="1"/>
        <v>44.000000000000007</v>
      </c>
      <c r="O11" s="322">
        <f t="shared" si="1"/>
        <v>44.800000000000004</v>
      </c>
    </row>
    <row r="12" spans="1:22" ht="31.5">
      <c r="A12" s="197"/>
      <c r="B12" s="1101" t="s">
        <v>214</v>
      </c>
      <c r="C12" s="1102"/>
      <c r="D12" s="321"/>
      <c r="E12" s="321"/>
      <c r="F12" s="321"/>
      <c r="G12" s="321"/>
      <c r="H12" s="321"/>
      <c r="I12" s="321"/>
      <c r="J12" s="322"/>
      <c r="K12" s="322"/>
      <c r="L12" s="322"/>
      <c r="M12" s="322"/>
      <c r="N12" s="322"/>
      <c r="O12" s="322"/>
    </row>
    <row r="13" spans="1:22" ht="30">
      <c r="A13" s="200"/>
      <c r="B13" s="201"/>
      <c r="C13" s="202" t="s">
        <v>220</v>
      </c>
      <c r="D13" s="203">
        <v>9588</v>
      </c>
      <c r="E13" s="203">
        <v>8141.1</v>
      </c>
      <c r="F13" s="203">
        <v>7964</v>
      </c>
      <c r="G13" s="203">
        <v>11342</v>
      </c>
      <c r="H13" s="203">
        <v>22477</v>
      </c>
      <c r="I13" s="203">
        <v>26862</v>
      </c>
      <c r="J13" s="213" t="e">
        <f>+K13+L13+M13+N13+O13</f>
        <v>#REF!</v>
      </c>
      <c r="K13" s="213" t="e">
        <f>+K$54*K14/100</f>
        <v>#REF!</v>
      </c>
      <c r="L13" s="213" t="e">
        <f>+L$54*L14/100</f>
        <v>#REF!</v>
      </c>
      <c r="M13" s="213" t="e">
        <f>+M$54*M14/100</f>
        <v>#REF!</v>
      </c>
      <c r="N13" s="213" t="e">
        <f>+N$54*N14/100</f>
        <v>#REF!</v>
      </c>
      <c r="O13" s="213" t="e">
        <f>+O$54*O14/100</f>
        <v>#REF!</v>
      </c>
    </row>
    <row r="14" spans="1:22" ht="60">
      <c r="A14" s="204"/>
      <c r="B14" s="205"/>
      <c r="C14" s="206" t="s">
        <v>217</v>
      </c>
      <c r="D14" s="324"/>
      <c r="E14" s="324"/>
      <c r="F14" s="324"/>
      <c r="G14" s="324"/>
      <c r="H14" s="324"/>
      <c r="I14" s="324"/>
      <c r="J14" s="325" t="e">
        <f>100*J13/J$54</f>
        <v>#REF!</v>
      </c>
      <c r="K14" s="325">
        <v>8.1999999999999993</v>
      </c>
      <c r="L14" s="325">
        <v>7.8</v>
      </c>
      <c r="M14" s="325">
        <v>7.4</v>
      </c>
      <c r="N14" s="325">
        <v>7</v>
      </c>
      <c r="O14" s="325">
        <v>6.6</v>
      </c>
    </row>
    <row r="15" spans="1:22" ht="75">
      <c r="A15" s="200"/>
      <c r="B15" s="201"/>
      <c r="C15" s="202" t="s">
        <v>221</v>
      </c>
      <c r="D15" s="203">
        <v>29172</v>
      </c>
      <c r="E15" s="203">
        <v>38140.5</v>
      </c>
      <c r="F15" s="203">
        <v>45337</v>
      </c>
      <c r="G15" s="203">
        <v>51060</v>
      </c>
      <c r="H15" s="203">
        <v>58715</v>
      </c>
      <c r="I15" s="203">
        <v>68297</v>
      </c>
      <c r="J15" s="213" t="e">
        <f>+K15+L15+M15+N15+O15</f>
        <v>#REF!</v>
      </c>
      <c r="K15" s="213" t="e">
        <f>+K$54*K16/100</f>
        <v>#REF!</v>
      </c>
      <c r="L15" s="213" t="e">
        <f>+L$54*L16/100</f>
        <v>#REF!</v>
      </c>
      <c r="M15" s="213" t="e">
        <f>+M$54*M16/100</f>
        <v>#REF!</v>
      </c>
      <c r="N15" s="213" t="e">
        <f>+N$54*N16/100</f>
        <v>#REF!</v>
      </c>
      <c r="O15" s="213" t="e">
        <f>+O$54*O16/100</f>
        <v>#REF!</v>
      </c>
      <c r="R15" s="185">
        <v>43550</v>
      </c>
      <c r="S15" s="207" t="e">
        <f>+L17+L19</f>
        <v>#REF!</v>
      </c>
    </row>
    <row r="16" spans="1:22" ht="60">
      <c r="A16" s="204"/>
      <c r="B16" s="205"/>
      <c r="C16" s="206" t="s">
        <v>217</v>
      </c>
      <c r="D16" s="324"/>
      <c r="E16" s="324"/>
      <c r="F16" s="324"/>
      <c r="G16" s="324"/>
      <c r="H16" s="324"/>
      <c r="I16" s="324"/>
      <c r="J16" s="325" t="e">
        <f>100*J15/J$54</f>
        <v>#REF!</v>
      </c>
      <c r="K16" s="325">
        <v>17.5</v>
      </c>
      <c r="L16" s="325">
        <v>18</v>
      </c>
      <c r="M16" s="325">
        <v>18.5</v>
      </c>
      <c r="N16" s="325">
        <v>19</v>
      </c>
      <c r="O16" s="325">
        <v>19.5</v>
      </c>
    </row>
    <row r="17" spans="1:22" ht="135">
      <c r="A17" s="200"/>
      <c r="B17" s="201"/>
      <c r="C17" s="202" t="s">
        <v>222</v>
      </c>
      <c r="D17" s="203">
        <v>16983</v>
      </c>
      <c r="E17" s="203">
        <v>16921.599999999999</v>
      </c>
      <c r="F17" s="203">
        <v>20943</v>
      </c>
      <c r="G17" s="203">
        <v>24884</v>
      </c>
      <c r="H17" s="203">
        <v>31983</v>
      </c>
      <c r="I17" s="203">
        <v>37743</v>
      </c>
      <c r="J17" s="213" t="e">
        <f>+K17+L17+M17+N17+O17</f>
        <v>#REF!</v>
      </c>
      <c r="K17" s="213" t="e">
        <f>+K$54*K18/100</f>
        <v>#REF!</v>
      </c>
      <c r="L17" s="213" t="e">
        <f>+L$54*L18/100</f>
        <v>#REF!</v>
      </c>
      <c r="M17" s="213" t="e">
        <f>+M$54*M18/100</f>
        <v>#REF!</v>
      </c>
      <c r="N17" s="213" t="e">
        <f>+N$54*N18/100</f>
        <v>#REF!</v>
      </c>
      <c r="O17" s="213" t="e">
        <f>+O$54*O18/100</f>
        <v>#REF!</v>
      </c>
      <c r="S17" s="185" t="e">
        <f>+L17/S15</f>
        <v>#REF!</v>
      </c>
    </row>
    <row r="18" spans="1:22" ht="60">
      <c r="A18" s="204"/>
      <c r="B18" s="205"/>
      <c r="C18" s="206" t="s">
        <v>217</v>
      </c>
      <c r="D18" s="324"/>
      <c r="E18" s="324"/>
      <c r="F18" s="324"/>
      <c r="G18" s="324"/>
      <c r="H18" s="324"/>
      <c r="I18" s="324"/>
      <c r="J18" s="325" t="e">
        <f>100*J17/J$54</f>
        <v>#REF!</v>
      </c>
      <c r="K18" s="325">
        <v>9.5</v>
      </c>
      <c r="L18" s="325">
        <v>9.6999999999999993</v>
      </c>
      <c r="M18" s="325">
        <v>10</v>
      </c>
      <c r="N18" s="325">
        <v>10.199999999999999</v>
      </c>
      <c r="O18" s="325">
        <v>10.5</v>
      </c>
    </row>
    <row r="19" spans="1:22" ht="105">
      <c r="A19" s="200"/>
      <c r="B19" s="201"/>
      <c r="C19" s="202" t="s">
        <v>223</v>
      </c>
      <c r="D19" s="203"/>
      <c r="E19" s="203"/>
      <c r="F19" s="203"/>
      <c r="G19" s="203"/>
      <c r="H19" s="203"/>
      <c r="I19" s="203"/>
      <c r="J19" s="213" t="e">
        <f>+K19+L19+M19+N19+O19</f>
        <v>#REF!</v>
      </c>
      <c r="K19" s="213" t="e">
        <f>+K$54*K20/100</f>
        <v>#REF!</v>
      </c>
      <c r="L19" s="213" t="e">
        <f>+L$54*L20/100</f>
        <v>#REF!</v>
      </c>
      <c r="M19" s="213" t="e">
        <f>+M$54*M20/100</f>
        <v>#REF!</v>
      </c>
      <c r="N19" s="213" t="e">
        <f>+N$54*N20/100</f>
        <v>#REF!</v>
      </c>
      <c r="O19" s="213" t="e">
        <f>+O$54*O20/100</f>
        <v>#REF!</v>
      </c>
      <c r="S19" s="185" t="e">
        <f>+L19/S15</f>
        <v>#REF!</v>
      </c>
    </row>
    <row r="20" spans="1:22" ht="60">
      <c r="A20" s="204"/>
      <c r="B20" s="205"/>
      <c r="C20" s="206" t="s">
        <v>217</v>
      </c>
      <c r="D20" s="324"/>
      <c r="E20" s="324"/>
      <c r="F20" s="324"/>
      <c r="G20" s="324"/>
      <c r="H20" s="324"/>
      <c r="I20" s="324"/>
      <c r="J20" s="325" t="e">
        <f>100*J19/J$54</f>
        <v>#REF!</v>
      </c>
      <c r="K20" s="325">
        <v>2.8</v>
      </c>
      <c r="L20" s="325">
        <v>2.9</v>
      </c>
      <c r="M20" s="325">
        <v>3</v>
      </c>
      <c r="N20" s="325">
        <v>3.1</v>
      </c>
      <c r="O20" s="325">
        <v>3.2</v>
      </c>
    </row>
    <row r="21" spans="1:22">
      <c r="A21" s="200"/>
      <c r="B21" s="201"/>
      <c r="C21" s="202" t="s">
        <v>224</v>
      </c>
      <c r="D21" s="203">
        <v>3563</v>
      </c>
      <c r="E21" s="203">
        <v>9045.7999999999993</v>
      </c>
      <c r="F21" s="203">
        <v>10490</v>
      </c>
      <c r="G21" s="203">
        <v>11508</v>
      </c>
      <c r="H21" s="203">
        <v>11197</v>
      </c>
      <c r="I21" s="203">
        <v>13202</v>
      </c>
      <c r="J21" s="213" t="e">
        <f>+K21+L21+M21+N21+O21</f>
        <v>#REF!</v>
      </c>
      <c r="K21" s="213" t="e">
        <f>+K$54*K22/100</f>
        <v>#REF!</v>
      </c>
      <c r="L21" s="213" t="e">
        <f>+L$54*L22/100</f>
        <v>#REF!</v>
      </c>
      <c r="M21" s="213" t="e">
        <f>+M$54*M22/100</f>
        <v>#REF!</v>
      </c>
      <c r="N21" s="213" t="e">
        <f>+N$54*N22/100</f>
        <v>#REF!</v>
      </c>
      <c r="O21" s="213" t="e">
        <f>+O$54*O22/100</f>
        <v>#REF!</v>
      </c>
    </row>
    <row r="22" spans="1:22" ht="60">
      <c r="A22" s="197"/>
      <c r="B22" s="208"/>
      <c r="C22" s="206" t="s">
        <v>217</v>
      </c>
      <c r="D22" s="320"/>
      <c r="E22" s="321"/>
      <c r="F22" s="321"/>
      <c r="G22" s="321"/>
      <c r="H22" s="321"/>
      <c r="I22" s="321"/>
      <c r="J22" s="326" t="e">
        <f>100*J21/J$54</f>
        <v>#REF!</v>
      </c>
      <c r="K22" s="322">
        <v>3.8</v>
      </c>
      <c r="L22" s="322">
        <v>4.0999999999999996</v>
      </c>
      <c r="M22" s="323">
        <v>4.4000000000000004</v>
      </c>
      <c r="N22" s="322">
        <v>4.7</v>
      </c>
      <c r="O22" s="322">
        <v>5</v>
      </c>
      <c r="P22" s="198"/>
      <c r="Q22" s="199"/>
      <c r="S22" s="198"/>
      <c r="T22" s="199"/>
      <c r="V22" s="198"/>
    </row>
    <row r="23" spans="1:22" ht="15.75">
      <c r="A23" s="200">
        <v>3</v>
      </c>
      <c r="B23" s="1107" t="s">
        <v>149</v>
      </c>
      <c r="C23" s="1108"/>
      <c r="D23" s="320"/>
      <c r="E23" s="321"/>
      <c r="F23" s="321"/>
      <c r="G23" s="321"/>
      <c r="H23" s="321"/>
      <c r="I23" s="321"/>
      <c r="J23" s="327" t="e">
        <f t="shared" ref="J23:O24" si="2">+J26+J28+J30+J32+J34+J36+J38+J40+J44+J46+J50</f>
        <v>#REF!</v>
      </c>
      <c r="K23" s="318" t="e">
        <f t="shared" si="2"/>
        <v>#REF!</v>
      </c>
      <c r="L23" s="318" t="e">
        <f t="shared" si="2"/>
        <v>#REF!</v>
      </c>
      <c r="M23" s="319" t="e">
        <f t="shared" si="2"/>
        <v>#REF!</v>
      </c>
      <c r="N23" s="318" t="e">
        <f t="shared" si="2"/>
        <v>#REF!</v>
      </c>
      <c r="O23" s="318" t="e">
        <f t="shared" si="2"/>
        <v>#REF!</v>
      </c>
      <c r="P23" s="198"/>
      <c r="Q23" s="199"/>
      <c r="S23" s="198"/>
      <c r="T23" s="199"/>
    </row>
    <row r="24" spans="1:22" ht="63">
      <c r="A24" s="204"/>
      <c r="B24" s="1109" t="s">
        <v>217</v>
      </c>
      <c r="C24" s="1102"/>
      <c r="D24" s="320"/>
      <c r="E24" s="321"/>
      <c r="F24" s="321"/>
      <c r="G24" s="321"/>
      <c r="H24" s="321"/>
      <c r="I24" s="321"/>
      <c r="J24" s="326" t="e">
        <f t="shared" si="2"/>
        <v>#REF!</v>
      </c>
      <c r="K24" s="322" t="e">
        <f t="shared" si="2"/>
        <v>#REF!</v>
      </c>
      <c r="L24" s="322" t="e">
        <f t="shared" si="2"/>
        <v>#REF!</v>
      </c>
      <c r="M24" s="323" t="e">
        <f t="shared" si="2"/>
        <v>#REF!</v>
      </c>
      <c r="N24" s="322" t="e">
        <f t="shared" si="2"/>
        <v>#REF!</v>
      </c>
      <c r="O24" s="322" t="e">
        <f t="shared" si="2"/>
        <v>#REF!</v>
      </c>
      <c r="P24" s="198"/>
      <c r="Q24" s="199"/>
      <c r="S24" s="198"/>
      <c r="T24" s="199"/>
      <c r="V24" s="198"/>
    </row>
    <row r="25" spans="1:22" ht="30">
      <c r="A25" s="204"/>
      <c r="B25" s="1110" t="s">
        <v>219</v>
      </c>
      <c r="C25" s="1111"/>
      <c r="D25" s="321"/>
      <c r="E25" s="321"/>
      <c r="F25" s="321"/>
      <c r="G25" s="321"/>
      <c r="H25" s="321"/>
      <c r="I25" s="321"/>
      <c r="J25" s="322"/>
      <c r="K25" s="322"/>
      <c r="L25" s="322"/>
      <c r="M25" s="323"/>
      <c r="N25" s="322"/>
      <c r="O25" s="322"/>
      <c r="P25" s="198"/>
      <c r="Q25" s="199"/>
      <c r="S25" s="198"/>
      <c r="T25" s="199"/>
    </row>
    <row r="26" spans="1:22" ht="135">
      <c r="A26" s="200"/>
      <c r="B26" s="209"/>
      <c r="C26" s="202" t="s">
        <v>225</v>
      </c>
      <c r="D26" s="210">
        <v>3035</v>
      </c>
      <c r="E26" s="203">
        <v>7953</v>
      </c>
      <c r="F26" s="203">
        <v>11962</v>
      </c>
      <c r="G26" s="203">
        <v>14763</v>
      </c>
      <c r="H26" s="203">
        <v>15659</v>
      </c>
      <c r="I26" s="203">
        <v>18359</v>
      </c>
      <c r="J26" s="213" t="e">
        <f>+K26+L26+M26+N26+O26</f>
        <v>#REF!</v>
      </c>
      <c r="K26" s="213" t="e">
        <f>+K$54*K27/100</f>
        <v>#REF!</v>
      </c>
      <c r="L26" s="213" t="e">
        <f>+L$54*L27/100</f>
        <v>#REF!</v>
      </c>
      <c r="M26" s="328" t="e">
        <f>+M$54*M27/100</f>
        <v>#REF!</v>
      </c>
      <c r="N26" s="213" t="e">
        <f>+N$54*N27/100</f>
        <v>#REF!</v>
      </c>
      <c r="O26" s="213" t="e">
        <f>+O$54*O27/100</f>
        <v>#REF!</v>
      </c>
      <c r="P26" s="196"/>
      <c r="Q26" s="195"/>
      <c r="R26" s="185">
        <v>58410</v>
      </c>
      <c r="S26" s="211" t="e">
        <f>+L28+L32</f>
        <v>#REF!</v>
      </c>
      <c r="T26" s="195"/>
      <c r="V26" s="196"/>
    </row>
    <row r="27" spans="1:22" ht="60">
      <c r="A27" s="204"/>
      <c r="B27" s="205"/>
      <c r="C27" s="206" t="s">
        <v>217</v>
      </c>
      <c r="D27" s="324"/>
      <c r="E27" s="324"/>
      <c r="F27" s="324"/>
      <c r="G27" s="324"/>
      <c r="H27" s="324"/>
      <c r="I27" s="324"/>
      <c r="J27" s="325" t="e">
        <f>100*J26/J$54</f>
        <v>#REF!</v>
      </c>
      <c r="K27" s="325">
        <v>4.2</v>
      </c>
      <c r="L27" s="325">
        <v>4.2</v>
      </c>
      <c r="M27" s="325">
        <v>4.2</v>
      </c>
      <c r="N27" s="325">
        <v>4.2</v>
      </c>
      <c r="O27" s="325">
        <v>4.2</v>
      </c>
    </row>
    <row r="28" spans="1:22" ht="30">
      <c r="A28" s="200"/>
      <c r="B28" s="201"/>
      <c r="C28" s="202" t="s">
        <v>226</v>
      </c>
      <c r="D28" s="203">
        <v>19913</v>
      </c>
      <c r="E28" s="203">
        <v>26999.1</v>
      </c>
      <c r="F28" s="203">
        <v>32398</v>
      </c>
      <c r="G28" s="203">
        <v>38226</v>
      </c>
      <c r="H28" s="203">
        <v>39381</v>
      </c>
      <c r="I28" s="203">
        <v>48252</v>
      </c>
      <c r="J28" s="213" t="e">
        <f>+K28+L28+M28+N28+O28</f>
        <v>#REF!</v>
      </c>
      <c r="K28" s="213" t="e">
        <f>+K$54*K29/100</f>
        <v>#REF!</v>
      </c>
      <c r="L28" s="213" t="e">
        <f>+L$54*L29/100</f>
        <v>#REF!</v>
      </c>
      <c r="M28" s="213" t="e">
        <f>+M$54*M29/100</f>
        <v>#REF!</v>
      </c>
      <c r="N28" s="213" t="e">
        <f>+N$54*N29/100</f>
        <v>#REF!</v>
      </c>
      <c r="O28" s="213" t="e">
        <f>+O$54*O29/100</f>
        <v>#REF!</v>
      </c>
      <c r="S28" s="185" t="e">
        <f>+L28/S26</f>
        <v>#REF!</v>
      </c>
    </row>
    <row r="29" spans="1:22" ht="60">
      <c r="A29" s="204"/>
      <c r="B29" s="205"/>
      <c r="C29" s="206" t="s">
        <v>217</v>
      </c>
      <c r="D29" s="324"/>
      <c r="E29" s="324"/>
      <c r="F29" s="324"/>
      <c r="G29" s="324"/>
      <c r="H29" s="324"/>
      <c r="I29" s="324"/>
      <c r="J29" s="325" t="e">
        <f>100*J28/J$54</f>
        <v>#REF!</v>
      </c>
      <c r="K29" s="325">
        <v>12.3</v>
      </c>
      <c r="L29" s="325">
        <v>12.6</v>
      </c>
      <c r="M29" s="325">
        <v>12.9</v>
      </c>
      <c r="N29" s="325">
        <v>13.2</v>
      </c>
      <c r="O29" s="325">
        <v>13.5</v>
      </c>
    </row>
    <row r="30" spans="1:22" ht="45">
      <c r="A30" s="200"/>
      <c r="B30" s="201"/>
      <c r="C30" s="202" t="s">
        <v>227</v>
      </c>
      <c r="D30" s="203">
        <v>4453</v>
      </c>
      <c r="E30" s="203">
        <v>2974.7</v>
      </c>
      <c r="F30" s="203">
        <v>3847</v>
      </c>
      <c r="G30" s="203">
        <v>4230</v>
      </c>
      <c r="H30" s="203">
        <v>5549</v>
      </c>
      <c r="I30" s="203">
        <v>6628</v>
      </c>
      <c r="J30" s="213" t="e">
        <f>+K30+L30+M30+N30+O30</f>
        <v>#REF!</v>
      </c>
      <c r="K30" s="213" t="e">
        <f>+K$54*K31/100</f>
        <v>#REF!</v>
      </c>
      <c r="L30" s="213" t="e">
        <f>+L$54*L31/100</f>
        <v>#REF!</v>
      </c>
      <c r="M30" s="213" t="e">
        <f>+M$54*M31/100</f>
        <v>#REF!</v>
      </c>
      <c r="N30" s="213" t="e">
        <f>+N$54*N31/100</f>
        <v>#REF!</v>
      </c>
      <c r="O30" s="213" t="e">
        <f>+O$54*O31/100</f>
        <v>#REF!</v>
      </c>
      <c r="S30" s="185" t="e">
        <f>+L32/S26</f>
        <v>#REF!</v>
      </c>
    </row>
    <row r="31" spans="1:22" ht="60">
      <c r="A31" s="204"/>
      <c r="B31" s="205"/>
      <c r="C31" s="206" t="s">
        <v>217</v>
      </c>
      <c r="D31" s="324"/>
      <c r="E31" s="324"/>
      <c r="F31" s="324"/>
      <c r="G31" s="324"/>
      <c r="H31" s="324"/>
      <c r="I31" s="324"/>
      <c r="J31" s="325" t="e">
        <f>100*J30/J$54</f>
        <v>#REF!</v>
      </c>
      <c r="K31" s="325">
        <v>2.1</v>
      </c>
      <c r="L31" s="325">
        <v>2.1</v>
      </c>
      <c r="M31" s="325">
        <v>2.1</v>
      </c>
      <c r="N31" s="325">
        <v>2.1</v>
      </c>
      <c r="O31" s="325">
        <v>2.1</v>
      </c>
    </row>
    <row r="32" spans="1:22" ht="45">
      <c r="A32" s="200"/>
      <c r="B32" s="201"/>
      <c r="C32" s="202" t="s">
        <v>228</v>
      </c>
      <c r="D32" s="203"/>
      <c r="E32" s="203"/>
      <c r="F32" s="203"/>
      <c r="G32" s="203"/>
      <c r="H32" s="203"/>
      <c r="I32" s="203"/>
      <c r="J32" s="213" t="e">
        <f>+K32+L32+M32+N32+O32</f>
        <v>#REF!</v>
      </c>
      <c r="K32" s="213" t="e">
        <f>+K$54*K33/100</f>
        <v>#REF!</v>
      </c>
      <c r="L32" s="213" t="e">
        <f>+L$54*L33/100</f>
        <v>#REF!</v>
      </c>
      <c r="M32" s="213" t="e">
        <f>+M$54*M33/100</f>
        <v>#REF!</v>
      </c>
      <c r="N32" s="213" t="e">
        <f>+N$54*N33/100</f>
        <v>#REF!</v>
      </c>
      <c r="O32" s="213" t="e">
        <f>+O$54*O33/100</f>
        <v>#REF!</v>
      </c>
      <c r="S32" s="207"/>
    </row>
    <row r="33" spans="1:22" ht="60">
      <c r="A33" s="204"/>
      <c r="B33" s="205"/>
      <c r="C33" s="206" t="s">
        <v>217</v>
      </c>
      <c r="D33" s="324"/>
      <c r="E33" s="324"/>
      <c r="F33" s="324"/>
      <c r="G33" s="324"/>
      <c r="H33" s="324"/>
      <c r="I33" s="324"/>
      <c r="J33" s="325" t="e">
        <f>100*J32/J$54</f>
        <v>#REF!</v>
      </c>
      <c r="K33" s="325">
        <v>3.6</v>
      </c>
      <c r="L33" s="325">
        <v>3.6</v>
      </c>
      <c r="M33" s="325">
        <v>3.6</v>
      </c>
      <c r="N33" s="325">
        <v>3.6</v>
      </c>
      <c r="O33" s="325">
        <v>3.6</v>
      </c>
    </row>
    <row r="34" spans="1:22" ht="90">
      <c r="A34" s="200"/>
      <c r="B34" s="201"/>
      <c r="C34" s="202" t="s">
        <v>229</v>
      </c>
      <c r="D34" s="203">
        <v>1303</v>
      </c>
      <c r="E34" s="203">
        <v>2017.6</v>
      </c>
      <c r="F34" s="203">
        <v>1120</v>
      </c>
      <c r="G34" s="203">
        <v>1983</v>
      </c>
      <c r="H34" s="203">
        <v>1800</v>
      </c>
      <c r="I34" s="203">
        <v>2174</v>
      </c>
      <c r="J34" s="213" t="e">
        <f>+K34+L34+M34+N34+O34</f>
        <v>#REF!</v>
      </c>
      <c r="K34" s="213" t="e">
        <f>+K$54*K35/100</f>
        <v>#REF!</v>
      </c>
      <c r="L34" s="213" t="e">
        <f>+L$54*L35/100</f>
        <v>#REF!</v>
      </c>
      <c r="M34" s="213" t="e">
        <f>+M$54*M35/100</f>
        <v>#REF!</v>
      </c>
      <c r="N34" s="213" t="e">
        <f>+N$54*N35/100</f>
        <v>#REF!</v>
      </c>
      <c r="O34" s="213" t="e">
        <f>+O$54*O35/100</f>
        <v>#REF!</v>
      </c>
    </row>
    <row r="35" spans="1:22" ht="60">
      <c r="A35" s="204"/>
      <c r="B35" s="205"/>
      <c r="C35" s="206" t="s">
        <v>217</v>
      </c>
      <c r="D35" s="324"/>
      <c r="E35" s="324"/>
      <c r="F35" s="324"/>
      <c r="G35" s="324"/>
      <c r="H35" s="324"/>
      <c r="I35" s="324"/>
      <c r="J35" s="325" t="e">
        <f>100*J34/J$54</f>
        <v>#REF!</v>
      </c>
      <c r="K35" s="325">
        <v>1.5</v>
      </c>
      <c r="L35" s="325">
        <v>1.5</v>
      </c>
      <c r="M35" s="325">
        <v>1.5</v>
      </c>
      <c r="N35" s="325">
        <v>1.5</v>
      </c>
      <c r="O35" s="325">
        <v>1.5</v>
      </c>
    </row>
    <row r="36" spans="1:22" ht="60">
      <c r="A36" s="200"/>
      <c r="B36" s="201"/>
      <c r="C36" s="202" t="s">
        <v>230</v>
      </c>
      <c r="D36" s="203">
        <v>4031</v>
      </c>
      <c r="E36" s="203">
        <v>1734.6</v>
      </c>
      <c r="F36" s="203">
        <v>2612</v>
      </c>
      <c r="G36" s="203">
        <v>3605</v>
      </c>
      <c r="H36" s="203">
        <v>5025</v>
      </c>
      <c r="I36" s="203">
        <v>5705</v>
      </c>
      <c r="J36" s="213" t="e">
        <f>+K36+L36+M36+N36+O36</f>
        <v>#REF!</v>
      </c>
      <c r="K36" s="213" t="e">
        <f>+K$54*K37/100</f>
        <v>#REF!</v>
      </c>
      <c r="L36" s="213" t="e">
        <f>+L$54*L37/100</f>
        <v>#REF!</v>
      </c>
      <c r="M36" s="213" t="e">
        <f>+M$54*M37/100</f>
        <v>#REF!</v>
      </c>
      <c r="N36" s="213" t="e">
        <f>+N$54*N37/100</f>
        <v>#REF!</v>
      </c>
      <c r="O36" s="213" t="e">
        <f>+O$54*O37/100</f>
        <v>#REF!</v>
      </c>
    </row>
    <row r="37" spans="1:22" ht="60">
      <c r="A37" s="204"/>
      <c r="B37" s="205"/>
      <c r="C37" s="206" t="s">
        <v>217</v>
      </c>
      <c r="D37" s="324"/>
      <c r="E37" s="324"/>
      <c r="F37" s="324"/>
      <c r="G37" s="324"/>
      <c r="H37" s="324"/>
      <c r="I37" s="324"/>
      <c r="J37" s="325" t="e">
        <f>100*J36/J$54</f>
        <v>#REF!</v>
      </c>
      <c r="K37" s="325">
        <v>4.5999999999999996</v>
      </c>
      <c r="L37" s="325">
        <v>4.5</v>
      </c>
      <c r="M37" s="325">
        <v>4.4000000000000004</v>
      </c>
      <c r="N37" s="325">
        <v>4.3</v>
      </c>
      <c r="O37" s="325">
        <v>4.2</v>
      </c>
    </row>
    <row r="38" spans="1:22" ht="105">
      <c r="A38" s="200"/>
      <c r="B38" s="201"/>
      <c r="C38" s="202" t="s">
        <v>231</v>
      </c>
      <c r="D38" s="203">
        <v>1883</v>
      </c>
      <c r="E38" s="203">
        <v>1935.5</v>
      </c>
      <c r="F38" s="203">
        <v>695</v>
      </c>
      <c r="G38" s="203"/>
      <c r="H38" s="203">
        <v>1351</v>
      </c>
      <c r="I38" s="203">
        <v>1486</v>
      </c>
      <c r="J38" s="213" t="e">
        <f>+K38+L38+M38+N38+O38</f>
        <v>#REF!</v>
      </c>
      <c r="K38" s="213" t="e">
        <f>+K$54*K39/100</f>
        <v>#REF!</v>
      </c>
      <c r="L38" s="213" t="e">
        <f>+L$54*L39/100</f>
        <v>#REF!</v>
      </c>
      <c r="M38" s="213" t="e">
        <f>+M$54*M39/100</f>
        <v>#REF!</v>
      </c>
      <c r="N38" s="213" t="e">
        <f>+N$54*N39/100</f>
        <v>#REF!</v>
      </c>
      <c r="O38" s="213" t="e">
        <f>+O$54*O39/100</f>
        <v>#REF!</v>
      </c>
      <c r="R38" s="185">
        <f>1456+65373+11914</f>
        <v>78743</v>
      </c>
      <c r="S38" s="207" t="e">
        <f>+L40+L42+L50</f>
        <v>#REF!</v>
      </c>
    </row>
    <row r="39" spans="1:22" ht="60">
      <c r="A39" s="204"/>
      <c r="B39" s="208"/>
      <c r="C39" s="206" t="s">
        <v>217</v>
      </c>
      <c r="D39" s="329"/>
      <c r="E39" s="324"/>
      <c r="F39" s="324"/>
      <c r="G39" s="324"/>
      <c r="H39" s="324"/>
      <c r="I39" s="324"/>
      <c r="J39" s="325" t="e">
        <f>100*J38/J$54</f>
        <v>#REF!</v>
      </c>
      <c r="K39" s="325">
        <v>1.1000000000000001</v>
      </c>
      <c r="L39" s="325">
        <v>1.1000000000000001</v>
      </c>
      <c r="M39" s="330">
        <v>1.1000000000000001</v>
      </c>
      <c r="N39" s="325">
        <v>1.1000000000000001</v>
      </c>
      <c r="O39" s="325">
        <v>1.1000000000000001</v>
      </c>
      <c r="P39" s="198"/>
      <c r="Q39" s="199"/>
      <c r="S39" s="198"/>
      <c r="T39" s="199"/>
      <c r="V39" s="198"/>
    </row>
    <row r="40" spans="1:22" ht="90">
      <c r="A40" s="200"/>
      <c r="B40" s="201"/>
      <c r="C40" s="202" t="s">
        <v>232</v>
      </c>
      <c r="D40" s="203">
        <v>3914</v>
      </c>
      <c r="E40" s="203">
        <v>3854</v>
      </c>
      <c r="F40" s="203">
        <v>3072</v>
      </c>
      <c r="G40" s="203">
        <v>4452</v>
      </c>
      <c r="H40" s="203">
        <v>8260</v>
      </c>
      <c r="I40" s="203">
        <v>9727</v>
      </c>
      <c r="J40" s="213" t="e">
        <f>+K40+L40+M40+N40+O40</f>
        <v>#REF!</v>
      </c>
      <c r="K40" s="213" t="e">
        <f>+K$54*K41/100</f>
        <v>#REF!</v>
      </c>
      <c r="L40" s="213" t="e">
        <f>+L$54*L41/100</f>
        <v>#REF!</v>
      </c>
      <c r="M40" s="213" t="e">
        <f>+M$54*M41/100</f>
        <v>#REF!</v>
      </c>
      <c r="N40" s="213" t="e">
        <f>+N$54*N41/100</f>
        <v>#REF!</v>
      </c>
      <c r="O40" s="213" t="e">
        <f>+O$54*O41/100</f>
        <v>#REF!</v>
      </c>
      <c r="S40" s="185" t="e">
        <f>+L40/S38</f>
        <v>#REF!</v>
      </c>
    </row>
    <row r="41" spans="1:22" ht="60">
      <c r="A41" s="204"/>
      <c r="B41" s="205"/>
      <c r="C41" s="206" t="s">
        <v>217</v>
      </c>
      <c r="D41" s="324"/>
      <c r="E41" s="324"/>
      <c r="F41" s="324"/>
      <c r="G41" s="324"/>
      <c r="H41" s="324"/>
      <c r="I41" s="324"/>
      <c r="J41" s="325" t="e">
        <f>100*J40/J$54</f>
        <v>#REF!</v>
      </c>
      <c r="K41" s="325">
        <v>3.4</v>
      </c>
      <c r="L41" s="325">
        <v>3.4</v>
      </c>
      <c r="M41" s="325">
        <v>3.4</v>
      </c>
      <c r="N41" s="325">
        <v>3.4</v>
      </c>
      <c r="O41" s="325">
        <v>3.4</v>
      </c>
    </row>
    <row r="42" spans="1:22" ht="225">
      <c r="A42" s="200"/>
      <c r="B42" s="201"/>
      <c r="C42" s="202" t="s">
        <v>233</v>
      </c>
      <c r="D42" s="203">
        <v>793</v>
      </c>
      <c r="E42" s="203">
        <v>342</v>
      </c>
      <c r="F42" s="203">
        <v>818</v>
      </c>
      <c r="G42" s="203">
        <v>892</v>
      </c>
      <c r="H42" s="203">
        <v>1015</v>
      </c>
      <c r="I42" s="203">
        <v>1217</v>
      </c>
      <c r="J42" s="213"/>
      <c r="K42" s="213"/>
      <c r="L42" s="213"/>
      <c r="M42" s="213"/>
      <c r="N42" s="213"/>
      <c r="O42" s="213"/>
      <c r="S42" s="185" t="e">
        <f>+L42/S38</f>
        <v>#REF!</v>
      </c>
    </row>
    <row r="43" spans="1:22" ht="60">
      <c r="A43" s="204"/>
      <c r="B43" s="205"/>
      <c r="C43" s="206" t="s">
        <v>217</v>
      </c>
      <c r="D43" s="324"/>
      <c r="E43" s="324"/>
      <c r="F43" s="324"/>
      <c r="G43" s="324"/>
      <c r="H43" s="324"/>
      <c r="I43" s="324"/>
      <c r="J43" s="325"/>
      <c r="K43" s="325"/>
      <c r="L43" s="325"/>
      <c r="M43" s="325"/>
      <c r="N43" s="325"/>
      <c r="O43" s="325"/>
    </row>
    <row r="44" spans="1:22" ht="45">
      <c r="A44" s="200"/>
      <c r="B44" s="201"/>
      <c r="C44" s="202" t="s">
        <v>234</v>
      </c>
      <c r="D44" s="203">
        <v>6084</v>
      </c>
      <c r="E44" s="203">
        <v>6225.3</v>
      </c>
      <c r="F44" s="203">
        <v>5882</v>
      </c>
      <c r="G44" s="203">
        <v>7118</v>
      </c>
      <c r="H44" s="203">
        <v>8614</v>
      </c>
      <c r="I44" s="203">
        <v>10097</v>
      </c>
      <c r="J44" s="213" t="e">
        <f>+K44+L44+M44+N44+O44</f>
        <v>#REF!</v>
      </c>
      <c r="K44" s="213" t="e">
        <f>+K$54*K45/100</f>
        <v>#REF!</v>
      </c>
      <c r="L44" s="213" t="e">
        <f>+L$54*L45/100</f>
        <v>#REF!</v>
      </c>
      <c r="M44" s="213" t="e">
        <f>+M$54*M45/100</f>
        <v>#REF!</v>
      </c>
      <c r="N44" s="213" t="e">
        <f>+N$54*N45/100</f>
        <v>#REF!</v>
      </c>
      <c r="O44" s="213" t="e">
        <f>+O$54*O45/100</f>
        <v>#REF!</v>
      </c>
      <c r="S44" s="185" t="e">
        <f>+L50/S38</f>
        <v>#REF!</v>
      </c>
    </row>
    <row r="45" spans="1:22" ht="60">
      <c r="A45" s="204"/>
      <c r="B45" s="205"/>
      <c r="C45" s="206" t="s">
        <v>217</v>
      </c>
      <c r="D45" s="324"/>
      <c r="E45" s="324"/>
      <c r="F45" s="324"/>
      <c r="G45" s="324"/>
      <c r="H45" s="324"/>
      <c r="I45" s="324"/>
      <c r="J45" s="325" t="e">
        <f>100*J44/J$54</f>
        <v>#REF!</v>
      </c>
      <c r="K45" s="325">
        <v>2.9</v>
      </c>
      <c r="L45" s="325">
        <v>3</v>
      </c>
      <c r="M45" s="325">
        <v>3.1</v>
      </c>
      <c r="N45" s="325">
        <v>3.2</v>
      </c>
      <c r="O45" s="325">
        <v>3.3</v>
      </c>
    </row>
    <row r="46" spans="1:22" ht="75">
      <c r="A46" s="200"/>
      <c r="B46" s="201"/>
      <c r="C46" s="202" t="s">
        <v>235</v>
      </c>
      <c r="D46" s="203">
        <v>2323</v>
      </c>
      <c r="E46" s="203">
        <v>2770.1</v>
      </c>
      <c r="F46" s="203">
        <v>3207</v>
      </c>
      <c r="G46" s="203">
        <v>4370</v>
      </c>
      <c r="H46" s="203">
        <v>5665</v>
      </c>
      <c r="I46" s="203">
        <v>5775</v>
      </c>
      <c r="J46" s="213" t="e">
        <f>+K46+L46+M46+N46+O46</f>
        <v>#REF!</v>
      </c>
      <c r="K46" s="213" t="e">
        <f>+K$54*K47/100</f>
        <v>#REF!</v>
      </c>
      <c r="L46" s="213" t="e">
        <f>+L$54*L47/100</f>
        <v>#REF!</v>
      </c>
      <c r="M46" s="213" t="e">
        <f>+M$54*M47/100</f>
        <v>#REF!</v>
      </c>
      <c r="N46" s="213" t="e">
        <f>+N$54*N47/100</f>
        <v>#REF!</v>
      </c>
      <c r="O46" s="213" t="e">
        <f>+O$54*O47/100</f>
        <v>#REF!</v>
      </c>
    </row>
    <row r="47" spans="1:22" ht="60">
      <c r="A47" s="204"/>
      <c r="B47" s="205"/>
      <c r="C47" s="206" t="s">
        <v>217</v>
      </c>
      <c r="D47" s="324"/>
      <c r="E47" s="324"/>
      <c r="F47" s="324"/>
      <c r="G47" s="324"/>
      <c r="H47" s="324"/>
      <c r="I47" s="324"/>
      <c r="J47" s="325" t="e">
        <f>100*J46/J$54</f>
        <v>#REF!</v>
      </c>
      <c r="K47" s="325">
        <v>1.5</v>
      </c>
      <c r="L47" s="325">
        <v>1.6</v>
      </c>
      <c r="M47" s="325">
        <v>1.7</v>
      </c>
      <c r="N47" s="325">
        <v>1.8</v>
      </c>
      <c r="O47" s="325">
        <v>1.9</v>
      </c>
    </row>
    <row r="48" spans="1:22" ht="60">
      <c r="A48" s="200"/>
      <c r="B48" s="201"/>
      <c r="C48" s="202" t="s">
        <v>236</v>
      </c>
      <c r="D48" s="203">
        <v>2812</v>
      </c>
      <c r="E48" s="203">
        <v>2228.4</v>
      </c>
      <c r="F48" s="203">
        <v>3029</v>
      </c>
      <c r="G48" s="203">
        <v>4288</v>
      </c>
      <c r="H48" s="203">
        <v>4583</v>
      </c>
      <c r="I48" s="203">
        <v>4893</v>
      </c>
      <c r="J48" s="213"/>
      <c r="K48" s="213"/>
      <c r="L48" s="213"/>
      <c r="M48" s="213"/>
      <c r="N48" s="213"/>
      <c r="O48" s="213"/>
    </row>
    <row r="49" spans="1:15" ht="60">
      <c r="A49" s="204"/>
      <c r="B49" s="212"/>
      <c r="C49" s="206" t="s">
        <v>217</v>
      </c>
      <c r="D49" s="324"/>
      <c r="E49" s="324"/>
      <c r="F49" s="324"/>
      <c r="G49" s="324"/>
      <c r="H49" s="324"/>
      <c r="I49" s="324"/>
      <c r="J49" s="325"/>
      <c r="K49" s="325"/>
      <c r="L49" s="325"/>
      <c r="M49" s="325"/>
      <c r="N49" s="325"/>
      <c r="O49" s="325"/>
    </row>
    <row r="50" spans="1:15" ht="45">
      <c r="A50" s="201"/>
      <c r="B50" s="205"/>
      <c r="C50" s="202" t="s">
        <v>237</v>
      </c>
      <c r="D50" s="203">
        <v>20400</v>
      </c>
      <c r="E50" s="203">
        <v>23070.9</v>
      </c>
      <c r="F50" s="203">
        <v>29230</v>
      </c>
      <c r="G50" s="203">
        <v>35151</v>
      </c>
      <c r="H50" s="203">
        <v>46690</v>
      </c>
      <c r="I50" s="203">
        <v>56969</v>
      </c>
      <c r="J50" s="213" t="e">
        <f>+K50+L50+M50+N50+O50</f>
        <v>#REF!</v>
      </c>
      <c r="K50" s="213" t="e">
        <f>+K54-K8-K13-K15-K17-K19-K21-K26-K28-K30-K32-K34-K36-K38-K40-K42-K44-K46-K48</f>
        <v>#REF!</v>
      </c>
      <c r="L50" s="213" t="e">
        <f>+L54-L8-L13-L15-L17-L19-L21-L26-L28-L30-L32-L34-L36-L38-L40-L42-L44-L46-L48</f>
        <v>#REF!</v>
      </c>
      <c r="M50" s="213" t="e">
        <f>+M54-M8-M13-M15-M17-M19-M21-M26-M28-M30-M32-M34-M36-M38-M40-M42-M44-M46-M48</f>
        <v>#REF!</v>
      </c>
      <c r="N50" s="213" t="e">
        <f>+N54-N8-N13-N15-N17-N19-N21-N26-N28-N30-N32-N34-N36-N38-N40-N42-N44-N46-N48</f>
        <v>#REF!</v>
      </c>
      <c r="O50" s="213" t="e">
        <f>+O54-O8-O13-O15-O17-O19-O21-O26-O28-O30-O32-O34-O36-O38-O40-O42-O44-O46-O48</f>
        <v>#REF!</v>
      </c>
    </row>
    <row r="51" spans="1:15" ht="60">
      <c r="A51" s="205"/>
      <c r="B51" s="205"/>
      <c r="C51" s="206" t="s">
        <v>217</v>
      </c>
      <c r="D51" s="324"/>
      <c r="E51" s="324"/>
      <c r="F51" s="324"/>
      <c r="G51" s="324"/>
      <c r="H51" s="324"/>
      <c r="I51" s="324"/>
      <c r="J51" s="325" t="e">
        <f t="shared" ref="J51:O51" si="3">100*J50/J$54</f>
        <v>#REF!</v>
      </c>
      <c r="K51" s="325" t="e">
        <f t="shared" si="3"/>
        <v>#REF!</v>
      </c>
      <c r="L51" s="325" t="e">
        <f t="shared" si="3"/>
        <v>#REF!</v>
      </c>
      <c r="M51" s="325" t="e">
        <f t="shared" si="3"/>
        <v>#REF!</v>
      </c>
      <c r="N51" s="325" t="e">
        <f t="shared" si="3"/>
        <v>#REF!</v>
      </c>
      <c r="O51" s="325" t="e">
        <f t="shared" si="3"/>
        <v>#REF!</v>
      </c>
    </row>
    <row r="52" spans="1:15" ht="15.75">
      <c r="A52" s="214"/>
      <c r="B52" s="215"/>
      <c r="C52" s="216"/>
      <c r="D52" s="217"/>
      <c r="E52" s="217"/>
      <c r="F52" s="217"/>
      <c r="G52" s="217"/>
      <c r="H52" s="217"/>
      <c r="I52" s="217"/>
      <c r="J52" s="217"/>
      <c r="K52" s="217"/>
      <c r="L52" s="217"/>
      <c r="M52" s="217"/>
      <c r="N52" s="217"/>
      <c r="O52" s="218"/>
    </row>
    <row r="53" spans="1:15" ht="18.75">
      <c r="C53" s="219"/>
      <c r="D53" s="186"/>
      <c r="E53" s="186"/>
      <c r="F53" s="186"/>
      <c r="G53" s="186"/>
      <c r="H53" s="186"/>
      <c r="I53" s="186"/>
      <c r="J53" s="186"/>
      <c r="K53" s="186"/>
      <c r="L53" s="186"/>
      <c r="M53" s="186"/>
      <c r="N53" s="186"/>
    </row>
    <row r="54" spans="1:15" ht="15.75">
      <c r="A54" s="193"/>
      <c r="B54" s="1105" t="s">
        <v>174</v>
      </c>
      <c r="C54" s="1106"/>
      <c r="D54" s="313">
        <v>151183</v>
      </c>
      <c r="E54" s="313">
        <v>170496</v>
      </c>
      <c r="F54" s="313">
        <v>200145</v>
      </c>
      <c r="G54" s="313">
        <v>239246</v>
      </c>
      <c r="H54" s="313">
        <v>290927</v>
      </c>
      <c r="I54" s="313">
        <v>343135</v>
      </c>
      <c r="J54" s="311" t="e">
        <f>+K54+L54+M54+N54+O54</f>
        <v>#REF!</v>
      </c>
      <c r="K54" s="311" t="e">
        <f>#REF!*1000</f>
        <v>#REF!</v>
      </c>
      <c r="L54" s="311" t="e">
        <f>#REF!*1000</f>
        <v>#REF!</v>
      </c>
      <c r="M54" s="311" t="e">
        <f>#REF!*1000</f>
        <v>#REF!</v>
      </c>
      <c r="N54" s="311" t="e">
        <f>#REF!*1000</f>
        <v>#REF!</v>
      </c>
      <c r="O54" s="311" t="e">
        <f>#REF!*1000</f>
        <v>#REF!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5"/>
  <sheetViews>
    <sheetView workbookViewId="0"/>
  </sheetViews>
  <sheetFormatPr defaultRowHeight="15"/>
  <sheetData>
    <row r="1" spans="1:22" ht="58.5">
      <c r="A1" s="1097" t="s">
        <v>280</v>
      </c>
      <c r="B1" s="1097"/>
      <c r="C1" s="1097"/>
      <c r="D1" s="1097"/>
      <c r="E1" s="1097"/>
      <c r="F1" s="1097"/>
      <c r="G1" s="1097"/>
      <c r="H1" s="1097"/>
      <c r="I1" s="184"/>
      <c r="J1" s="184"/>
      <c r="K1" s="184"/>
      <c r="L1" s="184"/>
      <c r="M1" s="184"/>
      <c r="N1" s="184"/>
    </row>
    <row r="2" spans="1:22" ht="15.75">
      <c r="A2" s="1116" t="s">
        <v>286</v>
      </c>
      <c r="B2" s="1117"/>
      <c r="C2" s="1117"/>
      <c r="D2" s="1117"/>
      <c r="E2" s="1117"/>
      <c r="F2" s="1117"/>
      <c r="G2" s="1117"/>
      <c r="H2" s="1117"/>
      <c r="I2" s="1117"/>
      <c r="J2" s="220"/>
    </row>
    <row r="3" spans="1:22" ht="15.75">
      <c r="A3" s="222"/>
      <c r="B3" s="220"/>
      <c r="C3" s="223"/>
      <c r="D3" s="220"/>
      <c r="E3" s="220"/>
      <c r="F3" s="220"/>
      <c r="G3" s="220"/>
      <c r="H3" s="220"/>
      <c r="I3" s="224"/>
      <c r="J3" s="224"/>
    </row>
    <row r="4" spans="1:22" ht="15.75">
      <c r="A4" s="225"/>
      <c r="B4" s="226"/>
      <c r="F4" s="1118" t="s">
        <v>285</v>
      </c>
      <c r="G4" s="1118"/>
      <c r="H4" s="1118"/>
      <c r="I4" s="1119"/>
    </row>
    <row r="5" spans="1:22" ht="31.5">
      <c r="A5" s="227"/>
      <c r="B5" s="228" t="s">
        <v>277</v>
      </c>
      <c r="C5" s="229" t="s">
        <v>276</v>
      </c>
      <c r="D5" s="230">
        <v>2011</v>
      </c>
      <c r="E5" s="231">
        <v>2012</v>
      </c>
      <c r="F5" s="231">
        <v>2013</v>
      </c>
      <c r="G5" s="231">
        <v>2014</v>
      </c>
      <c r="H5" s="231">
        <v>2015</v>
      </c>
      <c r="I5" s="232">
        <v>2011</v>
      </c>
      <c r="J5" s="233"/>
    </row>
    <row r="6" spans="1:22" ht="31.5">
      <c r="A6" s="234"/>
      <c r="B6" s="235" t="s">
        <v>215</v>
      </c>
      <c r="C6" s="236"/>
      <c r="D6" s="237"/>
      <c r="E6" s="237"/>
      <c r="F6" s="237"/>
      <c r="G6" s="237"/>
      <c r="H6" s="238"/>
      <c r="I6" s="239">
        <v>152000.05204045697</v>
      </c>
      <c r="J6" s="240"/>
      <c r="L6" s="242"/>
    </row>
    <row r="7" spans="1:22" ht="78.75">
      <c r="A7" s="243" t="s">
        <v>3</v>
      </c>
      <c r="B7" s="244" t="s">
        <v>274</v>
      </c>
      <c r="C7" s="245"/>
      <c r="D7" s="246"/>
      <c r="E7" s="247"/>
      <c r="F7" s="247"/>
      <c r="G7" s="247"/>
      <c r="H7" s="248"/>
      <c r="I7" s="249">
        <v>10080</v>
      </c>
      <c r="J7" s="250"/>
      <c r="K7" s="251"/>
      <c r="M7" s="252"/>
      <c r="N7" s="251"/>
      <c r="P7" s="252"/>
      <c r="Q7" s="251"/>
      <c r="S7" s="252"/>
      <c r="T7" s="251"/>
      <c r="V7" s="252"/>
    </row>
    <row r="8" spans="1:22" ht="220.5">
      <c r="A8" s="253"/>
      <c r="B8" s="254" t="s">
        <v>273</v>
      </c>
      <c r="C8" s="255"/>
      <c r="D8" s="256">
        <v>120</v>
      </c>
      <c r="E8" s="257">
        <v>220</v>
      </c>
      <c r="F8" s="257">
        <v>200</v>
      </c>
      <c r="G8" s="258">
        <v>200</v>
      </c>
      <c r="H8" s="258">
        <v>200</v>
      </c>
      <c r="I8" s="259">
        <v>180</v>
      </c>
      <c r="J8" s="260"/>
      <c r="K8" s="261"/>
      <c r="M8" s="262"/>
      <c r="N8" s="261"/>
      <c r="P8" s="262"/>
      <c r="Q8" s="261"/>
      <c r="S8" s="262"/>
      <c r="T8" s="261"/>
      <c r="V8" s="262"/>
    </row>
    <row r="9" spans="1:22" ht="189">
      <c r="A9" s="253"/>
      <c r="B9" s="254" t="s">
        <v>272</v>
      </c>
      <c r="C9" s="255"/>
      <c r="D9" s="256">
        <v>300</v>
      </c>
      <c r="E9" s="257">
        <v>200</v>
      </c>
      <c r="F9" s="257">
        <v>200</v>
      </c>
      <c r="G9" s="258">
        <v>200</v>
      </c>
      <c r="H9" s="258">
        <v>200</v>
      </c>
      <c r="I9" s="259">
        <v>200</v>
      </c>
      <c r="J9" s="260"/>
      <c r="K9" s="261"/>
      <c r="M9" s="262"/>
      <c r="N9" s="261"/>
      <c r="P9" s="262"/>
      <c r="Q9" s="261"/>
      <c r="S9" s="262"/>
      <c r="T9" s="261"/>
      <c r="V9" s="262"/>
    </row>
    <row r="10" spans="1:22" ht="126">
      <c r="A10" s="253"/>
      <c r="B10" s="254" t="s">
        <v>271</v>
      </c>
      <c r="C10" s="255"/>
      <c r="D10" s="256">
        <v>2000</v>
      </c>
      <c r="E10" s="257">
        <v>2500</v>
      </c>
      <c r="F10" s="257">
        <v>2300</v>
      </c>
      <c r="G10" s="258">
        <v>3700</v>
      </c>
      <c r="H10" s="258">
        <v>3700</v>
      </c>
      <c r="I10" s="259">
        <v>4500</v>
      </c>
      <c r="J10" s="260"/>
      <c r="K10" s="261"/>
      <c r="M10" s="262"/>
      <c r="N10" s="261"/>
      <c r="P10" s="262"/>
      <c r="Q10" s="261"/>
      <c r="S10" s="262"/>
      <c r="T10" s="261"/>
      <c r="V10" s="262"/>
    </row>
    <row r="11" spans="1:22" ht="47.25">
      <c r="A11" s="253"/>
      <c r="B11" s="263" t="s">
        <v>270</v>
      </c>
      <c r="C11" s="255"/>
      <c r="D11" s="257"/>
      <c r="E11" s="257"/>
      <c r="F11" s="257">
        <v>120</v>
      </c>
      <c r="G11" s="258"/>
      <c r="H11" s="258"/>
      <c r="I11" s="259"/>
      <c r="J11" s="260"/>
    </row>
    <row r="12" spans="1:22" ht="94.5">
      <c r="A12" s="253"/>
      <c r="B12" s="264" t="s">
        <v>269</v>
      </c>
      <c r="C12" s="265"/>
      <c r="D12" s="257"/>
      <c r="E12" s="257"/>
      <c r="F12" s="257"/>
      <c r="G12" s="258">
        <v>4900</v>
      </c>
      <c r="H12" s="258">
        <v>3500</v>
      </c>
      <c r="I12" s="259">
        <v>3500</v>
      </c>
      <c r="J12" s="260"/>
    </row>
    <row r="13" spans="1:22" ht="362.25">
      <c r="A13" s="253"/>
      <c r="B13" s="264" t="s">
        <v>268</v>
      </c>
      <c r="C13" s="265"/>
      <c r="D13" s="257">
        <v>150</v>
      </c>
      <c r="E13" s="257" t="e">
        <v>#REF!</v>
      </c>
      <c r="F13" s="257"/>
      <c r="G13" s="258">
        <v>160</v>
      </c>
      <c r="H13" s="258">
        <v>300</v>
      </c>
      <c r="I13" s="259">
        <v>820</v>
      </c>
      <c r="J13" s="260"/>
    </row>
    <row r="14" spans="1:22" ht="60">
      <c r="A14" s="253"/>
      <c r="B14" s="266" t="s">
        <v>267</v>
      </c>
      <c r="C14" s="267"/>
      <c r="D14" s="257"/>
      <c r="E14" s="257">
        <v>100</v>
      </c>
      <c r="F14" s="257"/>
      <c r="G14" s="258"/>
      <c r="H14" s="258"/>
      <c r="I14" s="259"/>
      <c r="J14" s="260"/>
    </row>
    <row r="15" spans="1:22" ht="63">
      <c r="A15" s="253"/>
      <c r="B15" s="263" t="s">
        <v>266</v>
      </c>
      <c r="C15" s="255"/>
      <c r="D15" s="257"/>
      <c r="E15" s="257">
        <v>1000</v>
      </c>
      <c r="F15" s="257">
        <v>600</v>
      </c>
      <c r="G15" s="258">
        <v>800</v>
      </c>
      <c r="H15" s="258">
        <v>800</v>
      </c>
      <c r="I15" s="259">
        <v>880</v>
      </c>
      <c r="J15" s="260"/>
    </row>
    <row r="16" spans="1:22" ht="31.5">
      <c r="A16" s="243"/>
      <c r="B16" s="268" t="s">
        <v>215</v>
      </c>
      <c r="C16" s="245" t="e">
        <f>+D16+E16+F16+G16+H16</f>
        <v>#REF!</v>
      </c>
      <c r="D16" s="247" t="e">
        <f>+D21+D33+D53+D55</f>
        <v>#REF!</v>
      </c>
      <c r="E16" s="247" t="e">
        <f>+E21+E33+E53+E55</f>
        <v>#REF!</v>
      </c>
      <c r="F16" s="247" t="e">
        <f>+F21+F33+F53+F55</f>
        <v>#REF!</v>
      </c>
      <c r="G16" s="247" t="e">
        <f>+G21+G33+G53+G55</f>
        <v>#REF!</v>
      </c>
      <c r="H16" s="247" t="e">
        <f>+H21+H33+H53+H55</f>
        <v>#REF!</v>
      </c>
      <c r="I16" s="247">
        <v>880</v>
      </c>
      <c r="J16" s="240"/>
    </row>
    <row r="17" spans="1:22" ht="31.5">
      <c r="A17" s="243"/>
      <c r="B17" s="268" t="s">
        <v>215</v>
      </c>
      <c r="C17" s="245">
        <f>+D17+E17+F17+G17+H17</f>
        <v>1287000</v>
      </c>
      <c r="D17" s="247">
        <v>167000</v>
      </c>
      <c r="E17" s="247">
        <v>210000</v>
      </c>
      <c r="F17" s="247">
        <v>260000</v>
      </c>
      <c r="G17" s="247">
        <v>300000</v>
      </c>
      <c r="H17" s="247">
        <v>350000</v>
      </c>
      <c r="I17" s="247">
        <v>141425.55204045697</v>
      </c>
      <c r="J17" s="250"/>
    </row>
    <row r="18" spans="1:22" ht="15.75">
      <c r="A18" s="243"/>
      <c r="B18" s="268"/>
      <c r="C18" s="245"/>
      <c r="D18" s="245">
        <v>170000</v>
      </c>
      <c r="E18" s="245">
        <v>210000</v>
      </c>
      <c r="F18" s="245">
        <v>260000</v>
      </c>
      <c r="G18" s="245">
        <v>300000</v>
      </c>
      <c r="H18" s="245">
        <v>350000</v>
      </c>
      <c r="I18" s="245">
        <f>+I21+I33+I53+I55</f>
        <v>141425.55204045697</v>
      </c>
      <c r="J18" s="250"/>
    </row>
    <row r="19" spans="1:22" ht="15.75">
      <c r="A19" s="243"/>
      <c r="B19" s="268"/>
      <c r="C19" s="245"/>
      <c r="D19" s="245">
        <v>45000</v>
      </c>
      <c r="E19" s="245">
        <v>45000</v>
      </c>
      <c r="F19" s="245">
        <v>45000</v>
      </c>
      <c r="G19" s="245">
        <v>45000</v>
      </c>
      <c r="H19" s="245">
        <v>45000</v>
      </c>
      <c r="I19" s="245"/>
      <c r="J19" s="250"/>
    </row>
    <row r="20" spans="1:22" ht="15.75">
      <c r="A20" s="243"/>
      <c r="B20" s="268"/>
      <c r="C20" s="269" t="e">
        <f t="shared" ref="C20:H20" si="0">+C24+C26+C28+C30+C32+C36+C38+C40+C42+C44+C46+C48+C50+C52+C54+C56</f>
        <v>#REF!</v>
      </c>
      <c r="D20" s="269">
        <f t="shared" si="0"/>
        <v>100</v>
      </c>
      <c r="E20" s="269">
        <f t="shared" si="0"/>
        <v>100</v>
      </c>
      <c r="F20" s="269">
        <f t="shared" si="0"/>
        <v>100</v>
      </c>
      <c r="G20" s="269">
        <f t="shared" si="0"/>
        <v>100.00000000000001</v>
      </c>
      <c r="H20" s="269">
        <f t="shared" si="0"/>
        <v>100.00000000000001</v>
      </c>
      <c r="I20" s="245"/>
      <c r="J20" s="250"/>
    </row>
    <row r="21" spans="1:22" ht="47.25">
      <c r="A21" s="243" t="s">
        <v>101</v>
      </c>
      <c r="B21" s="268" t="s">
        <v>265</v>
      </c>
      <c r="C21" s="270" t="e">
        <f>+D21+E21+F21+G21+H21</f>
        <v>#REF!</v>
      </c>
      <c r="D21" s="270" t="e">
        <f t="shared" ref="D21:I21" si="1">+D23+D25+D27+D29+D31</f>
        <v>#REF!</v>
      </c>
      <c r="E21" s="270" t="e">
        <f t="shared" si="1"/>
        <v>#REF!</v>
      </c>
      <c r="F21" s="270" t="e">
        <f t="shared" si="1"/>
        <v>#REF!</v>
      </c>
      <c r="G21" s="270" t="e">
        <f t="shared" si="1"/>
        <v>#REF!</v>
      </c>
      <c r="H21" s="270" t="e">
        <f t="shared" si="1"/>
        <v>#REF!</v>
      </c>
      <c r="I21" s="245">
        <f t="shared" si="1"/>
        <v>66858.44406704056</v>
      </c>
      <c r="J21" s="250"/>
    </row>
    <row r="22" spans="1:22" ht="63">
      <c r="A22" s="271"/>
      <c r="B22" s="272" t="s">
        <v>217</v>
      </c>
      <c r="C22" s="273" t="e">
        <f t="shared" ref="C22:H22" si="2">100*C21/C$63</f>
        <v>#REF!</v>
      </c>
      <c r="D22" s="274" t="e">
        <f t="shared" si="2"/>
        <v>#REF!</v>
      </c>
      <c r="E22" s="273" t="e">
        <f t="shared" si="2"/>
        <v>#REF!</v>
      </c>
      <c r="F22" s="273" t="e">
        <f t="shared" si="2"/>
        <v>#REF!</v>
      </c>
      <c r="G22" s="273" t="e">
        <f t="shared" si="2"/>
        <v>#REF!</v>
      </c>
      <c r="H22" s="273" t="e">
        <f t="shared" si="2"/>
        <v>#REF!</v>
      </c>
      <c r="I22" s="273"/>
      <c r="J22" s="275"/>
      <c r="K22" s="276"/>
      <c r="M22" s="278"/>
      <c r="N22" s="276"/>
      <c r="P22" s="278"/>
      <c r="Q22" s="276"/>
      <c r="S22" s="278"/>
      <c r="T22" s="276"/>
      <c r="V22" s="278"/>
    </row>
    <row r="23" spans="1:22" ht="31.5">
      <c r="A23" s="253">
        <v>1</v>
      </c>
      <c r="B23" s="263" t="s">
        <v>264</v>
      </c>
      <c r="C23" s="279" t="e">
        <f>+D23+E23+F23+G23+H23</f>
        <v>#REF!</v>
      </c>
      <c r="D23" s="280" t="e">
        <f>+D24*D$63/100</f>
        <v>#REF!</v>
      </c>
      <c r="E23" s="279" t="e">
        <f>+E24*E$63/100</f>
        <v>#REF!</v>
      </c>
      <c r="F23" s="279" t="e">
        <f>+F24*F$63/100</f>
        <v>#REF!</v>
      </c>
      <c r="G23" s="279" t="e">
        <f>+G24*G$63/100</f>
        <v>#REF!</v>
      </c>
      <c r="H23" s="279" t="e">
        <f>+H24*H$63/100</f>
        <v>#REF!</v>
      </c>
      <c r="I23" s="257">
        <f>+I24*I$17/100</f>
        <v>2137</v>
      </c>
      <c r="J23" s="281"/>
      <c r="K23" s="261"/>
      <c r="M23" s="262"/>
      <c r="N23" s="261"/>
      <c r="P23" s="262"/>
      <c r="Q23" s="261"/>
      <c r="S23" s="262"/>
      <c r="T23" s="261"/>
    </row>
    <row r="24" spans="1:22" ht="63">
      <c r="A24" s="271"/>
      <c r="B24" s="272" t="s">
        <v>217</v>
      </c>
      <c r="C24" s="273" t="e">
        <f>100*C23/C$63</f>
        <v>#REF!</v>
      </c>
      <c r="D24" s="274">
        <v>4.3</v>
      </c>
      <c r="E24" s="273">
        <v>4.2</v>
      </c>
      <c r="F24" s="273">
        <v>4.0999999999999996</v>
      </c>
      <c r="G24" s="273">
        <v>4</v>
      </c>
      <c r="H24" s="273">
        <v>3.9</v>
      </c>
      <c r="I24" s="282">
        <v>1.5110423605690986</v>
      </c>
      <c r="J24" s="275"/>
      <c r="K24" s="276"/>
      <c r="M24" s="278"/>
      <c r="N24" s="276"/>
      <c r="P24" s="278"/>
      <c r="Q24" s="276"/>
      <c r="S24" s="278"/>
      <c r="T24" s="276"/>
      <c r="V24" s="278"/>
    </row>
    <row r="25" spans="1:22" ht="63">
      <c r="A25" s="253">
        <f>+A23+1</f>
        <v>2</v>
      </c>
      <c r="B25" s="263" t="s">
        <v>263</v>
      </c>
      <c r="C25" s="279" t="e">
        <f>+D25+E25+F25+G25+H25</f>
        <v>#REF!</v>
      </c>
      <c r="D25" s="279" t="e">
        <f>+D26*D$63/100</f>
        <v>#REF!</v>
      </c>
      <c r="E25" s="279" t="e">
        <f>+E26*E$63/100</f>
        <v>#REF!</v>
      </c>
      <c r="F25" s="279" t="e">
        <f>+F26*F$63/100</f>
        <v>#REF!</v>
      </c>
      <c r="G25" s="279" t="e">
        <f>+G26*G$63/100</f>
        <v>#REF!</v>
      </c>
      <c r="H25" s="279" t="e">
        <f>+H26*H$63/100</f>
        <v>#REF!</v>
      </c>
      <c r="I25" s="257">
        <f>+I26*I$17/100</f>
        <v>29715.154369373311</v>
      </c>
      <c r="J25" s="260"/>
      <c r="K25" s="261"/>
      <c r="M25" s="262"/>
      <c r="N25" s="261"/>
      <c r="P25" s="262"/>
      <c r="Q25" s="261"/>
      <c r="S25" s="262"/>
      <c r="T25" s="261"/>
    </row>
    <row r="26" spans="1:22" ht="63">
      <c r="A26" s="271"/>
      <c r="B26" s="272" t="s">
        <v>217</v>
      </c>
      <c r="C26" s="273" t="e">
        <f>100*C25/C$63</f>
        <v>#REF!</v>
      </c>
      <c r="D26" s="274">
        <v>21.5</v>
      </c>
      <c r="E26" s="273">
        <v>21.6</v>
      </c>
      <c r="F26" s="273">
        <v>21.7</v>
      </c>
      <c r="G26" s="273">
        <v>21.8</v>
      </c>
      <c r="H26" s="273">
        <v>21.8</v>
      </c>
      <c r="I26" s="282">
        <v>21.011163782392615</v>
      </c>
      <c r="J26" s="283"/>
      <c r="K26" s="276"/>
      <c r="M26" s="278"/>
      <c r="N26" s="276"/>
      <c r="P26" s="278"/>
      <c r="Q26" s="276"/>
      <c r="S26" s="278"/>
      <c r="T26" s="276"/>
      <c r="V26" s="278"/>
    </row>
    <row r="27" spans="1:22" ht="47.25">
      <c r="A27" s="253">
        <f>+A25+1</f>
        <v>3</v>
      </c>
      <c r="B27" s="263" t="s">
        <v>262</v>
      </c>
      <c r="C27" s="279" t="e">
        <f>+D27+E27+F27+G27+H27</f>
        <v>#REF!</v>
      </c>
      <c r="D27" s="279" t="e">
        <f>+D28*D$63/100</f>
        <v>#REF!</v>
      </c>
      <c r="E27" s="279" t="e">
        <f>+E28*E$63/100</f>
        <v>#REF!</v>
      </c>
      <c r="F27" s="279" t="e">
        <f>+F28*F$63/100</f>
        <v>#REF!</v>
      </c>
      <c r="G27" s="279" t="e">
        <f>+G28*G$63/100</f>
        <v>#REF!</v>
      </c>
      <c r="H27" s="279" t="e">
        <f>+H28*H$63/100</f>
        <v>#REF!</v>
      </c>
      <c r="I27" s="257">
        <f>+I28*I$17/100</f>
        <v>32348.157614015763</v>
      </c>
      <c r="J27" s="260"/>
    </row>
    <row r="28" spans="1:22" ht="63">
      <c r="A28" s="271"/>
      <c r="B28" s="284" t="s">
        <v>217</v>
      </c>
      <c r="C28" s="273" t="e">
        <f>100*C27/C$63</f>
        <v>#REF!</v>
      </c>
      <c r="D28" s="273">
        <v>28.3</v>
      </c>
      <c r="E28" s="273">
        <v>28.5</v>
      </c>
      <c r="F28" s="273">
        <v>28.7</v>
      </c>
      <c r="G28" s="273">
        <v>28.9</v>
      </c>
      <c r="H28" s="273">
        <v>30</v>
      </c>
      <c r="I28" s="282">
        <v>22.872922995387761</v>
      </c>
      <c r="J28" s="283"/>
    </row>
    <row r="29" spans="1:22" ht="47.25">
      <c r="A29" s="253">
        <f>+A27+1</f>
        <v>4</v>
      </c>
      <c r="B29" s="263" t="s">
        <v>228</v>
      </c>
      <c r="C29" s="279" t="e">
        <f>+D29+E29+F29+G29+H29</f>
        <v>#REF!</v>
      </c>
      <c r="D29" s="279" t="e">
        <f>+D30*D$63/100</f>
        <v>#REF!</v>
      </c>
      <c r="E29" s="279" t="e">
        <f>+E30*E$63/100</f>
        <v>#REF!</v>
      </c>
      <c r="F29" s="279" t="e">
        <f>+F30*F$63/100</f>
        <v>#REF!</v>
      </c>
      <c r="G29" s="279" t="e">
        <f>+G30*G$63/100</f>
        <v>#REF!</v>
      </c>
      <c r="H29" s="279" t="e">
        <f>+H30*H$63/100</f>
        <v>#REF!</v>
      </c>
      <c r="I29" s="257">
        <f>+I30*I$17/100</f>
        <v>1558.5831768189735</v>
      </c>
      <c r="J29" s="260"/>
    </row>
    <row r="30" spans="1:22" ht="63">
      <c r="A30" s="271"/>
      <c r="B30" s="284" t="s">
        <v>217</v>
      </c>
      <c r="C30" s="273" t="e">
        <f>100*C29/C$63</f>
        <v>#REF!</v>
      </c>
      <c r="D30" s="273">
        <v>1</v>
      </c>
      <c r="E30" s="273">
        <v>0.9</v>
      </c>
      <c r="F30" s="273">
        <v>0.8</v>
      </c>
      <c r="G30" s="273">
        <v>0.7</v>
      </c>
      <c r="H30" s="273">
        <v>0.5</v>
      </c>
      <c r="I30" s="282">
        <v>1.1020520368010418</v>
      </c>
      <c r="J30" s="283"/>
    </row>
    <row r="31" spans="1:22" ht="15.75">
      <c r="A31" s="253">
        <f>+A29+1</f>
        <v>5</v>
      </c>
      <c r="B31" s="263" t="s">
        <v>261</v>
      </c>
      <c r="C31" s="279" t="e">
        <f>+D31+E31+F31+G31+H31</f>
        <v>#REF!</v>
      </c>
      <c r="D31" s="279" t="e">
        <f>+D32*D$63/100</f>
        <v>#REF!</v>
      </c>
      <c r="E31" s="279" t="e">
        <f>+E32*E$63/100</f>
        <v>#REF!</v>
      </c>
      <c r="F31" s="279" t="e">
        <f>+F32*F$63/100</f>
        <v>#REF!</v>
      </c>
      <c r="G31" s="279" t="e">
        <f>+G32*G$63/100</f>
        <v>#REF!</v>
      </c>
      <c r="H31" s="279" t="e">
        <f>+H32*H$63/100</f>
        <v>#REF!</v>
      </c>
      <c r="I31" s="257">
        <f>+I32*I$17/100</f>
        <v>1099.5489068325121</v>
      </c>
      <c r="J31" s="260"/>
    </row>
    <row r="32" spans="1:22" ht="63">
      <c r="A32" s="271"/>
      <c r="B32" s="284" t="s">
        <v>217</v>
      </c>
      <c r="C32" s="273" t="e">
        <f>100*C31/C$63</f>
        <v>#REF!</v>
      </c>
      <c r="D32" s="273">
        <v>0.8</v>
      </c>
      <c r="E32" s="273">
        <v>0.7</v>
      </c>
      <c r="F32" s="273">
        <v>0.6</v>
      </c>
      <c r="G32" s="273">
        <v>0.5</v>
      </c>
      <c r="H32" s="273">
        <v>0.4</v>
      </c>
      <c r="I32" s="282">
        <v>0.77747542149806792</v>
      </c>
      <c r="J32" s="283"/>
    </row>
    <row r="33" spans="1:22" ht="47.25">
      <c r="A33" s="243" t="s">
        <v>102</v>
      </c>
      <c r="B33" s="268" t="s">
        <v>260</v>
      </c>
      <c r="C33" s="270" t="e">
        <f>+D33+E33+F33+G33+H33</f>
        <v>#REF!</v>
      </c>
      <c r="D33" s="270" t="e">
        <f t="shared" ref="D33:I33" si="3">+D35+D37+D39+D41+D43+D45+D47+D49+D51</f>
        <v>#REF!</v>
      </c>
      <c r="E33" s="270" t="e">
        <f t="shared" si="3"/>
        <v>#REF!</v>
      </c>
      <c r="F33" s="270" t="e">
        <f t="shared" si="3"/>
        <v>#REF!</v>
      </c>
      <c r="G33" s="270" t="e">
        <f t="shared" si="3"/>
        <v>#REF!</v>
      </c>
      <c r="H33" s="270" t="e">
        <f t="shared" si="3"/>
        <v>#REF!</v>
      </c>
      <c r="I33" s="245">
        <f t="shared" si="3"/>
        <v>68161.307973416406</v>
      </c>
      <c r="J33" s="250"/>
      <c r="M33" s="241" t="s">
        <v>259</v>
      </c>
      <c r="N33" s="241" t="s">
        <v>257</v>
      </c>
      <c r="O33" s="241" t="s">
        <v>256</v>
      </c>
      <c r="P33" s="241" t="s">
        <v>254</v>
      </c>
    </row>
    <row r="34" spans="1:22" ht="63">
      <c r="A34" s="271"/>
      <c r="B34" s="284" t="s">
        <v>217</v>
      </c>
      <c r="C34" s="273" t="e">
        <f t="shared" ref="C34:H34" si="4">100*C33/C$63</f>
        <v>#REF!</v>
      </c>
      <c r="D34" s="273" t="e">
        <f t="shared" si="4"/>
        <v>#REF!</v>
      </c>
      <c r="E34" s="273" t="e">
        <f t="shared" si="4"/>
        <v>#REF!</v>
      </c>
      <c r="F34" s="273" t="e">
        <f t="shared" si="4"/>
        <v>#REF!</v>
      </c>
      <c r="G34" s="273" t="e">
        <f t="shared" si="4"/>
        <v>#REF!</v>
      </c>
      <c r="H34" s="273" t="e">
        <f t="shared" si="4"/>
        <v>#REF!</v>
      </c>
      <c r="I34" s="273"/>
      <c r="J34" s="283"/>
    </row>
    <row r="35" spans="1:22" ht="78.75">
      <c r="A35" s="253">
        <f>+A31+1</f>
        <v>6</v>
      </c>
      <c r="B35" s="263" t="s">
        <v>258</v>
      </c>
      <c r="C35" s="279" t="e">
        <f>+D35+E35+F35+G35+H35</f>
        <v>#REF!</v>
      </c>
      <c r="D35" s="279" t="e">
        <f>+D36*D$63/100</f>
        <v>#REF!</v>
      </c>
      <c r="E35" s="279" t="e">
        <f>+E36*E$63/100</f>
        <v>#REF!</v>
      </c>
      <c r="F35" s="279" t="e">
        <f>+F36*F$63/100</f>
        <v>#REF!</v>
      </c>
      <c r="G35" s="279" t="e">
        <f>+G36*G$63/100</f>
        <v>#REF!</v>
      </c>
      <c r="H35" s="279" t="e">
        <f>+H36*H$63/100</f>
        <v>#REF!</v>
      </c>
      <c r="I35" s="257">
        <f>+I36*I$17/100</f>
        <v>5609.5943888967131</v>
      </c>
      <c r="J35" s="260"/>
      <c r="L35" s="221" t="s">
        <v>257</v>
      </c>
      <c r="M35" s="221">
        <v>0.1</v>
      </c>
    </row>
    <row r="36" spans="1:22" ht="63">
      <c r="A36" s="271"/>
      <c r="B36" s="284" t="s">
        <v>217</v>
      </c>
      <c r="C36" s="273" t="e">
        <f>100*C35/C$63</f>
        <v>#REF!</v>
      </c>
      <c r="D36" s="273">
        <v>3</v>
      </c>
      <c r="E36" s="273">
        <v>3</v>
      </c>
      <c r="F36" s="273">
        <v>3</v>
      </c>
      <c r="G36" s="273">
        <v>3</v>
      </c>
      <c r="H36" s="273">
        <v>3</v>
      </c>
      <c r="I36" s="282">
        <v>3.9664645518173423</v>
      </c>
      <c r="J36" s="283"/>
      <c r="L36" s="277" t="s">
        <v>256</v>
      </c>
      <c r="M36" s="277">
        <v>0.25</v>
      </c>
    </row>
    <row r="37" spans="1:22" ht="110.25">
      <c r="A37" s="253">
        <f>+A35+1</f>
        <v>7</v>
      </c>
      <c r="B37" s="263" t="s">
        <v>255</v>
      </c>
      <c r="C37" s="279" t="e">
        <f>+D37+E37+F37+G37+H37</f>
        <v>#REF!</v>
      </c>
      <c r="D37" s="279" t="e">
        <f>+D38*D$63/100</f>
        <v>#REF!</v>
      </c>
      <c r="E37" s="279" t="e">
        <f>+E38*E$63/100</f>
        <v>#REF!</v>
      </c>
      <c r="F37" s="279" t="e">
        <f>+F38*F$63/100</f>
        <v>#REF!</v>
      </c>
      <c r="G37" s="279" t="e">
        <f>+G38*G$63/100</f>
        <v>#REF!</v>
      </c>
      <c r="H37" s="279" t="e">
        <f>+H38*H$63/100</f>
        <v>#REF!</v>
      </c>
      <c r="I37" s="257">
        <f>+I38*I$17/100</f>
        <v>5019.7</v>
      </c>
      <c r="J37" s="260"/>
      <c r="L37" s="221" t="s">
        <v>254</v>
      </c>
      <c r="M37" s="221">
        <v>0.55000000000000004</v>
      </c>
    </row>
    <row r="38" spans="1:22" ht="63">
      <c r="A38" s="271"/>
      <c r="B38" s="284" t="s">
        <v>217</v>
      </c>
      <c r="C38" s="273" t="e">
        <f>100*C37/C$63</f>
        <v>#REF!</v>
      </c>
      <c r="D38" s="273">
        <v>2.8</v>
      </c>
      <c r="E38" s="273">
        <v>3</v>
      </c>
      <c r="F38" s="273">
        <v>3.2</v>
      </c>
      <c r="G38" s="273">
        <v>3.3</v>
      </c>
      <c r="H38" s="273">
        <v>3.4</v>
      </c>
      <c r="I38" s="282">
        <v>3.549358604281097</v>
      </c>
      <c r="J38" s="283"/>
    </row>
    <row r="39" spans="1:22" ht="63">
      <c r="A39" s="253">
        <f>+A37+1</f>
        <v>8</v>
      </c>
      <c r="B39" s="254" t="s">
        <v>253</v>
      </c>
      <c r="C39" s="279" t="e">
        <f>+D39+E39+F39+G39+H39</f>
        <v>#REF!</v>
      </c>
      <c r="D39" s="280" t="e">
        <f>+D40*D$63/100</f>
        <v>#REF!</v>
      </c>
      <c r="E39" s="279" t="e">
        <f>+E40*E$63/100</f>
        <v>#REF!</v>
      </c>
      <c r="F39" s="279" t="e">
        <f>+F40*F$63/100</f>
        <v>#REF!</v>
      </c>
      <c r="G39" s="279" t="e">
        <f>+G40*G$63/100</f>
        <v>#REF!</v>
      </c>
      <c r="H39" s="279" t="e">
        <f>+H40*H$63/100</f>
        <v>#REF!</v>
      </c>
      <c r="I39" s="257">
        <f>+I40*I$17/100</f>
        <v>2954.3022918643965</v>
      </c>
      <c r="J39" s="260"/>
      <c r="K39" s="261"/>
      <c r="M39" s="262"/>
      <c r="N39" s="261"/>
      <c r="P39" s="262"/>
      <c r="Q39" s="261"/>
      <c r="S39" s="262"/>
      <c r="T39" s="261"/>
      <c r="V39" s="262"/>
    </row>
    <row r="40" spans="1:22" ht="63">
      <c r="A40" s="271"/>
      <c r="B40" s="284" t="s">
        <v>217</v>
      </c>
      <c r="C40" s="273" t="e">
        <f>100*C39/C$63</f>
        <v>#REF!</v>
      </c>
      <c r="D40" s="273">
        <v>1.7</v>
      </c>
      <c r="E40" s="273">
        <v>1.7</v>
      </c>
      <c r="F40" s="273">
        <v>1.8</v>
      </c>
      <c r="G40" s="273">
        <v>1.9</v>
      </c>
      <c r="H40" s="273">
        <v>1.9</v>
      </c>
      <c r="I40" s="282">
        <v>2.0889452077367694</v>
      </c>
      <c r="J40" s="283"/>
    </row>
    <row r="41" spans="1:22" ht="47.25">
      <c r="A41" s="253">
        <f>+A39+1</f>
        <v>9</v>
      </c>
      <c r="B41" s="263" t="s">
        <v>234</v>
      </c>
      <c r="C41" s="279" t="e">
        <f>+D41+E41+F41+G41+H41</f>
        <v>#REF!</v>
      </c>
      <c r="D41" s="279" t="e">
        <f>+D42*D$63/100</f>
        <v>#REF!</v>
      </c>
      <c r="E41" s="279" t="e">
        <f>+E42*E$63/100</f>
        <v>#REF!</v>
      </c>
      <c r="F41" s="279" t="e">
        <f>+F42*F$63/100</f>
        <v>#REF!</v>
      </c>
      <c r="G41" s="279" t="e">
        <f>+G42*G$63/100</f>
        <v>#REF!</v>
      </c>
      <c r="H41" s="279" t="e">
        <f>+H42*H$63/100</f>
        <v>#REF!</v>
      </c>
      <c r="I41" s="257">
        <f>+I42*I$17/100</f>
        <v>24837.7</v>
      </c>
      <c r="J41" s="260"/>
      <c r="L41" s="221" t="s">
        <v>252</v>
      </c>
    </row>
    <row r="42" spans="1:22" ht="63">
      <c r="A42" s="271"/>
      <c r="B42" s="284" t="s">
        <v>217</v>
      </c>
      <c r="C42" s="273" t="e">
        <f>100*C41/C$63</f>
        <v>#REF!</v>
      </c>
      <c r="D42" s="273">
        <v>15.8</v>
      </c>
      <c r="E42" s="273">
        <v>16</v>
      </c>
      <c r="F42" s="273">
        <v>16.2</v>
      </c>
      <c r="G42" s="273">
        <v>16.399999999999999</v>
      </c>
      <c r="H42" s="273">
        <v>16.5</v>
      </c>
      <c r="I42" s="282">
        <v>17.562385044037015</v>
      </c>
      <c r="J42" s="283"/>
    </row>
    <row r="43" spans="1:22" ht="15.75">
      <c r="A43" s="253">
        <f>+A41+1</f>
        <v>10</v>
      </c>
      <c r="B43" s="263" t="s">
        <v>251</v>
      </c>
      <c r="C43" s="279" t="e">
        <f>+D43+E43+F43+G43+H43</f>
        <v>#REF!</v>
      </c>
      <c r="D43" s="279" t="e">
        <f>+D44*D$63/100</f>
        <v>#REF!</v>
      </c>
      <c r="E43" s="279" t="e">
        <f>+E44*E$63/100</f>
        <v>#REF!</v>
      </c>
      <c r="F43" s="279" t="e">
        <f>+F44*F$63/100</f>
        <v>#REF!</v>
      </c>
      <c r="G43" s="279" t="e">
        <f>+G44*G$63/100</f>
        <v>#REF!</v>
      </c>
      <c r="H43" s="279" t="e">
        <f>+H44*H$63/100</f>
        <v>#REF!</v>
      </c>
      <c r="I43" s="257">
        <f>+I44*I$17/100</f>
        <v>8018.5725045999561</v>
      </c>
      <c r="J43" s="260"/>
      <c r="K43" s="221" t="s">
        <v>251</v>
      </c>
      <c r="L43" s="221">
        <v>5678.5351351351355</v>
      </c>
      <c r="M43" s="221">
        <f>+L43/(L43+L45)</f>
        <v>0.61896928052609856</v>
      </c>
    </row>
    <row r="44" spans="1:22" ht="63">
      <c r="A44" s="271"/>
      <c r="B44" s="284" t="s">
        <v>217</v>
      </c>
      <c r="C44" s="273" t="e">
        <f>100*C43/C$63</f>
        <v>#REF!</v>
      </c>
      <c r="D44" s="273">
        <v>6.1</v>
      </c>
      <c r="E44" s="273">
        <v>6</v>
      </c>
      <c r="F44" s="273">
        <v>5.9</v>
      </c>
      <c r="G44" s="273">
        <v>5.9</v>
      </c>
      <c r="H44" s="273">
        <v>5.8</v>
      </c>
      <c r="I44" s="282">
        <v>5.6698187766706534</v>
      </c>
      <c r="J44" s="283"/>
    </row>
    <row r="45" spans="1:22" ht="15.75">
      <c r="A45" s="253">
        <f>+A43+1</f>
        <v>11</v>
      </c>
      <c r="B45" s="263" t="s">
        <v>250</v>
      </c>
      <c r="C45" s="279" t="e">
        <f>+D45+E45+F45+G45+H45</f>
        <v>#REF!</v>
      </c>
      <c r="D45" s="279" t="e">
        <f>+D46*D$63/100</f>
        <v>#REF!</v>
      </c>
      <c r="E45" s="279" t="e">
        <f>+E46*E$63/100</f>
        <v>#REF!</v>
      </c>
      <c r="F45" s="279" t="e">
        <f>+F46*F$63/100</f>
        <v>#REF!</v>
      </c>
      <c r="G45" s="279" t="e">
        <f>+G46*G$63/100</f>
        <v>#REF!</v>
      </c>
      <c r="H45" s="279" t="e">
        <f>+H46*H$63/100</f>
        <v>#REF!</v>
      </c>
      <c r="I45" s="257">
        <f>+I46*I$17/100</f>
        <v>5461.4312512552769</v>
      </c>
      <c r="J45" s="260"/>
      <c r="K45" s="221" t="s">
        <v>250</v>
      </c>
      <c r="L45" s="221">
        <v>3495.6441235004659</v>
      </c>
      <c r="M45" s="221">
        <f>+L45/(L43+L45)</f>
        <v>0.38103071947390127</v>
      </c>
    </row>
    <row r="46" spans="1:22" ht="63">
      <c r="A46" s="271"/>
      <c r="B46" s="284" t="s">
        <v>217</v>
      </c>
      <c r="C46" s="273" t="e">
        <f>100*C45/C$63</f>
        <v>#REF!</v>
      </c>
      <c r="D46" s="273">
        <v>2.8</v>
      </c>
      <c r="E46" s="273">
        <v>2.9</v>
      </c>
      <c r="F46" s="273">
        <v>2.9</v>
      </c>
      <c r="G46" s="273">
        <v>3</v>
      </c>
      <c r="H46" s="273">
        <v>3</v>
      </c>
      <c r="I46" s="282">
        <v>3.8617005006937859</v>
      </c>
      <c r="J46" s="283"/>
    </row>
    <row r="47" spans="1:22" ht="15.75">
      <c r="A47" s="253">
        <v>12</v>
      </c>
      <c r="B47" s="263" t="s">
        <v>249</v>
      </c>
      <c r="C47" s="279" t="e">
        <f>+D47+E47+F47+G47+H47</f>
        <v>#REF!</v>
      </c>
      <c r="D47" s="279" t="e">
        <f>+D48*D$63/100</f>
        <v>#REF!</v>
      </c>
      <c r="E47" s="279" t="e">
        <f>+E48*E$63/100</f>
        <v>#REF!</v>
      </c>
      <c r="F47" s="279" t="e">
        <f>+F48*F$63/100</f>
        <v>#REF!</v>
      </c>
      <c r="G47" s="279" t="e">
        <f>+G48*G$63/100</f>
        <v>#REF!</v>
      </c>
      <c r="H47" s="279" t="e">
        <f>+H48*H$63/100</f>
        <v>#REF!</v>
      </c>
      <c r="I47" s="257">
        <f>+I48*I$17/100</f>
        <v>3899.9791859763181</v>
      </c>
      <c r="J47" s="260"/>
      <c r="K47" s="221" t="s">
        <v>248</v>
      </c>
      <c r="L47" s="221">
        <v>4522.5339881135333</v>
      </c>
    </row>
    <row r="48" spans="1:22" ht="63">
      <c r="A48" s="271"/>
      <c r="B48" s="284" t="s">
        <v>217</v>
      </c>
      <c r="C48" s="273" t="e">
        <f>100*C47/C$63</f>
        <v>#REF!</v>
      </c>
      <c r="D48" s="273">
        <v>1.9</v>
      </c>
      <c r="E48" s="273">
        <v>1.8</v>
      </c>
      <c r="F48" s="273">
        <v>1.7</v>
      </c>
      <c r="G48" s="273">
        <v>1.5</v>
      </c>
      <c r="H48" s="273">
        <v>1.2</v>
      </c>
      <c r="I48" s="282">
        <v>2.7576199135928907</v>
      </c>
      <c r="J48" s="283"/>
      <c r="K48" s="221" t="s">
        <v>247</v>
      </c>
      <c r="L48" s="277">
        <v>3116.5592327232416</v>
      </c>
      <c r="M48" s="277">
        <f>+L48/L47</f>
        <v>0.68911792391487137</v>
      </c>
    </row>
    <row r="49" spans="1:13" ht="15.75">
      <c r="A49" s="253">
        <v>13</v>
      </c>
      <c r="B49" s="263" t="s">
        <v>246</v>
      </c>
      <c r="C49" s="279" t="e">
        <f>+D49+E49+F49+G49+H49</f>
        <v>#REF!</v>
      </c>
      <c r="D49" s="279" t="e">
        <f>+D50*D$63/100</f>
        <v>#REF!</v>
      </c>
      <c r="E49" s="279" t="e">
        <f>+E50*E$63/100</f>
        <v>#REF!</v>
      </c>
      <c r="F49" s="279" t="e">
        <f>+F50*F$63/100</f>
        <v>#REF!</v>
      </c>
      <c r="G49" s="279" t="e">
        <f>+G50*G$63/100</f>
        <v>#REF!</v>
      </c>
      <c r="H49" s="279" t="e">
        <f>+H50*H$63/100</f>
        <v>#REF!</v>
      </c>
      <c r="I49" s="257">
        <f>+I50*I$17/100</f>
        <v>1089.2936307293148</v>
      </c>
      <c r="J49" s="260"/>
      <c r="K49" s="221" t="s">
        <v>245</v>
      </c>
      <c r="L49" s="277">
        <v>1405.9747553902912</v>
      </c>
      <c r="M49" s="221">
        <f>+L49/L47</f>
        <v>0.31088207608512852</v>
      </c>
    </row>
    <row r="50" spans="1:13" ht="63">
      <c r="A50" s="271"/>
      <c r="B50" s="284" t="s">
        <v>217</v>
      </c>
      <c r="C50" s="273" t="e">
        <f>100*C49/C$63</f>
        <v>#REF!</v>
      </c>
      <c r="D50" s="273">
        <v>0.8</v>
      </c>
      <c r="E50" s="273">
        <v>0.7</v>
      </c>
      <c r="F50" s="273">
        <v>0.6</v>
      </c>
      <c r="G50" s="273">
        <v>0.5</v>
      </c>
      <c r="H50" s="273">
        <v>0.4</v>
      </c>
      <c r="I50" s="282">
        <v>0.77022406136177246</v>
      </c>
      <c r="J50" s="283"/>
    </row>
    <row r="51" spans="1:13" ht="31.5">
      <c r="A51" s="253">
        <f>+A49+1</f>
        <v>14</v>
      </c>
      <c r="B51" s="263" t="s">
        <v>244</v>
      </c>
      <c r="C51" s="279" t="e">
        <f>+D51+E51+F51+G51+H51</f>
        <v>#REF!</v>
      </c>
      <c r="D51" s="279" t="e">
        <f>+D52*D$63/100</f>
        <v>#REF!</v>
      </c>
      <c r="E51" s="279" t="e">
        <f>+E52*E$63/100</f>
        <v>#REF!</v>
      </c>
      <c r="F51" s="279" t="e">
        <f>+F52*F$63/100</f>
        <v>#REF!</v>
      </c>
      <c r="G51" s="279" t="e">
        <f>+G52*G$63/100</f>
        <v>#REF!</v>
      </c>
      <c r="H51" s="279" t="e">
        <f>+H52*H$63/100</f>
        <v>#REF!</v>
      </c>
      <c r="I51" s="257">
        <f>+I52*I$17/100</f>
        <v>11270.734720094428</v>
      </c>
      <c r="J51" s="260"/>
    </row>
    <row r="52" spans="1:13" ht="63">
      <c r="A52" s="271"/>
      <c r="B52" s="284" t="s">
        <v>217</v>
      </c>
      <c r="C52" s="273" t="e">
        <f>100*C51/C$63</f>
        <v>#REF!</v>
      </c>
      <c r="D52" s="273">
        <v>6</v>
      </c>
      <c r="E52" s="273">
        <v>5.8</v>
      </c>
      <c r="F52" s="273">
        <v>5.6</v>
      </c>
      <c r="G52" s="273">
        <v>5.4</v>
      </c>
      <c r="H52" s="273">
        <v>5</v>
      </c>
      <c r="I52" s="282">
        <v>7.9693765076273202</v>
      </c>
      <c r="J52" s="283"/>
    </row>
    <row r="53" spans="1:13" ht="31.5">
      <c r="A53" s="243" t="s">
        <v>115</v>
      </c>
      <c r="B53" s="268" t="s">
        <v>243</v>
      </c>
      <c r="C53" s="270" t="e">
        <f>+D53+E53+F53+G53+H53</f>
        <v>#REF!</v>
      </c>
      <c r="D53" s="285" t="e">
        <f>+D54*D$63/100</f>
        <v>#REF!</v>
      </c>
      <c r="E53" s="285" t="e">
        <f>+E54*E$63/100</f>
        <v>#REF!</v>
      </c>
      <c r="F53" s="285" t="e">
        <f>+F54*F$63/100</f>
        <v>#REF!</v>
      </c>
      <c r="G53" s="285" t="e">
        <f>+G54*G$63/100</f>
        <v>#REF!</v>
      </c>
      <c r="H53" s="285" t="e">
        <f>+H54*H$63/100</f>
        <v>#REF!</v>
      </c>
      <c r="I53" s="247">
        <f>+I54*I$17/100</f>
        <v>4635.8</v>
      </c>
      <c r="J53" s="250"/>
      <c r="K53" s="241" t="s">
        <v>243</v>
      </c>
      <c r="L53" s="241">
        <v>3150</v>
      </c>
      <c r="M53" s="221">
        <f>+L53/(L53+L55)</f>
        <v>0.76829268292682928</v>
      </c>
    </row>
    <row r="54" spans="1:13" ht="63">
      <c r="A54" s="271"/>
      <c r="B54" s="284" t="s">
        <v>217</v>
      </c>
      <c r="C54" s="273" t="e">
        <f>100*C53/C$63</f>
        <v>#REF!</v>
      </c>
      <c r="D54" s="273">
        <v>2.4</v>
      </c>
      <c r="E54" s="273">
        <v>2.4</v>
      </c>
      <c r="F54" s="273">
        <v>2.4</v>
      </c>
      <c r="G54" s="273">
        <v>2.4</v>
      </c>
      <c r="H54" s="273">
        <v>2.4</v>
      </c>
      <c r="I54" s="282">
        <v>3.2779083645887823</v>
      </c>
      <c r="J54" s="283"/>
    </row>
    <row r="55" spans="1:13" ht="15.75">
      <c r="A55" s="243" t="s">
        <v>116</v>
      </c>
      <c r="B55" s="268" t="s">
        <v>242</v>
      </c>
      <c r="C55" s="270" t="e">
        <f>+D55+E55+F55+G55+H55</f>
        <v>#REF!</v>
      </c>
      <c r="D55" s="285" t="e">
        <f>+D56*D$63/100</f>
        <v>#REF!</v>
      </c>
      <c r="E55" s="285" t="e">
        <f>+E56*E$63/100</f>
        <v>#REF!</v>
      </c>
      <c r="F55" s="285" t="e">
        <f>+F56*F$63/100</f>
        <v>#REF!</v>
      </c>
      <c r="G55" s="285" t="e">
        <f>+G56*G$63/100</f>
        <v>#REF!</v>
      </c>
      <c r="H55" s="285" t="e">
        <f>+H56*H$63/100</f>
        <v>#REF!</v>
      </c>
      <c r="I55" s="247">
        <f>+I56*I$17/100</f>
        <v>1770</v>
      </c>
      <c r="J55" s="250"/>
      <c r="K55" s="241" t="s">
        <v>242</v>
      </c>
      <c r="L55" s="241">
        <v>950</v>
      </c>
      <c r="M55" s="241">
        <f>+L55/(L53+L55)</f>
        <v>0.23170731707317074</v>
      </c>
    </row>
    <row r="56" spans="1:13" ht="63">
      <c r="A56" s="271"/>
      <c r="B56" s="284" t="s">
        <v>217</v>
      </c>
      <c r="C56" s="273" t="e">
        <f>100*C55/C$63</f>
        <v>#REF!</v>
      </c>
      <c r="D56" s="273">
        <v>0.8</v>
      </c>
      <c r="E56" s="273">
        <v>0.8</v>
      </c>
      <c r="F56" s="273">
        <v>0.8</v>
      </c>
      <c r="G56" s="273">
        <v>0.8</v>
      </c>
      <c r="H56" s="273">
        <v>0.8</v>
      </c>
      <c r="I56" s="282">
        <v>1.2515418709439889</v>
      </c>
      <c r="J56" s="283"/>
    </row>
    <row r="57" spans="1:13" ht="47.25">
      <c r="A57" s="286" t="s">
        <v>116</v>
      </c>
      <c r="B57" s="287" t="s">
        <v>241</v>
      </c>
      <c r="C57" s="288" t="e">
        <v>#REF!</v>
      </c>
      <c r="D57" s="289">
        <v>943</v>
      </c>
      <c r="E57" s="289">
        <v>889.56</v>
      </c>
      <c r="F57" s="289">
        <v>477</v>
      </c>
      <c r="G57" s="289">
        <v>191.2</v>
      </c>
      <c r="H57" s="290">
        <v>482.2</v>
      </c>
      <c r="I57" s="291">
        <v>494.5</v>
      </c>
      <c r="J57" s="250"/>
      <c r="L57" s="241">
        <f>247.4+3244.7</f>
        <v>3492.1</v>
      </c>
    </row>
    <row r="58" spans="1:13" ht="15.75">
      <c r="A58" s="292"/>
      <c r="B58" s="293"/>
      <c r="C58" s="294"/>
      <c r="D58" s="295"/>
      <c r="E58" s="296"/>
      <c r="F58" s="296"/>
      <c r="G58" s="296"/>
      <c r="H58" s="297"/>
      <c r="I58" s="298"/>
      <c r="J58" s="260"/>
    </row>
    <row r="59" spans="1:13" ht="78.75">
      <c r="A59" s="243"/>
      <c r="B59" s="268" t="s">
        <v>240</v>
      </c>
      <c r="C59" s="245"/>
      <c r="D59" s="268"/>
      <c r="E59" s="247"/>
      <c r="F59" s="247"/>
      <c r="G59" s="247"/>
      <c r="H59" s="248"/>
      <c r="I59" s="249" t="e">
        <f>#REF!+#REF!</f>
        <v>#REF!</v>
      </c>
      <c r="J59" s="250"/>
    </row>
    <row r="60" spans="1:13" ht="173.25">
      <c r="A60" s="243" t="s">
        <v>239</v>
      </c>
      <c r="B60" s="268" t="s">
        <v>238</v>
      </c>
      <c r="C60" s="245"/>
      <c r="D60" s="268"/>
      <c r="E60" s="247">
        <v>207</v>
      </c>
      <c r="F60" s="247"/>
      <c r="G60" s="247"/>
      <c r="H60" s="248"/>
      <c r="I60" s="249"/>
      <c r="J60" s="250"/>
    </row>
    <row r="61" spans="1:13" ht="15.75">
      <c r="A61" s="299"/>
      <c r="B61" s="300"/>
      <c r="C61" s="301"/>
      <c r="D61" s="300"/>
      <c r="E61" s="302"/>
      <c r="F61" s="302"/>
      <c r="G61" s="302"/>
      <c r="H61" s="303"/>
      <c r="I61" s="304"/>
      <c r="J61" s="260"/>
    </row>
    <row r="62" spans="1:13" ht="12.75"/>
    <row r="63" spans="1:13" ht="15.75">
      <c r="A63" s="243"/>
      <c r="B63" s="268" t="s">
        <v>174</v>
      </c>
      <c r="C63" s="245" t="e">
        <f>+D63+E63+F63+G63+H63</f>
        <v>#REF!</v>
      </c>
      <c r="D63" s="247" t="e">
        <f>1000*(#REF!+#REF!)</f>
        <v>#REF!</v>
      </c>
      <c r="E63" s="247" t="e">
        <f>1000*(#REF!+#REF!)</f>
        <v>#REF!</v>
      </c>
      <c r="F63" s="247" t="e">
        <f>1000*(#REF!+#REF!)</f>
        <v>#REF!</v>
      </c>
      <c r="G63" s="247" t="e">
        <f>1000*(#REF!+#REF!)</f>
        <v>#REF!</v>
      </c>
      <c r="H63" s="247" t="e">
        <f>1000*(#REF!+#REF!)</f>
        <v>#REF!</v>
      </c>
      <c r="I63" s="247"/>
      <c r="J63" s="250"/>
    </row>
    <row r="64" spans="1:13" ht="15.75">
      <c r="A64" s="305"/>
    </row>
    <row r="65" spans="1:10" ht="15.75">
      <c r="A65" s="221"/>
      <c r="B65" s="306"/>
      <c r="C65" s="307"/>
      <c r="D65" s="306"/>
      <c r="E65" s="306"/>
      <c r="F65" s="308"/>
      <c r="G65" s="306"/>
      <c r="H65" s="309"/>
      <c r="I65" s="310"/>
      <c r="J65" s="310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4"/>
  <sheetViews>
    <sheetView workbookViewId="0"/>
  </sheetViews>
  <sheetFormatPr defaultRowHeight="15"/>
  <sheetData>
    <row r="1" spans="1:25" ht="19.5">
      <c r="H1" s="1120"/>
      <c r="I1" s="1120"/>
      <c r="V1" s="152" t="s">
        <v>275</v>
      </c>
      <c r="W1" s="171"/>
      <c r="X1" s="171"/>
      <c r="Y1" s="171"/>
    </row>
    <row r="2" spans="1:25" ht="115.5">
      <c r="A2" s="1122" t="s">
        <v>133</v>
      </c>
      <c r="B2" s="1122"/>
      <c r="C2" s="1122"/>
      <c r="D2" s="1122"/>
      <c r="E2" s="1122"/>
      <c r="F2" s="1122"/>
      <c r="G2" s="1122"/>
      <c r="H2" s="1122"/>
      <c r="I2" s="1122"/>
      <c r="J2" s="1122"/>
      <c r="K2" s="1122"/>
      <c r="L2" s="1122"/>
      <c r="M2" s="1122"/>
      <c r="N2" s="1122"/>
      <c r="O2" s="1122"/>
      <c r="P2" s="1122"/>
      <c r="Q2" s="1122"/>
      <c r="R2" s="1122"/>
      <c r="S2" s="1122"/>
      <c r="T2" s="1122"/>
    </row>
    <row r="3" spans="1:25" ht="16.5">
      <c r="A3" s="125"/>
      <c r="B3" s="125"/>
      <c r="C3" s="125"/>
      <c r="D3" s="125"/>
      <c r="E3" s="125"/>
      <c r="F3" s="125"/>
      <c r="G3" s="125"/>
      <c r="H3" s="1120"/>
      <c r="I3" s="1120"/>
    </row>
    <row r="4" spans="1:25" ht="51.75">
      <c r="A4" s="126"/>
      <c r="B4" s="126"/>
      <c r="C4" s="126"/>
      <c r="D4" s="126"/>
      <c r="E4" s="126"/>
      <c r="F4" s="126"/>
      <c r="G4" s="126"/>
      <c r="H4" s="1121" t="s">
        <v>134</v>
      </c>
      <c r="I4" s="1121"/>
      <c r="J4" s="1121"/>
      <c r="K4" s="1121"/>
      <c r="L4" s="1121"/>
      <c r="M4" s="1121"/>
      <c r="N4" s="1121"/>
      <c r="O4" s="1121"/>
      <c r="P4" s="1121"/>
      <c r="Q4" s="1121"/>
      <c r="R4" s="1121"/>
      <c r="S4" s="1121"/>
      <c r="T4" s="1121"/>
    </row>
    <row r="5" spans="1:25" ht="99">
      <c r="A5" s="138"/>
      <c r="B5" s="1123" t="s">
        <v>135</v>
      </c>
      <c r="C5" s="1124"/>
      <c r="D5" s="1125"/>
      <c r="E5" s="127" t="s">
        <v>136</v>
      </c>
      <c r="F5" s="127" t="s">
        <v>137</v>
      </c>
      <c r="G5" s="127" t="s">
        <v>138</v>
      </c>
      <c r="H5" s="127" t="s">
        <v>139</v>
      </c>
      <c r="I5" s="127" t="s">
        <v>140</v>
      </c>
      <c r="J5" s="144" t="s">
        <v>213</v>
      </c>
      <c r="K5" s="1123" t="s">
        <v>141</v>
      </c>
      <c r="L5" s="1124"/>
      <c r="M5" s="1125"/>
      <c r="N5" s="1123" t="s">
        <v>142</v>
      </c>
      <c r="O5" s="1124"/>
      <c r="P5" s="1125"/>
      <c r="Q5" s="1123" t="s">
        <v>143</v>
      </c>
      <c r="R5" s="1124"/>
      <c r="S5" s="1125"/>
      <c r="T5" s="1123" t="s">
        <v>144</v>
      </c>
      <c r="U5" s="1124"/>
      <c r="V5" s="1125"/>
    </row>
    <row r="6" spans="1:25" ht="33">
      <c r="A6" s="145" t="s">
        <v>281</v>
      </c>
      <c r="B6" s="146"/>
      <c r="C6" s="146"/>
      <c r="D6" s="146"/>
      <c r="E6" s="146"/>
      <c r="F6" s="146"/>
      <c r="G6" s="146"/>
      <c r="H6" s="146"/>
      <c r="I6" s="146"/>
      <c r="J6" s="147"/>
      <c r="K6" s="146"/>
      <c r="L6" s="146"/>
      <c r="M6" s="146"/>
      <c r="N6" s="146"/>
      <c r="O6" s="146"/>
      <c r="P6" s="146"/>
      <c r="Q6" s="146"/>
      <c r="R6" s="146"/>
      <c r="S6" s="146"/>
      <c r="T6" s="155"/>
    </row>
    <row r="7" spans="1:25" ht="66">
      <c r="A7" s="128" t="s">
        <v>145</v>
      </c>
      <c r="B7" s="174" t="e">
        <f>+J7+K7+N7+Q7+T7</f>
        <v>#REF!</v>
      </c>
      <c r="C7" s="159" t="s">
        <v>284</v>
      </c>
      <c r="D7" s="176" t="e">
        <f>+B41</f>
        <v>#REF!</v>
      </c>
      <c r="E7" s="130"/>
      <c r="F7" s="131">
        <f>F8-F9</f>
        <v>-10360</v>
      </c>
      <c r="G7" s="131"/>
      <c r="H7" s="131">
        <f>H8-H9</f>
        <v>-14960</v>
      </c>
      <c r="I7" s="131">
        <f>I8-I9</f>
        <v>-14800</v>
      </c>
      <c r="J7" s="131" t="e">
        <f>+J8-J9</f>
        <v>#REF!</v>
      </c>
      <c r="K7" s="172" t="e">
        <f>+K8-K9</f>
        <v>#REF!</v>
      </c>
      <c r="L7" s="163" t="s">
        <v>284</v>
      </c>
      <c r="M7" s="178" t="e">
        <f>+K41</f>
        <v>#REF!</v>
      </c>
      <c r="N7" s="172" t="e">
        <f>+N8-N9</f>
        <v>#REF!</v>
      </c>
      <c r="O7" s="163" t="s">
        <v>284</v>
      </c>
      <c r="P7" s="178" t="e">
        <f>+N41</f>
        <v>#REF!</v>
      </c>
      <c r="Q7" s="172" t="e">
        <f>+Q8-Q9</f>
        <v>#REF!</v>
      </c>
      <c r="R7" s="163" t="s">
        <v>284</v>
      </c>
      <c r="S7" s="178" t="e">
        <f>+Q41</f>
        <v>#REF!</v>
      </c>
      <c r="T7" s="172" t="e">
        <f>+T8-T9</f>
        <v>#REF!</v>
      </c>
      <c r="U7" s="166" t="s">
        <v>284</v>
      </c>
      <c r="V7" s="178" t="e">
        <f>+T41</f>
        <v>#REF!</v>
      </c>
    </row>
    <row r="8" spans="1:25" ht="33">
      <c r="A8" s="139" t="s">
        <v>146</v>
      </c>
      <c r="B8" s="175" t="e">
        <f t="shared" ref="B8:B18" si="0">+J8+K8+N8+Q8+T8</f>
        <v>#REF!</v>
      </c>
      <c r="C8" s="160" t="s">
        <v>284</v>
      </c>
      <c r="D8" s="177" t="e">
        <f t="shared" ref="D8:D39" si="1">+B42</f>
        <v>#REF!</v>
      </c>
      <c r="E8" s="140"/>
      <c r="F8" s="135">
        <v>48561</v>
      </c>
      <c r="G8" s="135"/>
      <c r="H8" s="135">
        <v>64000</v>
      </c>
      <c r="I8" s="135">
        <v>76700</v>
      </c>
      <c r="J8" s="135" t="e">
        <f>+#REF!*1000</f>
        <v>#REF!</v>
      </c>
      <c r="K8" s="173" t="e">
        <f>+#REF!*1000</f>
        <v>#REF!</v>
      </c>
      <c r="L8" s="161" t="s">
        <v>284</v>
      </c>
      <c r="M8" s="179" t="e">
        <f t="shared" ref="M8:M39" si="2">+K42</f>
        <v>#REF!</v>
      </c>
      <c r="N8" s="173" t="e">
        <f>+#REF!*1000</f>
        <v>#REF!</v>
      </c>
      <c r="O8" s="161" t="s">
        <v>284</v>
      </c>
      <c r="P8" s="179" t="e">
        <f t="shared" ref="P8:P39" si="3">+N42</f>
        <v>#REF!</v>
      </c>
      <c r="Q8" s="173" t="e">
        <f>+#REF!*1000</f>
        <v>#REF!</v>
      </c>
      <c r="R8" s="161" t="s">
        <v>284</v>
      </c>
      <c r="S8" s="179" t="e">
        <f t="shared" ref="S8:S39" si="4">+Q42</f>
        <v>#REF!</v>
      </c>
      <c r="T8" s="173" t="e">
        <f>+#REF!*1000</f>
        <v>#REF!</v>
      </c>
      <c r="U8" s="167" t="s">
        <v>284</v>
      </c>
      <c r="V8" s="179" t="e">
        <f t="shared" ref="V8:V39" si="5">+T42</f>
        <v>#REF!</v>
      </c>
    </row>
    <row r="9" spans="1:25" ht="33">
      <c r="A9" s="139" t="s">
        <v>147</v>
      </c>
      <c r="B9" s="175" t="e">
        <f t="shared" si="0"/>
        <v>#REF!</v>
      </c>
      <c r="C9" s="160" t="s">
        <v>284</v>
      </c>
      <c r="D9" s="177" t="e">
        <f t="shared" si="1"/>
        <v>#REF!</v>
      </c>
      <c r="E9" s="140"/>
      <c r="F9" s="135">
        <v>58921</v>
      </c>
      <c r="G9" s="141"/>
      <c r="H9" s="141">
        <v>78960</v>
      </c>
      <c r="I9" s="141">
        <v>91500</v>
      </c>
      <c r="J9" s="135" t="e">
        <f>0.9*J10</f>
        <v>#REF!</v>
      </c>
      <c r="K9" s="173" t="e">
        <f>0.9*K10</f>
        <v>#REF!</v>
      </c>
      <c r="L9" s="161" t="s">
        <v>284</v>
      </c>
      <c r="M9" s="179" t="e">
        <f t="shared" si="2"/>
        <v>#REF!</v>
      </c>
      <c r="N9" s="173" t="e">
        <f>0.9*N10</f>
        <v>#REF!</v>
      </c>
      <c r="O9" s="161" t="s">
        <v>284</v>
      </c>
      <c r="P9" s="179" t="e">
        <f t="shared" si="3"/>
        <v>#REF!</v>
      </c>
      <c r="Q9" s="173" t="e">
        <f>0.9*Q10</f>
        <v>#REF!</v>
      </c>
      <c r="R9" s="161" t="s">
        <v>284</v>
      </c>
      <c r="S9" s="179" t="e">
        <f t="shared" si="4"/>
        <v>#REF!</v>
      </c>
      <c r="T9" s="173" t="e">
        <f>0.9*T10</f>
        <v>#REF!</v>
      </c>
      <c r="U9" s="167" t="s">
        <v>284</v>
      </c>
      <c r="V9" s="179" t="e">
        <f t="shared" si="5"/>
        <v>#REF!</v>
      </c>
    </row>
    <row r="10" spans="1:25" ht="66">
      <c r="A10" s="139" t="s">
        <v>148</v>
      </c>
      <c r="B10" s="175" t="e">
        <f t="shared" si="0"/>
        <v>#REF!</v>
      </c>
      <c r="C10" s="160" t="s">
        <v>284</v>
      </c>
      <c r="D10" s="177" t="e">
        <f t="shared" si="1"/>
        <v>#REF!</v>
      </c>
      <c r="E10" s="140"/>
      <c r="F10" s="135">
        <v>62682</v>
      </c>
      <c r="G10" s="141"/>
      <c r="H10" s="141">
        <v>84000</v>
      </c>
      <c r="I10" s="141">
        <v>97400</v>
      </c>
      <c r="J10" s="135" t="e">
        <f>+#REF!*1000</f>
        <v>#REF!</v>
      </c>
      <c r="K10" s="173" t="e">
        <f>+#REF!*1000</f>
        <v>#REF!</v>
      </c>
      <c r="L10" s="161" t="s">
        <v>284</v>
      </c>
      <c r="M10" s="179" t="e">
        <f t="shared" si="2"/>
        <v>#REF!</v>
      </c>
      <c r="N10" s="173" t="e">
        <f>+#REF!*1000</f>
        <v>#REF!</v>
      </c>
      <c r="O10" s="161" t="s">
        <v>284</v>
      </c>
      <c r="P10" s="179" t="e">
        <f t="shared" si="3"/>
        <v>#REF!</v>
      </c>
      <c r="Q10" s="173" t="e">
        <f>+#REF!*1000</f>
        <v>#REF!</v>
      </c>
      <c r="R10" s="161" t="s">
        <v>284</v>
      </c>
      <c r="S10" s="179" t="e">
        <f t="shared" si="4"/>
        <v>#REF!</v>
      </c>
      <c r="T10" s="173" t="e">
        <f>+#REF!*1000</f>
        <v>#REF!</v>
      </c>
      <c r="U10" s="167" t="s">
        <v>284</v>
      </c>
      <c r="V10" s="179" t="e">
        <f t="shared" si="5"/>
        <v>#REF!</v>
      </c>
    </row>
    <row r="11" spans="1:25" ht="16.5">
      <c r="A11" s="139"/>
      <c r="B11" s="157"/>
      <c r="C11" s="160"/>
      <c r="D11" s="153"/>
      <c r="E11" s="140"/>
      <c r="F11" s="135"/>
      <c r="G11" s="135"/>
      <c r="H11" s="135"/>
      <c r="I11" s="135"/>
      <c r="J11" s="135"/>
      <c r="K11" s="158"/>
      <c r="L11" s="161"/>
      <c r="M11" s="154"/>
      <c r="N11" s="158"/>
      <c r="O11" s="161"/>
      <c r="P11" s="154"/>
      <c r="Q11" s="158"/>
      <c r="R11" s="161"/>
      <c r="S11" s="154"/>
      <c r="T11" s="158"/>
      <c r="U11" s="167"/>
      <c r="V11" s="168"/>
    </row>
    <row r="12" spans="1:25" ht="33">
      <c r="A12" s="133" t="s">
        <v>149</v>
      </c>
      <c r="B12" s="1129">
        <f t="shared" si="0"/>
        <v>-11500</v>
      </c>
      <c r="C12" s="1130"/>
      <c r="D12" s="1131"/>
      <c r="E12" s="134"/>
      <c r="F12" s="142">
        <f>F13-F14</f>
        <v>-894</v>
      </c>
      <c r="G12" s="142"/>
      <c r="H12" s="142">
        <v>-1300</v>
      </c>
      <c r="I12" s="142">
        <v>-1391</v>
      </c>
      <c r="J12" s="135">
        <v>-3000</v>
      </c>
      <c r="K12" s="1126">
        <v>-1500</v>
      </c>
      <c r="L12" s="1127"/>
      <c r="M12" s="1128"/>
      <c r="N12" s="1126">
        <v>-2000</v>
      </c>
      <c r="O12" s="1127"/>
      <c r="P12" s="1128"/>
      <c r="Q12" s="1126">
        <v>-2500</v>
      </c>
      <c r="R12" s="1127"/>
      <c r="S12" s="1128"/>
      <c r="T12" s="1126">
        <v>-2500</v>
      </c>
      <c r="U12" s="1127"/>
      <c r="V12" s="1128"/>
    </row>
    <row r="13" spans="1:25" ht="16.5">
      <c r="A13" s="139" t="s">
        <v>150</v>
      </c>
      <c r="B13" s="156">
        <f t="shared" si="0"/>
        <v>0</v>
      </c>
      <c r="C13" s="160" t="s">
        <v>284</v>
      </c>
      <c r="D13" s="153">
        <f t="shared" si="1"/>
        <v>0</v>
      </c>
      <c r="E13" s="140"/>
      <c r="F13" s="135">
        <v>6030</v>
      </c>
      <c r="G13" s="135"/>
      <c r="H13" s="135">
        <v>7055</v>
      </c>
      <c r="I13" s="135">
        <v>7549</v>
      </c>
      <c r="J13" s="135"/>
      <c r="K13" s="158"/>
      <c r="L13" s="161" t="s">
        <v>284</v>
      </c>
      <c r="M13" s="154">
        <f t="shared" si="2"/>
        <v>0</v>
      </c>
      <c r="N13" s="158"/>
      <c r="O13" s="161" t="s">
        <v>284</v>
      </c>
      <c r="P13" s="154">
        <f t="shared" si="3"/>
        <v>0</v>
      </c>
      <c r="Q13" s="158"/>
      <c r="R13" s="161" t="s">
        <v>284</v>
      </c>
      <c r="S13" s="154">
        <f t="shared" si="4"/>
        <v>0</v>
      </c>
      <c r="T13" s="158"/>
      <c r="U13" s="167" t="s">
        <v>284</v>
      </c>
      <c r="V13" s="168">
        <f t="shared" si="5"/>
        <v>0</v>
      </c>
    </row>
    <row r="14" spans="1:25" ht="16.5">
      <c r="A14" s="139" t="s">
        <v>151</v>
      </c>
      <c r="B14" s="156">
        <f t="shared" si="0"/>
        <v>0</v>
      </c>
      <c r="C14" s="160" t="s">
        <v>284</v>
      </c>
      <c r="D14" s="153">
        <f t="shared" si="1"/>
        <v>0</v>
      </c>
      <c r="E14" s="140"/>
      <c r="F14" s="135">
        <v>6924</v>
      </c>
      <c r="G14" s="135"/>
      <c r="H14" s="135">
        <v>8355</v>
      </c>
      <c r="I14" s="135">
        <v>8940</v>
      </c>
      <c r="J14" s="135"/>
      <c r="K14" s="158"/>
      <c r="L14" s="161" t="s">
        <v>284</v>
      </c>
      <c r="M14" s="154">
        <f t="shared" si="2"/>
        <v>0</v>
      </c>
      <c r="N14" s="158"/>
      <c r="O14" s="161" t="s">
        <v>284</v>
      </c>
      <c r="P14" s="154">
        <f t="shared" si="3"/>
        <v>0</v>
      </c>
      <c r="Q14" s="158"/>
      <c r="R14" s="161" t="s">
        <v>284</v>
      </c>
      <c r="S14" s="154">
        <f t="shared" si="4"/>
        <v>0</v>
      </c>
      <c r="T14" s="158"/>
      <c r="U14" s="167" t="s">
        <v>284</v>
      </c>
      <c r="V14" s="168">
        <f t="shared" si="5"/>
        <v>0</v>
      </c>
    </row>
    <row r="15" spans="1:25" ht="49.5">
      <c r="A15" s="133" t="s">
        <v>152</v>
      </c>
      <c r="B15" s="1129">
        <f t="shared" si="0"/>
        <v>-34086</v>
      </c>
      <c r="C15" s="1130"/>
      <c r="D15" s="1131"/>
      <c r="E15" s="134"/>
      <c r="F15" s="142">
        <f>F16-F17</f>
        <v>-2168</v>
      </c>
      <c r="G15" s="142"/>
      <c r="H15" s="142">
        <f>H16-H17</f>
        <v>-2432</v>
      </c>
      <c r="I15" s="142">
        <f>I16-I17</f>
        <v>-2602</v>
      </c>
      <c r="J15" s="135">
        <v>-5124</v>
      </c>
      <c r="K15" s="1126">
        <v>-6950</v>
      </c>
      <c r="L15" s="1127"/>
      <c r="M15" s="1128"/>
      <c r="N15" s="1126">
        <v>-6452</v>
      </c>
      <c r="O15" s="1127"/>
      <c r="P15" s="1128"/>
      <c r="Q15" s="1126">
        <v>-7109</v>
      </c>
      <c r="R15" s="1127"/>
      <c r="S15" s="1128"/>
      <c r="T15" s="1126">
        <v>-8451</v>
      </c>
      <c r="U15" s="1127"/>
      <c r="V15" s="1128"/>
    </row>
    <row r="16" spans="1:25" ht="16.5">
      <c r="A16" s="139" t="s">
        <v>150</v>
      </c>
      <c r="B16" s="156">
        <f t="shared" si="0"/>
        <v>0</v>
      </c>
      <c r="C16" s="160" t="s">
        <v>284</v>
      </c>
      <c r="D16" s="153">
        <f t="shared" si="1"/>
        <v>0</v>
      </c>
      <c r="E16" s="140"/>
      <c r="F16" s="135">
        <v>1093</v>
      </c>
      <c r="G16" s="135"/>
      <c r="H16" s="135">
        <v>1268</v>
      </c>
      <c r="I16" s="135">
        <v>1357</v>
      </c>
      <c r="J16" s="135"/>
      <c r="K16" s="158"/>
      <c r="L16" s="161" t="s">
        <v>284</v>
      </c>
      <c r="M16" s="154">
        <f t="shared" si="2"/>
        <v>0</v>
      </c>
      <c r="N16" s="158"/>
      <c r="O16" s="161" t="s">
        <v>284</v>
      </c>
      <c r="P16" s="154">
        <f t="shared" si="3"/>
        <v>0</v>
      </c>
      <c r="Q16" s="158"/>
      <c r="R16" s="161" t="s">
        <v>284</v>
      </c>
      <c r="S16" s="154">
        <f t="shared" si="4"/>
        <v>0</v>
      </c>
      <c r="T16" s="158"/>
      <c r="U16" s="167" t="s">
        <v>284</v>
      </c>
      <c r="V16" s="168">
        <f t="shared" si="5"/>
        <v>0</v>
      </c>
    </row>
    <row r="17" spans="1:22" ht="16.5">
      <c r="A17" s="139" t="s">
        <v>151</v>
      </c>
      <c r="B17" s="156">
        <f t="shared" si="0"/>
        <v>0</v>
      </c>
      <c r="C17" s="160" t="s">
        <v>284</v>
      </c>
      <c r="D17" s="153">
        <f t="shared" si="1"/>
        <v>0</v>
      </c>
      <c r="E17" s="140"/>
      <c r="F17" s="135">
        <v>3261</v>
      </c>
      <c r="G17" s="135"/>
      <c r="H17" s="135">
        <v>3700</v>
      </c>
      <c r="I17" s="135">
        <v>3959</v>
      </c>
      <c r="J17" s="135"/>
      <c r="K17" s="158"/>
      <c r="L17" s="161" t="s">
        <v>284</v>
      </c>
      <c r="M17" s="154">
        <f t="shared" si="2"/>
        <v>0</v>
      </c>
      <c r="N17" s="158"/>
      <c r="O17" s="161" t="s">
        <v>284</v>
      </c>
      <c r="P17" s="154">
        <f t="shared" si="3"/>
        <v>0</v>
      </c>
      <c r="Q17" s="158"/>
      <c r="R17" s="161" t="s">
        <v>284</v>
      </c>
      <c r="S17" s="154">
        <f t="shared" si="4"/>
        <v>0</v>
      </c>
      <c r="T17" s="158"/>
      <c r="U17" s="167" t="s">
        <v>284</v>
      </c>
      <c r="V17" s="168">
        <f t="shared" si="5"/>
        <v>0</v>
      </c>
    </row>
    <row r="18" spans="1:22" ht="33">
      <c r="A18" s="133" t="s">
        <v>153</v>
      </c>
      <c r="B18" s="1129">
        <f t="shared" si="0"/>
        <v>32038</v>
      </c>
      <c r="C18" s="1130"/>
      <c r="D18" s="1131"/>
      <c r="E18" s="134"/>
      <c r="F18" s="142">
        <v>6430</v>
      </c>
      <c r="G18" s="142"/>
      <c r="H18" s="142">
        <v>7257</v>
      </c>
      <c r="I18" s="142">
        <v>8100</v>
      </c>
      <c r="J18" s="135">
        <v>6500</v>
      </c>
      <c r="K18" s="1126">
        <v>5700</v>
      </c>
      <c r="L18" s="1127"/>
      <c r="M18" s="1128"/>
      <c r="N18" s="1126">
        <v>6270</v>
      </c>
      <c r="O18" s="1127"/>
      <c r="P18" s="1128"/>
      <c r="Q18" s="1126">
        <v>6717</v>
      </c>
      <c r="R18" s="1127"/>
      <c r="S18" s="1128"/>
      <c r="T18" s="1126">
        <v>6851</v>
      </c>
      <c r="U18" s="1127"/>
      <c r="V18" s="1128"/>
    </row>
    <row r="19" spans="1:22" ht="33">
      <c r="A19" s="139" t="s">
        <v>154</v>
      </c>
      <c r="B19" s="156">
        <f>+SUM(J19:T19)</f>
        <v>0</v>
      </c>
      <c r="C19" s="160" t="s">
        <v>284</v>
      </c>
      <c r="D19" s="153">
        <f t="shared" si="1"/>
        <v>0</v>
      </c>
      <c r="E19" s="140"/>
      <c r="F19" s="135">
        <v>250</v>
      </c>
      <c r="G19" s="135"/>
      <c r="H19" s="135">
        <v>257</v>
      </c>
      <c r="I19" s="135">
        <v>260</v>
      </c>
      <c r="J19" s="135"/>
      <c r="K19" s="158"/>
      <c r="L19" s="161" t="s">
        <v>284</v>
      </c>
      <c r="M19" s="154">
        <f t="shared" si="2"/>
        <v>0</v>
      </c>
      <c r="N19" s="158"/>
      <c r="O19" s="161" t="s">
        <v>284</v>
      </c>
      <c r="P19" s="154">
        <f t="shared" si="3"/>
        <v>0</v>
      </c>
      <c r="Q19" s="158"/>
      <c r="R19" s="161" t="s">
        <v>284</v>
      </c>
      <c r="S19" s="154">
        <f t="shared" si="4"/>
        <v>0</v>
      </c>
      <c r="T19" s="158"/>
      <c r="U19" s="167" t="s">
        <v>284</v>
      </c>
      <c r="V19" s="168">
        <f t="shared" si="5"/>
        <v>0</v>
      </c>
    </row>
    <row r="20" spans="1:22" ht="16.5">
      <c r="A20" s="139" t="s">
        <v>155</v>
      </c>
      <c r="B20" s="156">
        <f>+SUM(J20:T20)</f>
        <v>0</v>
      </c>
      <c r="C20" s="160" t="s">
        <v>284</v>
      </c>
      <c r="D20" s="153">
        <f t="shared" si="1"/>
        <v>0</v>
      </c>
      <c r="E20" s="140"/>
      <c r="F20" s="135">
        <v>6180</v>
      </c>
      <c r="G20" s="135"/>
      <c r="H20" s="135">
        <v>7000</v>
      </c>
      <c r="I20" s="135">
        <v>7840</v>
      </c>
      <c r="J20" s="135"/>
      <c r="K20" s="158"/>
      <c r="L20" s="161" t="s">
        <v>284</v>
      </c>
      <c r="M20" s="154">
        <f t="shared" si="2"/>
        <v>0</v>
      </c>
      <c r="N20" s="158"/>
      <c r="O20" s="161" t="s">
        <v>284</v>
      </c>
      <c r="P20" s="154">
        <f t="shared" si="3"/>
        <v>0</v>
      </c>
      <c r="Q20" s="158"/>
      <c r="R20" s="161" t="s">
        <v>284</v>
      </c>
      <c r="S20" s="154">
        <f t="shared" si="4"/>
        <v>0</v>
      </c>
      <c r="T20" s="158"/>
      <c r="U20" s="167" t="s">
        <v>284</v>
      </c>
      <c r="V20" s="168">
        <f t="shared" si="5"/>
        <v>0</v>
      </c>
    </row>
    <row r="21" spans="1:22" ht="16.5">
      <c r="A21" s="139"/>
      <c r="B21" s="156"/>
      <c r="C21" s="160"/>
      <c r="D21" s="153"/>
      <c r="E21" s="140"/>
      <c r="F21" s="135"/>
      <c r="G21" s="135"/>
      <c r="H21" s="135"/>
      <c r="I21" s="135"/>
      <c r="J21" s="135"/>
      <c r="K21" s="158"/>
      <c r="L21" s="161"/>
      <c r="M21" s="154"/>
      <c r="N21" s="158"/>
      <c r="O21" s="161"/>
      <c r="P21" s="154"/>
      <c r="Q21" s="158"/>
      <c r="R21" s="161"/>
      <c r="S21" s="154"/>
      <c r="T21" s="158"/>
      <c r="U21" s="167"/>
      <c r="V21" s="168"/>
    </row>
    <row r="22" spans="1:22" ht="66">
      <c r="A22" s="136" t="s">
        <v>156</v>
      </c>
      <c r="B22" s="175" t="e">
        <f t="shared" ref="B22:B39" si="6">+J22+K22+N22+Q22+T22</f>
        <v>#REF!</v>
      </c>
      <c r="C22" s="160" t="s">
        <v>284</v>
      </c>
      <c r="D22" s="177" t="e">
        <f t="shared" si="1"/>
        <v>#REF!</v>
      </c>
      <c r="E22" s="137"/>
      <c r="F22" s="142">
        <v>-6992</v>
      </c>
      <c r="G22" s="142"/>
      <c r="H22" s="142">
        <v>-11435</v>
      </c>
      <c r="I22" s="142">
        <v>-10690</v>
      </c>
      <c r="J22" s="135" t="e">
        <f>+J7+J12+J15+J18</f>
        <v>#REF!</v>
      </c>
      <c r="K22" s="173" t="e">
        <f>+K7+K12+K15+K18</f>
        <v>#REF!</v>
      </c>
      <c r="L22" s="161" t="s">
        <v>284</v>
      </c>
      <c r="M22" s="179" t="e">
        <f t="shared" si="2"/>
        <v>#REF!</v>
      </c>
      <c r="N22" s="173" t="e">
        <f>+N7+N12+N15+N18</f>
        <v>#REF!</v>
      </c>
      <c r="O22" s="161" t="s">
        <v>284</v>
      </c>
      <c r="P22" s="179" t="e">
        <f t="shared" si="3"/>
        <v>#REF!</v>
      </c>
      <c r="Q22" s="173" t="e">
        <f>+Q7+Q12+Q15+Q18</f>
        <v>#REF!</v>
      </c>
      <c r="R22" s="161" t="s">
        <v>284</v>
      </c>
      <c r="S22" s="179" t="e">
        <f t="shared" si="4"/>
        <v>#REF!</v>
      </c>
      <c r="T22" s="173" t="e">
        <f>+T7+T12+T15+T18</f>
        <v>#REF!</v>
      </c>
      <c r="U22" s="167" t="s">
        <v>284</v>
      </c>
      <c r="V22" s="179" t="e">
        <f t="shared" si="5"/>
        <v>#REF!</v>
      </c>
    </row>
    <row r="23" spans="1:22" ht="16.5">
      <c r="A23" s="139"/>
      <c r="B23" s="156"/>
      <c r="C23" s="160"/>
      <c r="D23" s="177"/>
      <c r="E23" s="140"/>
      <c r="F23" s="135"/>
      <c r="G23" s="135"/>
      <c r="H23" s="135"/>
      <c r="I23" s="135"/>
      <c r="J23" s="135"/>
      <c r="K23" s="173"/>
      <c r="L23" s="161"/>
      <c r="M23" s="179"/>
      <c r="N23" s="173"/>
      <c r="O23" s="161"/>
      <c r="P23" s="179"/>
      <c r="Q23" s="173"/>
      <c r="R23" s="161"/>
      <c r="S23" s="179"/>
      <c r="T23" s="173"/>
      <c r="U23" s="167"/>
      <c r="V23" s="168"/>
    </row>
    <row r="24" spans="1:22" ht="33">
      <c r="A24" s="136" t="s">
        <v>157</v>
      </c>
      <c r="B24" s="175" t="e">
        <f t="shared" si="6"/>
        <v>#REF!</v>
      </c>
      <c r="C24" s="160" t="s">
        <v>284</v>
      </c>
      <c r="D24" s="177" t="e">
        <f t="shared" si="1"/>
        <v>#REF!</v>
      </c>
      <c r="E24" s="140"/>
      <c r="F24" s="135"/>
      <c r="G24" s="135"/>
      <c r="H24" s="135"/>
      <c r="I24" s="135"/>
      <c r="J24" s="135" t="e">
        <f>+J26+J27+J30+J35-3600</f>
        <v>#REF!</v>
      </c>
      <c r="K24" s="173" t="e">
        <f>+K26+K27+K30+K35-3600</f>
        <v>#REF!</v>
      </c>
      <c r="L24" s="161" t="s">
        <v>284</v>
      </c>
      <c r="M24" s="179" t="e">
        <f t="shared" si="2"/>
        <v>#REF!</v>
      </c>
      <c r="N24" s="173" t="e">
        <f>+N26+N27+N30+N35-3600</f>
        <v>#REF!</v>
      </c>
      <c r="O24" s="161" t="s">
        <v>284</v>
      </c>
      <c r="P24" s="179" t="e">
        <f t="shared" si="3"/>
        <v>#REF!</v>
      </c>
      <c r="Q24" s="173" t="e">
        <f>+Q26+Q27+Q30+Q35-3600</f>
        <v>#REF!</v>
      </c>
      <c r="R24" s="161" t="s">
        <v>284</v>
      </c>
      <c r="S24" s="179" t="e">
        <f t="shared" si="4"/>
        <v>#REF!</v>
      </c>
      <c r="T24" s="173" t="e">
        <f>+T26+T27+T30+T35-3600</f>
        <v>#REF!</v>
      </c>
      <c r="U24" s="167" t="s">
        <v>284</v>
      </c>
      <c r="V24" s="179" t="e">
        <f t="shared" si="5"/>
        <v>#REF!</v>
      </c>
    </row>
    <row r="25" spans="1:22" ht="16.5">
      <c r="A25" s="139"/>
      <c r="B25" s="156"/>
      <c r="C25" s="160"/>
      <c r="D25" s="153"/>
      <c r="E25" s="140"/>
      <c r="F25" s="135"/>
      <c r="G25" s="135"/>
      <c r="H25" s="135"/>
      <c r="I25" s="135"/>
      <c r="J25" s="135"/>
      <c r="K25" s="173"/>
      <c r="L25" s="161"/>
      <c r="M25" s="179"/>
      <c r="N25" s="173"/>
      <c r="O25" s="161"/>
      <c r="P25" s="179"/>
      <c r="Q25" s="173"/>
      <c r="R25" s="161"/>
      <c r="S25" s="179"/>
      <c r="T25" s="173"/>
      <c r="U25" s="167"/>
      <c r="V25" s="168"/>
    </row>
    <row r="26" spans="1:22" ht="82.5">
      <c r="A26" s="133" t="s">
        <v>158</v>
      </c>
      <c r="B26" s="175" t="e">
        <f t="shared" si="6"/>
        <v>#REF!</v>
      </c>
      <c r="C26" s="160" t="s">
        <v>284</v>
      </c>
      <c r="D26" s="177" t="e">
        <f t="shared" si="1"/>
        <v>#REF!</v>
      </c>
      <c r="E26" s="134"/>
      <c r="F26" s="142"/>
      <c r="G26" s="142"/>
      <c r="H26" s="142"/>
      <c r="I26" s="142"/>
      <c r="J26" s="135" t="e">
        <f>+#REF!*1000-900</f>
        <v>#REF!</v>
      </c>
      <c r="K26" s="173" t="e">
        <f>+#REF!*1000-1000</f>
        <v>#REF!</v>
      </c>
      <c r="L26" s="161" t="s">
        <v>284</v>
      </c>
      <c r="M26" s="179" t="e">
        <f t="shared" si="2"/>
        <v>#REF!</v>
      </c>
      <c r="N26" s="173" t="e">
        <f>+#REF!*1000-1000</f>
        <v>#REF!</v>
      </c>
      <c r="O26" s="161" t="s">
        <v>284</v>
      </c>
      <c r="P26" s="179" t="e">
        <f t="shared" si="3"/>
        <v>#REF!</v>
      </c>
      <c r="Q26" s="173" t="e">
        <f>+#REF!*1000-1100</f>
        <v>#REF!</v>
      </c>
      <c r="R26" s="161" t="s">
        <v>284</v>
      </c>
      <c r="S26" s="179" t="e">
        <f t="shared" si="4"/>
        <v>#REF!</v>
      </c>
      <c r="T26" s="173" t="e">
        <f>+#REF!*1000-1200</f>
        <v>#REF!</v>
      </c>
      <c r="U26" s="167" t="s">
        <v>284</v>
      </c>
      <c r="V26" s="179" t="e">
        <f t="shared" si="5"/>
        <v>#REF!</v>
      </c>
    </row>
    <row r="27" spans="1:22" ht="66">
      <c r="A27" s="133" t="s">
        <v>159</v>
      </c>
      <c r="B27" s="1129">
        <f t="shared" si="6"/>
        <v>13505</v>
      </c>
      <c r="C27" s="1130"/>
      <c r="D27" s="1131"/>
      <c r="E27" s="134"/>
      <c r="F27" s="142">
        <v>2045</v>
      </c>
      <c r="G27" s="142"/>
      <c r="H27" s="142">
        <v>964</v>
      </c>
      <c r="I27" s="142">
        <v>562</v>
      </c>
      <c r="J27" s="135">
        <v>2000</v>
      </c>
      <c r="K27" s="1126">
        <v>2730</v>
      </c>
      <c r="L27" s="1127"/>
      <c r="M27" s="1128"/>
      <c r="N27" s="1126">
        <v>2839</v>
      </c>
      <c r="O27" s="1127"/>
      <c r="P27" s="1128"/>
      <c r="Q27" s="1126">
        <v>2924</v>
      </c>
      <c r="R27" s="1127"/>
      <c r="S27" s="1128"/>
      <c r="T27" s="1126">
        <v>3012</v>
      </c>
      <c r="U27" s="1127"/>
      <c r="V27" s="1128"/>
    </row>
    <row r="28" spans="1:22" ht="16.5">
      <c r="A28" s="139" t="s">
        <v>160</v>
      </c>
      <c r="B28" s="156">
        <f t="shared" si="6"/>
        <v>0</v>
      </c>
      <c r="C28" s="160" t="s">
        <v>284</v>
      </c>
      <c r="D28" s="153">
        <f t="shared" si="1"/>
        <v>0</v>
      </c>
      <c r="E28" s="140"/>
      <c r="F28" s="135">
        <v>3397</v>
      </c>
      <c r="G28" s="135"/>
      <c r="H28" s="135">
        <v>2562</v>
      </c>
      <c r="I28" s="135">
        <v>2639</v>
      </c>
      <c r="J28" s="135"/>
      <c r="K28" s="158"/>
      <c r="L28" s="161" t="s">
        <v>284</v>
      </c>
      <c r="M28" s="154">
        <f t="shared" si="2"/>
        <v>0</v>
      </c>
      <c r="N28" s="158"/>
      <c r="O28" s="161" t="s">
        <v>284</v>
      </c>
      <c r="P28" s="154">
        <f t="shared" si="3"/>
        <v>0</v>
      </c>
      <c r="Q28" s="158"/>
      <c r="R28" s="161" t="s">
        <v>284</v>
      </c>
      <c r="S28" s="154">
        <f t="shared" si="4"/>
        <v>0</v>
      </c>
      <c r="T28" s="158"/>
      <c r="U28" s="167" t="s">
        <v>284</v>
      </c>
      <c r="V28" s="168">
        <f t="shared" si="5"/>
        <v>0</v>
      </c>
    </row>
    <row r="29" spans="1:22" ht="33">
      <c r="A29" s="139" t="s">
        <v>161</v>
      </c>
      <c r="B29" s="156">
        <f t="shared" si="6"/>
        <v>0</v>
      </c>
      <c r="C29" s="160" t="s">
        <v>284</v>
      </c>
      <c r="D29" s="153">
        <f t="shared" si="1"/>
        <v>0</v>
      </c>
      <c r="E29" s="140"/>
      <c r="F29" s="135">
        <v>1352</v>
      </c>
      <c r="G29" s="135"/>
      <c r="H29" s="135">
        <v>1598</v>
      </c>
      <c r="I29" s="135">
        <v>2077</v>
      </c>
      <c r="J29" s="135"/>
      <c r="K29" s="158"/>
      <c r="L29" s="161" t="s">
        <v>284</v>
      </c>
      <c r="M29" s="154">
        <f t="shared" si="2"/>
        <v>0</v>
      </c>
      <c r="N29" s="158"/>
      <c r="O29" s="161" t="s">
        <v>284</v>
      </c>
      <c r="P29" s="154">
        <f t="shared" si="3"/>
        <v>0</v>
      </c>
      <c r="Q29" s="158"/>
      <c r="R29" s="161" t="s">
        <v>284</v>
      </c>
      <c r="S29" s="154">
        <f t="shared" si="4"/>
        <v>0</v>
      </c>
      <c r="T29" s="158"/>
      <c r="U29" s="167" t="s">
        <v>284</v>
      </c>
      <c r="V29" s="168">
        <f t="shared" si="5"/>
        <v>0</v>
      </c>
    </row>
    <row r="30" spans="1:22" ht="49.5">
      <c r="A30" s="133" t="s">
        <v>162</v>
      </c>
      <c r="B30" s="1129">
        <f t="shared" si="6"/>
        <v>7900</v>
      </c>
      <c r="C30" s="1130"/>
      <c r="D30" s="1131"/>
      <c r="E30" s="134"/>
      <c r="F30" s="142">
        <v>79</v>
      </c>
      <c r="G30" s="142"/>
      <c r="H30" s="142">
        <v>168</v>
      </c>
      <c r="I30" s="142">
        <v>-575</v>
      </c>
      <c r="J30" s="135">
        <v>800</v>
      </c>
      <c r="K30" s="1126">
        <v>1700</v>
      </c>
      <c r="L30" s="1127"/>
      <c r="M30" s="1128"/>
      <c r="N30" s="1126">
        <v>1900</v>
      </c>
      <c r="O30" s="1127"/>
      <c r="P30" s="1128"/>
      <c r="Q30" s="1126">
        <v>1700</v>
      </c>
      <c r="R30" s="1127"/>
      <c r="S30" s="1128"/>
      <c r="T30" s="1126">
        <v>1800</v>
      </c>
      <c r="U30" s="1127"/>
      <c r="V30" s="1128"/>
    </row>
    <row r="31" spans="1:22" ht="16.5">
      <c r="A31" s="139" t="s">
        <v>160</v>
      </c>
      <c r="B31" s="156">
        <f t="shared" si="6"/>
        <v>0</v>
      </c>
      <c r="C31" s="160" t="s">
        <v>284</v>
      </c>
      <c r="D31" s="153">
        <f t="shared" si="1"/>
        <v>0</v>
      </c>
      <c r="E31" s="140"/>
      <c r="F31" s="135">
        <v>1404</v>
      </c>
      <c r="G31" s="135"/>
      <c r="H31" s="135">
        <v>3360</v>
      </c>
      <c r="I31" s="135">
        <v>3000</v>
      </c>
      <c r="J31" s="135"/>
      <c r="K31" s="158"/>
      <c r="L31" s="161" t="s">
        <v>284</v>
      </c>
      <c r="M31" s="154">
        <f t="shared" si="2"/>
        <v>0</v>
      </c>
      <c r="N31" s="158"/>
      <c r="O31" s="161" t="s">
        <v>284</v>
      </c>
      <c r="P31" s="154">
        <f t="shared" si="3"/>
        <v>0</v>
      </c>
      <c r="Q31" s="158"/>
      <c r="R31" s="161" t="s">
        <v>284</v>
      </c>
      <c r="S31" s="154">
        <f t="shared" si="4"/>
        <v>0</v>
      </c>
      <c r="T31" s="158"/>
      <c r="U31" s="167" t="s">
        <v>284</v>
      </c>
      <c r="V31" s="168">
        <f t="shared" si="5"/>
        <v>0</v>
      </c>
    </row>
    <row r="32" spans="1:22" ht="33">
      <c r="A32" s="139" t="s">
        <v>161</v>
      </c>
      <c r="B32" s="156">
        <f t="shared" si="6"/>
        <v>0</v>
      </c>
      <c r="C32" s="160" t="s">
        <v>284</v>
      </c>
      <c r="D32" s="153">
        <f t="shared" si="1"/>
        <v>0</v>
      </c>
      <c r="E32" s="140"/>
      <c r="F32" s="135">
        <v>1325</v>
      </c>
      <c r="G32" s="135"/>
      <c r="H32" s="135">
        <v>3192</v>
      </c>
      <c r="I32" s="135">
        <v>3575</v>
      </c>
      <c r="J32" s="135"/>
      <c r="K32" s="158"/>
      <c r="L32" s="161" t="s">
        <v>284</v>
      </c>
      <c r="M32" s="154">
        <f t="shared" si="2"/>
        <v>0</v>
      </c>
      <c r="N32" s="158"/>
      <c r="O32" s="161" t="s">
        <v>284</v>
      </c>
      <c r="P32" s="154">
        <f t="shared" si="3"/>
        <v>0</v>
      </c>
      <c r="Q32" s="158"/>
      <c r="R32" s="161" t="s">
        <v>284</v>
      </c>
      <c r="S32" s="154">
        <f t="shared" si="4"/>
        <v>0</v>
      </c>
      <c r="T32" s="158"/>
      <c r="U32" s="167" t="s">
        <v>284</v>
      </c>
      <c r="V32" s="168">
        <f t="shared" si="5"/>
        <v>0</v>
      </c>
    </row>
    <row r="33" spans="1:22" ht="66">
      <c r="A33" s="133" t="s">
        <v>163</v>
      </c>
      <c r="B33" s="156">
        <f t="shared" si="6"/>
        <v>0</v>
      </c>
      <c r="C33" s="160" t="s">
        <v>284</v>
      </c>
      <c r="D33" s="153">
        <f t="shared" si="1"/>
        <v>0</v>
      </c>
      <c r="E33" s="134"/>
      <c r="F33" s="142">
        <v>6243</v>
      </c>
      <c r="G33" s="142"/>
      <c r="H33" s="142">
        <v>1300</v>
      </c>
      <c r="I33" s="142">
        <v>2000</v>
      </c>
      <c r="J33" s="135"/>
      <c r="K33" s="158"/>
      <c r="L33" s="161" t="s">
        <v>284</v>
      </c>
      <c r="M33" s="154">
        <f t="shared" si="2"/>
        <v>0</v>
      </c>
      <c r="N33" s="158"/>
      <c r="O33" s="161" t="s">
        <v>284</v>
      </c>
      <c r="P33" s="154">
        <f t="shared" si="3"/>
        <v>0</v>
      </c>
      <c r="Q33" s="158"/>
      <c r="R33" s="161" t="s">
        <v>284</v>
      </c>
      <c r="S33" s="154">
        <f t="shared" si="4"/>
        <v>0</v>
      </c>
      <c r="T33" s="158"/>
      <c r="U33" s="167" t="s">
        <v>284</v>
      </c>
      <c r="V33" s="168">
        <f t="shared" si="5"/>
        <v>0</v>
      </c>
    </row>
    <row r="34" spans="1:22" ht="49.5">
      <c r="A34" s="133" t="s">
        <v>164</v>
      </c>
      <c r="B34" s="156">
        <f t="shared" si="6"/>
        <v>0</v>
      </c>
      <c r="C34" s="160" t="s">
        <v>284</v>
      </c>
      <c r="D34" s="153">
        <f t="shared" si="1"/>
        <v>0</v>
      </c>
      <c r="E34" s="134"/>
      <c r="F34" s="142">
        <v>2623</v>
      </c>
      <c r="G34" s="142"/>
      <c r="H34" s="142">
        <v>4800</v>
      </c>
      <c r="I34" s="142">
        <v>2500</v>
      </c>
      <c r="J34" s="135"/>
      <c r="K34" s="158"/>
      <c r="L34" s="161" t="s">
        <v>284</v>
      </c>
      <c r="M34" s="154">
        <f t="shared" si="2"/>
        <v>0</v>
      </c>
      <c r="N34" s="158"/>
      <c r="O34" s="161" t="s">
        <v>284</v>
      </c>
      <c r="P34" s="154">
        <f t="shared" si="3"/>
        <v>0</v>
      </c>
      <c r="Q34" s="158"/>
      <c r="R34" s="161" t="s">
        <v>284</v>
      </c>
      <c r="S34" s="154">
        <f t="shared" si="4"/>
        <v>0</v>
      </c>
      <c r="T34" s="158"/>
      <c r="U34" s="167" t="s">
        <v>284</v>
      </c>
      <c r="V34" s="168">
        <f t="shared" si="5"/>
        <v>0</v>
      </c>
    </row>
    <row r="35" spans="1:22" ht="16.5">
      <c r="A35" s="133" t="s">
        <v>200</v>
      </c>
      <c r="B35" s="1129">
        <f t="shared" si="6"/>
        <v>10400</v>
      </c>
      <c r="C35" s="1130"/>
      <c r="D35" s="1131"/>
      <c r="E35" s="134"/>
      <c r="F35" s="142"/>
      <c r="G35" s="142"/>
      <c r="H35" s="142"/>
      <c r="I35" s="142"/>
      <c r="J35" s="135">
        <v>1200</v>
      </c>
      <c r="K35" s="1126">
        <v>2000</v>
      </c>
      <c r="L35" s="1127"/>
      <c r="M35" s="1128"/>
      <c r="N35" s="1126">
        <v>2200</v>
      </c>
      <c r="O35" s="1127"/>
      <c r="P35" s="1128"/>
      <c r="Q35" s="1126">
        <v>2500</v>
      </c>
      <c r="R35" s="1127"/>
      <c r="S35" s="1128"/>
      <c r="T35" s="1126">
        <v>2500</v>
      </c>
      <c r="U35" s="1127"/>
      <c r="V35" s="1128"/>
    </row>
    <row r="36" spans="1:22" ht="16.5">
      <c r="A36" s="139"/>
      <c r="B36" s="156"/>
      <c r="C36" s="160"/>
      <c r="D36" s="153"/>
      <c r="E36" s="140"/>
      <c r="F36" s="135"/>
      <c r="G36" s="135"/>
      <c r="H36" s="135"/>
      <c r="I36" s="135"/>
      <c r="J36" s="135"/>
      <c r="K36" s="158"/>
      <c r="L36" s="161"/>
      <c r="M36" s="154"/>
      <c r="N36" s="158"/>
      <c r="O36" s="161"/>
      <c r="P36" s="154"/>
      <c r="Q36" s="158"/>
      <c r="R36" s="161"/>
      <c r="S36" s="154"/>
      <c r="T36" s="158"/>
      <c r="U36" s="167"/>
      <c r="V36" s="168"/>
    </row>
    <row r="37" spans="1:22" ht="33">
      <c r="A37" s="133" t="s">
        <v>165</v>
      </c>
      <c r="B37" s="1129">
        <f t="shared" si="6"/>
        <v>-12500</v>
      </c>
      <c r="C37" s="1130"/>
      <c r="D37" s="1131"/>
      <c r="E37" s="134"/>
      <c r="F37" s="142">
        <v>-380</v>
      </c>
      <c r="G37" s="142"/>
      <c r="H37" s="142">
        <v>-300</v>
      </c>
      <c r="I37" s="142">
        <v>-300</v>
      </c>
      <c r="J37" s="135">
        <v>-2500</v>
      </c>
      <c r="K37" s="1126">
        <v>-2500</v>
      </c>
      <c r="L37" s="1127"/>
      <c r="M37" s="1128"/>
      <c r="N37" s="1126">
        <v>-2500</v>
      </c>
      <c r="O37" s="1127"/>
      <c r="P37" s="1128"/>
      <c r="Q37" s="1126">
        <v>-2500</v>
      </c>
      <c r="R37" s="1127"/>
      <c r="S37" s="1128"/>
      <c r="T37" s="1126">
        <v>-2500</v>
      </c>
      <c r="U37" s="1127"/>
      <c r="V37" s="1128"/>
    </row>
    <row r="38" spans="1:22" ht="16.5">
      <c r="A38" s="139"/>
      <c r="B38" s="156"/>
      <c r="C38" s="160"/>
      <c r="D38" s="153"/>
      <c r="E38" s="140"/>
      <c r="F38" s="135"/>
      <c r="G38" s="135"/>
      <c r="H38" s="135"/>
      <c r="I38" s="135"/>
      <c r="J38" s="135"/>
      <c r="K38" s="158"/>
      <c r="L38" s="161"/>
      <c r="M38" s="154"/>
      <c r="N38" s="158"/>
      <c r="O38" s="161"/>
      <c r="P38" s="154"/>
      <c r="Q38" s="158"/>
      <c r="R38" s="161"/>
      <c r="S38" s="154"/>
      <c r="T38" s="158"/>
      <c r="U38" s="167"/>
      <c r="V38" s="168"/>
    </row>
    <row r="39" spans="1:22" ht="66">
      <c r="A39" s="148" t="s">
        <v>166</v>
      </c>
      <c r="B39" s="182" t="e">
        <f t="shared" si="6"/>
        <v>#REF!</v>
      </c>
      <c r="C39" s="169" t="s">
        <v>284</v>
      </c>
      <c r="D39" s="181" t="e">
        <f t="shared" si="1"/>
        <v>#REF!</v>
      </c>
      <c r="E39" s="150"/>
      <c r="F39" s="151"/>
      <c r="G39" s="151"/>
      <c r="H39" s="151"/>
      <c r="I39" s="151"/>
      <c r="J39" s="149" t="e">
        <f>+J22+J24+J37</f>
        <v>#REF!</v>
      </c>
      <c r="K39" s="183" t="e">
        <f>+K22+K24+K37</f>
        <v>#REF!</v>
      </c>
      <c r="L39" s="162" t="s">
        <v>284</v>
      </c>
      <c r="M39" s="180" t="e">
        <f t="shared" si="2"/>
        <v>#REF!</v>
      </c>
      <c r="N39" s="183" t="e">
        <f>+N22+N24+N37</f>
        <v>#REF!</v>
      </c>
      <c r="O39" s="162" t="s">
        <v>284</v>
      </c>
      <c r="P39" s="180" t="e">
        <f t="shared" si="3"/>
        <v>#REF!</v>
      </c>
      <c r="Q39" s="183" t="e">
        <f>+Q22+Q24+Q37</f>
        <v>#REF!</v>
      </c>
      <c r="R39" s="162" t="s">
        <v>284</v>
      </c>
      <c r="S39" s="180" t="e">
        <f t="shared" si="4"/>
        <v>#REF!</v>
      </c>
      <c r="T39" s="183" t="e">
        <f>+T22+T24+T37</f>
        <v>#REF!</v>
      </c>
      <c r="U39" s="170" t="s">
        <v>284</v>
      </c>
      <c r="V39" s="180" t="e">
        <f t="shared" si="5"/>
        <v>#REF!</v>
      </c>
    </row>
    <row r="40" spans="1:22" ht="33">
      <c r="A40" s="155" t="s">
        <v>282</v>
      </c>
      <c r="B40" s="155"/>
      <c r="C40" s="155"/>
      <c r="D40" s="155"/>
      <c r="E40" s="155"/>
      <c r="F40" s="155"/>
      <c r="G40" s="155"/>
      <c r="H40" s="155"/>
      <c r="I40" s="155"/>
      <c r="J40" s="164"/>
      <c r="K40" s="155"/>
      <c r="L40" s="165" t="s">
        <v>284</v>
      </c>
      <c r="M40" s="155"/>
      <c r="N40" s="155"/>
      <c r="O40" s="155"/>
      <c r="P40" s="155"/>
      <c r="Q40" s="155"/>
      <c r="R40" s="155"/>
      <c r="S40" s="155"/>
      <c r="T40" s="155"/>
    </row>
    <row r="41" spans="1:22" ht="66">
      <c r="A41" s="128" t="s">
        <v>145</v>
      </c>
      <c r="B41" s="129" t="e">
        <f>SUM(J41:T41)</f>
        <v>#REF!</v>
      </c>
      <c r="C41" s="129"/>
      <c r="D41" s="129"/>
      <c r="E41" s="130"/>
      <c r="F41" s="131">
        <f>F42-F43</f>
        <v>-10360</v>
      </c>
      <c r="G41" s="131"/>
      <c r="H41" s="131">
        <f>H42-H43</f>
        <v>-14960</v>
      </c>
      <c r="I41" s="131">
        <f>I42-I43</f>
        <v>-14800</v>
      </c>
      <c r="J41" s="131" t="e">
        <f>+J42-J43</f>
        <v>#REF!</v>
      </c>
      <c r="K41" s="131" t="e">
        <f>+K42-K43</f>
        <v>#REF!</v>
      </c>
      <c r="L41" s="163" t="s">
        <v>284</v>
      </c>
      <c r="M41" s="131"/>
      <c r="N41" s="131" t="e">
        <f>+N42-N43</f>
        <v>#REF!</v>
      </c>
      <c r="O41" s="131"/>
      <c r="P41" s="131"/>
      <c r="Q41" s="131" t="e">
        <f>+Q42-Q43</f>
        <v>#REF!</v>
      </c>
      <c r="R41" s="131"/>
      <c r="S41" s="131"/>
      <c r="T41" s="131" t="e">
        <f>+T42-T43</f>
        <v>#REF!</v>
      </c>
    </row>
    <row r="42" spans="1:22" ht="33">
      <c r="A42" s="139" t="s">
        <v>146</v>
      </c>
      <c r="B42" s="132" t="e">
        <f>SUM(J42:T42)</f>
        <v>#REF!</v>
      </c>
      <c r="C42" s="132"/>
      <c r="D42" s="132"/>
      <c r="E42" s="140"/>
      <c r="F42" s="135">
        <v>48561</v>
      </c>
      <c r="G42" s="135"/>
      <c r="H42" s="135">
        <v>64000</v>
      </c>
      <c r="I42" s="135">
        <v>76700</v>
      </c>
      <c r="J42" s="135" t="e">
        <f>+#REF!*1000</f>
        <v>#REF!</v>
      </c>
      <c r="K42" s="135" t="e">
        <f>+#REF!*1000</f>
        <v>#REF!</v>
      </c>
      <c r="L42" s="163" t="s">
        <v>284</v>
      </c>
      <c r="M42" s="135"/>
      <c r="N42" s="135" t="e">
        <f>+#REF!*1000</f>
        <v>#REF!</v>
      </c>
      <c r="O42" s="135"/>
      <c r="P42" s="135"/>
      <c r="Q42" s="135" t="e">
        <f>+#REF!*1000</f>
        <v>#REF!</v>
      </c>
      <c r="R42" s="135"/>
      <c r="S42" s="135"/>
      <c r="T42" s="135" t="e">
        <f>+#REF!*1000</f>
        <v>#REF!</v>
      </c>
    </row>
    <row r="43" spans="1:22" ht="33">
      <c r="A43" s="139" t="s">
        <v>147</v>
      </c>
      <c r="B43" s="132" t="e">
        <f>SUM(J43:T43)</f>
        <v>#REF!</v>
      </c>
      <c r="C43" s="132"/>
      <c r="D43" s="132"/>
      <c r="E43" s="140"/>
      <c r="F43" s="135">
        <v>58921</v>
      </c>
      <c r="G43" s="141"/>
      <c r="H43" s="141">
        <v>78960</v>
      </c>
      <c r="I43" s="141">
        <v>91500</v>
      </c>
      <c r="J43" s="135" t="e">
        <f>0.9*J44</f>
        <v>#REF!</v>
      </c>
      <c r="K43" s="135" t="e">
        <f>0.9*K44</f>
        <v>#REF!</v>
      </c>
      <c r="L43" s="163" t="s">
        <v>284</v>
      </c>
      <c r="M43" s="135"/>
      <c r="N43" s="135" t="e">
        <f>0.9*N44</f>
        <v>#REF!</v>
      </c>
      <c r="O43" s="135"/>
      <c r="P43" s="135"/>
      <c r="Q43" s="135" t="e">
        <f>0.9*Q44</f>
        <v>#REF!</v>
      </c>
      <c r="R43" s="135"/>
      <c r="S43" s="135"/>
      <c r="T43" s="135" t="e">
        <f>0.9*T44</f>
        <v>#REF!</v>
      </c>
    </row>
    <row r="44" spans="1:22" ht="66">
      <c r="A44" s="139" t="s">
        <v>148</v>
      </c>
      <c r="B44" s="132" t="e">
        <f>SUM(J44:T44)</f>
        <v>#REF!</v>
      </c>
      <c r="C44" s="132"/>
      <c r="D44" s="132"/>
      <c r="E44" s="140"/>
      <c r="F44" s="135">
        <v>62682</v>
      </c>
      <c r="G44" s="141"/>
      <c r="H44" s="141">
        <v>84000</v>
      </c>
      <c r="I44" s="141">
        <v>97400</v>
      </c>
      <c r="J44" s="135" t="e">
        <f>+#REF!*1000</f>
        <v>#REF!</v>
      </c>
      <c r="K44" s="135" t="e">
        <f>+#REF!*1000</f>
        <v>#REF!</v>
      </c>
      <c r="L44" s="163" t="s">
        <v>284</v>
      </c>
      <c r="M44" s="135"/>
      <c r="N44" s="135" t="e">
        <f>+#REF!*1000</f>
        <v>#REF!</v>
      </c>
      <c r="O44" s="135"/>
      <c r="P44" s="135"/>
      <c r="Q44" s="135" t="e">
        <f>+#REF!*1000</f>
        <v>#REF!</v>
      </c>
      <c r="R44" s="135"/>
      <c r="S44" s="135"/>
      <c r="T44" s="135" t="e">
        <f>+#REF!*1000</f>
        <v>#REF!</v>
      </c>
    </row>
    <row r="45" spans="1:22" ht="16.5">
      <c r="A45" s="139"/>
      <c r="B45" s="140"/>
      <c r="C45" s="140"/>
      <c r="D45" s="140"/>
      <c r="E45" s="140"/>
      <c r="F45" s="135"/>
      <c r="G45" s="135"/>
      <c r="H45" s="135"/>
      <c r="I45" s="135"/>
      <c r="J45" s="135"/>
      <c r="K45" s="135"/>
      <c r="L45" s="163" t="s">
        <v>284</v>
      </c>
      <c r="M45" s="135"/>
      <c r="N45" s="135"/>
      <c r="O45" s="135"/>
      <c r="P45" s="135"/>
      <c r="Q45" s="135"/>
      <c r="R45" s="135"/>
      <c r="S45" s="135"/>
      <c r="T45" s="135"/>
    </row>
    <row r="46" spans="1:22" ht="33">
      <c r="A46" s="133" t="s">
        <v>149</v>
      </c>
      <c r="B46" s="132">
        <f>+SUM(J46:T46)</f>
        <v>-11500</v>
      </c>
      <c r="C46" s="132"/>
      <c r="D46" s="132"/>
      <c r="E46" s="134"/>
      <c r="F46" s="142">
        <f>F47-F48</f>
        <v>-894</v>
      </c>
      <c r="G46" s="142"/>
      <c r="H46" s="142">
        <v>-1300</v>
      </c>
      <c r="I46" s="142">
        <v>-1391</v>
      </c>
      <c r="J46" s="135">
        <v>-3000</v>
      </c>
      <c r="K46" s="135">
        <v>-1500</v>
      </c>
      <c r="L46" s="163" t="s">
        <v>284</v>
      </c>
      <c r="M46" s="135"/>
      <c r="N46" s="135">
        <v>-2000</v>
      </c>
      <c r="O46" s="135"/>
      <c r="P46" s="135"/>
      <c r="Q46" s="135">
        <v>-2500</v>
      </c>
      <c r="R46" s="135"/>
      <c r="S46" s="135"/>
      <c r="T46" s="135">
        <v>-2500</v>
      </c>
    </row>
    <row r="47" spans="1:22" ht="16.5">
      <c r="A47" s="139" t="s">
        <v>150</v>
      </c>
      <c r="B47" s="132">
        <f t="shared" ref="B47:B73" si="7">+SUM(J47:T47)</f>
        <v>0</v>
      </c>
      <c r="C47" s="132"/>
      <c r="D47" s="132"/>
      <c r="E47" s="140"/>
      <c r="F47" s="135">
        <v>6030</v>
      </c>
      <c r="G47" s="135"/>
      <c r="H47" s="135">
        <v>7055</v>
      </c>
      <c r="I47" s="135">
        <v>7549</v>
      </c>
      <c r="J47" s="135"/>
      <c r="K47" s="135"/>
      <c r="L47" s="163" t="s">
        <v>284</v>
      </c>
      <c r="M47" s="135"/>
      <c r="N47" s="135"/>
      <c r="O47" s="135"/>
      <c r="P47" s="135"/>
      <c r="Q47" s="135"/>
      <c r="R47" s="135"/>
      <c r="S47" s="135"/>
      <c r="T47" s="135"/>
    </row>
    <row r="48" spans="1:22" ht="16.5">
      <c r="A48" s="139" t="s">
        <v>151</v>
      </c>
      <c r="B48" s="132">
        <f t="shared" si="7"/>
        <v>0</v>
      </c>
      <c r="C48" s="132"/>
      <c r="D48" s="132"/>
      <c r="E48" s="140"/>
      <c r="F48" s="135">
        <v>6924</v>
      </c>
      <c r="G48" s="135"/>
      <c r="H48" s="135">
        <v>8355</v>
      </c>
      <c r="I48" s="135">
        <v>8940</v>
      </c>
      <c r="J48" s="135"/>
      <c r="K48" s="135"/>
      <c r="L48" s="163" t="s">
        <v>284</v>
      </c>
      <c r="M48" s="135"/>
      <c r="N48" s="135"/>
      <c r="O48" s="135"/>
      <c r="P48" s="135"/>
      <c r="Q48" s="135"/>
      <c r="R48" s="135"/>
      <c r="S48" s="135"/>
      <c r="T48" s="135"/>
    </row>
    <row r="49" spans="1:20" ht="49.5">
      <c r="A49" s="133" t="s">
        <v>152</v>
      </c>
      <c r="B49" s="132">
        <f t="shared" si="7"/>
        <v>-34086</v>
      </c>
      <c r="C49" s="132"/>
      <c r="D49" s="132"/>
      <c r="E49" s="134"/>
      <c r="F49" s="142">
        <f>F50-F51</f>
        <v>-2168</v>
      </c>
      <c r="G49" s="142"/>
      <c r="H49" s="142">
        <f>H50-H51</f>
        <v>-2432</v>
      </c>
      <c r="I49" s="142">
        <f>I50-I51</f>
        <v>-2602</v>
      </c>
      <c r="J49" s="135">
        <v>-5124</v>
      </c>
      <c r="K49" s="135">
        <v>-6950</v>
      </c>
      <c r="L49" s="163" t="s">
        <v>284</v>
      </c>
      <c r="M49" s="135"/>
      <c r="N49" s="135">
        <v>-6452</v>
      </c>
      <c r="O49" s="135"/>
      <c r="P49" s="135"/>
      <c r="Q49" s="135">
        <v>-7109</v>
      </c>
      <c r="R49" s="135"/>
      <c r="S49" s="135"/>
      <c r="T49" s="135">
        <v>-8451</v>
      </c>
    </row>
    <row r="50" spans="1:20" ht="16.5">
      <c r="A50" s="139" t="s">
        <v>150</v>
      </c>
      <c r="B50" s="132">
        <f t="shared" si="7"/>
        <v>0</v>
      </c>
      <c r="C50" s="132"/>
      <c r="D50" s="132"/>
      <c r="E50" s="140"/>
      <c r="F50" s="135">
        <v>1093</v>
      </c>
      <c r="G50" s="135"/>
      <c r="H50" s="135">
        <v>1268</v>
      </c>
      <c r="I50" s="135">
        <v>1357</v>
      </c>
      <c r="J50" s="135"/>
      <c r="K50" s="135"/>
      <c r="L50" s="163" t="s">
        <v>284</v>
      </c>
      <c r="M50" s="135"/>
      <c r="N50" s="135"/>
      <c r="O50" s="135"/>
      <c r="P50" s="135"/>
      <c r="Q50" s="135"/>
      <c r="R50" s="135"/>
      <c r="S50" s="135"/>
      <c r="T50" s="135"/>
    </row>
    <row r="51" spans="1:20" ht="16.5">
      <c r="A51" s="139" t="s">
        <v>151</v>
      </c>
      <c r="B51" s="132">
        <f t="shared" si="7"/>
        <v>0</v>
      </c>
      <c r="C51" s="132"/>
      <c r="D51" s="132"/>
      <c r="E51" s="140"/>
      <c r="F51" s="135">
        <v>3261</v>
      </c>
      <c r="G51" s="135"/>
      <c r="H51" s="135">
        <v>3700</v>
      </c>
      <c r="I51" s="135">
        <v>3959</v>
      </c>
      <c r="J51" s="135"/>
      <c r="K51" s="135"/>
      <c r="L51" s="163" t="s">
        <v>284</v>
      </c>
      <c r="M51" s="135"/>
      <c r="N51" s="135"/>
      <c r="O51" s="135"/>
      <c r="P51" s="135"/>
      <c r="Q51" s="135"/>
      <c r="R51" s="135"/>
      <c r="S51" s="135"/>
      <c r="T51" s="135"/>
    </row>
    <row r="52" spans="1:20" ht="33">
      <c r="A52" s="133" t="s">
        <v>153</v>
      </c>
      <c r="B52" s="132">
        <f t="shared" si="7"/>
        <v>32038</v>
      </c>
      <c r="C52" s="132"/>
      <c r="D52" s="132"/>
      <c r="E52" s="134"/>
      <c r="F52" s="142">
        <v>6430</v>
      </c>
      <c r="G52" s="142"/>
      <c r="H52" s="142">
        <v>7257</v>
      </c>
      <c r="I52" s="142">
        <v>8100</v>
      </c>
      <c r="J52" s="135">
        <v>6500</v>
      </c>
      <c r="K52" s="135">
        <v>5700</v>
      </c>
      <c r="L52" s="163" t="s">
        <v>284</v>
      </c>
      <c r="M52" s="135"/>
      <c r="N52" s="135">
        <v>6270</v>
      </c>
      <c r="O52" s="135"/>
      <c r="P52" s="135"/>
      <c r="Q52" s="135">
        <v>6717</v>
      </c>
      <c r="R52" s="135"/>
      <c r="S52" s="135"/>
      <c r="T52" s="135">
        <v>6851</v>
      </c>
    </row>
    <row r="53" spans="1:20" ht="33">
      <c r="A53" s="139" t="s">
        <v>154</v>
      </c>
      <c r="B53" s="132">
        <f t="shared" si="7"/>
        <v>0</v>
      </c>
      <c r="C53" s="132"/>
      <c r="D53" s="132"/>
      <c r="E53" s="140"/>
      <c r="F53" s="135">
        <v>250</v>
      </c>
      <c r="G53" s="135"/>
      <c r="H53" s="135">
        <v>257</v>
      </c>
      <c r="I53" s="135">
        <v>260</v>
      </c>
      <c r="J53" s="135"/>
      <c r="K53" s="135"/>
      <c r="L53" s="163" t="s">
        <v>284</v>
      </c>
      <c r="M53" s="135"/>
      <c r="N53" s="135"/>
      <c r="O53" s="135"/>
      <c r="P53" s="135"/>
      <c r="Q53" s="135"/>
      <c r="R53" s="135"/>
      <c r="S53" s="135"/>
      <c r="T53" s="135"/>
    </row>
    <row r="54" spans="1:20" ht="16.5">
      <c r="A54" s="139" t="s">
        <v>155</v>
      </c>
      <c r="B54" s="132">
        <f t="shared" si="7"/>
        <v>0</v>
      </c>
      <c r="C54" s="132"/>
      <c r="D54" s="132"/>
      <c r="E54" s="140"/>
      <c r="F54" s="135">
        <v>6180</v>
      </c>
      <c r="G54" s="135"/>
      <c r="H54" s="135">
        <v>7000</v>
      </c>
      <c r="I54" s="135">
        <v>7840</v>
      </c>
      <c r="J54" s="135"/>
      <c r="K54" s="135"/>
      <c r="L54" s="163" t="s">
        <v>284</v>
      </c>
      <c r="M54" s="135"/>
      <c r="N54" s="135"/>
      <c r="O54" s="135"/>
      <c r="P54" s="135"/>
      <c r="Q54" s="135"/>
      <c r="R54" s="135"/>
      <c r="S54" s="135"/>
      <c r="T54" s="135"/>
    </row>
    <row r="55" spans="1:20" ht="16.5">
      <c r="A55" s="139"/>
      <c r="B55" s="132"/>
      <c r="C55" s="132"/>
      <c r="D55" s="132"/>
      <c r="E55" s="140"/>
      <c r="F55" s="135"/>
      <c r="G55" s="135"/>
      <c r="H55" s="135"/>
      <c r="I55" s="135"/>
      <c r="J55" s="135"/>
      <c r="K55" s="135"/>
      <c r="L55" s="163" t="s">
        <v>284</v>
      </c>
      <c r="M55" s="135"/>
      <c r="N55" s="135"/>
      <c r="O55" s="135"/>
      <c r="P55" s="135"/>
      <c r="Q55" s="135"/>
      <c r="R55" s="135"/>
      <c r="S55" s="135"/>
      <c r="T55" s="135"/>
    </row>
    <row r="56" spans="1:20" ht="66">
      <c r="A56" s="136" t="s">
        <v>156</v>
      </c>
      <c r="B56" s="132" t="e">
        <f t="shared" si="7"/>
        <v>#REF!</v>
      </c>
      <c r="C56" s="132"/>
      <c r="D56" s="132"/>
      <c r="E56" s="137"/>
      <c r="F56" s="142">
        <v>-6992</v>
      </c>
      <c r="G56" s="142"/>
      <c r="H56" s="142">
        <v>-11435</v>
      </c>
      <c r="I56" s="142">
        <v>-10690</v>
      </c>
      <c r="J56" s="135" t="e">
        <f>+J41+J46+J49+J52</f>
        <v>#REF!</v>
      </c>
      <c r="K56" s="135" t="e">
        <f>+K41+K46+K49+K52</f>
        <v>#REF!</v>
      </c>
      <c r="L56" s="163" t="s">
        <v>284</v>
      </c>
      <c r="M56" s="135"/>
      <c r="N56" s="135" t="e">
        <f>+N41+N46+N49+N52</f>
        <v>#REF!</v>
      </c>
      <c r="O56" s="135"/>
      <c r="P56" s="135"/>
      <c r="Q56" s="135" t="e">
        <f>+Q41+Q46+Q49+Q52</f>
        <v>#REF!</v>
      </c>
      <c r="R56" s="135"/>
      <c r="S56" s="135"/>
      <c r="T56" s="135" t="e">
        <f>+T41+T46+T49+T52</f>
        <v>#REF!</v>
      </c>
    </row>
    <row r="57" spans="1:20" ht="16.5">
      <c r="A57" s="139"/>
      <c r="B57" s="132"/>
      <c r="C57" s="132"/>
      <c r="D57" s="132"/>
      <c r="E57" s="140"/>
      <c r="F57" s="135"/>
      <c r="G57" s="135"/>
      <c r="H57" s="135"/>
      <c r="I57" s="135"/>
      <c r="J57" s="135"/>
      <c r="K57" s="135"/>
      <c r="L57" s="163" t="s">
        <v>284</v>
      </c>
      <c r="M57" s="135"/>
      <c r="N57" s="135"/>
      <c r="O57" s="135"/>
      <c r="P57" s="135"/>
      <c r="Q57" s="135"/>
      <c r="R57" s="135"/>
      <c r="S57" s="135"/>
      <c r="T57" s="135"/>
    </row>
    <row r="58" spans="1:20" ht="33">
      <c r="A58" s="136" t="s">
        <v>157</v>
      </c>
      <c r="B58" s="132" t="e">
        <f t="shared" si="7"/>
        <v>#REF!</v>
      </c>
      <c r="C58" s="132"/>
      <c r="D58" s="132"/>
      <c r="E58" s="140"/>
      <c r="F58" s="135"/>
      <c r="G58" s="135"/>
      <c r="H58" s="135"/>
      <c r="I58" s="135"/>
      <c r="J58" s="135" t="e">
        <f>+J60+J61+J64+J69-3600</f>
        <v>#REF!</v>
      </c>
      <c r="K58" s="135" t="e">
        <f>+K60+K61+K64+K69-3600</f>
        <v>#REF!</v>
      </c>
      <c r="L58" s="163" t="s">
        <v>284</v>
      </c>
      <c r="M58" s="135"/>
      <c r="N58" s="135" t="e">
        <f>+N60+N61+N64+N69-3600</f>
        <v>#REF!</v>
      </c>
      <c r="O58" s="135"/>
      <c r="P58" s="135"/>
      <c r="Q58" s="135" t="e">
        <f>+Q60+Q61+Q64+Q69-3600</f>
        <v>#REF!</v>
      </c>
      <c r="R58" s="135"/>
      <c r="S58" s="135"/>
      <c r="T58" s="135" t="e">
        <f>+T60+T61+T64+T69-3600</f>
        <v>#REF!</v>
      </c>
    </row>
    <row r="59" spans="1:20" ht="16.5">
      <c r="A59" s="139"/>
      <c r="B59" s="132"/>
      <c r="C59" s="132"/>
      <c r="D59" s="132"/>
      <c r="E59" s="140"/>
      <c r="F59" s="135"/>
      <c r="G59" s="135"/>
      <c r="H59" s="135"/>
      <c r="I59" s="135"/>
      <c r="J59" s="135"/>
      <c r="K59" s="135"/>
      <c r="L59" s="163" t="s">
        <v>284</v>
      </c>
      <c r="M59" s="135"/>
      <c r="N59" s="135"/>
      <c r="O59" s="135"/>
      <c r="P59" s="135"/>
      <c r="Q59" s="135"/>
      <c r="R59" s="135"/>
      <c r="S59" s="135"/>
      <c r="T59" s="135"/>
    </row>
    <row r="60" spans="1:20" ht="82.5">
      <c r="A60" s="133" t="s">
        <v>158</v>
      </c>
      <c r="B60" s="135" t="e">
        <f t="shared" si="7"/>
        <v>#REF!</v>
      </c>
      <c r="C60" s="135"/>
      <c r="D60" s="135"/>
      <c r="E60" s="134"/>
      <c r="F60" s="142"/>
      <c r="G60" s="142"/>
      <c r="H60" s="142"/>
      <c r="I60" s="142"/>
      <c r="J60" s="135" t="e">
        <f>+#REF!*1000-900</f>
        <v>#REF!</v>
      </c>
      <c r="K60" s="135" t="e">
        <f>+#REF!*1000-100</f>
        <v>#REF!</v>
      </c>
      <c r="L60" s="163" t="s">
        <v>284</v>
      </c>
      <c r="M60" s="135"/>
      <c r="N60" s="135" t="e">
        <f>+#REF!*1000-1000</f>
        <v>#REF!</v>
      </c>
      <c r="O60" s="135"/>
      <c r="P60" s="135"/>
      <c r="Q60" s="135" t="e">
        <f>+#REF!*1000-1100</f>
        <v>#REF!</v>
      </c>
      <c r="R60" s="135"/>
      <c r="S60" s="135"/>
      <c r="T60" s="135" t="e">
        <f>+#REF!*1000-1200</f>
        <v>#REF!</v>
      </c>
    </row>
    <row r="61" spans="1:20" ht="66">
      <c r="A61" s="133" t="s">
        <v>159</v>
      </c>
      <c r="B61" s="132">
        <f t="shared" si="7"/>
        <v>13505</v>
      </c>
      <c r="C61" s="132"/>
      <c r="D61" s="132"/>
      <c r="E61" s="134"/>
      <c r="F61" s="142">
        <v>2045</v>
      </c>
      <c r="G61" s="142"/>
      <c r="H61" s="142">
        <v>964</v>
      </c>
      <c r="I61" s="142">
        <v>562</v>
      </c>
      <c r="J61" s="135">
        <v>2000</v>
      </c>
      <c r="K61" s="135">
        <v>2730</v>
      </c>
      <c r="L61" s="163" t="s">
        <v>284</v>
      </c>
      <c r="M61" s="135"/>
      <c r="N61" s="135">
        <v>2839</v>
      </c>
      <c r="O61" s="135"/>
      <c r="P61" s="135"/>
      <c r="Q61" s="135">
        <v>2924</v>
      </c>
      <c r="R61" s="135"/>
      <c r="S61" s="135"/>
      <c r="T61" s="135">
        <v>3012</v>
      </c>
    </row>
    <row r="62" spans="1:20" ht="16.5">
      <c r="A62" s="139" t="s">
        <v>160</v>
      </c>
      <c r="B62" s="132">
        <f t="shared" si="7"/>
        <v>0</v>
      </c>
      <c r="C62" s="132"/>
      <c r="D62" s="132"/>
      <c r="E62" s="140"/>
      <c r="F62" s="135">
        <v>3397</v>
      </c>
      <c r="G62" s="135"/>
      <c r="H62" s="135">
        <v>2562</v>
      </c>
      <c r="I62" s="135">
        <v>2639</v>
      </c>
      <c r="J62" s="135"/>
      <c r="K62" s="135"/>
      <c r="L62" s="163" t="s">
        <v>284</v>
      </c>
      <c r="M62" s="135"/>
      <c r="N62" s="135"/>
      <c r="O62" s="135"/>
      <c r="P62" s="135"/>
      <c r="Q62" s="135"/>
      <c r="R62" s="135"/>
      <c r="S62" s="135"/>
      <c r="T62" s="135"/>
    </row>
    <row r="63" spans="1:20" ht="33">
      <c r="A63" s="139" t="s">
        <v>161</v>
      </c>
      <c r="B63" s="132">
        <f t="shared" si="7"/>
        <v>0</v>
      </c>
      <c r="C63" s="132"/>
      <c r="D63" s="132"/>
      <c r="E63" s="140"/>
      <c r="F63" s="135">
        <v>1352</v>
      </c>
      <c r="G63" s="135"/>
      <c r="H63" s="135">
        <v>1598</v>
      </c>
      <c r="I63" s="135">
        <v>2077</v>
      </c>
      <c r="J63" s="135"/>
      <c r="K63" s="135"/>
      <c r="L63" s="163" t="s">
        <v>284</v>
      </c>
      <c r="M63" s="135"/>
      <c r="N63" s="135"/>
      <c r="O63" s="135"/>
      <c r="P63" s="135"/>
      <c r="Q63" s="135"/>
      <c r="R63" s="135"/>
      <c r="S63" s="135"/>
      <c r="T63" s="135"/>
    </row>
    <row r="64" spans="1:20" ht="49.5">
      <c r="A64" s="133" t="s">
        <v>162</v>
      </c>
      <c r="B64" s="132">
        <f t="shared" si="7"/>
        <v>7900</v>
      </c>
      <c r="C64" s="132"/>
      <c r="D64" s="132"/>
      <c r="E64" s="134"/>
      <c r="F64" s="142">
        <v>79</v>
      </c>
      <c r="G64" s="142"/>
      <c r="H64" s="142">
        <v>168</v>
      </c>
      <c r="I64" s="142">
        <v>-575</v>
      </c>
      <c r="J64" s="135">
        <v>800</v>
      </c>
      <c r="K64" s="135">
        <v>1700</v>
      </c>
      <c r="L64" s="163" t="s">
        <v>284</v>
      </c>
      <c r="M64" s="135"/>
      <c r="N64" s="135">
        <v>1900</v>
      </c>
      <c r="O64" s="135"/>
      <c r="P64" s="135"/>
      <c r="Q64" s="135">
        <v>1700</v>
      </c>
      <c r="R64" s="135"/>
      <c r="S64" s="135"/>
      <c r="T64" s="135">
        <v>1800</v>
      </c>
    </row>
    <row r="65" spans="1:20" ht="16.5">
      <c r="A65" s="139" t="s">
        <v>160</v>
      </c>
      <c r="B65" s="132">
        <f t="shared" si="7"/>
        <v>0</v>
      </c>
      <c r="C65" s="132"/>
      <c r="D65" s="132"/>
      <c r="E65" s="140"/>
      <c r="F65" s="135">
        <v>1404</v>
      </c>
      <c r="G65" s="135"/>
      <c r="H65" s="135">
        <v>3360</v>
      </c>
      <c r="I65" s="135">
        <v>3000</v>
      </c>
      <c r="J65" s="135"/>
      <c r="K65" s="135"/>
      <c r="L65" s="163" t="s">
        <v>284</v>
      </c>
      <c r="M65" s="135"/>
      <c r="N65" s="135"/>
      <c r="O65" s="135"/>
      <c r="P65" s="135"/>
      <c r="Q65" s="135"/>
      <c r="R65" s="135"/>
      <c r="S65" s="135"/>
      <c r="T65" s="135"/>
    </row>
    <row r="66" spans="1:20" ht="33">
      <c r="A66" s="139" t="s">
        <v>161</v>
      </c>
      <c r="B66" s="132">
        <f t="shared" si="7"/>
        <v>0</v>
      </c>
      <c r="C66" s="132"/>
      <c r="D66" s="132"/>
      <c r="E66" s="140"/>
      <c r="F66" s="135">
        <v>1325</v>
      </c>
      <c r="G66" s="135"/>
      <c r="H66" s="135">
        <v>3192</v>
      </c>
      <c r="I66" s="135">
        <v>3575</v>
      </c>
      <c r="J66" s="135"/>
      <c r="K66" s="135"/>
      <c r="L66" s="163" t="s">
        <v>284</v>
      </c>
      <c r="M66" s="135"/>
      <c r="N66" s="135"/>
      <c r="O66" s="135"/>
      <c r="P66" s="135"/>
      <c r="Q66" s="135"/>
      <c r="R66" s="135"/>
      <c r="S66" s="135"/>
      <c r="T66" s="135"/>
    </row>
    <row r="67" spans="1:20" ht="66">
      <c r="A67" s="133" t="s">
        <v>163</v>
      </c>
      <c r="B67" s="132">
        <f t="shared" si="7"/>
        <v>0</v>
      </c>
      <c r="C67" s="132"/>
      <c r="D67" s="132"/>
      <c r="E67" s="134"/>
      <c r="F67" s="142">
        <v>6243</v>
      </c>
      <c r="G67" s="142"/>
      <c r="H67" s="142">
        <v>1300</v>
      </c>
      <c r="I67" s="142">
        <v>2000</v>
      </c>
      <c r="J67" s="135"/>
      <c r="K67" s="135"/>
      <c r="L67" s="163" t="s">
        <v>284</v>
      </c>
      <c r="M67" s="135"/>
      <c r="N67" s="135"/>
      <c r="O67" s="135"/>
      <c r="P67" s="135"/>
      <c r="Q67" s="135"/>
      <c r="R67" s="135"/>
      <c r="S67" s="135"/>
      <c r="T67" s="135"/>
    </row>
    <row r="68" spans="1:20" ht="49.5">
      <c r="A68" s="133" t="s">
        <v>164</v>
      </c>
      <c r="B68" s="132">
        <f t="shared" si="7"/>
        <v>0</v>
      </c>
      <c r="C68" s="132"/>
      <c r="D68" s="132"/>
      <c r="E68" s="134"/>
      <c r="F68" s="142">
        <v>2623</v>
      </c>
      <c r="G68" s="142"/>
      <c r="H68" s="142">
        <v>4800</v>
      </c>
      <c r="I68" s="142">
        <v>2500</v>
      </c>
      <c r="J68" s="135"/>
      <c r="K68" s="135"/>
      <c r="L68" s="163" t="s">
        <v>284</v>
      </c>
      <c r="M68" s="135"/>
      <c r="N68" s="135"/>
      <c r="O68" s="135"/>
      <c r="P68" s="135"/>
      <c r="Q68" s="135"/>
      <c r="R68" s="135"/>
      <c r="S68" s="135"/>
      <c r="T68" s="135"/>
    </row>
    <row r="69" spans="1:20" ht="16.5">
      <c r="A69" s="133" t="s">
        <v>200</v>
      </c>
      <c r="B69" s="132">
        <f t="shared" si="7"/>
        <v>10400</v>
      </c>
      <c r="C69" s="132"/>
      <c r="D69" s="132"/>
      <c r="E69" s="134"/>
      <c r="F69" s="142"/>
      <c r="G69" s="142"/>
      <c r="H69" s="142"/>
      <c r="I69" s="142"/>
      <c r="J69" s="135">
        <v>1200</v>
      </c>
      <c r="K69" s="135">
        <v>2000</v>
      </c>
      <c r="L69" s="163" t="s">
        <v>284</v>
      </c>
      <c r="M69" s="135"/>
      <c r="N69" s="135">
        <v>2200</v>
      </c>
      <c r="O69" s="135"/>
      <c r="P69" s="135"/>
      <c r="Q69" s="135">
        <v>2500</v>
      </c>
      <c r="R69" s="135"/>
      <c r="S69" s="135"/>
      <c r="T69" s="135">
        <v>2500</v>
      </c>
    </row>
    <row r="70" spans="1:20" ht="16.5">
      <c r="A70" s="139"/>
      <c r="B70" s="132"/>
      <c r="C70" s="132"/>
      <c r="D70" s="132"/>
      <c r="E70" s="140"/>
      <c r="F70" s="135"/>
      <c r="G70" s="135"/>
      <c r="H70" s="135"/>
      <c r="I70" s="135"/>
      <c r="J70" s="135"/>
      <c r="K70" s="135"/>
      <c r="L70" s="163" t="s">
        <v>284</v>
      </c>
      <c r="M70" s="135"/>
      <c r="N70" s="135"/>
      <c r="O70" s="135"/>
      <c r="P70" s="135"/>
      <c r="Q70" s="135"/>
      <c r="R70" s="135"/>
      <c r="S70" s="135"/>
      <c r="T70" s="135"/>
    </row>
    <row r="71" spans="1:20" ht="33">
      <c r="A71" s="133" t="s">
        <v>165</v>
      </c>
      <c r="B71" s="132">
        <f t="shared" si="7"/>
        <v>-12500</v>
      </c>
      <c r="C71" s="132"/>
      <c r="D71" s="132"/>
      <c r="E71" s="134"/>
      <c r="F71" s="142">
        <v>-380</v>
      </c>
      <c r="G71" s="142"/>
      <c r="H71" s="142">
        <v>-300</v>
      </c>
      <c r="I71" s="142">
        <v>-300</v>
      </c>
      <c r="J71" s="135">
        <v>-2500</v>
      </c>
      <c r="K71" s="135">
        <v>-2500</v>
      </c>
      <c r="L71" s="163" t="s">
        <v>284</v>
      </c>
      <c r="M71" s="135"/>
      <c r="N71" s="135">
        <v>-2500</v>
      </c>
      <c r="O71" s="135"/>
      <c r="P71" s="135"/>
      <c r="Q71" s="135">
        <v>-2500</v>
      </c>
      <c r="R71" s="135"/>
      <c r="S71" s="135"/>
      <c r="T71" s="135">
        <v>-2500</v>
      </c>
    </row>
    <row r="72" spans="1:20" ht="16.5">
      <c r="A72" s="139"/>
      <c r="B72" s="132"/>
      <c r="C72" s="132"/>
      <c r="D72" s="132"/>
      <c r="E72" s="140"/>
      <c r="F72" s="135"/>
      <c r="G72" s="135"/>
      <c r="H72" s="135"/>
      <c r="I72" s="135"/>
      <c r="J72" s="135"/>
      <c r="K72" s="135"/>
      <c r="L72" s="163" t="s">
        <v>284</v>
      </c>
      <c r="M72" s="135"/>
      <c r="N72" s="135"/>
      <c r="O72" s="135"/>
      <c r="P72" s="135"/>
      <c r="Q72" s="135"/>
      <c r="R72" s="135"/>
      <c r="S72" s="135"/>
      <c r="T72" s="135"/>
    </row>
    <row r="73" spans="1:20" ht="66">
      <c r="A73" s="136" t="s">
        <v>166</v>
      </c>
      <c r="B73" s="135" t="e">
        <f t="shared" si="7"/>
        <v>#REF!</v>
      </c>
      <c r="C73" s="135"/>
      <c r="D73" s="135"/>
      <c r="E73" s="134"/>
      <c r="F73" s="142"/>
      <c r="G73" s="142"/>
      <c r="H73" s="142"/>
      <c r="I73" s="142"/>
      <c r="J73" s="135" t="e">
        <f>+J56+J58+J71</f>
        <v>#REF!</v>
      </c>
      <c r="K73" s="135" t="e">
        <f>+K56+K58+K71</f>
        <v>#REF!</v>
      </c>
      <c r="L73" s="163" t="s">
        <v>284</v>
      </c>
      <c r="M73" s="135"/>
      <c r="N73" s="135" t="e">
        <f>+N56+N58+N71</f>
        <v>#REF!</v>
      </c>
      <c r="O73" s="135"/>
      <c r="P73" s="135"/>
      <c r="Q73" s="135" t="e">
        <f>+Q56+Q58+Q71</f>
        <v>#REF!</v>
      </c>
      <c r="R73" s="135"/>
      <c r="S73" s="135"/>
      <c r="T73" s="135" t="e">
        <f>+T56+T58+T71</f>
        <v>#REF!</v>
      </c>
    </row>
    <row r="74" spans="1:20" ht="16.5">
      <c r="A74" s="143"/>
      <c r="B74" s="143"/>
      <c r="C74" s="143"/>
      <c r="D74" s="143"/>
      <c r="E74" s="143"/>
      <c r="F74" s="143"/>
      <c r="G74" s="143"/>
      <c r="H74" s="143"/>
      <c r="I74" s="143"/>
      <c r="J74" s="143"/>
      <c r="K74" s="143"/>
      <c r="L74" s="163" t="s">
        <v>284</v>
      </c>
      <c r="M74" s="143"/>
      <c r="N74" s="143"/>
      <c r="O74" s="143"/>
      <c r="P74" s="143"/>
      <c r="Q74" s="143"/>
      <c r="R74" s="143"/>
      <c r="S74" s="143"/>
      <c r="T74" s="14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32"/>
  <sheetViews>
    <sheetView workbookViewId="0"/>
  </sheetViews>
  <sheetFormatPr defaultRowHeight="15"/>
  <sheetData>
    <row r="4" spans="1:7" ht="12.75">
      <c r="B4" s="121">
        <v>2011</v>
      </c>
      <c r="C4" s="121">
        <v>2012</v>
      </c>
      <c r="D4" s="121">
        <v>2013</v>
      </c>
      <c r="E4" s="121">
        <v>2014</v>
      </c>
      <c r="F4" s="121">
        <v>2015</v>
      </c>
    </row>
    <row r="5" spans="1:7">
      <c r="A5" t="s">
        <v>201</v>
      </c>
      <c r="B5" s="1">
        <v>2233.5129999999999</v>
      </c>
      <c r="C5" s="1">
        <v>2610.6889999999999</v>
      </c>
      <c r="D5" s="1">
        <v>3059.123</v>
      </c>
      <c r="E5" s="1">
        <v>3593.5129999999999</v>
      </c>
      <c r="F5" s="1">
        <v>4232.3130000000001</v>
      </c>
    </row>
    <row r="6" spans="1:7">
      <c r="A6" t="s">
        <v>202</v>
      </c>
      <c r="B6" s="2">
        <v>2254.3449999999998</v>
      </c>
      <c r="C6" s="2">
        <v>2648.4839999999999</v>
      </c>
      <c r="D6" s="2">
        <v>3119.8789999999999</v>
      </c>
      <c r="E6" s="2">
        <v>3682.5909999999999</v>
      </c>
      <c r="F6" s="2">
        <v>4355.5990000000002</v>
      </c>
    </row>
    <row r="8" spans="1:7" ht="12.75">
      <c r="A8" s="122" t="s">
        <v>198</v>
      </c>
      <c r="B8" s="123">
        <v>455.19</v>
      </c>
      <c r="C8" s="123">
        <v>518.22199999999998</v>
      </c>
      <c r="D8" s="123">
        <v>590.10500000000002</v>
      </c>
      <c r="E8" s="123">
        <v>671.62800000000004</v>
      </c>
      <c r="F8" s="123">
        <v>763.93200000000002</v>
      </c>
      <c r="G8" s="123"/>
    </row>
    <row r="9" spans="1:7" ht="12.75">
      <c r="A9" t="s">
        <v>203</v>
      </c>
      <c r="B9" s="124">
        <v>459.43599999999998</v>
      </c>
      <c r="C9" s="124">
        <v>525.79600000000005</v>
      </c>
      <c r="D9" s="124">
        <v>601.82500000000005</v>
      </c>
      <c r="E9" s="124">
        <v>688.27599999999995</v>
      </c>
      <c r="F9" s="124">
        <v>786.18600000000004</v>
      </c>
      <c r="G9" s="124"/>
    </row>
    <row r="10" spans="1:7" ht="12.75">
      <c r="A10" s="122" t="s">
        <v>199</v>
      </c>
      <c r="B10" s="123">
        <v>903.68</v>
      </c>
      <c r="C10" s="123">
        <v>1059.6790000000001</v>
      </c>
      <c r="D10" s="123">
        <v>1245.981</v>
      </c>
      <c r="E10" s="123">
        <v>1468.6690000000001</v>
      </c>
      <c r="F10" s="123">
        <v>1736.095</v>
      </c>
      <c r="G10" s="123"/>
    </row>
    <row r="11" spans="1:7" ht="12.75">
      <c r="A11" t="s">
        <v>204</v>
      </c>
      <c r="B11" s="124">
        <v>912.10799999999995</v>
      </c>
      <c r="C11" s="124">
        <v>1075.1669999999999</v>
      </c>
      <c r="D11" s="124">
        <v>1270.7270000000001</v>
      </c>
      <c r="E11" s="124">
        <v>1505.075</v>
      </c>
      <c r="F11" s="124">
        <v>1786.6669999999999</v>
      </c>
      <c r="G11" s="124"/>
    </row>
    <row r="12" spans="1:7" ht="12.75">
      <c r="A12" s="122" t="s">
        <v>205</v>
      </c>
      <c r="B12" s="123">
        <v>874.64400000000001</v>
      </c>
      <c r="C12" s="123">
        <v>1032.789</v>
      </c>
      <c r="D12" s="123">
        <v>1223.037</v>
      </c>
      <c r="E12" s="123">
        <v>1453.2170000000001</v>
      </c>
      <c r="F12" s="123">
        <v>1732</v>
      </c>
      <c r="G12" s="123"/>
    </row>
    <row r="13" spans="1:7" ht="12.75">
      <c r="A13" t="s">
        <v>206</v>
      </c>
      <c r="B13" s="124">
        <v>882.80200000000002</v>
      </c>
      <c r="C13" s="124">
        <v>1047.884</v>
      </c>
      <c r="D13" s="124">
        <v>1247.328</v>
      </c>
      <c r="E13" s="124">
        <v>1489.24</v>
      </c>
      <c r="F13" s="124" t="e">
        <f>F6*#REF!/100</f>
        <v>#REF!</v>
      </c>
      <c r="G13" s="124"/>
    </row>
    <row r="14" spans="1:7" ht="12.75">
      <c r="B14" s="124"/>
      <c r="C14" s="124"/>
      <c r="D14" s="124"/>
      <c r="E14" s="124"/>
      <c r="F14" s="124"/>
      <c r="G14" s="124"/>
    </row>
    <row r="15" spans="1:7" ht="12.75">
      <c r="B15" s="124"/>
      <c r="C15" s="124"/>
      <c r="D15" s="124"/>
      <c r="E15" s="124"/>
      <c r="F15" s="124"/>
      <c r="G15" s="124"/>
    </row>
    <row r="16" spans="1:7" ht="12.75">
      <c r="A16" t="s">
        <v>207</v>
      </c>
      <c r="B16" s="124" t="s">
        <v>210</v>
      </c>
      <c r="C16" s="124"/>
      <c r="D16" s="124"/>
      <c r="E16" s="124"/>
      <c r="F16" s="124" t="s">
        <v>208</v>
      </c>
      <c r="G16" s="124" t="s">
        <v>209</v>
      </c>
    </row>
    <row r="17" spans="1:7" ht="12.75">
      <c r="A17" s="122" t="s">
        <v>195</v>
      </c>
      <c r="B17" s="124" t="e">
        <f>#REF!*#REF!/100</f>
        <v>#REF!</v>
      </c>
      <c r="C17" s="124" t="e">
        <f>#REF!*#REF!/100</f>
        <v>#REF!</v>
      </c>
      <c r="D17" s="124" t="e">
        <f>#REF!*#REF!/100</f>
        <v>#REF!</v>
      </c>
      <c r="E17" s="124" t="e">
        <f>#REF!*#REF!/100</f>
        <v>#REF!</v>
      </c>
      <c r="F17" s="124" t="e">
        <f>#REF!*40/100</f>
        <v>#REF!</v>
      </c>
      <c r="G17" s="124" t="e">
        <f>#REF!*41/100</f>
        <v>#REF!</v>
      </c>
    </row>
    <row r="18" spans="1:7" ht="12.75">
      <c r="A18" t="s">
        <v>196</v>
      </c>
      <c r="B18" s="124" t="e">
        <f>#REF!*#REF!/100</f>
        <v>#REF!</v>
      </c>
      <c r="C18" s="124" t="e">
        <f>#REF!*#REF!/100</f>
        <v>#REF!</v>
      </c>
      <c r="D18" s="124" t="e">
        <f>#REF!*#REF!/100</f>
        <v>#REF!</v>
      </c>
      <c r="E18" s="124" t="e">
        <f>#REF!*#REF!/100</f>
        <v>#REF!</v>
      </c>
      <c r="F18" s="124" t="e">
        <f>#REF!*28/100</f>
        <v>#REF!</v>
      </c>
      <c r="G18" s="124" t="e">
        <f>#REF!*29/100</f>
        <v>#REF!</v>
      </c>
    </row>
    <row r="19" spans="1:7" ht="12.75">
      <c r="A19" s="122" t="s">
        <v>197</v>
      </c>
      <c r="B19" s="124" t="e">
        <f>#REF!*#REF!/100</f>
        <v>#REF!</v>
      </c>
      <c r="C19" s="124" t="e">
        <f>#REF!*#REF!/100</f>
        <v>#REF!</v>
      </c>
      <c r="D19" s="124" t="e">
        <f>#REF!*#REF!/100</f>
        <v>#REF!</v>
      </c>
      <c r="E19" s="124" t="e">
        <f>#REF!*#REF!/100</f>
        <v>#REF!</v>
      </c>
      <c r="F19" s="124" t="e">
        <f>#REF!*30/100</f>
        <v>#REF!</v>
      </c>
      <c r="G19" s="124" t="e">
        <f>#REF!*31/100</f>
        <v>#REF!</v>
      </c>
    </row>
    <row r="21" spans="1:7" ht="12.75">
      <c r="A21" s="122"/>
      <c r="B21" s="124" t="e">
        <f t="shared" ref="B21:G21" si="0">SUM(B17:B19)</f>
        <v>#REF!</v>
      </c>
      <c r="C21" s="124" t="e">
        <f t="shared" si="0"/>
        <v>#REF!</v>
      </c>
      <c r="D21" s="124" t="e">
        <f t="shared" si="0"/>
        <v>#REF!</v>
      </c>
      <c r="E21" s="124" t="e">
        <f t="shared" si="0"/>
        <v>#REF!</v>
      </c>
      <c r="F21" s="124" t="e">
        <f t="shared" si="0"/>
        <v>#REF!</v>
      </c>
      <c r="G21" s="124" t="e">
        <f t="shared" si="0"/>
        <v>#REF!</v>
      </c>
    </row>
    <row r="23" spans="1:7" ht="12.75">
      <c r="A23" t="s">
        <v>211</v>
      </c>
    </row>
    <row r="24" spans="1:7" ht="12.75">
      <c r="A24" t="s">
        <v>212</v>
      </c>
      <c r="B24" t="e">
        <f>B5/B21</f>
        <v>#REF!</v>
      </c>
      <c r="C24" t="e">
        <f>C5/C21</f>
        <v>#REF!</v>
      </c>
      <c r="D24" t="e">
        <f>D5/D21</f>
        <v>#REF!</v>
      </c>
      <c r="E24" t="e">
        <f>E5/E21</f>
        <v>#REF!</v>
      </c>
      <c r="F24" t="e">
        <f>F5/F21</f>
        <v>#REF!</v>
      </c>
    </row>
    <row r="25" spans="1:7" ht="12.75">
      <c r="A25" t="s">
        <v>212</v>
      </c>
      <c r="B25" t="e">
        <f>B6/B21</f>
        <v>#REF!</v>
      </c>
      <c r="C25" t="e">
        <f>C6/C21</f>
        <v>#REF!</v>
      </c>
      <c r="D25" t="e">
        <f>D6/D21</f>
        <v>#REF!</v>
      </c>
      <c r="E25" t="e">
        <f>E6/E21</f>
        <v>#REF!</v>
      </c>
      <c r="F25" t="e">
        <f>F6/F21</f>
        <v>#REF!</v>
      </c>
    </row>
    <row r="27" spans="1:7" ht="12.75">
      <c r="A27" s="122" t="s">
        <v>198</v>
      </c>
      <c r="B27" s="124" t="e">
        <f>B8/B17</f>
        <v>#REF!</v>
      </c>
      <c r="C27" s="124" t="e">
        <f>C8/C17</f>
        <v>#REF!</v>
      </c>
      <c r="D27" s="124" t="e">
        <f>D8/D17</f>
        <v>#REF!</v>
      </c>
      <c r="E27" s="124" t="e">
        <f>E8/E17</f>
        <v>#REF!</v>
      </c>
      <c r="F27" s="124" t="e">
        <f>$F$8/F17</f>
        <v>#REF!</v>
      </c>
      <c r="G27" s="124" t="e">
        <f>$F$8/G17</f>
        <v>#REF!</v>
      </c>
    </row>
    <row r="28" spans="1:7" ht="12.75">
      <c r="A28" t="s">
        <v>203</v>
      </c>
      <c r="B28" s="124" t="e">
        <f t="shared" ref="B28:E29" si="1">B9/B17</f>
        <v>#REF!</v>
      </c>
      <c r="C28" s="124" t="e">
        <f t="shared" si="1"/>
        <v>#REF!</v>
      </c>
      <c r="D28" s="124" t="e">
        <f t="shared" si="1"/>
        <v>#REF!</v>
      </c>
      <c r="E28" s="124" t="e">
        <f t="shared" si="1"/>
        <v>#REF!</v>
      </c>
      <c r="F28" s="124" t="e">
        <f>$F$9/F17</f>
        <v>#REF!</v>
      </c>
      <c r="G28" s="124" t="e">
        <f>$F$9/G17</f>
        <v>#REF!</v>
      </c>
    </row>
    <row r="29" spans="1:7" ht="12.75">
      <c r="A29" s="122" t="s">
        <v>199</v>
      </c>
      <c r="B29" s="124" t="e">
        <f t="shared" si="1"/>
        <v>#REF!</v>
      </c>
      <c r="C29" s="124" t="e">
        <f t="shared" si="1"/>
        <v>#REF!</v>
      </c>
      <c r="D29" s="124" t="e">
        <f t="shared" si="1"/>
        <v>#REF!</v>
      </c>
      <c r="E29" s="124" t="e">
        <f t="shared" si="1"/>
        <v>#REF!</v>
      </c>
      <c r="F29" s="124" t="e">
        <f>$F$10/F18</f>
        <v>#REF!</v>
      </c>
      <c r="G29" s="124" t="e">
        <f>$F$10/G18</f>
        <v>#REF!</v>
      </c>
    </row>
    <row r="30" spans="1:7" ht="12.75">
      <c r="A30" t="s">
        <v>204</v>
      </c>
      <c r="B30" s="124" t="e">
        <f t="shared" ref="B30:E31" si="2">B11/B18</f>
        <v>#REF!</v>
      </c>
      <c r="C30" s="124" t="e">
        <f t="shared" si="2"/>
        <v>#REF!</v>
      </c>
      <c r="D30" s="124" t="e">
        <f t="shared" si="2"/>
        <v>#REF!</v>
      </c>
      <c r="E30" s="124" t="e">
        <f t="shared" si="2"/>
        <v>#REF!</v>
      </c>
      <c r="F30" s="124" t="e">
        <f>$F$11/F18</f>
        <v>#REF!</v>
      </c>
      <c r="G30" s="124" t="e">
        <f>$F$11/G18</f>
        <v>#REF!</v>
      </c>
    </row>
    <row r="31" spans="1:7" ht="12.75">
      <c r="A31" s="122" t="s">
        <v>205</v>
      </c>
      <c r="B31" s="124" t="e">
        <f t="shared" si="2"/>
        <v>#REF!</v>
      </c>
      <c r="C31" s="124" t="e">
        <f t="shared" si="2"/>
        <v>#REF!</v>
      </c>
      <c r="D31" s="124" t="e">
        <f t="shared" si="2"/>
        <v>#REF!</v>
      </c>
      <c r="E31" s="124" t="e">
        <f t="shared" si="2"/>
        <v>#REF!</v>
      </c>
      <c r="F31" s="124" t="e">
        <f>$F$12/F19</f>
        <v>#REF!</v>
      </c>
      <c r="G31" s="124" t="e">
        <f>$F$12/G19</f>
        <v>#REF!</v>
      </c>
    </row>
    <row r="32" spans="1:7" ht="12.75">
      <c r="A32" t="s">
        <v>206</v>
      </c>
      <c r="B32" s="124" t="e">
        <f>B13/B19</f>
        <v>#REF!</v>
      </c>
      <c r="C32" s="124" t="e">
        <f>C13/C19</f>
        <v>#REF!</v>
      </c>
      <c r="D32" s="124" t="e">
        <f>D13/D19</f>
        <v>#REF!</v>
      </c>
      <c r="E32" s="124" t="e">
        <f>E13/E19</f>
        <v>#REF!</v>
      </c>
      <c r="F32" s="124" t="e">
        <f>$F$13/F19</f>
        <v>#REF!</v>
      </c>
      <c r="G32" s="124" t="e">
        <f>$F$13/G19</f>
        <v>#REF!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/>
  </sheetViews>
  <sheetFormatPr defaultRowHeight="15"/>
  <sheetData>
    <row r="1" spans="1:12" ht="18.75">
      <c r="K1" s="3" t="s">
        <v>105</v>
      </c>
    </row>
    <row r="2" spans="1:12" ht="15.75">
      <c r="A2" s="1136" t="s">
        <v>132</v>
      </c>
      <c r="B2" s="1136"/>
      <c r="C2" s="1136"/>
      <c r="D2" s="1136"/>
      <c r="E2" s="1136"/>
      <c r="F2" s="1136"/>
      <c r="G2" s="1136"/>
      <c r="H2" s="1136"/>
      <c r="I2" s="1136"/>
      <c r="J2" s="1136"/>
      <c r="K2" s="1136"/>
    </row>
    <row r="3" spans="1:12" ht="12.75"/>
    <row r="4" spans="1:12" ht="38.25">
      <c r="A4" s="1134" t="s">
        <v>0</v>
      </c>
      <c r="B4" s="1134" t="s">
        <v>1</v>
      </c>
      <c r="C4" s="1134" t="s">
        <v>2</v>
      </c>
      <c r="D4" s="1134" t="s">
        <v>131</v>
      </c>
      <c r="E4" s="1134" t="s">
        <v>93</v>
      </c>
      <c r="F4" s="1134">
        <v>2011</v>
      </c>
      <c r="G4" s="1134">
        <v>2012</v>
      </c>
      <c r="H4" s="1132">
        <v>2013</v>
      </c>
      <c r="I4" s="1134">
        <v>2014</v>
      </c>
      <c r="J4" s="1134">
        <v>2015</v>
      </c>
      <c r="K4" s="1134" t="s">
        <v>94</v>
      </c>
    </row>
    <row r="5" spans="1:12" ht="12.75">
      <c r="A5" s="1135"/>
      <c r="B5" s="1135"/>
      <c r="C5" s="1135"/>
      <c r="D5" s="1135"/>
      <c r="E5" s="1135"/>
      <c r="F5" s="1135"/>
      <c r="G5" s="1135"/>
      <c r="H5" s="1133"/>
      <c r="I5" s="1135"/>
      <c r="J5" s="1135"/>
      <c r="K5" s="1135"/>
    </row>
    <row r="6" spans="1:12" ht="15.75">
      <c r="A6" s="21"/>
      <c r="B6" s="24"/>
      <c r="C6" s="110"/>
      <c r="D6" s="12"/>
      <c r="E6" s="12"/>
      <c r="F6" s="12"/>
      <c r="G6" s="12"/>
      <c r="H6" s="12"/>
      <c r="I6" s="107"/>
      <c r="J6" s="107"/>
      <c r="K6" s="14"/>
    </row>
    <row r="7" spans="1:12" ht="94.5">
      <c r="A7" s="9" t="s">
        <v>101</v>
      </c>
      <c r="B7" s="10" t="s">
        <v>119</v>
      </c>
      <c r="C7" s="22" t="s">
        <v>16</v>
      </c>
      <c r="E7" s="56">
        <f>E10+E13</f>
        <v>714.05200000000002</v>
      </c>
      <c r="F7" s="56"/>
      <c r="G7" s="56"/>
      <c r="H7" s="87"/>
      <c r="I7" s="87"/>
      <c r="J7" s="87"/>
      <c r="K7" s="4"/>
    </row>
    <row r="8" spans="1:12" ht="33">
      <c r="A8" s="74"/>
      <c r="B8" s="70" t="s">
        <v>17</v>
      </c>
      <c r="C8" s="22" t="s">
        <v>5</v>
      </c>
      <c r="D8" s="71"/>
      <c r="E8" s="77"/>
      <c r="F8" s="78"/>
      <c r="G8" s="78"/>
      <c r="H8" s="91"/>
      <c r="I8" s="91"/>
      <c r="J8" s="91"/>
      <c r="K8" s="74"/>
      <c r="L8" s="106"/>
    </row>
    <row r="9" spans="1:12" ht="99">
      <c r="A9" s="74"/>
      <c r="B9" s="70" t="s">
        <v>117</v>
      </c>
      <c r="C9" s="22" t="s">
        <v>5</v>
      </c>
      <c r="D9" s="71"/>
      <c r="E9" s="77">
        <f>E7/E31*100</f>
        <v>85.087225929456622</v>
      </c>
      <c r="F9" s="77"/>
      <c r="G9" s="77"/>
      <c r="H9" s="89"/>
      <c r="I9" s="89"/>
      <c r="J9" s="89"/>
      <c r="K9" s="74"/>
    </row>
    <row r="10" spans="1:12" ht="141.75">
      <c r="A10" s="9" t="s">
        <v>102</v>
      </c>
      <c r="B10" s="10" t="s">
        <v>118</v>
      </c>
      <c r="C10" s="22" t="s">
        <v>16</v>
      </c>
      <c r="E10" s="56">
        <v>152.571</v>
      </c>
      <c r="F10" s="56"/>
      <c r="G10" s="56"/>
      <c r="H10" s="99"/>
      <c r="I10" s="99"/>
      <c r="J10" s="99"/>
      <c r="K10" s="9"/>
    </row>
    <row r="11" spans="1:12" ht="33">
      <c r="A11" s="69"/>
      <c r="B11" s="76" t="s">
        <v>123</v>
      </c>
      <c r="C11" s="22" t="s">
        <v>5</v>
      </c>
      <c r="D11" s="71"/>
      <c r="E11" s="72"/>
      <c r="F11" s="73"/>
      <c r="G11" s="73"/>
      <c r="H11" s="88"/>
      <c r="I11" s="88"/>
      <c r="J11" s="88"/>
      <c r="K11" s="74"/>
    </row>
    <row r="12" spans="1:12" ht="148.5">
      <c r="A12" s="69"/>
      <c r="B12" s="76" t="s">
        <v>109</v>
      </c>
      <c r="C12" s="22" t="s">
        <v>5</v>
      </c>
      <c r="D12" s="71"/>
      <c r="E12" s="78">
        <f>E10/E7*100</f>
        <v>21.366931259908242</v>
      </c>
      <c r="F12" s="78"/>
      <c r="G12" s="78"/>
      <c r="H12" s="88"/>
      <c r="I12" s="88"/>
      <c r="J12" s="88"/>
      <c r="K12" s="74"/>
    </row>
    <row r="13" spans="1:12" ht="63">
      <c r="A13" s="9" t="s">
        <v>115</v>
      </c>
      <c r="B13" s="10" t="s">
        <v>106</v>
      </c>
      <c r="C13" s="22" t="s">
        <v>16</v>
      </c>
      <c r="E13" s="56">
        <f>E17+E19</f>
        <v>561.48099999999999</v>
      </c>
      <c r="F13" s="56"/>
      <c r="G13" s="56"/>
      <c r="H13" s="90"/>
      <c r="I13" s="90"/>
      <c r="J13" s="90"/>
      <c r="K13" s="4"/>
    </row>
    <row r="14" spans="1:12" ht="33">
      <c r="A14" s="74"/>
      <c r="B14" s="76" t="s">
        <v>123</v>
      </c>
      <c r="C14" s="22" t="s">
        <v>5</v>
      </c>
      <c r="D14" s="71"/>
      <c r="E14" s="77"/>
      <c r="F14" s="73"/>
      <c r="G14" s="73"/>
      <c r="H14" s="91"/>
      <c r="I14" s="91"/>
      <c r="J14" s="91"/>
      <c r="K14" s="74"/>
    </row>
    <row r="15" spans="1:12" ht="66">
      <c r="A15" s="74"/>
      <c r="B15" s="76" t="s">
        <v>114</v>
      </c>
      <c r="C15" s="22" t="s">
        <v>5</v>
      </c>
      <c r="D15" s="71"/>
      <c r="E15" s="77">
        <f>E10/E31*100</f>
        <v>18.180529075309817</v>
      </c>
      <c r="F15" s="77"/>
      <c r="G15" s="77"/>
      <c r="H15" s="89"/>
      <c r="I15" s="89"/>
      <c r="J15" s="89"/>
      <c r="K15" s="74"/>
    </row>
    <row r="16" spans="1:12" ht="30">
      <c r="A16" s="4"/>
      <c r="B16" s="7" t="s">
        <v>6</v>
      </c>
      <c r="C16" s="22"/>
      <c r="D16" s="13"/>
      <c r="E16" s="56"/>
      <c r="F16" s="56"/>
      <c r="G16" s="56"/>
      <c r="H16" s="86"/>
      <c r="I16" s="86"/>
      <c r="J16" s="86"/>
      <c r="K16" s="4"/>
    </row>
    <row r="17" spans="1:12" ht="60">
      <c r="A17" s="42"/>
      <c r="B17" s="79" t="s">
        <v>107</v>
      </c>
      <c r="C17" s="22" t="s">
        <v>16</v>
      </c>
      <c r="D17" s="59"/>
      <c r="E17" s="56">
        <v>402.30099999999999</v>
      </c>
      <c r="F17" s="56"/>
      <c r="G17" s="56"/>
      <c r="H17" s="92"/>
      <c r="I17" s="92"/>
      <c r="J17" s="92"/>
      <c r="K17" s="42"/>
    </row>
    <row r="18" spans="1:12" ht="30">
      <c r="A18" s="42"/>
      <c r="B18" s="80" t="s">
        <v>17</v>
      </c>
      <c r="C18" s="100" t="s">
        <v>5</v>
      </c>
      <c r="D18" s="20"/>
      <c r="E18" s="56"/>
      <c r="F18" s="23"/>
      <c r="G18" s="23"/>
      <c r="H18" s="93"/>
      <c r="I18" s="93"/>
      <c r="J18" s="93"/>
      <c r="K18" s="6"/>
    </row>
    <row r="19" spans="1:12" ht="75">
      <c r="A19" s="42"/>
      <c r="B19" s="79" t="s">
        <v>108</v>
      </c>
      <c r="C19" s="22" t="s">
        <v>16</v>
      </c>
      <c r="D19" s="59"/>
      <c r="E19" s="56">
        <v>159.18</v>
      </c>
      <c r="F19" s="56"/>
      <c r="G19" s="56"/>
      <c r="H19" s="92"/>
      <c r="I19" s="92"/>
      <c r="J19" s="92"/>
      <c r="K19" s="42"/>
    </row>
    <row r="20" spans="1:12" ht="30">
      <c r="A20" s="42"/>
      <c r="B20" s="80" t="s">
        <v>17</v>
      </c>
      <c r="C20" s="100" t="s">
        <v>5</v>
      </c>
      <c r="D20" s="20"/>
      <c r="E20" s="56"/>
      <c r="F20" s="23"/>
      <c r="G20" s="23"/>
      <c r="H20" s="93"/>
      <c r="I20" s="93"/>
      <c r="J20" s="93"/>
      <c r="K20" s="6"/>
    </row>
    <row r="21" spans="1:12">
      <c r="A21" s="42"/>
      <c r="B21" s="80"/>
      <c r="C21" s="100"/>
      <c r="D21" s="20"/>
      <c r="E21" s="56"/>
      <c r="F21" s="23"/>
      <c r="G21" s="23"/>
      <c r="H21" s="94"/>
      <c r="I21" s="94"/>
      <c r="J21" s="94"/>
      <c r="K21" s="6"/>
    </row>
    <row r="22" spans="1:12" ht="94.5">
      <c r="A22" s="9" t="s">
        <v>116</v>
      </c>
      <c r="B22" s="10" t="s">
        <v>110</v>
      </c>
      <c r="C22" s="22" t="s">
        <v>16</v>
      </c>
      <c r="D22" s="20"/>
      <c r="E22" s="56">
        <f>E25+E28</f>
        <v>556.09899999999993</v>
      </c>
      <c r="F22" s="56"/>
      <c r="G22" s="56"/>
      <c r="H22" s="90"/>
      <c r="I22" s="90"/>
      <c r="J22" s="90"/>
      <c r="K22" s="4"/>
    </row>
    <row r="23" spans="1:12" ht="33">
      <c r="A23" s="4"/>
      <c r="B23" s="70" t="s">
        <v>17</v>
      </c>
      <c r="C23" s="22" t="s">
        <v>5</v>
      </c>
      <c r="D23" s="19"/>
      <c r="E23" s="58"/>
      <c r="F23" s="11"/>
      <c r="G23" s="11"/>
      <c r="H23" s="95"/>
      <c r="I23" s="95"/>
      <c r="J23" s="95"/>
      <c r="K23" s="4"/>
    </row>
    <row r="24" spans="1:12" ht="30">
      <c r="A24" s="4"/>
      <c r="B24" s="7" t="s">
        <v>6</v>
      </c>
      <c r="C24" s="22"/>
      <c r="D24" s="13"/>
      <c r="E24" s="81"/>
      <c r="F24" s="81"/>
      <c r="G24" s="81"/>
      <c r="H24" s="86"/>
      <c r="I24" s="86"/>
      <c r="J24" s="86"/>
      <c r="K24" s="4"/>
    </row>
    <row r="25" spans="1:12" ht="60">
      <c r="A25" s="4"/>
      <c r="B25" s="18" t="s">
        <v>111</v>
      </c>
      <c r="C25" s="22" t="s">
        <v>16</v>
      </c>
      <c r="D25" s="13"/>
      <c r="E25" s="15">
        <v>421.654</v>
      </c>
      <c r="F25" s="15"/>
      <c r="G25" s="15"/>
      <c r="H25" s="86"/>
      <c r="I25" s="86"/>
      <c r="J25" s="86"/>
      <c r="K25" s="4"/>
    </row>
    <row r="26" spans="1:12" ht="49.5">
      <c r="A26" s="4"/>
      <c r="B26" s="75" t="s">
        <v>120</v>
      </c>
      <c r="C26" s="22" t="s">
        <v>5</v>
      </c>
      <c r="D26" s="13"/>
      <c r="E26" s="15"/>
      <c r="F26" s="23"/>
      <c r="G26" s="23"/>
      <c r="H26" s="93"/>
      <c r="I26" s="93"/>
      <c r="J26" s="93"/>
      <c r="K26" s="4"/>
    </row>
    <row r="27" spans="1:12" ht="105">
      <c r="A27" s="16"/>
      <c r="B27" s="61" t="s">
        <v>121</v>
      </c>
      <c r="C27" s="22" t="s">
        <v>5</v>
      </c>
      <c r="D27" s="17"/>
      <c r="E27" s="11">
        <f>+E25/E22*100</f>
        <v>75.823549403973047</v>
      </c>
      <c r="F27" s="11"/>
      <c r="G27" s="11"/>
      <c r="H27" s="95"/>
      <c r="I27" s="95"/>
      <c r="J27" s="95"/>
      <c r="K27" s="16"/>
    </row>
    <row r="28" spans="1:12" ht="45">
      <c r="A28" s="4"/>
      <c r="B28" s="18" t="s">
        <v>112</v>
      </c>
      <c r="C28" s="22" t="s">
        <v>16</v>
      </c>
      <c r="D28" s="13"/>
      <c r="E28" s="60">
        <v>134.44499999999999</v>
      </c>
      <c r="F28" s="60"/>
      <c r="G28" s="60"/>
      <c r="H28" s="96"/>
      <c r="I28" s="96"/>
      <c r="J28" s="96"/>
      <c r="K28" s="4"/>
      <c r="L28" s="105"/>
    </row>
    <row r="29" spans="1:12" ht="49.5">
      <c r="A29" s="6"/>
      <c r="B29" s="75" t="s">
        <v>120</v>
      </c>
      <c r="C29" s="100" t="s">
        <v>5</v>
      </c>
      <c r="D29" s="20"/>
      <c r="E29" s="84"/>
      <c r="F29" s="23"/>
      <c r="G29" s="23"/>
      <c r="H29" s="94"/>
      <c r="I29" s="94"/>
      <c r="J29" s="94"/>
      <c r="K29" s="6"/>
    </row>
    <row r="30" spans="1:12" ht="105">
      <c r="A30" s="82"/>
      <c r="B30" s="62" t="s">
        <v>122</v>
      </c>
      <c r="C30" s="100" t="s">
        <v>5</v>
      </c>
      <c r="D30" s="20"/>
      <c r="E30" s="8">
        <f>+E28/E22*100</f>
        <v>24.176450596026967</v>
      </c>
      <c r="F30" s="8"/>
      <c r="G30" s="8"/>
      <c r="H30" s="97"/>
      <c r="I30" s="97"/>
      <c r="J30" s="97"/>
      <c r="K30" s="83"/>
    </row>
    <row r="31" spans="1:12" ht="30">
      <c r="A31" s="63" t="s">
        <v>18</v>
      </c>
      <c r="B31" s="64" t="s">
        <v>113</v>
      </c>
      <c r="C31" s="5" t="s">
        <v>16</v>
      </c>
      <c r="D31" s="65"/>
      <c r="E31" s="57">
        <v>839.2</v>
      </c>
      <c r="F31" s="57">
        <v>974.3</v>
      </c>
      <c r="G31" s="66">
        <v>1144</v>
      </c>
      <c r="H31" s="65">
        <v>1490</v>
      </c>
      <c r="I31" s="108"/>
      <c r="J31" s="108"/>
      <c r="K31" s="50"/>
    </row>
    <row r="32" spans="1:12">
      <c r="A32" s="27"/>
      <c r="B32" s="26"/>
      <c r="C32" s="111"/>
      <c r="D32" s="28"/>
      <c r="E32" s="67"/>
      <c r="F32" s="28"/>
      <c r="G32" s="28"/>
      <c r="H32" s="98"/>
      <c r="I32" s="98"/>
      <c r="J32" s="98"/>
      <c r="K32" s="25"/>
    </row>
    <row r="34" spans="4:10">
      <c r="D34" s="49"/>
      <c r="H34" s="68"/>
      <c r="I34" s="68"/>
      <c r="J34" s="68"/>
    </row>
    <row r="35" spans="4:10">
      <c r="H35" s="68"/>
      <c r="I35" s="68"/>
      <c r="J35" s="68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16"/>
  <sheetViews>
    <sheetView workbookViewId="0"/>
  </sheetViews>
  <sheetFormatPr defaultRowHeight="15"/>
  <sheetData>
    <row r="4" spans="1:19" ht="12.75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9" t="s">
        <v>173</v>
      </c>
    </row>
    <row r="5" spans="1:19" ht="12.75">
      <c r="A5" s="112"/>
      <c r="B5" s="112">
        <v>2010</v>
      </c>
      <c r="C5" s="1137">
        <v>2011</v>
      </c>
      <c r="D5" s="1137"/>
      <c r="E5" s="1137"/>
      <c r="F5" s="1137">
        <v>2012</v>
      </c>
      <c r="G5" s="1137"/>
      <c r="H5" s="1137"/>
      <c r="I5" s="1137">
        <v>2013</v>
      </c>
      <c r="J5" s="1137"/>
      <c r="K5" s="1137"/>
      <c r="L5" s="1137">
        <v>2014</v>
      </c>
      <c r="M5" s="1137"/>
      <c r="N5" s="1137"/>
      <c r="O5" s="1137">
        <v>2015</v>
      </c>
      <c r="P5" s="1137"/>
      <c r="Q5" s="1137"/>
    </row>
    <row r="6" spans="1:19">
      <c r="A6" s="112"/>
      <c r="B6" s="112"/>
      <c r="C6" s="113" t="s">
        <v>168</v>
      </c>
      <c r="D6" s="113" t="s">
        <v>169</v>
      </c>
      <c r="E6" s="113" t="s">
        <v>170</v>
      </c>
      <c r="F6" s="114" t="s">
        <v>168</v>
      </c>
      <c r="G6" s="114" t="s">
        <v>169</v>
      </c>
      <c r="H6" s="114" t="s">
        <v>170</v>
      </c>
      <c r="I6" s="113" t="s">
        <v>168</v>
      </c>
      <c r="J6" s="113" t="s">
        <v>169</v>
      </c>
      <c r="K6" s="113" t="s">
        <v>170</v>
      </c>
      <c r="L6" s="114" t="s">
        <v>168</v>
      </c>
      <c r="M6" s="114" t="s">
        <v>169</v>
      </c>
      <c r="N6" s="114" t="s">
        <v>170</v>
      </c>
      <c r="O6" s="113" t="s">
        <v>168</v>
      </c>
      <c r="P6" s="113" t="s">
        <v>169</v>
      </c>
      <c r="Q6" s="113" t="s">
        <v>170</v>
      </c>
      <c r="R6" s="120" t="s">
        <v>168</v>
      </c>
      <c r="S6" s="120" t="s">
        <v>169</v>
      </c>
    </row>
    <row r="7" spans="1:19" ht="57">
      <c r="A7" s="115" t="s">
        <v>7</v>
      </c>
      <c r="B7" s="112">
        <v>1968.55</v>
      </c>
      <c r="C7" s="112">
        <f>B7*(1+C11%)*(1+C14)</f>
        <v>2264.2262099999998</v>
      </c>
      <c r="D7" s="112">
        <f>C7*(1+D11%)*(1+D14)</f>
        <v>2628.7666298099998</v>
      </c>
      <c r="E7" s="112">
        <f>(C7+D7)/2</f>
        <v>2446.496419905</v>
      </c>
      <c r="F7" s="112">
        <f>E7*(1+F11%)*(1+F14)</f>
        <v>2819.2446144417258</v>
      </c>
      <c r="G7" s="112">
        <f>E7*(1+G11%)*(1+G14)</f>
        <v>2845.6667757767</v>
      </c>
      <c r="H7" s="112">
        <f>(F7+G7)/2</f>
        <v>2832.4556951092127</v>
      </c>
      <c r="I7" s="112">
        <f>H7*(1+I11%)*(1+I14)</f>
        <v>3270.1267491174881</v>
      </c>
      <c r="J7" s="112">
        <f>H7*(1+J11%)*(1+J14)</f>
        <v>3300.7172706246679</v>
      </c>
      <c r="K7" s="112">
        <f>(I7+J7)/2</f>
        <v>3285.422009871078</v>
      </c>
      <c r="L7" s="112">
        <f>K7*(1+L11%)*(1+L14)</f>
        <v>3803.7301861483397</v>
      </c>
      <c r="M7" s="112">
        <f>K7*(1+M11%)*(1+M14)</f>
        <v>3839.2127438549473</v>
      </c>
      <c r="N7" s="112">
        <f>(L7+M7)/2</f>
        <v>3821.4714650016435</v>
      </c>
      <c r="O7" s="112">
        <f>N7*(1+O11%)*(1+O14)</f>
        <v>4436.7283708669083</v>
      </c>
      <c r="P7" s="112">
        <f>N7*(1+P11%)*(1+P14)</f>
        <v>4478.0002626889254</v>
      </c>
      <c r="Q7" s="112">
        <f>(O7+P7)/2</f>
        <v>4457.3643167779173</v>
      </c>
      <c r="R7">
        <f>C7+F7+I7+L7+O7</f>
        <v>16594.05613057446</v>
      </c>
      <c r="S7">
        <f>D7+G7+J7+M7+P7</f>
        <v>17092.36368275524</v>
      </c>
    </row>
    <row r="8" spans="1:19" ht="42.75">
      <c r="A8" s="115" t="s">
        <v>8</v>
      </c>
      <c r="B8" s="112">
        <v>108.15</v>
      </c>
      <c r="C8" s="112">
        <f>C7/C15</f>
        <v>121.73259193548385</v>
      </c>
      <c r="D8" s="112">
        <f>D7/D15</f>
        <v>141.33153923709676</v>
      </c>
      <c r="E8" s="112"/>
      <c r="F8" s="112">
        <f>F7/F15</f>
        <v>147.60443007548301</v>
      </c>
      <c r="G8" s="112">
        <f>G7/G15</f>
        <v>148.98778930768063</v>
      </c>
      <c r="H8" s="112"/>
      <c r="I8" s="112">
        <f>I7/I15</f>
        <v>166.84320148558612</v>
      </c>
      <c r="J8" s="112">
        <f>J7/J15</f>
        <v>168.40394237880957</v>
      </c>
      <c r="K8" s="112"/>
      <c r="L8" s="112">
        <f>L7/L15</f>
        <v>187.37587123883446</v>
      </c>
      <c r="M8" s="112">
        <f>M7/M15</f>
        <v>189.12378048546537</v>
      </c>
      <c r="N8" s="112"/>
      <c r="O8" s="112">
        <f>O7/O15</f>
        <v>212.28365410846453</v>
      </c>
      <c r="P8" s="112">
        <f>P7/P15</f>
        <v>214.25838577458975</v>
      </c>
      <c r="Q8" s="112"/>
      <c r="R8">
        <f>C8+F8+I8+L8+O8</f>
        <v>835.83974884385202</v>
      </c>
      <c r="S8">
        <f>D8+G8+J8+M8+P8</f>
        <v>862.10543718364204</v>
      </c>
    </row>
    <row r="9" spans="1:19" ht="71.25">
      <c r="A9" s="115" t="s">
        <v>9</v>
      </c>
      <c r="B9" s="112">
        <v>1225.5</v>
      </c>
      <c r="C9" s="112">
        <f>C8*1000/C16</f>
        <v>1363.9506099213877</v>
      </c>
      <c r="D9" s="112">
        <f>D8*1000/D16</f>
        <v>1583.5466581187311</v>
      </c>
      <c r="E9" s="112"/>
      <c r="F9" s="112">
        <f>F8*1000/F16</f>
        <v>1635.5061504208645</v>
      </c>
      <c r="G9" s="112">
        <f>G8*1000/G16</f>
        <v>1650.8342305560179</v>
      </c>
      <c r="H9" s="112"/>
      <c r="I9" s="112">
        <f>I8*1000/I16</f>
        <v>1832.2337083855273</v>
      </c>
      <c r="J9" s="112">
        <f>J8*1000/J16</f>
        <v>1849.3734063124268</v>
      </c>
      <c r="K9" s="112"/>
      <c r="L9" s="112">
        <f>L8*1000/L16</f>
        <v>2039.7982934774054</v>
      </c>
      <c r="M9" s="112">
        <f>M8*1000/M16</f>
        <v>2058.8262626329779</v>
      </c>
      <c r="N9" s="112"/>
      <c r="O9" s="112">
        <f>O8*1000/O16</f>
        <v>2291.2428937772752</v>
      </c>
      <c r="P9" s="112">
        <f>P8*1000/P16</f>
        <v>2312.5567811612491</v>
      </c>
      <c r="Q9" s="112"/>
      <c r="R9">
        <f>O9</f>
        <v>2291.2428937772752</v>
      </c>
      <c r="S9">
        <f>P9</f>
        <v>2312.5567811612491</v>
      </c>
    </row>
    <row r="10" spans="1:19" ht="12.75">
      <c r="A10" s="112"/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</row>
    <row r="11" spans="1:19" ht="45">
      <c r="A11" s="116" t="s">
        <v>4</v>
      </c>
      <c r="B11" s="112"/>
      <c r="C11" s="112">
        <v>6.5</v>
      </c>
      <c r="D11" s="112">
        <v>7.5</v>
      </c>
      <c r="E11" s="112"/>
      <c r="F11" s="112">
        <v>6.7</v>
      </c>
      <c r="G11" s="112">
        <v>7.7</v>
      </c>
      <c r="H11" s="112"/>
      <c r="I11" s="112">
        <v>6.9</v>
      </c>
      <c r="J11" s="112">
        <v>7.9</v>
      </c>
      <c r="K11" s="112"/>
      <c r="L11" s="112">
        <v>7.2</v>
      </c>
      <c r="M11" s="112">
        <v>8.1999999999999993</v>
      </c>
      <c r="N11" s="112"/>
      <c r="O11" s="112">
        <v>7.5</v>
      </c>
      <c r="P11" s="112">
        <v>8.5</v>
      </c>
      <c r="Q11" s="112"/>
    </row>
    <row r="12" spans="1:19" ht="12.75">
      <c r="A12" s="112"/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</row>
    <row r="13" spans="1:19" ht="12.75">
      <c r="A13" s="112"/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</row>
    <row r="14" spans="1:19" ht="12.75">
      <c r="A14" s="112" t="s">
        <v>167</v>
      </c>
      <c r="B14" s="112"/>
      <c r="C14" s="117">
        <v>0.08</v>
      </c>
      <c r="D14" s="117">
        <v>0.08</v>
      </c>
      <c r="E14" s="117">
        <v>0.08</v>
      </c>
      <c r="F14" s="117">
        <v>0.08</v>
      </c>
      <c r="G14" s="117">
        <v>0.08</v>
      </c>
      <c r="H14" s="117">
        <v>0.08</v>
      </c>
      <c r="I14" s="117">
        <v>0.08</v>
      </c>
      <c r="J14" s="117">
        <v>0.08</v>
      </c>
      <c r="K14" s="117">
        <v>0.08</v>
      </c>
      <c r="L14" s="117">
        <v>0.08</v>
      </c>
      <c r="M14" s="117">
        <v>0.08</v>
      </c>
      <c r="N14" s="117">
        <v>0.08</v>
      </c>
      <c r="O14" s="117">
        <v>0.08</v>
      </c>
      <c r="P14" s="117">
        <v>0.08</v>
      </c>
      <c r="Q14" s="117">
        <v>0.08</v>
      </c>
    </row>
    <row r="15" spans="1:19" ht="12.75">
      <c r="A15" s="112" t="s">
        <v>171</v>
      </c>
      <c r="B15" s="112"/>
      <c r="C15" s="112">
        <v>18.600000000000001</v>
      </c>
      <c r="D15" s="112">
        <v>18.600000000000001</v>
      </c>
      <c r="E15" s="112">
        <v>18.600000000000001</v>
      </c>
      <c r="F15" s="112">
        <v>19.100000000000001</v>
      </c>
      <c r="G15" s="112">
        <v>19.100000000000001</v>
      </c>
      <c r="H15" s="112">
        <v>19.100000000000001</v>
      </c>
      <c r="I15" s="112">
        <v>19.600000000000001</v>
      </c>
      <c r="J15" s="112">
        <v>19.600000000000001</v>
      </c>
      <c r="K15" s="112">
        <v>19.600000000000001</v>
      </c>
      <c r="L15" s="112">
        <v>20.3</v>
      </c>
      <c r="M15" s="112">
        <v>20.3</v>
      </c>
      <c r="N15" s="112">
        <v>20.3</v>
      </c>
      <c r="O15" s="112">
        <v>20.9</v>
      </c>
      <c r="P15" s="112">
        <v>20.9</v>
      </c>
      <c r="Q15" s="112">
        <v>20.9</v>
      </c>
    </row>
    <row r="16" spans="1:19" ht="14.25">
      <c r="A16" s="112" t="s">
        <v>172</v>
      </c>
      <c r="B16" s="112"/>
      <c r="C16" s="118">
        <v>89.25</v>
      </c>
      <c r="D16" s="118">
        <v>89.25</v>
      </c>
      <c r="E16" s="118">
        <v>89.25</v>
      </c>
      <c r="F16" s="118">
        <v>90.25</v>
      </c>
      <c r="G16" s="118">
        <v>90.25</v>
      </c>
      <c r="H16" s="118">
        <v>90.25</v>
      </c>
      <c r="I16" s="118">
        <v>91.06</v>
      </c>
      <c r="J16" s="118">
        <v>91.06</v>
      </c>
      <c r="K16" s="118">
        <v>91.06</v>
      </c>
      <c r="L16" s="118">
        <v>91.86</v>
      </c>
      <c r="M16" s="118">
        <v>91.86</v>
      </c>
      <c r="N16" s="118">
        <v>91.86</v>
      </c>
      <c r="O16" s="118">
        <v>92.65</v>
      </c>
      <c r="P16" s="118">
        <v>92.65</v>
      </c>
      <c r="Q16" s="118">
        <v>92.65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7"/>
  <sheetViews>
    <sheetView workbookViewId="0"/>
  </sheetViews>
  <sheetFormatPr defaultRowHeight="15"/>
  <sheetData>
    <row r="2" spans="1:12" ht="12.75">
      <c r="B2" t="s">
        <v>184</v>
      </c>
      <c r="C2" s="1138">
        <v>2011</v>
      </c>
      <c r="D2" s="1138"/>
      <c r="E2" s="1138">
        <v>2012</v>
      </c>
      <c r="F2" s="1138"/>
      <c r="G2" s="1138">
        <v>2013</v>
      </c>
      <c r="H2" s="1138"/>
      <c r="I2" s="1138">
        <v>2014</v>
      </c>
      <c r="J2" s="1138"/>
      <c r="K2" s="1138">
        <v>2015</v>
      </c>
      <c r="L2" s="1138"/>
    </row>
    <row r="3" spans="1:12" ht="12.75">
      <c r="C3" t="s">
        <v>168</v>
      </c>
      <c r="D3" t="s">
        <v>169</v>
      </c>
      <c r="E3" t="s">
        <v>168</v>
      </c>
      <c r="F3" t="s">
        <v>169</v>
      </c>
      <c r="G3" t="s">
        <v>168</v>
      </c>
      <c r="H3" t="s">
        <v>169</v>
      </c>
      <c r="I3" t="s">
        <v>168</v>
      </c>
      <c r="J3" t="s">
        <v>169</v>
      </c>
      <c r="K3" t="s">
        <v>168</v>
      </c>
      <c r="L3" t="s">
        <v>169</v>
      </c>
    </row>
    <row r="4" spans="1:12" ht="12.75">
      <c r="A4" t="s">
        <v>174</v>
      </c>
      <c r="B4" t="s">
        <v>185</v>
      </c>
      <c r="C4" t="e">
        <f>C5+C7</f>
        <v>#REF!</v>
      </c>
      <c r="D4" t="e">
        <f>D5+C7</f>
        <v>#REF!</v>
      </c>
      <c r="E4" t="e">
        <f>E5+E7</f>
        <v>#REF!</v>
      </c>
      <c r="F4" t="e">
        <f>F5+E7</f>
        <v>#REF!</v>
      </c>
      <c r="G4" t="e">
        <f>G5+G7</f>
        <v>#REF!</v>
      </c>
      <c r="H4" t="e">
        <f>H5+G7</f>
        <v>#REF!</v>
      </c>
      <c r="I4" t="e">
        <f>I5+I7</f>
        <v>#REF!</v>
      </c>
      <c r="J4" t="e">
        <f>J5+I7</f>
        <v>#REF!</v>
      </c>
      <c r="K4" t="e">
        <f>K5+K7</f>
        <v>#REF!</v>
      </c>
      <c r="L4" t="e">
        <f>L5+K7</f>
        <v>#REF!</v>
      </c>
    </row>
    <row r="5" spans="1:12" ht="12.75">
      <c r="A5" t="s">
        <v>113</v>
      </c>
      <c r="B5" t="s">
        <v>185</v>
      </c>
      <c r="C5">
        <f>Sheet1!C7</f>
        <v>2264.2262099999998</v>
      </c>
      <c r="D5">
        <f>Sheet1!D7</f>
        <v>2628.7666298099998</v>
      </c>
      <c r="E5">
        <f>Sheet1!F7</f>
        <v>2819.2446144417258</v>
      </c>
      <c r="F5">
        <f>Sheet1!G7</f>
        <v>2845.6667757767</v>
      </c>
      <c r="G5">
        <f>Sheet1!I7</f>
        <v>3270.1267491174881</v>
      </c>
      <c r="H5">
        <f>Sheet1!J7</f>
        <v>3300.7172706246679</v>
      </c>
      <c r="I5">
        <f>Sheet1!L7</f>
        <v>3803.7301861483397</v>
      </c>
      <c r="J5">
        <f>Sheet1!M7</f>
        <v>3839.2127438549473</v>
      </c>
      <c r="K5">
        <f>Sheet1!O7</f>
        <v>4436.7283708669083</v>
      </c>
      <c r="L5">
        <f>Sheet1!P7</f>
        <v>4478.0002626889254</v>
      </c>
    </row>
    <row r="6" spans="1:12" ht="12.75">
      <c r="A6" t="s">
        <v>175</v>
      </c>
      <c r="B6" t="s">
        <v>186</v>
      </c>
      <c r="C6" t="e">
        <f>#REF!</f>
        <v>#REF!</v>
      </c>
      <c r="E6" t="e">
        <f>#REF!</f>
        <v>#REF!</v>
      </c>
      <c r="G6" t="e">
        <f>#REF!</f>
        <v>#REF!</v>
      </c>
      <c r="I6" t="e">
        <f>#REF!</f>
        <v>#REF!</v>
      </c>
      <c r="K6" t="e">
        <f>#REF!</f>
        <v>#REF!</v>
      </c>
    </row>
    <row r="7" spans="1:12" ht="12.75">
      <c r="A7" t="s">
        <v>176</v>
      </c>
      <c r="B7" t="s">
        <v>185</v>
      </c>
      <c r="C7" t="e">
        <f>C6*C17*0.9</f>
        <v>#REF!</v>
      </c>
      <c r="E7" t="e">
        <f>E6*E17*0.9</f>
        <v>#REF!</v>
      </c>
      <c r="G7" t="e">
        <f>G6*G17*0.9</f>
        <v>#REF!</v>
      </c>
      <c r="I7" t="e">
        <f>I6*I17*0.9</f>
        <v>#REF!</v>
      </c>
      <c r="K7" t="e">
        <f>K6*K17*0.9</f>
        <v>#REF!</v>
      </c>
    </row>
    <row r="8" spans="1:12" ht="12.75"/>
    <row r="9" spans="1:12" ht="12.75">
      <c r="A9" t="s">
        <v>177</v>
      </c>
    </row>
    <row r="10" spans="1:12" ht="12.75">
      <c r="A10" t="s">
        <v>178</v>
      </c>
    </row>
    <row r="11" spans="1:12" ht="12.75">
      <c r="A11" t="s">
        <v>179</v>
      </c>
    </row>
    <row r="12" spans="1:12" ht="12.75">
      <c r="A12" t="s">
        <v>180</v>
      </c>
    </row>
    <row r="13" spans="1:12" ht="12.75">
      <c r="A13" t="s">
        <v>181</v>
      </c>
      <c r="C13" t="e">
        <f>#REF!</f>
        <v>#REF!</v>
      </c>
      <c r="E13" t="e">
        <f>#REF!</f>
        <v>#REF!</v>
      </c>
      <c r="G13" t="e">
        <f>#REF!</f>
        <v>#REF!</v>
      </c>
      <c r="I13" t="e">
        <f>#REF!</f>
        <v>#REF!</v>
      </c>
      <c r="K13" t="e">
        <f>#REF!</f>
        <v>#REF!</v>
      </c>
    </row>
    <row r="14" spans="1:12" ht="12.75">
      <c r="A14" t="s">
        <v>182</v>
      </c>
    </row>
    <row r="15" spans="1:12" ht="12.75">
      <c r="A15" t="s">
        <v>183</v>
      </c>
    </row>
    <row r="16" spans="1:12" ht="12.75"/>
    <row r="17" spans="1:12" ht="12.75">
      <c r="A17" t="s">
        <v>171</v>
      </c>
      <c r="B17" t="s">
        <v>187</v>
      </c>
      <c r="C17">
        <f>Sheet1!C15</f>
        <v>18.600000000000001</v>
      </c>
      <c r="D17">
        <f>Sheet1!D15</f>
        <v>18.600000000000001</v>
      </c>
      <c r="E17">
        <f>Sheet1!F15</f>
        <v>19.100000000000001</v>
      </c>
      <c r="F17">
        <f>Sheet1!G15</f>
        <v>19.100000000000001</v>
      </c>
      <c r="G17">
        <f>Sheet1!I15</f>
        <v>19.600000000000001</v>
      </c>
      <c r="H17">
        <f>Sheet1!J15</f>
        <v>19.600000000000001</v>
      </c>
      <c r="I17">
        <f>Sheet1!L15</f>
        <v>20.3</v>
      </c>
      <c r="J17">
        <f>Sheet1!M15</f>
        <v>20.3</v>
      </c>
      <c r="K17">
        <f>Sheet1!O15</f>
        <v>20.9</v>
      </c>
      <c r="L17">
        <f>Sheet1!P15</f>
        <v>20.9</v>
      </c>
    </row>
    <row r="19" spans="1:12" ht="12.75">
      <c r="A19" t="s">
        <v>188</v>
      </c>
      <c r="C19">
        <v>100</v>
      </c>
    </row>
    <row r="20" spans="1:12" ht="12.75">
      <c r="A20" t="s">
        <v>189</v>
      </c>
    </row>
    <row r="21" spans="1:12" ht="12.75">
      <c r="A21" t="s">
        <v>190</v>
      </c>
      <c r="C21">
        <v>63.2</v>
      </c>
      <c r="D21">
        <v>63.4</v>
      </c>
      <c r="E21">
        <v>63.1</v>
      </c>
      <c r="F21">
        <v>63.3</v>
      </c>
      <c r="G21">
        <v>63</v>
      </c>
      <c r="H21">
        <v>63.2</v>
      </c>
      <c r="I21">
        <v>62.9</v>
      </c>
      <c r="J21">
        <v>63.1</v>
      </c>
      <c r="K21">
        <v>62.7</v>
      </c>
      <c r="L21">
        <v>62.9</v>
      </c>
    </row>
    <row r="22" spans="1:12" ht="12.75">
      <c r="A22" t="s">
        <v>191</v>
      </c>
      <c r="C22">
        <v>36.799999999999997</v>
      </c>
      <c r="D22">
        <v>36.6</v>
      </c>
      <c r="E22">
        <v>36.9</v>
      </c>
      <c r="F22">
        <v>36.700000000000003</v>
      </c>
      <c r="G22">
        <v>37</v>
      </c>
      <c r="H22">
        <v>36.799999999999997</v>
      </c>
      <c r="I22">
        <v>37.1</v>
      </c>
      <c r="J22">
        <v>36.9</v>
      </c>
      <c r="K22">
        <v>37.299999999999997</v>
      </c>
      <c r="L22">
        <v>37.1</v>
      </c>
    </row>
    <row r="23" spans="1:12" ht="12.75"/>
    <row r="24" spans="1:12" ht="12.75">
      <c r="A24" t="s">
        <v>40</v>
      </c>
    </row>
    <row r="25" spans="1:12" ht="12.75">
      <c r="A25" t="s">
        <v>192</v>
      </c>
    </row>
    <row r="26" spans="1:12" ht="12.75">
      <c r="A26" t="s">
        <v>193</v>
      </c>
    </row>
    <row r="27" spans="1:12" ht="12.75">
      <c r="A27" t="s">
        <v>194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7"/>
  <sheetViews>
    <sheetView workbookViewId="0"/>
  </sheetViews>
  <sheetFormatPr defaultRowHeight="15"/>
  <sheetData>
    <row r="1" spans="1:13" ht="33">
      <c r="A1" s="400"/>
      <c r="B1" s="390" t="s">
        <v>716</v>
      </c>
      <c r="C1" s="364"/>
      <c r="D1" s="383"/>
      <c r="E1" s="383"/>
      <c r="F1" s="365"/>
      <c r="G1" s="365"/>
      <c r="H1" s="365"/>
      <c r="I1" s="546"/>
      <c r="J1" s="546"/>
      <c r="K1" s="1048"/>
      <c r="L1" s="1048"/>
      <c r="M1" s="1048"/>
    </row>
    <row r="2" spans="1:13" ht="297">
      <c r="A2" s="555"/>
      <c r="B2" s="1047" t="s">
        <v>327</v>
      </c>
      <c r="C2" s="1047"/>
      <c r="D2" s="1047"/>
      <c r="E2" s="1047"/>
      <c r="F2" s="1047"/>
      <c r="G2" s="1047"/>
      <c r="H2" s="1047"/>
      <c r="I2" s="1047"/>
      <c r="J2" s="1047"/>
      <c r="K2" s="1047"/>
    </row>
    <row r="3" spans="1:13" ht="16.5">
      <c r="A3" s="1050" t="s">
        <v>812</v>
      </c>
      <c r="B3" s="1050"/>
      <c r="C3" s="1050"/>
      <c r="D3" s="1050"/>
      <c r="E3" s="1050"/>
      <c r="F3" s="1050"/>
      <c r="G3" s="1050"/>
      <c r="H3" s="1050"/>
      <c r="I3" s="1050"/>
      <c r="J3" s="1050"/>
      <c r="K3" s="1050"/>
      <c r="L3" s="1050"/>
    </row>
    <row r="4" spans="1:13" ht="16.5">
      <c r="A4" s="555"/>
      <c r="B4" s="628"/>
      <c r="C4" s="628"/>
      <c r="D4" s="628"/>
      <c r="E4" s="628"/>
      <c r="F4" s="628"/>
      <c r="G4" s="628"/>
      <c r="H4" s="628"/>
      <c r="I4" s="628"/>
      <c r="J4" s="628"/>
      <c r="K4" s="628"/>
    </row>
    <row r="5" spans="1:13" ht="165">
      <c r="A5" s="1049" t="s">
        <v>494</v>
      </c>
      <c r="B5" s="1049" t="s">
        <v>287</v>
      </c>
      <c r="C5" s="1049" t="s">
        <v>184</v>
      </c>
      <c r="D5" s="1049" t="s">
        <v>317</v>
      </c>
      <c r="E5" s="1049" t="s">
        <v>529</v>
      </c>
      <c r="F5" s="1049" t="s">
        <v>760</v>
      </c>
      <c r="G5" s="1049"/>
      <c r="H5" s="1049"/>
      <c r="I5" s="1049"/>
      <c r="J5" s="1049"/>
      <c r="K5" s="1049" t="s">
        <v>531</v>
      </c>
      <c r="L5" s="1049" t="s">
        <v>532</v>
      </c>
      <c r="M5" s="1049" t="s">
        <v>533</v>
      </c>
    </row>
    <row r="6" spans="1:13" ht="66">
      <c r="A6" s="1049"/>
      <c r="B6" s="1049"/>
      <c r="C6" s="1049"/>
      <c r="D6" s="1049"/>
      <c r="E6" s="1049"/>
      <c r="F6" s="332" t="s">
        <v>706</v>
      </c>
      <c r="G6" s="332" t="s">
        <v>707</v>
      </c>
      <c r="H6" s="332" t="s">
        <v>708</v>
      </c>
      <c r="I6" s="332" t="s">
        <v>709</v>
      </c>
      <c r="J6" s="332" t="s">
        <v>710</v>
      </c>
      <c r="K6" s="1049"/>
      <c r="L6" s="1049"/>
      <c r="M6" s="1049"/>
    </row>
    <row r="7" spans="1:13" ht="49.5">
      <c r="A7" s="336" t="s">
        <v>101</v>
      </c>
      <c r="B7" s="333" t="s">
        <v>288</v>
      </c>
      <c r="C7" s="334"/>
      <c r="D7" s="334"/>
      <c r="E7" s="334"/>
      <c r="F7" s="335"/>
      <c r="G7" s="335"/>
      <c r="H7" s="335"/>
      <c r="I7" s="335"/>
      <c r="J7" s="335"/>
      <c r="K7" s="336"/>
      <c r="L7" s="657"/>
      <c r="M7" s="579"/>
    </row>
    <row r="8" spans="1:13" ht="231">
      <c r="A8" s="336">
        <v>1</v>
      </c>
      <c r="B8" s="337" t="s">
        <v>324</v>
      </c>
      <c r="C8" s="334"/>
      <c r="D8" s="334"/>
      <c r="E8" s="334"/>
      <c r="F8" s="346"/>
      <c r="G8" s="346"/>
      <c r="H8" s="346"/>
      <c r="I8" s="346"/>
      <c r="J8" s="346"/>
      <c r="K8" s="336"/>
      <c r="L8" s="657"/>
      <c r="M8" s="579"/>
    </row>
    <row r="9" spans="1:13" ht="66">
      <c r="A9" s="336"/>
      <c r="B9" s="337" t="s">
        <v>334</v>
      </c>
      <c r="C9" s="345" t="s">
        <v>305</v>
      </c>
      <c r="D9" s="539"/>
      <c r="E9" s="539"/>
      <c r="F9" s="556"/>
      <c r="G9" s="556"/>
      <c r="H9" s="556"/>
      <c r="I9" s="556"/>
      <c r="J9" s="556"/>
      <c r="K9" s="351"/>
      <c r="L9" s="657"/>
      <c r="M9" s="579"/>
    </row>
    <row r="10" spans="1:13" ht="49.5">
      <c r="A10" s="347"/>
      <c r="B10" s="506" t="s">
        <v>333</v>
      </c>
      <c r="C10" s="704" t="s">
        <v>5</v>
      </c>
      <c r="D10" s="705"/>
      <c r="E10" s="705"/>
      <c r="F10" s="557"/>
      <c r="G10" s="557"/>
      <c r="H10" s="557"/>
      <c r="I10" s="557"/>
      <c r="J10" s="557"/>
      <c r="K10" s="825"/>
      <c r="L10" s="658"/>
      <c r="M10" s="580"/>
    </row>
    <row r="11" spans="1:13" ht="82.5">
      <c r="A11" s="336"/>
      <c r="B11" s="341" t="s">
        <v>330</v>
      </c>
      <c r="C11" s="345" t="s">
        <v>305</v>
      </c>
      <c r="D11" s="558"/>
      <c r="E11" s="558"/>
      <c r="F11" s="559"/>
      <c r="G11" s="559"/>
      <c r="H11" s="559"/>
      <c r="I11" s="559"/>
      <c r="J11" s="559"/>
      <c r="K11" s="336"/>
      <c r="L11" s="657"/>
      <c r="M11" s="579"/>
    </row>
    <row r="12" spans="1:13" ht="49.5">
      <c r="A12" s="347"/>
      <c r="B12" s="506" t="s">
        <v>333</v>
      </c>
      <c r="C12" s="706" t="s">
        <v>5</v>
      </c>
      <c r="D12" s="705"/>
      <c r="E12" s="705"/>
      <c r="F12" s="557"/>
      <c r="G12" s="557"/>
      <c r="H12" s="557"/>
      <c r="I12" s="557"/>
      <c r="J12" s="557"/>
      <c r="K12" s="825"/>
      <c r="L12" s="658"/>
      <c r="M12" s="580"/>
    </row>
    <row r="13" spans="1:13" ht="66">
      <c r="A13" s="336"/>
      <c r="B13" s="341" t="s">
        <v>331</v>
      </c>
      <c r="C13" s="345" t="s">
        <v>305</v>
      </c>
      <c r="D13" s="558"/>
      <c r="E13" s="558"/>
      <c r="F13" s="559"/>
      <c r="G13" s="559"/>
      <c r="H13" s="559"/>
      <c r="I13" s="559"/>
      <c r="J13" s="559"/>
      <c r="K13" s="826"/>
      <c r="L13" s="657"/>
      <c r="M13" s="579"/>
    </row>
    <row r="14" spans="1:13" ht="49.5">
      <c r="A14" s="347"/>
      <c r="B14" s="506" t="s">
        <v>333</v>
      </c>
      <c r="C14" s="706" t="s">
        <v>5</v>
      </c>
      <c r="D14" s="705"/>
      <c r="E14" s="705"/>
      <c r="F14" s="557"/>
      <c r="G14" s="557"/>
      <c r="H14" s="557"/>
      <c r="I14" s="557"/>
      <c r="J14" s="557"/>
      <c r="K14" s="825"/>
      <c r="L14" s="658"/>
      <c r="M14" s="580"/>
    </row>
    <row r="15" spans="1:13" ht="33">
      <c r="A15" s="336"/>
      <c r="B15" s="341" t="s">
        <v>332</v>
      </c>
      <c r="C15" s="345" t="s">
        <v>305</v>
      </c>
      <c r="D15" s="558"/>
      <c r="E15" s="558"/>
      <c r="F15" s="559"/>
      <c r="G15" s="559"/>
      <c r="H15" s="559"/>
      <c r="I15" s="559"/>
      <c r="J15" s="559"/>
      <c r="K15" s="336"/>
      <c r="L15" s="657"/>
      <c r="M15" s="579"/>
    </row>
    <row r="16" spans="1:13" ht="49.5">
      <c r="A16" s="347"/>
      <c r="B16" s="506" t="s">
        <v>333</v>
      </c>
      <c r="C16" s="706" t="s">
        <v>5</v>
      </c>
      <c r="D16" s="705"/>
      <c r="E16" s="705"/>
      <c r="F16" s="557"/>
      <c r="G16" s="557"/>
      <c r="H16" s="557"/>
      <c r="I16" s="557"/>
      <c r="J16" s="557"/>
      <c r="K16" s="825"/>
      <c r="L16" s="658"/>
      <c r="M16" s="580"/>
    </row>
    <row r="17" spans="1:13" ht="33">
      <c r="A17" s="336"/>
      <c r="B17" s="340" t="s">
        <v>214</v>
      </c>
      <c r="C17" s="338"/>
      <c r="D17" s="539"/>
      <c r="E17" s="539"/>
      <c r="F17" s="556"/>
      <c r="G17" s="556"/>
      <c r="H17" s="556"/>
      <c r="I17" s="556"/>
      <c r="J17" s="556"/>
      <c r="K17" s="336"/>
      <c r="L17" s="657"/>
      <c r="M17" s="579"/>
    </row>
    <row r="18" spans="1:13" ht="82.5">
      <c r="A18" s="336"/>
      <c r="B18" s="341" t="s">
        <v>289</v>
      </c>
      <c r="C18" s="338" t="s">
        <v>301</v>
      </c>
      <c r="D18" s="707"/>
      <c r="E18" s="707"/>
      <c r="F18" s="560"/>
      <c r="G18" s="560"/>
      <c r="H18" s="560"/>
      <c r="I18" s="560"/>
      <c r="J18" s="560"/>
      <c r="K18" s="825"/>
      <c r="L18" s="657"/>
      <c r="M18" s="579"/>
    </row>
    <row r="19" spans="1:13" ht="66">
      <c r="A19" s="336"/>
      <c r="B19" s="341" t="s">
        <v>290</v>
      </c>
      <c r="C19" s="338" t="s">
        <v>301</v>
      </c>
      <c r="D19" s="707"/>
      <c r="E19" s="707"/>
      <c r="F19" s="558"/>
      <c r="G19" s="558"/>
      <c r="H19" s="558"/>
      <c r="I19" s="558"/>
      <c r="J19" s="558"/>
      <c r="K19" s="825"/>
      <c r="L19" s="657"/>
      <c r="M19" s="579"/>
    </row>
    <row r="20" spans="1:13" ht="33">
      <c r="A20" s="336"/>
      <c r="B20" s="341" t="s">
        <v>291</v>
      </c>
      <c r="C20" s="338" t="s">
        <v>301</v>
      </c>
      <c r="D20" s="707"/>
      <c r="E20" s="707"/>
      <c r="F20" s="558"/>
      <c r="G20" s="558"/>
      <c r="H20" s="558"/>
      <c r="I20" s="558"/>
      <c r="J20" s="558"/>
      <c r="K20" s="825"/>
      <c r="L20" s="657"/>
      <c r="M20" s="579"/>
    </row>
    <row r="21" spans="1:13" ht="66">
      <c r="A21" s="336">
        <v>2</v>
      </c>
      <c r="B21" s="337" t="s">
        <v>325</v>
      </c>
      <c r="C21" s="338"/>
      <c r="D21" s="334"/>
      <c r="E21" s="334"/>
      <c r="F21" s="335"/>
      <c r="G21" s="335"/>
      <c r="H21" s="335"/>
      <c r="I21" s="335"/>
      <c r="J21" s="335"/>
      <c r="K21" s="336"/>
      <c r="L21" s="657"/>
      <c r="M21" s="579"/>
    </row>
    <row r="22" spans="1:13" ht="66">
      <c r="A22" s="339"/>
      <c r="B22" s="341" t="s">
        <v>314</v>
      </c>
      <c r="C22" s="338" t="s">
        <v>306</v>
      </c>
      <c r="D22" s="558"/>
      <c r="E22" s="558"/>
      <c r="F22" s="345"/>
      <c r="G22" s="345"/>
      <c r="H22" s="345"/>
      <c r="I22" s="345"/>
      <c r="J22" s="345"/>
      <c r="K22" s="561"/>
      <c r="L22" s="659"/>
      <c r="M22" s="581"/>
    </row>
    <row r="23" spans="1:13" ht="66">
      <c r="A23" s="339"/>
      <c r="B23" s="341" t="s">
        <v>315</v>
      </c>
      <c r="C23" s="338" t="s">
        <v>302</v>
      </c>
      <c r="D23" s="562"/>
      <c r="E23" s="562"/>
      <c r="F23" s="562"/>
      <c r="G23" s="562"/>
      <c r="H23" s="562"/>
      <c r="I23" s="563"/>
      <c r="J23" s="563"/>
      <c r="K23" s="561"/>
      <c r="L23" s="659"/>
      <c r="M23" s="581"/>
    </row>
    <row r="24" spans="1:13" ht="99">
      <c r="A24" s="339"/>
      <c r="B24" s="341" t="s">
        <v>316</v>
      </c>
      <c r="C24" s="338" t="s">
        <v>303</v>
      </c>
      <c r="D24" s="345"/>
      <c r="E24" s="345"/>
      <c r="F24" s="345"/>
      <c r="G24" s="345"/>
      <c r="H24" s="345"/>
      <c r="I24" s="345"/>
      <c r="J24" s="345"/>
      <c r="K24" s="561"/>
      <c r="L24" s="659"/>
      <c r="M24" s="581"/>
    </row>
    <row r="25" spans="1:13" ht="66">
      <c r="A25" s="336">
        <v>3</v>
      </c>
      <c r="B25" s="337" t="s">
        <v>337</v>
      </c>
      <c r="C25" s="338"/>
      <c r="D25" s="334"/>
      <c r="E25" s="334"/>
      <c r="F25" s="335"/>
      <c r="G25" s="335"/>
      <c r="H25" s="335"/>
      <c r="I25" s="335"/>
      <c r="J25" s="335"/>
      <c r="K25" s="336"/>
      <c r="L25" s="657"/>
      <c r="M25" s="579"/>
    </row>
    <row r="26" spans="1:13" ht="66">
      <c r="A26" s="350"/>
      <c r="B26" s="348" t="s">
        <v>334</v>
      </c>
      <c r="C26" s="349" t="s">
        <v>305</v>
      </c>
      <c r="D26" s="708"/>
      <c r="E26" s="708"/>
      <c r="F26" s="564"/>
      <c r="G26" s="564"/>
      <c r="H26" s="564"/>
      <c r="I26" s="564"/>
      <c r="J26" s="564"/>
      <c r="K26" s="352"/>
      <c r="L26" s="660"/>
      <c r="M26" s="582"/>
    </row>
    <row r="27" spans="1:13" ht="33">
      <c r="A27" s="339"/>
      <c r="B27" s="340" t="s">
        <v>338</v>
      </c>
      <c r="C27" s="345"/>
      <c r="D27" s="709"/>
      <c r="E27" s="709"/>
      <c r="F27" s="565"/>
      <c r="G27" s="565"/>
      <c r="H27" s="565"/>
      <c r="I27" s="565"/>
      <c r="J27" s="565"/>
      <c r="K27" s="510"/>
      <c r="L27" s="659"/>
      <c r="M27" s="581"/>
    </row>
    <row r="28" spans="1:13" ht="82.5">
      <c r="A28" s="336"/>
      <c r="B28" s="341" t="s">
        <v>330</v>
      </c>
      <c r="C28" s="345" t="s">
        <v>305</v>
      </c>
      <c r="D28" s="334"/>
      <c r="E28" s="334"/>
      <c r="F28" s="559"/>
      <c r="G28" s="559"/>
      <c r="H28" s="559"/>
      <c r="I28" s="559"/>
      <c r="J28" s="559"/>
      <c r="K28" s="351"/>
      <c r="L28" s="657"/>
      <c r="M28" s="579"/>
    </row>
    <row r="29" spans="1:13" ht="49.5">
      <c r="A29" s="347"/>
      <c r="B29" s="506" t="s">
        <v>333</v>
      </c>
      <c r="C29" s="710"/>
      <c r="D29" s="711"/>
      <c r="E29" s="711"/>
      <c r="F29" s="566"/>
      <c r="G29" s="567"/>
      <c r="H29" s="568"/>
      <c r="I29" s="567"/>
      <c r="J29" s="567"/>
      <c r="K29" s="825"/>
      <c r="L29" s="658"/>
      <c r="M29" s="580"/>
    </row>
    <row r="30" spans="1:13" ht="66">
      <c r="A30" s="336"/>
      <c r="B30" s="341" t="s">
        <v>331</v>
      </c>
      <c r="C30" s="345" t="s">
        <v>305</v>
      </c>
      <c r="D30" s="712"/>
      <c r="E30" s="712"/>
      <c r="F30" s="559"/>
      <c r="G30" s="559"/>
      <c r="H30" s="559"/>
      <c r="I30" s="559"/>
      <c r="J30" s="559"/>
      <c r="K30" s="522"/>
      <c r="L30" s="657"/>
      <c r="M30" s="579"/>
    </row>
    <row r="31" spans="1:13" ht="49.5">
      <c r="A31" s="347"/>
      <c r="B31" s="506" t="s">
        <v>333</v>
      </c>
      <c r="C31" s="710"/>
      <c r="D31" s="711"/>
      <c r="E31" s="711"/>
      <c r="F31" s="568"/>
      <c r="G31" s="568"/>
      <c r="H31" s="568"/>
      <c r="I31" s="568"/>
      <c r="J31" s="568"/>
      <c r="K31" s="825"/>
      <c r="L31" s="658"/>
      <c r="M31" s="580"/>
    </row>
    <row r="32" spans="1:13" ht="33">
      <c r="A32" s="336"/>
      <c r="B32" s="341" t="s">
        <v>332</v>
      </c>
      <c r="C32" s="345" t="s">
        <v>305</v>
      </c>
      <c r="D32" s="712"/>
      <c r="E32" s="712"/>
      <c r="F32" s="559"/>
      <c r="G32" s="559"/>
      <c r="H32" s="559"/>
      <c r="I32" s="559"/>
      <c r="J32" s="559"/>
      <c r="K32" s="351"/>
      <c r="L32" s="657"/>
      <c r="M32" s="579"/>
    </row>
    <row r="33" spans="1:13" ht="49.5">
      <c r="A33" s="347"/>
      <c r="B33" s="506" t="s">
        <v>333</v>
      </c>
      <c r="C33" s="710"/>
      <c r="D33" s="711"/>
      <c r="E33" s="711"/>
      <c r="F33" s="568"/>
      <c r="G33" s="568"/>
      <c r="H33" s="568"/>
      <c r="I33" s="568"/>
      <c r="J33" s="568"/>
      <c r="K33" s="825"/>
      <c r="L33" s="658"/>
      <c r="M33" s="580"/>
    </row>
    <row r="34" spans="1:13" ht="33">
      <c r="A34" s="336"/>
      <c r="B34" s="348" t="s">
        <v>335</v>
      </c>
      <c r="C34" s="349"/>
      <c r="D34" s="334"/>
      <c r="E34" s="334"/>
      <c r="F34" s="349"/>
      <c r="G34" s="349"/>
      <c r="H34" s="349"/>
      <c r="I34" s="349"/>
      <c r="J34" s="349"/>
      <c r="K34" s="349"/>
      <c r="L34" s="657"/>
      <c r="M34" s="579"/>
    </row>
    <row r="35" spans="1:13" ht="82.5">
      <c r="A35" s="339"/>
      <c r="B35" s="341" t="s">
        <v>289</v>
      </c>
      <c r="C35" s="338" t="s">
        <v>301</v>
      </c>
      <c r="D35" s="713"/>
      <c r="E35" s="713"/>
      <c r="F35" s="569"/>
      <c r="G35" s="569"/>
      <c r="H35" s="569"/>
      <c r="I35" s="569"/>
      <c r="J35" s="569"/>
      <c r="K35" s="825"/>
      <c r="L35" s="659"/>
      <c r="M35" s="581"/>
    </row>
    <row r="36" spans="1:13" ht="66">
      <c r="A36" s="339"/>
      <c r="B36" s="341" t="s">
        <v>290</v>
      </c>
      <c r="C36" s="338" t="s">
        <v>301</v>
      </c>
      <c r="D36" s="713"/>
      <c r="E36" s="713"/>
      <c r="F36" s="569"/>
      <c r="G36" s="569"/>
      <c r="H36" s="569"/>
      <c r="I36" s="569"/>
      <c r="J36" s="569"/>
      <c r="K36" s="825"/>
      <c r="L36" s="659"/>
      <c r="M36" s="581"/>
    </row>
    <row r="37" spans="1:13" ht="33">
      <c r="A37" s="339"/>
      <c r="B37" s="341" t="s">
        <v>291</v>
      </c>
      <c r="C37" s="338" t="s">
        <v>301</v>
      </c>
      <c r="D37" s="713"/>
      <c r="E37" s="713"/>
      <c r="F37" s="569"/>
      <c r="G37" s="569"/>
      <c r="H37" s="569"/>
      <c r="I37" s="569"/>
      <c r="J37" s="569"/>
      <c r="K37" s="825"/>
      <c r="L37" s="659"/>
      <c r="M37" s="581"/>
    </row>
    <row r="38" spans="1:13" ht="99">
      <c r="A38" s="336">
        <v>4</v>
      </c>
      <c r="B38" s="337" t="s">
        <v>312</v>
      </c>
      <c r="C38" s="338" t="s">
        <v>301</v>
      </c>
      <c r="D38" s="334"/>
      <c r="E38" s="334"/>
      <c r="F38" s="334"/>
      <c r="G38" s="334"/>
      <c r="H38" s="334"/>
      <c r="I38" s="334"/>
      <c r="J38" s="334"/>
      <c r="K38" s="359"/>
      <c r="L38" s="657"/>
      <c r="M38" s="579"/>
    </row>
    <row r="39" spans="1:13" ht="66">
      <c r="A39" s="339">
        <v>1</v>
      </c>
      <c r="B39" s="341" t="s">
        <v>336</v>
      </c>
      <c r="C39" s="338" t="s">
        <v>342</v>
      </c>
      <c r="D39" s="338"/>
      <c r="E39" s="338"/>
      <c r="F39" s="933">
        <v>278.61900000000003</v>
      </c>
      <c r="G39" s="933">
        <v>144.99299999999999</v>
      </c>
      <c r="H39" s="933">
        <v>165.797</v>
      </c>
      <c r="I39" s="933">
        <v>220.44800000000001</v>
      </c>
      <c r="J39" s="933">
        <v>161.81399999999999</v>
      </c>
      <c r="K39" s="933">
        <f>F39+G39+H39+I39+J39</f>
        <v>971.67099999999994</v>
      </c>
      <c r="L39" s="659"/>
      <c r="M39" s="581"/>
    </row>
    <row r="40" spans="1:13" ht="115.5">
      <c r="A40" s="336">
        <v>6</v>
      </c>
      <c r="B40" s="341" t="s">
        <v>534</v>
      </c>
      <c r="C40" s="338" t="s">
        <v>5</v>
      </c>
      <c r="D40" s="338"/>
      <c r="E40" s="338"/>
      <c r="F40" s="338"/>
      <c r="G40" s="338"/>
      <c r="H40" s="338"/>
      <c r="I40" s="338"/>
      <c r="J40" s="338"/>
      <c r="K40" s="521"/>
      <c r="L40" s="657"/>
      <c r="M40" s="579"/>
    </row>
    <row r="41" spans="1:13" ht="132">
      <c r="A41" s="336">
        <v>7</v>
      </c>
      <c r="B41" s="341" t="s">
        <v>535</v>
      </c>
      <c r="C41" s="714" t="s">
        <v>5</v>
      </c>
      <c r="D41" s="715"/>
      <c r="E41" s="715"/>
      <c r="F41" s="570"/>
      <c r="G41" s="570"/>
      <c r="H41" s="570"/>
      <c r="I41" s="570"/>
      <c r="J41" s="570"/>
      <c r="K41" s="827"/>
      <c r="L41" s="658"/>
      <c r="M41" s="580"/>
    </row>
    <row r="42" spans="1:13" ht="148.5">
      <c r="A42" s="336">
        <v>5</v>
      </c>
      <c r="B42" s="337" t="s">
        <v>313</v>
      </c>
      <c r="C42" s="338" t="s">
        <v>301</v>
      </c>
      <c r="D42" s="716"/>
      <c r="E42" s="716"/>
      <c r="F42" s="571"/>
      <c r="G42" s="571"/>
      <c r="H42" s="571"/>
      <c r="I42" s="571"/>
      <c r="J42" s="571"/>
      <c r="K42" s="828"/>
      <c r="L42" s="657"/>
      <c r="M42" s="579"/>
    </row>
    <row r="43" spans="1:13" ht="49.5">
      <c r="A43" s="336">
        <v>6</v>
      </c>
      <c r="B43" s="337" t="s">
        <v>292</v>
      </c>
      <c r="C43" s="338"/>
      <c r="D43" s="538"/>
      <c r="E43" s="538"/>
      <c r="F43" s="538"/>
      <c r="G43" s="538"/>
      <c r="H43" s="538"/>
      <c r="I43" s="538"/>
      <c r="J43" s="538"/>
      <c r="K43" s="508"/>
      <c r="L43" s="657"/>
      <c r="M43" s="579"/>
    </row>
    <row r="44" spans="1:13" ht="115.5">
      <c r="A44" s="339"/>
      <c r="B44" s="341" t="s">
        <v>293</v>
      </c>
      <c r="C44" s="338" t="s">
        <v>519</v>
      </c>
      <c r="D44" s="717"/>
      <c r="E44" s="717"/>
      <c r="F44" s="356"/>
      <c r="G44" s="356"/>
      <c r="H44" s="356"/>
      <c r="I44" s="356"/>
      <c r="J44" s="342"/>
      <c r="K44" s="358"/>
      <c r="L44" s="659"/>
      <c r="M44" s="581"/>
    </row>
    <row r="45" spans="1:13" ht="66">
      <c r="A45" s="339"/>
      <c r="B45" s="340" t="s">
        <v>294</v>
      </c>
      <c r="C45" s="338" t="s">
        <v>301</v>
      </c>
      <c r="D45" s="717"/>
      <c r="E45" s="717"/>
      <c r="F45" s="353"/>
      <c r="G45" s="357"/>
      <c r="H45" s="357"/>
      <c r="I45" s="357"/>
      <c r="J45" s="353"/>
      <c r="K45" s="825"/>
      <c r="L45" s="661"/>
      <c r="M45" s="583"/>
    </row>
    <row r="46" spans="1:13" ht="82.5">
      <c r="A46" s="339"/>
      <c r="B46" s="343" t="s">
        <v>309</v>
      </c>
      <c r="C46" s="338" t="s">
        <v>303</v>
      </c>
      <c r="D46" s="717"/>
      <c r="E46" s="717"/>
      <c r="F46" s="356"/>
      <c r="G46" s="356"/>
      <c r="H46" s="356"/>
      <c r="I46" s="356"/>
      <c r="J46" s="354"/>
      <c r="K46" s="339"/>
      <c r="L46" s="659"/>
      <c r="M46" s="581"/>
    </row>
    <row r="47" spans="1:13" ht="115.5">
      <c r="A47" s="339"/>
      <c r="B47" s="572" t="s">
        <v>295</v>
      </c>
      <c r="C47" s="338" t="s">
        <v>519</v>
      </c>
      <c r="D47" s="717"/>
      <c r="E47" s="717"/>
      <c r="F47" s="356"/>
      <c r="G47" s="356"/>
      <c r="H47" s="356"/>
      <c r="I47" s="356"/>
      <c r="J47" s="342"/>
      <c r="K47" s="358"/>
      <c r="L47" s="659"/>
      <c r="M47" s="581"/>
    </row>
    <row r="48" spans="1:13" ht="33">
      <c r="A48" s="695"/>
      <c r="B48" s="696" t="s">
        <v>665</v>
      </c>
      <c r="C48" s="697" t="s">
        <v>519</v>
      </c>
      <c r="D48" s="698"/>
      <c r="E48" s="698"/>
      <c r="F48" s="699"/>
      <c r="G48" s="699"/>
      <c r="H48" s="699"/>
      <c r="I48" s="699"/>
      <c r="J48" s="700"/>
      <c r="K48" s="701"/>
      <c r="L48" s="702"/>
      <c r="M48" s="702"/>
    </row>
    <row r="49" spans="1:14" ht="148.5">
      <c r="A49" s="695"/>
      <c r="B49" s="696" t="s">
        <v>666</v>
      </c>
      <c r="C49" s="703" t="s">
        <v>5</v>
      </c>
      <c r="D49" s="698"/>
      <c r="E49" s="698"/>
      <c r="F49" s="699"/>
      <c r="G49" s="699"/>
      <c r="H49" s="699"/>
      <c r="I49" s="699"/>
      <c r="J49" s="700"/>
      <c r="K49" s="701"/>
      <c r="L49" s="702"/>
      <c r="M49" s="702"/>
    </row>
    <row r="50" spans="1:14" ht="66">
      <c r="A50" s="339"/>
      <c r="B50" s="343" t="s">
        <v>299</v>
      </c>
      <c r="C50" s="338" t="s">
        <v>519</v>
      </c>
      <c r="D50" s="717"/>
      <c r="E50" s="717"/>
      <c r="F50" s="356"/>
      <c r="G50" s="356"/>
      <c r="H50" s="356"/>
      <c r="I50" s="356"/>
      <c r="J50" s="342"/>
      <c r="K50" s="573"/>
      <c r="L50" s="659"/>
      <c r="M50" s="581"/>
    </row>
    <row r="51" spans="1:14" ht="66">
      <c r="A51" s="621">
        <v>2</v>
      </c>
      <c r="B51" s="622" t="s">
        <v>580</v>
      </c>
      <c r="C51" s="623"/>
      <c r="D51" s="717"/>
      <c r="E51" s="717"/>
      <c r="F51" s="1030"/>
      <c r="G51" s="356"/>
      <c r="H51" s="356"/>
      <c r="I51" s="356"/>
      <c r="J51" s="342"/>
      <c r="K51" s="573"/>
      <c r="L51" s="659"/>
      <c r="M51" s="581"/>
    </row>
    <row r="52" spans="1:14" ht="132">
      <c r="A52" s="623"/>
      <c r="B52" s="624" t="s">
        <v>581</v>
      </c>
      <c r="C52" s="623" t="s">
        <v>342</v>
      </c>
      <c r="D52" s="933">
        <v>2216.4899999999998</v>
      </c>
      <c r="E52" s="933">
        <v>3080.5304380959997</v>
      </c>
      <c r="F52" s="932">
        <v>536.40120002799995</v>
      </c>
      <c r="G52" s="933">
        <v>508.92598602700002</v>
      </c>
      <c r="H52" s="933">
        <v>647.68662302599989</v>
      </c>
      <c r="I52" s="933">
        <v>721.681629015</v>
      </c>
      <c r="J52" s="933">
        <v>665.83500000000004</v>
      </c>
      <c r="K52" s="933">
        <v>3080.5304380959997</v>
      </c>
      <c r="L52" s="659" t="s">
        <v>36</v>
      </c>
      <c r="M52" s="581"/>
    </row>
    <row r="53" spans="1:14" ht="33">
      <c r="A53" s="621"/>
      <c r="B53" s="624" t="s">
        <v>582</v>
      </c>
      <c r="C53" s="623" t="s">
        <v>342</v>
      </c>
      <c r="D53" s="344">
        <v>48.24</v>
      </c>
      <c r="E53" s="344">
        <f>0.09915*1000</f>
        <v>99.15</v>
      </c>
      <c r="F53" s="879">
        <f>1000*0.039068624829</f>
        <v>39.068624828999994</v>
      </c>
      <c r="G53" s="879">
        <f>1000*0.014753676472</f>
        <v>14.753676472</v>
      </c>
      <c r="H53" s="879">
        <f>1000*0.01575616708</f>
        <v>15.756167080000001</v>
      </c>
      <c r="I53" s="879">
        <f>1000*0.014074783073</f>
        <v>14.074783073000001</v>
      </c>
      <c r="J53" s="344">
        <f>1000*0.0155</f>
        <v>15.5</v>
      </c>
      <c r="K53" s="879">
        <f>SUM(F53:J53)</f>
        <v>99.153251453999999</v>
      </c>
      <c r="L53" s="659" t="s">
        <v>36</v>
      </c>
      <c r="M53" s="581"/>
    </row>
    <row r="54" spans="1:14" ht="33">
      <c r="A54" s="623"/>
      <c r="B54" s="625" t="s">
        <v>214</v>
      </c>
      <c r="C54" s="623"/>
      <c r="D54" s="717"/>
      <c r="E54" s="717"/>
      <c r="F54" s="356"/>
      <c r="G54" s="1026"/>
      <c r="H54" s="1026"/>
      <c r="I54" s="1026"/>
      <c r="J54" s="1027"/>
      <c r="K54" s="573"/>
      <c r="L54" s="659"/>
      <c r="M54" s="581"/>
    </row>
    <row r="55" spans="1:14" ht="66">
      <c r="A55" s="623"/>
      <c r="B55" s="624" t="s">
        <v>583</v>
      </c>
      <c r="C55" s="623" t="s">
        <v>342</v>
      </c>
      <c r="D55" s="933">
        <v>33.134</v>
      </c>
      <c r="E55" s="933">
        <f>SUM(F55:J55)</f>
        <v>34.524249333000007</v>
      </c>
      <c r="F55" s="933">
        <v>28.053600941999999</v>
      </c>
      <c r="G55" s="933">
        <v>1.327698</v>
      </c>
      <c r="H55" s="933">
        <v>2.2713979520000001</v>
      </c>
      <c r="I55" s="933">
        <v>1.351552439</v>
      </c>
      <c r="J55" s="933">
        <v>1.52</v>
      </c>
      <c r="K55" s="933">
        <f>SUM(F55:J55)</f>
        <v>34.524249333000007</v>
      </c>
      <c r="L55" s="659" t="s">
        <v>36</v>
      </c>
      <c r="M55" s="581"/>
    </row>
    <row r="56" spans="1:14" ht="66">
      <c r="A56" s="621"/>
      <c r="B56" s="624" t="s">
        <v>584</v>
      </c>
      <c r="C56" s="623" t="s">
        <v>342</v>
      </c>
      <c r="D56" s="717"/>
      <c r="E56" s="717"/>
      <c r="F56" s="356"/>
      <c r="G56" s="1026"/>
      <c r="H56" s="1026"/>
      <c r="I56" s="1026"/>
      <c r="J56" s="1027"/>
      <c r="K56" s="573"/>
      <c r="L56" s="659"/>
      <c r="M56" s="581"/>
    </row>
    <row r="57" spans="1:14" ht="132">
      <c r="A57" s="621"/>
      <c r="B57" s="624" t="s">
        <v>585</v>
      </c>
      <c r="C57" s="623" t="s">
        <v>342</v>
      </c>
      <c r="D57" s="933">
        <v>48.24</v>
      </c>
      <c r="E57" s="933">
        <f>SUM(F57:J57)</f>
        <v>98.435040181600016</v>
      </c>
      <c r="F57" s="933">
        <f>F59+F60</f>
        <v>39.068624829000001</v>
      </c>
      <c r="G57" s="933">
        <f>G59+G60</f>
        <v>14.0344651996</v>
      </c>
      <c r="H57" s="933">
        <f t="shared" ref="H57:I57" si="0">H59+H60</f>
        <v>15.756167080000001</v>
      </c>
      <c r="I57" s="933">
        <f t="shared" si="0"/>
        <v>14.074783072999999</v>
      </c>
      <c r="J57" s="933">
        <f>J59+J60</f>
        <v>15.500999999999999</v>
      </c>
      <c r="K57" s="933">
        <f>SUM(F57:J57)</f>
        <v>98.435040181600016</v>
      </c>
      <c r="L57" s="659" t="s">
        <v>36</v>
      </c>
      <c r="M57" s="581"/>
      <c r="N57" s="1028"/>
    </row>
    <row r="58" spans="1:14" ht="33">
      <c r="A58" s="623"/>
      <c r="B58" s="625" t="s">
        <v>214</v>
      </c>
      <c r="C58" s="623"/>
      <c r="D58" s="717"/>
      <c r="E58" s="717"/>
      <c r="F58" s="356"/>
      <c r="G58" s="356"/>
      <c r="H58" s="356"/>
      <c r="I58" s="356"/>
      <c r="J58" s="342"/>
      <c r="K58" s="573"/>
      <c r="L58" s="659"/>
      <c r="M58" s="581"/>
    </row>
    <row r="59" spans="1:14" ht="99">
      <c r="A59" s="623"/>
      <c r="B59" s="624" t="s">
        <v>586</v>
      </c>
      <c r="C59" s="623" t="s">
        <v>342</v>
      </c>
      <c r="D59" s="932">
        <v>33.097999999999999</v>
      </c>
      <c r="E59" s="933">
        <f>SUM(F59:J59)</f>
        <v>89.549540258999997</v>
      </c>
      <c r="F59" s="933">
        <v>32.723064178999998</v>
      </c>
      <c r="G59" s="933">
        <v>13.954552836</v>
      </c>
      <c r="H59" s="933">
        <f>15.75616708-H60</f>
        <v>14.747434593000001</v>
      </c>
      <c r="I59" s="933">
        <v>13.493488651</v>
      </c>
      <c r="J59" s="933">
        <f>14.941-0.31</f>
        <v>14.631</v>
      </c>
      <c r="K59" s="933">
        <f t="shared" ref="K59:K60" si="1">SUM(F59:J59)</f>
        <v>89.549540258999997</v>
      </c>
      <c r="L59" s="659" t="s">
        <v>36</v>
      </c>
      <c r="M59" s="581"/>
    </row>
    <row r="60" spans="1:14" ht="165">
      <c r="A60" s="621"/>
      <c r="B60" s="624" t="s">
        <v>587</v>
      </c>
      <c r="C60" s="623" t="s">
        <v>342</v>
      </c>
      <c r="D60" s="933">
        <f>D57-D59</f>
        <v>15.142000000000003</v>
      </c>
      <c r="E60" s="933">
        <f t="shared" ref="E60:E65" si="2">SUM(F60:J60)</f>
        <v>8.8854999225999993</v>
      </c>
      <c r="F60" s="933">
        <v>6.3455606500000004</v>
      </c>
      <c r="G60" s="933">
        <v>7.9912363599999994E-2</v>
      </c>
      <c r="H60" s="933">
        <v>1.0087324870000001</v>
      </c>
      <c r="I60" s="933">
        <v>0.58129442200000003</v>
      </c>
      <c r="J60" s="933">
        <f>0.87</f>
        <v>0.87</v>
      </c>
      <c r="K60" s="933">
        <f t="shared" si="1"/>
        <v>8.8854999225999993</v>
      </c>
      <c r="L60" s="659" t="s">
        <v>36</v>
      </c>
      <c r="M60" s="581"/>
    </row>
    <row r="61" spans="1:14" ht="66">
      <c r="A61" s="621">
        <v>3</v>
      </c>
      <c r="B61" s="622" t="s">
        <v>588</v>
      </c>
      <c r="C61" s="623" t="s">
        <v>342</v>
      </c>
      <c r="D61" s="717"/>
      <c r="E61" s="717"/>
      <c r="F61" s="356"/>
      <c r="G61" s="356"/>
      <c r="H61" s="356"/>
      <c r="I61" s="356"/>
      <c r="J61" s="342"/>
      <c r="K61" s="573"/>
      <c r="L61" s="659"/>
      <c r="M61" s="581"/>
    </row>
    <row r="62" spans="1:14" ht="99">
      <c r="A62" s="623"/>
      <c r="B62" s="624" t="s">
        <v>589</v>
      </c>
      <c r="C62" s="623" t="s">
        <v>342</v>
      </c>
      <c r="D62" s="933">
        <v>2203.5086619799999</v>
      </c>
      <c r="E62" s="933">
        <f t="shared" si="2"/>
        <v>3075.6488966860002</v>
      </c>
      <c r="F62" s="933">
        <v>535.949782325</v>
      </c>
      <c r="G62" s="933">
        <v>506.68867509200004</v>
      </c>
      <c r="H62" s="933">
        <v>646.52037113199992</v>
      </c>
      <c r="I62" s="933">
        <v>720.65602247900006</v>
      </c>
      <c r="J62" s="933">
        <v>665.83404565800004</v>
      </c>
      <c r="K62" s="933">
        <f>SUM(F62:J62)</f>
        <v>3075.6488966860002</v>
      </c>
      <c r="L62" s="659" t="s">
        <v>36</v>
      </c>
      <c r="M62" s="581"/>
    </row>
    <row r="63" spans="1:14" ht="33">
      <c r="A63" s="623"/>
      <c r="B63" s="625" t="s">
        <v>214</v>
      </c>
      <c r="C63" s="623"/>
      <c r="D63" s="717"/>
      <c r="E63" s="717"/>
      <c r="F63" s="356"/>
      <c r="G63" s="356"/>
      <c r="H63" s="356"/>
      <c r="I63" s="356"/>
      <c r="J63" s="342"/>
      <c r="K63" s="573"/>
      <c r="L63" s="659"/>
      <c r="M63" s="581"/>
    </row>
    <row r="64" spans="1:14" ht="33">
      <c r="A64" s="621"/>
      <c r="B64" s="624" t="s">
        <v>590</v>
      </c>
      <c r="C64" s="623" t="s">
        <v>342</v>
      </c>
      <c r="D64" s="933">
        <v>10.78260951</v>
      </c>
      <c r="E64" s="933">
        <f t="shared" si="2"/>
        <v>39.394887986000001</v>
      </c>
      <c r="F64" s="933">
        <v>23.040948897</v>
      </c>
      <c r="G64" s="933">
        <v>5.9898177200000005</v>
      </c>
      <c r="H64" s="933">
        <v>6.3534113740000002</v>
      </c>
      <c r="I64" s="933">
        <v>2.2107099949999998</v>
      </c>
      <c r="J64" s="933">
        <v>1.8</v>
      </c>
      <c r="K64" s="933">
        <f t="shared" ref="K64:K65" si="3">SUM(F64:J64)</f>
        <v>39.394887986000001</v>
      </c>
      <c r="L64" s="659" t="s">
        <v>36</v>
      </c>
      <c r="M64" s="581"/>
    </row>
    <row r="65" spans="1:14" ht="198">
      <c r="A65" s="623"/>
      <c r="B65" s="624" t="s">
        <v>591</v>
      </c>
      <c r="C65" s="623" t="s">
        <v>342</v>
      </c>
      <c r="D65" s="933">
        <v>2192.72605247</v>
      </c>
      <c r="E65" s="933">
        <f t="shared" si="2"/>
        <v>3036.2540087000002</v>
      </c>
      <c r="F65" s="933">
        <f>F62-F64</f>
        <v>512.90883342799998</v>
      </c>
      <c r="G65" s="933">
        <v>500.69885737200002</v>
      </c>
      <c r="H65" s="933">
        <v>640.16695975799996</v>
      </c>
      <c r="I65" s="933">
        <v>718.44531248400006</v>
      </c>
      <c r="J65" s="933">
        <f>J62-J64</f>
        <v>664.03404565800008</v>
      </c>
      <c r="K65" s="933">
        <f t="shared" si="3"/>
        <v>3036.2540087000002</v>
      </c>
      <c r="L65" s="659" t="s">
        <v>36</v>
      </c>
      <c r="M65" s="581"/>
    </row>
    <row r="66" spans="1:14" ht="16.5">
      <c r="A66" s="339"/>
      <c r="B66" s="343"/>
      <c r="C66" s="338"/>
      <c r="D66" s="717"/>
      <c r="E66" s="717"/>
      <c r="F66" s="356"/>
      <c r="G66" s="356"/>
      <c r="H66" s="356"/>
      <c r="I66" s="356"/>
      <c r="J66" s="342"/>
      <c r="K66" s="573"/>
      <c r="L66" s="659"/>
      <c r="M66" s="581"/>
    </row>
    <row r="67" spans="1:14" ht="66">
      <c r="A67" s="336">
        <v>7</v>
      </c>
      <c r="B67" s="337" t="s">
        <v>278</v>
      </c>
      <c r="C67" s="338" t="s">
        <v>301</v>
      </c>
      <c r="D67" s="334"/>
      <c r="E67" s="334"/>
      <c r="F67" s="335"/>
      <c r="G67" s="335"/>
      <c r="H67" s="335"/>
      <c r="I67" s="335"/>
      <c r="J67" s="335"/>
      <c r="K67" s="336"/>
      <c r="L67" s="657"/>
      <c r="M67" s="579"/>
    </row>
    <row r="68" spans="1:14" ht="49.5">
      <c r="A68" s="336" t="s">
        <v>102</v>
      </c>
      <c r="B68" s="337" t="s">
        <v>297</v>
      </c>
      <c r="C68" s="338"/>
      <c r="D68" s="334"/>
      <c r="E68" s="334"/>
      <c r="F68" s="335"/>
      <c r="G68" s="335"/>
      <c r="H68" s="335"/>
      <c r="I68" s="335"/>
      <c r="J68" s="335"/>
      <c r="K68" s="336"/>
      <c r="L68" s="657"/>
      <c r="M68" s="579"/>
    </row>
    <row r="69" spans="1:14" ht="49.5">
      <c r="A69" s="339">
        <v>1</v>
      </c>
      <c r="B69" s="343" t="s">
        <v>729</v>
      </c>
      <c r="C69" s="338" t="s">
        <v>461</v>
      </c>
      <c r="D69" s="871">
        <v>51942</v>
      </c>
      <c r="E69" s="871">
        <v>55577</v>
      </c>
      <c r="F69" s="871">
        <v>52539</v>
      </c>
      <c r="G69" s="871">
        <v>53135</v>
      </c>
      <c r="H69" s="871">
        <v>53738</v>
      </c>
      <c r="I69" s="871">
        <v>57729</v>
      </c>
      <c r="J69" s="871">
        <v>59033</v>
      </c>
      <c r="K69" s="871">
        <v>59033</v>
      </c>
      <c r="L69" s="659" t="s">
        <v>42</v>
      </c>
      <c r="M69" s="581"/>
    </row>
    <row r="70" spans="1:14" ht="49.5">
      <c r="A70" s="339">
        <v>2</v>
      </c>
      <c r="B70" s="343" t="s">
        <v>728</v>
      </c>
      <c r="C70" s="456" t="s">
        <v>562</v>
      </c>
      <c r="D70" s="344">
        <v>16.399999999999999</v>
      </c>
      <c r="E70" s="344">
        <v>19.2</v>
      </c>
      <c r="F70" s="344">
        <v>24.9</v>
      </c>
      <c r="G70" s="344">
        <v>23.2</v>
      </c>
      <c r="H70" s="344">
        <v>21.6</v>
      </c>
      <c r="I70" s="344">
        <v>21.2</v>
      </c>
      <c r="J70" s="344">
        <v>19.399999999999999</v>
      </c>
      <c r="K70" s="872">
        <v>19.399999999999999</v>
      </c>
      <c r="L70" s="659" t="s">
        <v>42</v>
      </c>
      <c r="M70" s="581"/>
    </row>
    <row r="71" spans="1:14" ht="115.5">
      <c r="A71" s="339">
        <v>3</v>
      </c>
      <c r="B71" s="341" t="s">
        <v>596</v>
      </c>
      <c r="C71" s="722"/>
      <c r="D71" s="344"/>
      <c r="E71" s="558"/>
      <c r="F71" s="354"/>
      <c r="G71" s="354"/>
      <c r="H71" s="354"/>
      <c r="I71" s="354"/>
      <c r="J71" s="574"/>
      <c r="K71" s="510"/>
      <c r="L71" s="659"/>
      <c r="M71" s="581"/>
    </row>
    <row r="72" spans="1:14" ht="115.5">
      <c r="A72" s="586" t="s">
        <v>284</v>
      </c>
      <c r="B72" s="343" t="s">
        <v>730</v>
      </c>
      <c r="C72" s="722" t="s">
        <v>5</v>
      </c>
      <c r="D72" s="344">
        <v>69.680000000000007</v>
      </c>
      <c r="E72" s="558"/>
      <c r="F72" s="344">
        <v>66.900000000000006</v>
      </c>
      <c r="G72" s="344">
        <v>60.16</v>
      </c>
      <c r="H72" s="344">
        <v>53.01</v>
      </c>
      <c r="I72" s="344">
        <v>47.5</v>
      </c>
      <c r="J72" s="344">
        <v>41.9</v>
      </c>
      <c r="K72" s="925">
        <v>41.9</v>
      </c>
      <c r="L72" s="659" t="s">
        <v>36</v>
      </c>
      <c r="M72" s="581"/>
    </row>
    <row r="73" spans="1:14" ht="148.5">
      <c r="A73" s="586" t="s">
        <v>284</v>
      </c>
      <c r="B73" s="343" t="s">
        <v>731</v>
      </c>
      <c r="C73" s="722" t="s">
        <v>5</v>
      </c>
      <c r="D73" s="344"/>
      <c r="E73" s="558" t="s">
        <v>679</v>
      </c>
      <c r="F73" s="344">
        <f>D72-F72</f>
        <v>2.7800000000000011</v>
      </c>
      <c r="G73" s="344">
        <f>F72-G72</f>
        <v>6.7400000000000091</v>
      </c>
      <c r="H73" s="344">
        <f>G72-H72</f>
        <v>7.1499999999999986</v>
      </c>
      <c r="I73" s="344">
        <f>H72-I72</f>
        <v>5.509999999999998</v>
      </c>
      <c r="J73" s="344">
        <f>I72-J72</f>
        <v>5.6000000000000014</v>
      </c>
      <c r="K73" s="925">
        <v>4.5999999999999996</v>
      </c>
      <c r="L73" s="659" t="s">
        <v>36</v>
      </c>
      <c r="M73" s="581"/>
    </row>
    <row r="74" spans="1:14" ht="99">
      <c r="A74" s="339">
        <v>4</v>
      </c>
      <c r="B74" s="343" t="s">
        <v>732</v>
      </c>
      <c r="C74" s="338" t="s">
        <v>461</v>
      </c>
      <c r="D74" s="871">
        <v>3357</v>
      </c>
      <c r="E74" s="871">
        <v>5971</v>
      </c>
      <c r="F74" s="871">
        <v>600</v>
      </c>
      <c r="G74" s="871">
        <v>650</v>
      </c>
      <c r="H74" s="871">
        <v>650</v>
      </c>
      <c r="I74" s="871">
        <v>729</v>
      </c>
      <c r="J74" s="871">
        <v>700</v>
      </c>
      <c r="K74" s="871">
        <f>SUM(F74:J74)</f>
        <v>3329</v>
      </c>
      <c r="L74" s="659" t="s">
        <v>42</v>
      </c>
      <c r="M74" s="581"/>
      <c r="N74" s="331">
        <f>K74/5</f>
        <v>665.8</v>
      </c>
    </row>
    <row r="75" spans="1:14" ht="181.5">
      <c r="A75" s="339">
        <v>5</v>
      </c>
      <c r="B75" s="343" t="s">
        <v>536</v>
      </c>
      <c r="C75" s="338"/>
      <c r="D75" s="344">
        <v>66.069999999999993</v>
      </c>
      <c r="E75" s="532"/>
      <c r="F75" s="344">
        <v>66.14</v>
      </c>
      <c r="G75" s="344">
        <v>63.75</v>
      </c>
      <c r="H75" s="344">
        <v>63.46</v>
      </c>
      <c r="I75" s="344">
        <v>58.84</v>
      </c>
      <c r="J75" s="344">
        <v>58.83</v>
      </c>
      <c r="K75" s="825">
        <v>58.83</v>
      </c>
      <c r="L75" s="518"/>
      <c r="M75" s="581"/>
    </row>
    <row r="76" spans="1:14" ht="247.5">
      <c r="A76" s="339">
        <v>6</v>
      </c>
      <c r="B76" s="343" t="s">
        <v>733</v>
      </c>
      <c r="C76" s="338" t="s">
        <v>301</v>
      </c>
      <c r="D76" s="344">
        <v>23.1</v>
      </c>
      <c r="E76" s="344">
        <v>43</v>
      </c>
      <c r="F76" s="344">
        <v>28.19</v>
      </c>
      <c r="G76" s="344">
        <v>30.65</v>
      </c>
      <c r="H76" s="344">
        <v>27.15</v>
      </c>
      <c r="I76" s="344">
        <v>27.94</v>
      </c>
      <c r="J76" s="344">
        <v>29.1</v>
      </c>
      <c r="K76" s="929">
        <f>J76</f>
        <v>29.1</v>
      </c>
      <c r="L76" s="659" t="s">
        <v>42</v>
      </c>
      <c r="M76" s="581"/>
    </row>
    <row r="77" spans="1:14" ht="99">
      <c r="A77" s="586" t="s">
        <v>284</v>
      </c>
      <c r="B77" s="343" t="s">
        <v>537</v>
      </c>
      <c r="C77" s="338" t="s">
        <v>301</v>
      </c>
      <c r="D77" s="344" t="s">
        <v>632</v>
      </c>
      <c r="E77" s="344" t="s">
        <v>632</v>
      </c>
      <c r="F77" s="344" t="s">
        <v>633</v>
      </c>
      <c r="G77" s="344" t="s">
        <v>633</v>
      </c>
      <c r="H77" s="344" t="s">
        <v>633</v>
      </c>
      <c r="I77" s="344" t="s">
        <v>633</v>
      </c>
      <c r="J77" s="344" t="s">
        <v>633</v>
      </c>
      <c r="K77" s="518" t="s">
        <v>633</v>
      </c>
      <c r="L77" s="518" t="s">
        <v>633</v>
      </c>
      <c r="M77" s="581"/>
    </row>
    <row r="78" spans="1:14" ht="99">
      <c r="A78" s="339">
        <v>7</v>
      </c>
      <c r="B78" s="343" t="s">
        <v>734</v>
      </c>
      <c r="C78" s="338" t="s">
        <v>301</v>
      </c>
      <c r="D78" s="344">
        <v>3.3</v>
      </c>
      <c r="E78" s="344">
        <v>3.3</v>
      </c>
      <c r="F78" s="344">
        <v>3.1</v>
      </c>
      <c r="G78" s="344">
        <v>3.1</v>
      </c>
      <c r="H78" s="344">
        <v>3</v>
      </c>
      <c r="I78" s="344">
        <v>2.7</v>
      </c>
      <c r="J78" s="344">
        <v>2.5</v>
      </c>
      <c r="K78" s="339">
        <v>2.5</v>
      </c>
      <c r="L78" s="659" t="s">
        <v>36</v>
      </c>
      <c r="M78" s="581"/>
    </row>
    <row r="79" spans="1:14" ht="115.5">
      <c r="A79" s="339"/>
      <c r="B79" s="343" t="s">
        <v>328</v>
      </c>
      <c r="C79" s="338"/>
      <c r="D79" s="344" t="s">
        <v>632</v>
      </c>
      <c r="E79" s="344" t="s">
        <v>632</v>
      </c>
      <c r="F79" s="344" t="s">
        <v>633</v>
      </c>
      <c r="G79" s="344" t="s">
        <v>633</v>
      </c>
      <c r="H79" s="344" t="s">
        <v>633</v>
      </c>
      <c r="I79" s="344" t="s">
        <v>633</v>
      </c>
      <c r="J79" s="344" t="s">
        <v>633</v>
      </c>
      <c r="K79" s="518" t="s">
        <v>633</v>
      </c>
      <c r="L79" s="518" t="s">
        <v>633</v>
      </c>
      <c r="M79" s="581"/>
    </row>
    <row r="80" spans="1:14" ht="66">
      <c r="A80" s="718">
        <v>8</v>
      </c>
      <c r="B80" s="662" t="s">
        <v>69</v>
      </c>
      <c r="C80" s="719" t="s">
        <v>311</v>
      </c>
      <c r="D80" s="344"/>
      <c r="E80" s="344"/>
      <c r="F80" s="344"/>
      <c r="G80" s="344"/>
      <c r="H80" s="344"/>
      <c r="I80" s="344"/>
      <c r="J80" s="344"/>
      <c r="K80" s="829"/>
      <c r="L80" s="663"/>
      <c r="M80" s="664"/>
    </row>
    <row r="81" spans="1:13" ht="99">
      <c r="A81" s="344">
        <v>8</v>
      </c>
      <c r="B81" s="343" t="s">
        <v>538</v>
      </c>
      <c r="C81" s="344" t="s">
        <v>540</v>
      </c>
      <c r="D81" s="879">
        <f>44*10000/D69</f>
        <v>8.4709868699703517</v>
      </c>
      <c r="E81" s="927">
        <v>9.5</v>
      </c>
      <c r="F81" s="879">
        <f>44*10000/F69</f>
        <v>8.3747311520965386</v>
      </c>
      <c r="G81" s="879">
        <f>49*10000/G69</f>
        <v>9.2217935447445178</v>
      </c>
      <c r="H81" s="879">
        <f>50*10000/H69</f>
        <v>9.3044028434255086</v>
      </c>
      <c r="I81" s="879">
        <f>55*10000/I69</f>
        <v>9.5272739870775514</v>
      </c>
      <c r="J81" s="879">
        <f>59*10000/J69</f>
        <v>9.9944099063235825</v>
      </c>
      <c r="K81" s="825">
        <f>J81</f>
        <v>9.9944099063235825</v>
      </c>
      <c r="L81" s="344" t="s">
        <v>36</v>
      </c>
    </row>
    <row r="82" spans="1:13" ht="132">
      <c r="A82" s="344">
        <v>9</v>
      </c>
      <c r="B82" s="343" t="s">
        <v>542</v>
      </c>
      <c r="C82" s="344" t="s">
        <v>541</v>
      </c>
      <c r="D82" s="344">
        <v>17.7</v>
      </c>
      <c r="E82" s="344">
        <v>18</v>
      </c>
      <c r="F82" s="879">
        <f>104*10000/F69</f>
        <v>19.794819086773636</v>
      </c>
      <c r="G82" s="879">
        <f>114*10000/G69</f>
        <v>21.454784981650512</v>
      </c>
      <c r="H82" s="879">
        <f>130*10000/H69</f>
        <v>24.191447392906323</v>
      </c>
      <c r="I82" s="879">
        <f>130*10000/I69</f>
        <v>22.519011242183304</v>
      </c>
      <c r="J82" s="879">
        <f>150*10000/J69</f>
        <v>25.409516710992158</v>
      </c>
      <c r="K82" s="344">
        <v>25.4</v>
      </c>
      <c r="L82" s="344" t="s">
        <v>36</v>
      </c>
    </row>
    <row r="83" spans="1:13" ht="115.5">
      <c r="A83" s="344" t="s">
        <v>284</v>
      </c>
      <c r="B83" s="343" t="s">
        <v>539</v>
      </c>
      <c r="C83" s="344" t="s">
        <v>5</v>
      </c>
      <c r="D83" s="344">
        <v>100</v>
      </c>
      <c r="E83" s="344">
        <v>100</v>
      </c>
      <c r="F83" s="344">
        <v>100</v>
      </c>
      <c r="G83" s="344">
        <v>100</v>
      </c>
      <c r="H83" s="344">
        <v>100</v>
      </c>
      <c r="I83" s="344">
        <v>100</v>
      </c>
      <c r="J83" s="344">
        <v>100</v>
      </c>
      <c r="K83" s="344">
        <v>100</v>
      </c>
      <c r="L83" s="344" t="s">
        <v>36</v>
      </c>
    </row>
    <row r="84" spans="1:13" ht="165">
      <c r="A84" s="665" t="s">
        <v>115</v>
      </c>
      <c r="B84" s="669" t="s">
        <v>307</v>
      </c>
      <c r="C84" s="720"/>
      <c r="D84" s="721"/>
      <c r="E84" s="344"/>
      <c r="F84" s="344"/>
      <c r="G84" s="344"/>
      <c r="H84" s="344"/>
      <c r="I84" s="344"/>
      <c r="J84" s="344"/>
      <c r="K84" s="665"/>
      <c r="L84" s="668"/>
      <c r="M84" s="670"/>
    </row>
    <row r="85" spans="1:13" ht="49.5">
      <c r="A85" s="344">
        <v>1</v>
      </c>
      <c r="B85" s="343" t="s">
        <v>90</v>
      </c>
      <c r="C85" s="344" t="s">
        <v>5</v>
      </c>
      <c r="D85" s="344">
        <v>35.4</v>
      </c>
      <c r="E85" s="344">
        <v>40</v>
      </c>
      <c r="F85" s="344">
        <v>34.6</v>
      </c>
      <c r="G85" s="344">
        <v>34.4</v>
      </c>
      <c r="H85" s="344">
        <v>35.33</v>
      </c>
      <c r="I85" s="344">
        <v>37.479999999999997</v>
      </c>
      <c r="J85" s="344">
        <v>38</v>
      </c>
      <c r="K85" s="874">
        <f>J85</f>
        <v>38</v>
      </c>
      <c r="L85" s="659" t="s">
        <v>42</v>
      </c>
      <c r="M85" s="581"/>
    </row>
    <row r="86" spans="1:13" ht="165">
      <c r="A86" s="344">
        <v>2</v>
      </c>
      <c r="B86" s="343" t="s">
        <v>735</v>
      </c>
      <c r="C86" s="344" t="s">
        <v>5</v>
      </c>
      <c r="D86" s="344">
        <v>80</v>
      </c>
      <c r="E86" s="344">
        <v>95</v>
      </c>
      <c r="F86" s="344">
        <v>72</v>
      </c>
      <c r="G86" s="344">
        <v>74</v>
      </c>
      <c r="H86" s="344">
        <v>76</v>
      </c>
      <c r="I86" s="344">
        <v>77</v>
      </c>
      <c r="J86" s="344">
        <v>78</v>
      </c>
      <c r="K86" s="339">
        <f>J86</f>
        <v>78</v>
      </c>
      <c r="L86" s="659" t="s">
        <v>42</v>
      </c>
      <c r="M86" s="581"/>
    </row>
    <row r="87" spans="1:13" ht="148.5">
      <c r="A87" s="842"/>
      <c r="B87" s="843" t="s">
        <v>308</v>
      </c>
      <c r="C87" s="842" t="s">
        <v>5</v>
      </c>
      <c r="D87" s="842"/>
      <c r="E87" s="842">
        <v>100</v>
      </c>
      <c r="F87" s="841"/>
      <c r="G87" s="841"/>
      <c r="H87" s="857"/>
      <c r="I87" s="841"/>
      <c r="J87" s="841"/>
      <c r="K87" s="858"/>
      <c r="L87" s="859"/>
      <c r="M87" s="860"/>
    </row>
    <row r="88" spans="1:13" ht="313.5">
      <c r="A88" s="842"/>
      <c r="B88" s="843" t="s">
        <v>298</v>
      </c>
      <c r="C88" s="842" t="s">
        <v>5</v>
      </c>
      <c r="D88" s="842"/>
      <c r="E88" s="842"/>
      <c r="F88" s="841"/>
      <c r="G88" s="841"/>
      <c r="H88" s="841"/>
      <c r="I88" s="841"/>
      <c r="J88" s="841"/>
      <c r="K88" s="858"/>
      <c r="L88" s="859"/>
      <c r="M88" s="860"/>
    </row>
    <row r="89" spans="1:13" ht="82.5">
      <c r="A89" s="842"/>
      <c r="B89" s="843" t="s">
        <v>310</v>
      </c>
      <c r="C89" s="842" t="s">
        <v>5</v>
      </c>
      <c r="D89" s="842"/>
      <c r="E89" s="842"/>
      <c r="F89" s="861"/>
      <c r="G89" s="861"/>
      <c r="H89" s="861"/>
      <c r="I89" s="861"/>
      <c r="J89" s="861"/>
      <c r="K89" s="858">
        <f>J89</f>
        <v>0</v>
      </c>
      <c r="L89" s="859"/>
      <c r="M89" s="860"/>
    </row>
    <row r="90" spans="1:13" ht="165">
      <c r="A90" s="862"/>
      <c r="B90" s="863" t="s">
        <v>524</v>
      </c>
      <c r="C90" s="862" t="s">
        <v>5</v>
      </c>
      <c r="D90" s="864"/>
      <c r="E90" s="865"/>
      <c r="F90" s="866"/>
      <c r="G90" s="866"/>
      <c r="H90" s="866"/>
      <c r="I90" s="866"/>
      <c r="J90" s="866"/>
      <c r="K90" s="867">
        <f>J90</f>
        <v>0</v>
      </c>
      <c r="L90" s="868"/>
      <c r="M90" s="869"/>
    </row>
    <row r="91" spans="1:13" ht="165">
      <c r="A91" s="843"/>
      <c r="B91" s="843" t="s">
        <v>592</v>
      </c>
      <c r="C91" s="842" t="s">
        <v>5</v>
      </c>
      <c r="D91" s="843"/>
      <c r="E91" s="843"/>
      <c r="F91" s="843"/>
      <c r="G91" s="843"/>
      <c r="H91" s="843"/>
      <c r="I91" s="843"/>
      <c r="J91" s="843"/>
      <c r="K91" s="842"/>
      <c r="L91" s="842"/>
    </row>
    <row r="92" spans="1:13" ht="49.5">
      <c r="A92" s="665" t="s">
        <v>116</v>
      </c>
      <c r="B92" s="666" t="s">
        <v>593</v>
      </c>
      <c r="C92" s="673"/>
      <c r="D92" s="673"/>
      <c r="E92" s="673"/>
      <c r="F92" s="667"/>
      <c r="G92" s="667"/>
      <c r="H92" s="667"/>
      <c r="I92" s="667"/>
      <c r="J92" s="667"/>
      <c r="K92" s="665"/>
      <c r="L92" s="668"/>
    </row>
    <row r="93" spans="1:13" ht="99">
      <c r="A93" s="722">
        <v>1</v>
      </c>
      <c r="B93" s="341" t="s">
        <v>594</v>
      </c>
      <c r="C93" s="722" t="s">
        <v>370</v>
      </c>
      <c r="D93" s="722"/>
      <c r="E93" s="722">
        <v>1</v>
      </c>
      <c r="F93" s="342"/>
      <c r="G93" s="342"/>
      <c r="H93" s="342"/>
      <c r="I93" s="722">
        <v>1</v>
      </c>
      <c r="J93" s="722"/>
      <c r="K93" s="339"/>
      <c r="L93" s="659" t="s">
        <v>42</v>
      </c>
    </row>
    <row r="94" spans="1:13" ht="99">
      <c r="A94" s="875">
        <v>2</v>
      </c>
      <c r="B94" s="341" t="s">
        <v>595</v>
      </c>
      <c r="C94" s="722" t="s">
        <v>5</v>
      </c>
      <c r="D94" s="722"/>
      <c r="E94" s="879">
        <f>E93/11*100</f>
        <v>9.0909090909090917</v>
      </c>
      <c r="F94" s="879"/>
      <c r="G94" s="879"/>
      <c r="H94" s="879"/>
      <c r="I94" s="879">
        <f>I93/11*100</f>
        <v>9.0909090909090917</v>
      </c>
      <c r="J94" s="879"/>
      <c r="K94" s="879"/>
      <c r="L94" s="659" t="s">
        <v>36</v>
      </c>
    </row>
    <row r="95" spans="1:13" ht="181.5">
      <c r="A95" s="621"/>
      <c r="B95" s="622" t="s">
        <v>680</v>
      </c>
      <c r="C95" s="623" t="s">
        <v>5</v>
      </c>
      <c r="D95" s="722"/>
      <c r="E95" s="722"/>
      <c r="F95" s="342"/>
      <c r="G95" s="342"/>
      <c r="H95" s="342"/>
      <c r="I95" s="342"/>
      <c r="J95" s="342"/>
      <c r="K95" s="339"/>
      <c r="L95" s="659"/>
    </row>
    <row r="96" spans="1:13" ht="82.5">
      <c r="A96" s="621" t="s">
        <v>545</v>
      </c>
      <c r="B96" s="624" t="s">
        <v>600</v>
      </c>
      <c r="C96" s="623" t="s">
        <v>5</v>
      </c>
      <c r="D96" s="722"/>
      <c r="E96" s="722"/>
      <c r="F96" s="342"/>
      <c r="G96" s="342"/>
      <c r="H96" s="342"/>
      <c r="I96" s="342"/>
      <c r="J96" s="342"/>
      <c r="K96" s="339"/>
      <c r="L96" s="659"/>
    </row>
    <row r="97" spans="1:11" ht="16.5">
      <c r="A97" s="555"/>
      <c r="B97" s="577"/>
      <c r="C97" s="723"/>
      <c r="D97" s="723"/>
      <c r="E97" s="723"/>
      <c r="F97" s="578"/>
      <c r="G97" s="578"/>
      <c r="H97" s="578"/>
      <c r="I97" s="578"/>
      <c r="J97" s="578"/>
      <c r="K97" s="555"/>
    </row>
    <row r="98" spans="1:11" ht="16.5">
      <c r="A98" s="555"/>
      <c r="B98" s="577"/>
      <c r="C98" s="723"/>
      <c r="D98" s="723"/>
      <c r="E98" s="723"/>
      <c r="F98" s="578"/>
      <c r="G98" s="578"/>
      <c r="H98" s="578"/>
      <c r="I98" s="578"/>
      <c r="J98" s="578"/>
      <c r="K98" s="555"/>
    </row>
    <row r="99" spans="1:11" ht="16.5">
      <c r="A99" s="555"/>
      <c r="B99" s="577"/>
      <c r="C99" s="723"/>
      <c r="D99" s="723"/>
      <c r="E99" s="723"/>
      <c r="F99" s="578"/>
      <c r="G99" s="578"/>
      <c r="H99" s="578"/>
      <c r="I99" s="578"/>
      <c r="J99" s="578"/>
      <c r="K99" s="555"/>
    </row>
    <row r="100" spans="1:11" ht="16.5">
      <c r="A100" s="555"/>
      <c r="B100" s="577"/>
      <c r="C100" s="723"/>
      <c r="D100" s="723"/>
      <c r="E100" s="723"/>
      <c r="F100" s="578"/>
      <c r="G100" s="578"/>
      <c r="H100" s="578"/>
      <c r="I100" s="578"/>
      <c r="J100" s="578"/>
      <c r="K100" s="555"/>
    </row>
    <row r="101" spans="1:11" ht="16.5">
      <c r="A101" s="555"/>
      <c r="B101" s="577"/>
      <c r="C101" s="723"/>
      <c r="D101" s="723"/>
      <c r="E101" s="723"/>
      <c r="F101" s="578"/>
      <c r="G101" s="578"/>
      <c r="H101" s="578"/>
      <c r="I101" s="578"/>
      <c r="J101" s="578"/>
      <c r="K101" s="555"/>
    </row>
    <row r="102" spans="1:11" ht="16.5">
      <c r="A102" s="555"/>
      <c r="B102" s="577"/>
      <c r="C102" s="723"/>
      <c r="D102" s="723"/>
      <c r="E102" s="723"/>
      <c r="F102" s="578"/>
      <c r="G102" s="578"/>
      <c r="H102" s="578"/>
      <c r="I102" s="578"/>
      <c r="J102" s="578"/>
      <c r="K102" s="555"/>
    </row>
    <row r="103" spans="1:11" ht="16.5">
      <c r="A103" s="555"/>
      <c r="B103" s="577"/>
      <c r="C103" s="723"/>
      <c r="D103" s="723"/>
      <c r="E103" s="723"/>
      <c r="F103" s="578"/>
      <c r="G103" s="578"/>
      <c r="H103" s="578"/>
      <c r="I103" s="578"/>
      <c r="J103" s="578"/>
      <c r="K103" s="555"/>
    </row>
    <row r="104" spans="1:11" ht="16.5">
      <c r="A104" s="555"/>
      <c r="B104" s="577"/>
      <c r="C104" s="723"/>
      <c r="D104" s="723"/>
      <c r="E104" s="723"/>
      <c r="F104" s="578"/>
      <c r="G104" s="578"/>
      <c r="H104" s="578"/>
      <c r="I104" s="578"/>
      <c r="J104" s="578"/>
      <c r="K104" s="555"/>
    </row>
    <row r="105" spans="1:11" ht="16.5">
      <c r="A105" s="555"/>
      <c r="B105" s="577"/>
      <c r="C105" s="723"/>
      <c r="D105" s="723"/>
      <c r="E105" s="723"/>
      <c r="F105" s="578"/>
      <c r="G105" s="578"/>
      <c r="H105" s="578"/>
      <c r="I105" s="578"/>
      <c r="J105" s="578"/>
      <c r="K105" s="555"/>
    </row>
    <row r="106" spans="1:11" ht="16.5">
      <c r="A106" s="555"/>
      <c r="B106" s="577"/>
      <c r="C106" s="723"/>
      <c r="D106" s="723"/>
      <c r="E106" s="723"/>
      <c r="F106" s="578"/>
      <c r="G106" s="578"/>
      <c r="H106" s="578"/>
      <c r="I106" s="578"/>
      <c r="J106" s="578"/>
      <c r="K106" s="555"/>
    </row>
    <row r="107" spans="1:11" ht="16.5">
      <c r="A107" s="555"/>
      <c r="B107" s="577"/>
      <c r="C107" s="723"/>
      <c r="D107" s="723"/>
      <c r="E107" s="723"/>
      <c r="F107" s="578"/>
      <c r="G107" s="578"/>
      <c r="H107" s="578"/>
      <c r="I107" s="578"/>
      <c r="J107" s="578"/>
      <c r="K107" s="555"/>
    </row>
    <row r="108" spans="1:11" ht="16.5">
      <c r="A108" s="555"/>
      <c r="B108" s="577"/>
      <c r="C108" s="723"/>
      <c r="D108" s="723"/>
      <c r="E108" s="723"/>
      <c r="F108" s="578"/>
      <c r="G108" s="578"/>
      <c r="H108" s="578"/>
      <c r="I108" s="578"/>
      <c r="J108" s="578"/>
      <c r="K108" s="555"/>
    </row>
    <row r="109" spans="1:11" ht="16.5">
      <c r="A109" s="555"/>
      <c r="B109" s="577"/>
      <c r="C109" s="723"/>
      <c r="D109" s="723"/>
      <c r="E109" s="723"/>
      <c r="F109" s="578"/>
      <c r="G109" s="578"/>
      <c r="H109" s="578"/>
      <c r="I109" s="578"/>
      <c r="J109" s="578"/>
      <c r="K109" s="555"/>
    </row>
    <row r="110" spans="1:11" ht="16.5">
      <c r="A110" s="555"/>
      <c r="B110" s="577"/>
      <c r="C110" s="723"/>
      <c r="D110" s="723"/>
      <c r="E110" s="723"/>
      <c r="F110" s="578"/>
      <c r="G110" s="578"/>
      <c r="H110" s="578"/>
      <c r="I110" s="578"/>
      <c r="J110" s="578"/>
      <c r="K110" s="555"/>
    </row>
    <row r="111" spans="1:11" ht="16.5">
      <c r="A111" s="555"/>
      <c r="B111" s="577"/>
      <c r="C111" s="723"/>
      <c r="D111" s="723"/>
      <c r="E111" s="723"/>
      <c r="F111" s="578"/>
      <c r="G111" s="578"/>
      <c r="H111" s="578"/>
      <c r="I111" s="578"/>
      <c r="J111" s="578"/>
      <c r="K111" s="555"/>
    </row>
    <row r="112" spans="1:11" ht="16.5">
      <c r="A112" s="555"/>
      <c r="B112" s="577"/>
      <c r="C112" s="723"/>
      <c r="D112" s="723"/>
      <c r="E112" s="723"/>
      <c r="F112" s="578"/>
      <c r="G112" s="578"/>
      <c r="H112" s="578"/>
      <c r="I112" s="578"/>
      <c r="J112" s="578"/>
      <c r="K112" s="555"/>
    </row>
    <row r="113" spans="1:11" ht="16.5">
      <c r="A113" s="555"/>
      <c r="B113" s="577"/>
      <c r="C113" s="723"/>
      <c r="D113" s="723"/>
      <c r="E113" s="723"/>
      <c r="F113" s="578"/>
      <c r="G113" s="578"/>
      <c r="H113" s="578"/>
      <c r="I113" s="578"/>
      <c r="J113" s="578"/>
      <c r="K113" s="555"/>
    </row>
    <row r="114" spans="1:11" ht="16.5">
      <c r="A114" s="555"/>
      <c r="B114" s="577"/>
      <c r="C114" s="723"/>
      <c r="D114" s="723"/>
      <c r="E114" s="723"/>
      <c r="F114" s="578"/>
      <c r="G114" s="578"/>
      <c r="H114" s="578"/>
      <c r="I114" s="578"/>
      <c r="J114" s="578"/>
      <c r="K114" s="555"/>
    </row>
    <row r="115" spans="1:11" ht="16.5">
      <c r="A115" s="555"/>
      <c r="B115" s="577"/>
      <c r="C115" s="723"/>
      <c r="D115" s="723"/>
      <c r="E115" s="723"/>
      <c r="F115" s="578"/>
      <c r="G115" s="578"/>
      <c r="H115" s="578"/>
      <c r="I115" s="578"/>
      <c r="J115" s="578"/>
      <c r="K115" s="555"/>
    </row>
    <row r="116" spans="1:11" ht="16.5">
      <c r="A116" s="555"/>
      <c r="B116" s="577"/>
      <c r="C116" s="723"/>
      <c r="D116" s="723"/>
      <c r="E116" s="723"/>
      <c r="F116" s="578"/>
      <c r="G116" s="578"/>
      <c r="H116" s="578"/>
      <c r="I116" s="578"/>
      <c r="J116" s="578"/>
      <c r="K116" s="555"/>
    </row>
    <row r="117" spans="1:11" ht="16.5">
      <c r="A117" s="555"/>
      <c r="B117" s="577"/>
      <c r="C117" s="723"/>
      <c r="D117" s="723"/>
      <c r="E117" s="723"/>
      <c r="F117" s="578"/>
      <c r="G117" s="578"/>
      <c r="H117" s="578"/>
      <c r="I117" s="578"/>
      <c r="J117" s="578"/>
      <c r="K117" s="555"/>
    </row>
    <row r="118" spans="1:11" ht="16.5">
      <c r="A118" s="555"/>
      <c r="B118" s="577"/>
      <c r="C118" s="723"/>
      <c r="D118" s="723"/>
      <c r="E118" s="723"/>
      <c r="F118" s="578"/>
      <c r="G118" s="578"/>
      <c r="H118" s="578"/>
      <c r="I118" s="578"/>
      <c r="J118" s="578"/>
      <c r="K118" s="555"/>
    </row>
    <row r="119" spans="1:11" ht="16.5">
      <c r="A119" s="555"/>
      <c r="B119" s="577"/>
      <c r="C119" s="723"/>
      <c r="D119" s="723"/>
      <c r="E119" s="723"/>
      <c r="F119" s="578"/>
      <c r="G119" s="578"/>
      <c r="H119" s="578"/>
      <c r="I119" s="578"/>
      <c r="J119" s="578"/>
      <c r="K119" s="555"/>
    </row>
    <row r="120" spans="1:11" ht="16.5">
      <c r="A120" s="555"/>
      <c r="B120" s="577"/>
      <c r="C120" s="723"/>
      <c r="D120" s="723"/>
      <c r="E120" s="723"/>
      <c r="F120" s="578"/>
      <c r="G120" s="578"/>
      <c r="H120" s="578"/>
      <c r="I120" s="578"/>
      <c r="J120" s="578"/>
      <c r="K120" s="555"/>
    </row>
    <row r="121" spans="1:11" ht="16.5">
      <c r="A121" s="555"/>
      <c r="B121" s="577"/>
      <c r="C121" s="723"/>
      <c r="D121" s="723"/>
      <c r="E121" s="723"/>
      <c r="F121" s="578"/>
      <c r="G121" s="578"/>
      <c r="H121" s="578"/>
      <c r="I121" s="578"/>
      <c r="J121" s="578"/>
      <c r="K121" s="555"/>
    </row>
    <row r="122" spans="1:11" ht="16.5">
      <c r="A122" s="555"/>
      <c r="B122" s="577"/>
      <c r="C122" s="723"/>
      <c r="D122" s="723"/>
      <c r="E122" s="723"/>
      <c r="F122" s="578"/>
      <c r="G122" s="578"/>
      <c r="H122" s="578"/>
      <c r="I122" s="578"/>
      <c r="J122" s="578"/>
      <c r="K122" s="555"/>
    </row>
    <row r="123" spans="1:11" ht="16.5">
      <c r="A123" s="555"/>
      <c r="B123" s="577"/>
      <c r="C123" s="723"/>
      <c r="D123" s="723"/>
      <c r="E123" s="723"/>
      <c r="F123" s="578"/>
      <c r="G123" s="578"/>
      <c r="H123" s="578"/>
      <c r="I123" s="578"/>
      <c r="J123" s="578"/>
      <c r="K123" s="555"/>
    </row>
    <row r="124" spans="1:11" ht="16.5">
      <c r="A124" s="555"/>
      <c r="B124" s="577"/>
      <c r="C124" s="723"/>
      <c r="D124" s="723"/>
      <c r="E124" s="723"/>
      <c r="F124" s="578"/>
      <c r="G124" s="578"/>
      <c r="H124" s="578"/>
      <c r="I124" s="578"/>
      <c r="J124" s="578"/>
      <c r="K124" s="555"/>
    </row>
    <row r="125" spans="1:11" ht="16.5">
      <c r="A125" s="555"/>
      <c r="B125" s="577"/>
      <c r="C125" s="723"/>
      <c r="D125" s="723"/>
      <c r="E125" s="723"/>
      <c r="F125" s="578"/>
      <c r="G125" s="578"/>
      <c r="H125" s="578"/>
      <c r="I125" s="578"/>
      <c r="J125" s="578"/>
      <c r="K125" s="555"/>
    </row>
    <row r="126" spans="1:11" ht="16.5">
      <c r="A126" s="555"/>
      <c r="B126" s="577"/>
      <c r="C126" s="723"/>
      <c r="D126" s="723"/>
      <c r="E126" s="723"/>
      <c r="F126" s="578"/>
      <c r="G126" s="578"/>
      <c r="H126" s="578"/>
      <c r="I126" s="578"/>
      <c r="J126" s="578"/>
      <c r="K126" s="555"/>
    </row>
    <row r="127" spans="1:11" ht="16.5">
      <c r="A127" s="555"/>
      <c r="B127" s="577"/>
      <c r="C127" s="723"/>
      <c r="D127" s="723"/>
      <c r="E127" s="723"/>
      <c r="F127" s="578"/>
      <c r="G127" s="578"/>
      <c r="H127" s="578"/>
      <c r="I127" s="578"/>
      <c r="J127" s="578"/>
      <c r="K127" s="555"/>
    </row>
    <row r="128" spans="1:11" ht="16.5">
      <c r="A128" s="555"/>
      <c r="B128" s="577"/>
      <c r="C128" s="723"/>
      <c r="D128" s="723"/>
      <c r="E128" s="723"/>
      <c r="F128" s="578"/>
      <c r="G128" s="578"/>
      <c r="H128" s="578"/>
      <c r="I128" s="578"/>
      <c r="J128" s="578"/>
      <c r="K128" s="555"/>
    </row>
    <row r="129" spans="1:11" ht="16.5">
      <c r="A129" s="555"/>
      <c r="B129" s="577"/>
      <c r="C129" s="723"/>
      <c r="D129" s="723"/>
      <c r="E129" s="723"/>
      <c r="F129" s="578"/>
      <c r="G129" s="578"/>
      <c r="H129" s="578"/>
      <c r="I129" s="578"/>
      <c r="J129" s="578"/>
      <c r="K129" s="555"/>
    </row>
    <row r="130" spans="1:11" ht="16.5">
      <c r="A130" s="555"/>
      <c r="B130" s="577"/>
      <c r="C130" s="723"/>
      <c r="D130" s="723"/>
      <c r="E130" s="723"/>
      <c r="F130" s="578"/>
      <c r="G130" s="578"/>
      <c r="H130" s="578"/>
      <c r="I130" s="578"/>
      <c r="J130" s="578"/>
      <c r="K130" s="555"/>
    </row>
    <row r="131" spans="1:11" ht="16.5">
      <c r="A131" s="555"/>
      <c r="B131" s="577"/>
      <c r="C131" s="723"/>
      <c r="D131" s="723"/>
      <c r="E131" s="723"/>
      <c r="F131" s="578"/>
      <c r="G131" s="578"/>
      <c r="H131" s="578"/>
      <c r="I131" s="578"/>
      <c r="J131" s="578"/>
      <c r="K131" s="555"/>
    </row>
    <row r="132" spans="1:11" ht="16.5">
      <c r="A132" s="555"/>
      <c r="B132" s="577"/>
      <c r="C132" s="723"/>
      <c r="D132" s="723"/>
      <c r="E132" s="723"/>
      <c r="F132" s="578"/>
      <c r="G132" s="578"/>
      <c r="H132" s="578"/>
      <c r="I132" s="578"/>
      <c r="J132" s="578"/>
      <c r="K132" s="555"/>
    </row>
    <row r="133" spans="1:11" ht="16.5">
      <c r="A133" s="555"/>
      <c r="B133" s="577"/>
      <c r="C133" s="723"/>
      <c r="D133" s="723"/>
      <c r="E133" s="723"/>
      <c r="F133" s="578"/>
      <c r="G133" s="578"/>
      <c r="H133" s="578"/>
      <c r="I133" s="578"/>
      <c r="J133" s="578"/>
      <c r="K133" s="555"/>
    </row>
    <row r="134" spans="1:11" ht="16.5">
      <c r="A134" s="555"/>
      <c r="B134" s="577"/>
      <c r="C134" s="723"/>
      <c r="D134" s="723"/>
      <c r="E134" s="723"/>
      <c r="F134" s="578"/>
      <c r="G134" s="578"/>
      <c r="H134" s="578"/>
      <c r="I134" s="578"/>
      <c r="J134" s="578"/>
      <c r="K134" s="555"/>
    </row>
    <row r="135" spans="1:11" ht="16.5">
      <c r="A135" s="555"/>
      <c r="B135" s="577"/>
      <c r="C135" s="723"/>
      <c r="D135" s="723"/>
      <c r="E135" s="723"/>
      <c r="F135" s="578"/>
      <c r="G135" s="578"/>
      <c r="H135" s="578"/>
      <c r="I135" s="578"/>
      <c r="J135" s="578"/>
      <c r="K135" s="555"/>
    </row>
    <row r="136" spans="1:11" ht="16.5">
      <c r="A136" s="555"/>
      <c r="B136" s="577"/>
      <c r="C136" s="723"/>
      <c r="D136" s="723"/>
      <c r="E136" s="723"/>
      <c r="F136" s="578"/>
      <c r="G136" s="578"/>
      <c r="H136" s="578"/>
      <c r="I136" s="578"/>
      <c r="J136" s="578"/>
      <c r="K136" s="555"/>
    </row>
    <row r="137" spans="1:11" ht="16.5">
      <c r="A137" s="555"/>
      <c r="B137" s="577"/>
      <c r="C137" s="723"/>
      <c r="D137" s="723"/>
      <c r="E137" s="723"/>
      <c r="F137" s="578"/>
      <c r="G137" s="578"/>
      <c r="H137" s="578"/>
      <c r="I137" s="578"/>
      <c r="J137" s="578"/>
      <c r="K137" s="555"/>
    </row>
    <row r="138" spans="1:11" ht="16.5">
      <c r="A138" s="555"/>
      <c r="B138" s="577"/>
      <c r="C138" s="723"/>
      <c r="D138" s="723"/>
      <c r="E138" s="723"/>
      <c r="F138" s="578"/>
      <c r="G138" s="578"/>
      <c r="H138" s="578"/>
      <c r="I138" s="578"/>
      <c r="J138" s="578"/>
      <c r="K138" s="555"/>
    </row>
    <row r="139" spans="1:11" ht="16.5">
      <c r="A139" s="555"/>
      <c r="B139" s="577"/>
      <c r="C139" s="723"/>
      <c r="D139" s="723"/>
      <c r="E139" s="723"/>
      <c r="F139" s="578"/>
      <c r="G139" s="578"/>
      <c r="H139" s="578"/>
      <c r="I139" s="578"/>
      <c r="J139" s="578"/>
      <c r="K139" s="555"/>
    </row>
    <row r="140" spans="1:11" ht="16.5">
      <c r="A140" s="555"/>
      <c r="B140" s="577"/>
      <c r="C140" s="723"/>
      <c r="D140" s="723"/>
      <c r="E140" s="723"/>
      <c r="F140" s="578"/>
      <c r="G140" s="578"/>
      <c r="H140" s="578"/>
      <c r="I140" s="578"/>
      <c r="J140" s="578"/>
      <c r="K140" s="555"/>
    </row>
    <row r="141" spans="1:11" ht="16.5">
      <c r="A141" s="555"/>
      <c r="B141" s="577"/>
      <c r="C141" s="723"/>
      <c r="D141" s="723"/>
      <c r="E141" s="723"/>
      <c r="F141" s="578"/>
      <c r="G141" s="578"/>
      <c r="H141" s="578"/>
      <c r="I141" s="578"/>
      <c r="J141" s="578"/>
      <c r="K141" s="555"/>
    </row>
    <row r="142" spans="1:11" ht="16.5">
      <c r="A142" s="555"/>
      <c r="B142" s="577"/>
      <c r="C142" s="723"/>
      <c r="D142" s="723"/>
      <c r="E142" s="723"/>
      <c r="F142" s="578"/>
      <c r="G142" s="578"/>
      <c r="H142" s="578"/>
      <c r="I142" s="578"/>
      <c r="J142" s="578"/>
      <c r="K142" s="555"/>
    </row>
    <row r="143" spans="1:11" ht="16.5">
      <c r="A143" s="555"/>
      <c r="B143" s="577"/>
      <c r="C143" s="723"/>
      <c r="D143" s="723"/>
      <c r="E143" s="723"/>
      <c r="F143" s="578"/>
      <c r="G143" s="578"/>
      <c r="H143" s="578"/>
      <c r="I143" s="578"/>
      <c r="J143" s="578"/>
      <c r="K143" s="555"/>
    </row>
    <row r="144" spans="1:11" ht="16.5">
      <c r="A144" s="555"/>
      <c r="B144" s="577"/>
      <c r="C144" s="723"/>
      <c r="D144" s="723"/>
      <c r="E144" s="723"/>
      <c r="F144" s="578"/>
      <c r="G144" s="578"/>
      <c r="H144" s="578"/>
      <c r="I144" s="578"/>
      <c r="J144" s="578"/>
      <c r="K144" s="555"/>
    </row>
    <row r="145" spans="1:11" ht="16.5">
      <c r="A145" s="555"/>
      <c r="B145" s="577"/>
      <c r="C145" s="723"/>
      <c r="D145" s="723"/>
      <c r="E145" s="723"/>
      <c r="F145" s="578"/>
      <c r="G145" s="578"/>
      <c r="H145" s="578"/>
      <c r="I145" s="578"/>
      <c r="J145" s="578"/>
      <c r="K145" s="555"/>
    </row>
    <row r="146" spans="1:11" ht="16.5">
      <c r="A146" s="555"/>
      <c r="B146" s="577"/>
      <c r="C146" s="723"/>
      <c r="D146" s="723"/>
      <c r="E146" s="723"/>
      <c r="F146" s="578"/>
      <c r="G146" s="578"/>
      <c r="H146" s="578"/>
      <c r="I146" s="578"/>
      <c r="J146" s="578"/>
      <c r="K146" s="555"/>
    </row>
    <row r="147" spans="1:11" ht="16.5">
      <c r="A147" s="555"/>
      <c r="B147" s="577"/>
      <c r="C147" s="723"/>
      <c r="D147" s="723"/>
      <c r="E147" s="723"/>
      <c r="F147" s="578"/>
      <c r="G147" s="578"/>
      <c r="H147" s="578"/>
      <c r="I147" s="578"/>
      <c r="J147" s="578"/>
      <c r="K147" s="555"/>
    </row>
    <row r="148" spans="1:11" ht="16.5">
      <c r="A148" s="555"/>
      <c r="B148" s="577"/>
      <c r="C148" s="723"/>
      <c r="D148" s="723"/>
      <c r="E148" s="723"/>
      <c r="F148" s="578"/>
      <c r="G148" s="578"/>
      <c r="H148" s="578"/>
      <c r="I148" s="578"/>
      <c r="J148" s="578"/>
      <c r="K148" s="555"/>
    </row>
    <row r="149" spans="1:11" ht="16.5">
      <c r="A149" s="555"/>
      <c r="B149" s="577"/>
      <c r="C149" s="723"/>
      <c r="D149" s="723"/>
      <c r="E149" s="723"/>
      <c r="F149" s="578"/>
      <c r="G149" s="578"/>
      <c r="H149" s="578"/>
      <c r="I149" s="578"/>
      <c r="J149" s="578"/>
      <c r="K149" s="555"/>
    </row>
    <row r="150" spans="1:11" ht="16.5">
      <c r="A150" s="555"/>
      <c r="B150" s="577"/>
      <c r="C150" s="723"/>
      <c r="D150" s="723"/>
      <c r="E150" s="723"/>
      <c r="F150" s="578"/>
      <c r="G150" s="578"/>
      <c r="H150" s="578"/>
      <c r="I150" s="578"/>
      <c r="J150" s="578"/>
      <c r="K150" s="555"/>
    </row>
    <row r="151" spans="1:11" ht="16.5">
      <c r="A151" s="555"/>
      <c r="B151" s="577"/>
      <c r="C151" s="723"/>
      <c r="D151" s="723"/>
      <c r="E151" s="723"/>
      <c r="F151" s="578"/>
      <c r="G151" s="578"/>
      <c r="H151" s="578"/>
      <c r="I151" s="578"/>
      <c r="J151" s="578"/>
      <c r="K151" s="555"/>
    </row>
    <row r="152" spans="1:11" ht="16.5">
      <c r="A152" s="555"/>
      <c r="B152" s="577"/>
      <c r="C152" s="723"/>
      <c r="D152" s="723"/>
      <c r="E152" s="723"/>
      <c r="F152" s="578"/>
      <c r="G152" s="578"/>
      <c r="H152" s="578"/>
      <c r="I152" s="578"/>
      <c r="J152" s="578"/>
      <c r="K152" s="555"/>
    </row>
    <row r="153" spans="1:11" ht="16.5">
      <c r="A153" s="555"/>
      <c r="B153" s="577"/>
      <c r="C153" s="723"/>
      <c r="D153" s="723"/>
      <c r="E153" s="723"/>
      <c r="F153" s="578"/>
      <c r="G153" s="578"/>
      <c r="H153" s="578"/>
      <c r="I153" s="578"/>
      <c r="J153" s="578"/>
      <c r="K153" s="555"/>
    </row>
    <row r="154" spans="1:11" ht="16.5">
      <c r="A154" s="555"/>
      <c r="B154" s="577"/>
      <c r="C154" s="723"/>
      <c r="D154" s="723"/>
      <c r="E154" s="723"/>
      <c r="F154" s="578"/>
      <c r="G154" s="578"/>
      <c r="H154" s="578"/>
      <c r="I154" s="578"/>
      <c r="J154" s="578"/>
      <c r="K154" s="555"/>
    </row>
    <row r="155" spans="1:11" ht="16.5">
      <c r="A155" s="555"/>
      <c r="B155" s="577"/>
      <c r="C155" s="723"/>
      <c r="D155" s="723"/>
      <c r="E155" s="723"/>
      <c r="F155" s="578"/>
      <c r="G155" s="578"/>
      <c r="H155" s="578"/>
      <c r="I155" s="578"/>
      <c r="J155" s="578"/>
      <c r="K155" s="555"/>
    </row>
    <row r="156" spans="1:11" ht="16.5">
      <c r="A156" s="555"/>
      <c r="B156" s="577"/>
      <c r="C156" s="723"/>
      <c r="D156" s="723"/>
      <c r="E156" s="723"/>
      <c r="F156" s="578"/>
      <c r="G156" s="578"/>
      <c r="H156" s="578"/>
      <c r="I156" s="578"/>
      <c r="J156" s="578"/>
      <c r="K156" s="555"/>
    </row>
    <row r="157" spans="1:11" ht="16.5">
      <c r="A157" s="555"/>
      <c r="B157" s="577"/>
      <c r="C157" s="723"/>
      <c r="D157" s="723"/>
      <c r="E157" s="723"/>
      <c r="F157" s="578"/>
      <c r="G157" s="578"/>
      <c r="H157" s="578"/>
      <c r="I157" s="578"/>
      <c r="J157" s="578"/>
      <c r="K157" s="555"/>
    </row>
    <row r="158" spans="1:11" ht="16.5">
      <c r="A158" s="555"/>
      <c r="B158" s="577"/>
      <c r="C158" s="723"/>
      <c r="D158" s="723"/>
      <c r="E158" s="723"/>
      <c r="F158" s="578"/>
      <c r="G158" s="578"/>
      <c r="H158" s="578"/>
      <c r="I158" s="578"/>
      <c r="J158" s="578"/>
      <c r="K158" s="555"/>
    </row>
    <row r="159" spans="1:11" ht="16.5">
      <c r="A159" s="555"/>
      <c r="B159" s="577"/>
      <c r="C159" s="723"/>
      <c r="D159" s="723"/>
      <c r="E159" s="723"/>
      <c r="F159" s="578"/>
      <c r="G159" s="578"/>
      <c r="H159" s="578"/>
      <c r="I159" s="578"/>
      <c r="J159" s="578"/>
      <c r="K159" s="555"/>
    </row>
    <row r="160" spans="1:11" ht="16.5">
      <c r="A160" s="555"/>
      <c r="B160" s="577"/>
      <c r="C160" s="723"/>
      <c r="D160" s="723"/>
      <c r="E160" s="723"/>
      <c r="F160" s="578"/>
      <c r="G160" s="578"/>
      <c r="H160" s="578"/>
      <c r="I160" s="578"/>
      <c r="J160" s="578"/>
      <c r="K160" s="555"/>
    </row>
    <row r="161" spans="1:11" ht="16.5">
      <c r="A161" s="555"/>
      <c r="B161" s="577"/>
      <c r="C161" s="723"/>
      <c r="D161" s="723"/>
      <c r="E161" s="723"/>
      <c r="F161" s="578"/>
      <c r="G161" s="578"/>
      <c r="H161" s="578"/>
      <c r="I161" s="578"/>
      <c r="J161" s="578"/>
      <c r="K161" s="555"/>
    </row>
    <row r="162" spans="1:11" ht="16.5">
      <c r="A162" s="555"/>
      <c r="B162" s="577"/>
      <c r="C162" s="723"/>
      <c r="D162" s="723"/>
      <c r="E162" s="723"/>
      <c r="F162" s="578"/>
      <c r="G162" s="578"/>
      <c r="H162" s="578"/>
      <c r="I162" s="578"/>
      <c r="J162" s="578"/>
      <c r="K162" s="555"/>
    </row>
    <row r="163" spans="1:11" ht="16.5">
      <c r="A163" s="555"/>
      <c r="B163" s="577"/>
      <c r="C163" s="723"/>
      <c r="D163" s="723"/>
      <c r="E163" s="723"/>
      <c r="F163" s="578"/>
      <c r="G163" s="578"/>
      <c r="H163" s="578"/>
      <c r="I163" s="578"/>
      <c r="J163" s="578"/>
      <c r="K163" s="555"/>
    </row>
    <row r="164" spans="1:11" ht="16.5">
      <c r="A164" s="555"/>
      <c r="B164" s="577"/>
      <c r="C164" s="723"/>
      <c r="D164" s="723"/>
      <c r="E164" s="723"/>
      <c r="F164" s="578"/>
      <c r="G164" s="578"/>
      <c r="H164" s="578"/>
      <c r="I164" s="578"/>
      <c r="J164" s="578"/>
      <c r="K164" s="555"/>
    </row>
    <row r="165" spans="1:11" ht="16.5">
      <c r="A165" s="555"/>
      <c r="B165" s="577"/>
      <c r="C165" s="723"/>
      <c r="D165" s="723"/>
      <c r="E165" s="723"/>
      <c r="F165" s="578"/>
      <c r="G165" s="578"/>
      <c r="H165" s="578"/>
      <c r="I165" s="578"/>
      <c r="J165" s="578"/>
      <c r="K165" s="555"/>
    </row>
    <row r="166" spans="1:11" ht="16.5">
      <c r="A166" s="555"/>
      <c r="B166" s="577"/>
      <c r="C166" s="723"/>
      <c r="D166" s="723"/>
      <c r="E166" s="723"/>
      <c r="F166" s="578"/>
      <c r="G166" s="578"/>
      <c r="H166" s="578"/>
      <c r="I166" s="578"/>
      <c r="J166" s="578"/>
      <c r="K166" s="555"/>
    </row>
    <row r="167" spans="1:11" ht="16.5">
      <c r="A167" s="555"/>
      <c r="B167" s="577"/>
      <c r="C167" s="723"/>
      <c r="D167" s="723"/>
      <c r="E167" s="723"/>
      <c r="F167" s="578"/>
      <c r="G167" s="578"/>
      <c r="H167" s="578"/>
      <c r="I167" s="578"/>
      <c r="J167" s="578"/>
      <c r="K167" s="555"/>
    </row>
    <row r="168" spans="1:11" ht="16.5">
      <c r="A168" s="555"/>
      <c r="B168" s="577"/>
      <c r="C168" s="723"/>
      <c r="D168" s="723"/>
      <c r="E168" s="723"/>
      <c r="F168" s="578"/>
      <c r="G168" s="578"/>
      <c r="H168" s="578"/>
      <c r="I168" s="578"/>
      <c r="J168" s="578"/>
      <c r="K168" s="555"/>
    </row>
    <row r="169" spans="1:11" ht="16.5">
      <c r="A169" s="555"/>
      <c r="B169" s="577"/>
      <c r="C169" s="723"/>
      <c r="D169" s="723"/>
      <c r="E169" s="723"/>
      <c r="F169" s="578"/>
      <c r="G169" s="578"/>
      <c r="H169" s="578"/>
      <c r="I169" s="578"/>
      <c r="J169" s="578"/>
      <c r="K169" s="555"/>
    </row>
    <row r="170" spans="1:11" ht="16.5">
      <c r="A170" s="555"/>
      <c r="B170" s="577"/>
      <c r="C170" s="723"/>
      <c r="D170" s="723"/>
      <c r="E170" s="723"/>
      <c r="F170" s="578"/>
      <c r="G170" s="578"/>
      <c r="H170" s="578"/>
      <c r="I170" s="578"/>
      <c r="J170" s="578"/>
      <c r="K170" s="555"/>
    </row>
    <row r="171" spans="1:11" ht="16.5">
      <c r="A171" s="555"/>
      <c r="B171" s="577"/>
      <c r="C171" s="723"/>
      <c r="D171" s="723"/>
      <c r="E171" s="723"/>
      <c r="F171" s="578"/>
      <c r="G171" s="578"/>
      <c r="H171" s="578"/>
      <c r="I171" s="578"/>
      <c r="J171" s="578"/>
      <c r="K171" s="555"/>
    </row>
    <row r="172" spans="1:11" ht="16.5">
      <c r="A172" s="555"/>
      <c r="B172" s="577"/>
      <c r="C172" s="723"/>
      <c r="D172" s="723"/>
      <c r="E172" s="723"/>
      <c r="F172" s="578"/>
      <c r="G172" s="578"/>
      <c r="H172" s="578"/>
      <c r="I172" s="578"/>
      <c r="J172" s="578"/>
      <c r="K172" s="555"/>
    </row>
    <row r="173" spans="1:11" ht="16.5">
      <c r="A173" s="555"/>
      <c r="B173" s="577"/>
      <c r="C173" s="723"/>
      <c r="D173" s="723"/>
      <c r="E173" s="723"/>
      <c r="F173" s="578"/>
      <c r="G173" s="578"/>
      <c r="H173" s="578"/>
      <c r="I173" s="578"/>
      <c r="J173" s="578"/>
      <c r="K173" s="555"/>
    </row>
    <row r="174" spans="1:11" ht="16.5">
      <c r="A174" s="555"/>
      <c r="B174" s="577"/>
      <c r="C174" s="723"/>
      <c r="D174" s="723"/>
      <c r="E174" s="723"/>
      <c r="F174" s="578"/>
      <c r="G174" s="578"/>
      <c r="H174" s="578"/>
      <c r="I174" s="578"/>
      <c r="J174" s="578"/>
      <c r="K174" s="555"/>
    </row>
    <row r="175" spans="1:11" ht="16.5">
      <c r="A175" s="555"/>
      <c r="B175" s="577"/>
      <c r="C175" s="723"/>
      <c r="D175" s="723"/>
      <c r="E175" s="723"/>
      <c r="F175" s="578"/>
      <c r="G175" s="578"/>
      <c r="H175" s="578"/>
      <c r="I175" s="578"/>
      <c r="J175" s="578"/>
      <c r="K175" s="555"/>
    </row>
    <row r="176" spans="1:11" ht="16.5">
      <c r="A176" s="555"/>
      <c r="B176" s="577"/>
      <c r="C176" s="723"/>
      <c r="D176" s="723"/>
      <c r="E176" s="723"/>
      <c r="F176" s="578"/>
      <c r="G176" s="578"/>
      <c r="H176" s="578"/>
      <c r="I176" s="578"/>
      <c r="J176" s="578"/>
      <c r="K176" s="555"/>
    </row>
    <row r="177" spans="1:11" ht="16.5">
      <c r="A177" s="555"/>
      <c r="B177" s="577"/>
      <c r="C177" s="723"/>
      <c r="D177" s="723"/>
      <c r="E177" s="723"/>
      <c r="F177" s="578"/>
      <c r="G177" s="578"/>
      <c r="H177" s="578"/>
      <c r="I177" s="578"/>
      <c r="J177" s="578"/>
      <c r="K177" s="555"/>
    </row>
    <row r="178" spans="1:11" ht="16.5">
      <c r="A178" s="555"/>
      <c r="B178" s="577"/>
      <c r="C178" s="723"/>
      <c r="D178" s="723"/>
      <c r="E178" s="723"/>
      <c r="F178" s="578"/>
      <c r="G178" s="578"/>
      <c r="H178" s="578"/>
      <c r="I178" s="578"/>
      <c r="J178" s="578"/>
      <c r="K178" s="555"/>
    </row>
    <row r="179" spans="1:11" ht="16.5">
      <c r="A179" s="555"/>
      <c r="B179" s="577"/>
      <c r="C179" s="723"/>
      <c r="D179" s="723"/>
      <c r="E179" s="723"/>
      <c r="F179" s="578"/>
      <c r="G179" s="578"/>
      <c r="H179" s="578"/>
      <c r="I179" s="578"/>
      <c r="J179" s="578"/>
      <c r="K179" s="555"/>
    </row>
    <row r="180" spans="1:11" ht="16.5">
      <c r="A180" s="555"/>
      <c r="B180" s="577"/>
      <c r="C180" s="723"/>
      <c r="D180" s="723"/>
      <c r="E180" s="723"/>
      <c r="F180" s="578"/>
      <c r="G180" s="578"/>
      <c r="H180" s="578"/>
      <c r="I180" s="578"/>
      <c r="J180" s="578"/>
      <c r="K180" s="555"/>
    </row>
    <row r="181" spans="1:11" ht="16.5">
      <c r="A181" s="555"/>
      <c r="B181" s="577"/>
      <c r="C181" s="723"/>
      <c r="D181" s="723"/>
      <c r="E181" s="723"/>
      <c r="F181" s="578"/>
      <c r="G181" s="578"/>
      <c r="H181" s="578"/>
      <c r="I181" s="578"/>
      <c r="J181" s="578"/>
      <c r="K181" s="555"/>
    </row>
    <row r="182" spans="1:11" ht="16.5">
      <c r="A182" s="555"/>
      <c r="B182" s="577"/>
      <c r="C182" s="723"/>
      <c r="D182" s="723"/>
      <c r="E182" s="723"/>
      <c r="F182" s="578"/>
      <c r="G182" s="578"/>
      <c r="H182" s="578"/>
      <c r="I182" s="578"/>
      <c r="J182" s="578"/>
      <c r="K182" s="555"/>
    </row>
    <row r="183" spans="1:11" ht="16.5">
      <c r="A183" s="555"/>
      <c r="B183" s="577"/>
      <c r="C183" s="723"/>
      <c r="D183" s="723"/>
      <c r="E183" s="723"/>
      <c r="F183" s="578"/>
      <c r="G183" s="578"/>
      <c r="H183" s="578"/>
      <c r="I183" s="578"/>
      <c r="J183" s="578"/>
      <c r="K183" s="555"/>
    </row>
    <row r="184" spans="1:11" ht="16.5">
      <c r="A184" s="555"/>
      <c r="B184" s="577"/>
      <c r="C184" s="723"/>
      <c r="D184" s="723"/>
      <c r="E184" s="723"/>
      <c r="F184" s="578"/>
      <c r="G184" s="578"/>
      <c r="H184" s="578"/>
      <c r="I184" s="578"/>
      <c r="J184" s="578"/>
      <c r="K184" s="555"/>
    </row>
    <row r="185" spans="1:11" ht="16.5">
      <c r="A185" s="555"/>
      <c r="B185" s="577"/>
      <c r="C185" s="723"/>
      <c r="D185" s="723"/>
      <c r="E185" s="723"/>
      <c r="F185" s="578"/>
      <c r="G185" s="578"/>
      <c r="H185" s="578"/>
      <c r="I185" s="578"/>
      <c r="J185" s="578"/>
      <c r="K185" s="555"/>
    </row>
    <row r="186" spans="1:11" ht="16.5">
      <c r="A186" s="555"/>
      <c r="B186" s="577"/>
      <c r="C186" s="723"/>
      <c r="D186" s="723"/>
      <c r="E186" s="723"/>
      <c r="F186" s="578"/>
      <c r="G186" s="578"/>
      <c r="H186" s="578"/>
      <c r="I186" s="578"/>
      <c r="J186" s="578"/>
      <c r="K186" s="555"/>
    </row>
    <row r="187" spans="1:11" ht="16.5">
      <c r="A187" s="555"/>
      <c r="B187" s="577"/>
      <c r="C187" s="723"/>
      <c r="D187" s="723"/>
      <c r="E187" s="723"/>
      <c r="F187" s="578"/>
      <c r="G187" s="578"/>
      <c r="H187" s="578"/>
      <c r="I187" s="578"/>
      <c r="J187" s="578"/>
      <c r="K187" s="555"/>
    </row>
    <row r="188" spans="1:11" ht="16.5">
      <c r="A188" s="555"/>
      <c r="B188" s="577"/>
      <c r="C188" s="723"/>
      <c r="D188" s="723"/>
      <c r="E188" s="723"/>
      <c r="F188" s="578"/>
      <c r="G188" s="578"/>
      <c r="H188" s="578"/>
      <c r="I188" s="578"/>
      <c r="J188" s="578"/>
      <c r="K188" s="555"/>
    </row>
    <row r="189" spans="1:11" ht="16.5">
      <c r="A189" s="555"/>
      <c r="B189" s="577"/>
      <c r="C189" s="723"/>
      <c r="D189" s="723"/>
      <c r="E189" s="723"/>
      <c r="F189" s="578"/>
      <c r="G189" s="578"/>
      <c r="H189" s="578"/>
      <c r="I189" s="578"/>
      <c r="J189" s="578"/>
      <c r="K189" s="555"/>
    </row>
    <row r="190" spans="1:11" ht="16.5">
      <c r="A190" s="555"/>
      <c r="B190" s="577"/>
      <c r="C190" s="723"/>
      <c r="D190" s="723"/>
      <c r="E190" s="723"/>
      <c r="F190" s="578"/>
      <c r="G190" s="578"/>
      <c r="H190" s="578"/>
      <c r="I190" s="578"/>
      <c r="J190" s="578"/>
      <c r="K190" s="555"/>
    </row>
    <row r="191" spans="1:11" ht="16.5">
      <c r="A191" s="555"/>
      <c r="B191" s="577"/>
      <c r="C191" s="723"/>
      <c r="D191" s="723"/>
      <c r="E191" s="723"/>
      <c r="F191" s="578"/>
      <c r="G191" s="578"/>
      <c r="H191" s="578"/>
      <c r="I191" s="578"/>
      <c r="J191" s="578"/>
      <c r="K191" s="555"/>
    </row>
    <row r="192" spans="1:11" ht="16.5">
      <c r="A192" s="555"/>
      <c r="B192" s="577"/>
      <c r="C192" s="723"/>
      <c r="D192" s="723"/>
      <c r="E192" s="723"/>
      <c r="F192" s="578"/>
      <c r="G192" s="578"/>
      <c r="H192" s="578"/>
      <c r="I192" s="578"/>
      <c r="J192" s="578"/>
      <c r="K192" s="555"/>
    </row>
    <row r="193" spans="1:11" ht="16.5">
      <c r="A193" s="555"/>
      <c r="B193" s="577"/>
      <c r="C193" s="723"/>
      <c r="D193" s="723"/>
      <c r="E193" s="723"/>
      <c r="F193" s="578"/>
      <c r="G193" s="578"/>
      <c r="H193" s="578"/>
      <c r="I193" s="578"/>
      <c r="J193" s="578"/>
      <c r="K193" s="555"/>
    </row>
    <row r="194" spans="1:11" ht="16.5">
      <c r="A194" s="555"/>
      <c r="B194" s="577"/>
      <c r="C194" s="723"/>
      <c r="D194" s="723"/>
      <c r="E194" s="723"/>
      <c r="F194" s="578"/>
      <c r="G194" s="578"/>
      <c r="H194" s="578"/>
      <c r="I194" s="578"/>
      <c r="J194" s="578"/>
      <c r="K194" s="555"/>
    </row>
    <row r="195" spans="1:11" ht="16.5">
      <c r="A195" s="555"/>
      <c r="B195" s="577"/>
      <c r="C195" s="723"/>
      <c r="D195" s="723"/>
      <c r="E195" s="723"/>
      <c r="F195" s="578"/>
      <c r="G195" s="578"/>
      <c r="H195" s="578"/>
      <c r="I195" s="578"/>
      <c r="J195" s="578"/>
      <c r="K195" s="555"/>
    </row>
    <row r="196" spans="1:11" ht="16.5">
      <c r="A196" s="555"/>
      <c r="B196" s="577"/>
      <c r="C196" s="723"/>
      <c r="D196" s="723"/>
      <c r="E196" s="723"/>
      <c r="F196" s="578"/>
      <c r="G196" s="578"/>
      <c r="H196" s="578"/>
      <c r="I196" s="578"/>
      <c r="J196" s="578"/>
      <c r="K196" s="555"/>
    </row>
    <row r="197" spans="1:11" ht="16.5">
      <c r="A197" s="555"/>
      <c r="B197" s="577"/>
      <c r="C197" s="723"/>
      <c r="D197" s="723"/>
      <c r="E197" s="723"/>
      <c r="F197" s="578"/>
      <c r="G197" s="578"/>
      <c r="H197" s="578"/>
      <c r="I197" s="578"/>
      <c r="J197" s="578"/>
      <c r="K197" s="555"/>
    </row>
    <row r="198" spans="1:11" ht="16.5">
      <c r="A198" s="555"/>
      <c r="B198" s="577"/>
      <c r="C198" s="723"/>
      <c r="D198" s="723"/>
      <c r="E198" s="723"/>
      <c r="F198" s="578"/>
      <c r="G198" s="578"/>
      <c r="H198" s="578"/>
      <c r="I198" s="578"/>
      <c r="J198" s="578"/>
      <c r="K198" s="555"/>
    </row>
    <row r="199" spans="1:11" ht="16.5">
      <c r="A199" s="555"/>
      <c r="B199" s="577"/>
      <c r="C199" s="723"/>
      <c r="D199" s="723"/>
      <c r="E199" s="723"/>
      <c r="F199" s="578"/>
      <c r="G199" s="578"/>
      <c r="H199" s="578"/>
      <c r="I199" s="578"/>
      <c r="J199" s="578"/>
      <c r="K199" s="555"/>
    </row>
    <row r="200" spans="1:11" ht="16.5">
      <c r="A200" s="555"/>
      <c r="B200" s="577"/>
      <c r="C200" s="723"/>
      <c r="D200" s="723"/>
      <c r="E200" s="723"/>
      <c r="F200" s="578"/>
      <c r="G200" s="578"/>
      <c r="H200" s="578"/>
      <c r="I200" s="578"/>
      <c r="J200" s="578"/>
      <c r="K200" s="555"/>
    </row>
    <row r="201" spans="1:11" ht="16.5">
      <c r="A201" s="555"/>
      <c r="B201" s="577"/>
      <c r="C201" s="723"/>
      <c r="D201" s="723"/>
      <c r="E201" s="723"/>
      <c r="F201" s="578"/>
      <c r="G201" s="578"/>
      <c r="H201" s="578"/>
      <c r="I201" s="578"/>
      <c r="J201" s="578"/>
      <c r="K201" s="555"/>
    </row>
    <row r="202" spans="1:11" ht="16.5">
      <c r="A202" s="555"/>
      <c r="B202" s="577"/>
      <c r="C202" s="723"/>
      <c r="D202" s="723"/>
      <c r="E202" s="723"/>
      <c r="F202" s="578"/>
      <c r="G202" s="578"/>
      <c r="H202" s="578"/>
      <c r="I202" s="578"/>
      <c r="J202" s="578"/>
      <c r="K202" s="555"/>
    </row>
    <row r="203" spans="1:11" ht="16.5">
      <c r="A203" s="555"/>
      <c r="B203" s="577"/>
      <c r="C203" s="723"/>
      <c r="D203" s="723"/>
      <c r="E203" s="723"/>
      <c r="F203" s="578"/>
      <c r="G203" s="578"/>
      <c r="H203" s="578"/>
      <c r="I203" s="578"/>
      <c r="J203" s="578"/>
      <c r="K203" s="555"/>
    </row>
    <row r="204" spans="1:11" ht="16.5">
      <c r="A204" s="555"/>
      <c r="B204" s="577"/>
      <c r="C204" s="723"/>
      <c r="D204" s="723"/>
      <c r="E204" s="723"/>
      <c r="F204" s="578"/>
      <c r="G204" s="578"/>
      <c r="H204" s="578"/>
      <c r="I204" s="578"/>
      <c r="J204" s="578"/>
      <c r="K204" s="555"/>
    </row>
    <row r="205" spans="1:11" ht="16.5">
      <c r="A205" s="555"/>
      <c r="B205" s="577"/>
      <c r="C205" s="723"/>
      <c r="D205" s="723"/>
      <c r="E205" s="723"/>
      <c r="F205" s="578"/>
      <c r="G205" s="578"/>
      <c r="H205" s="578"/>
      <c r="I205" s="578"/>
      <c r="J205" s="578"/>
      <c r="K205" s="555"/>
    </row>
    <row r="206" spans="1:11" ht="16.5">
      <c r="A206" s="555"/>
      <c r="B206" s="577"/>
      <c r="C206" s="723"/>
      <c r="D206" s="723"/>
      <c r="E206" s="723"/>
      <c r="F206" s="578"/>
      <c r="G206" s="578"/>
      <c r="H206" s="578"/>
      <c r="I206" s="578"/>
      <c r="J206" s="578"/>
      <c r="K206" s="555"/>
    </row>
    <row r="207" spans="1:11" ht="16.5">
      <c r="A207" s="555"/>
      <c r="B207" s="577"/>
      <c r="C207" s="723"/>
      <c r="D207" s="723"/>
      <c r="E207" s="723"/>
      <c r="F207" s="578"/>
      <c r="G207" s="578"/>
      <c r="H207" s="578"/>
      <c r="I207" s="578"/>
      <c r="J207" s="578"/>
      <c r="K207" s="555"/>
    </row>
    <row r="208" spans="1:11" ht="16.5">
      <c r="A208" s="555"/>
      <c r="B208" s="577"/>
      <c r="C208" s="723"/>
      <c r="D208" s="723"/>
      <c r="E208" s="723"/>
      <c r="F208" s="578"/>
      <c r="G208" s="578"/>
      <c r="H208" s="578"/>
      <c r="I208" s="578"/>
      <c r="J208" s="578"/>
      <c r="K208" s="555"/>
    </row>
    <row r="209" spans="1:11" ht="16.5">
      <c r="A209" s="555"/>
      <c r="B209" s="577"/>
      <c r="C209" s="723"/>
      <c r="D209" s="723"/>
      <c r="E209" s="723"/>
      <c r="F209" s="578"/>
      <c r="G209" s="578"/>
      <c r="H209" s="578"/>
      <c r="I209" s="578"/>
      <c r="J209" s="578"/>
      <c r="K209" s="555"/>
    </row>
    <row r="210" spans="1:11" ht="16.5">
      <c r="A210" s="555"/>
      <c r="B210" s="577"/>
      <c r="C210" s="723"/>
      <c r="D210" s="723"/>
      <c r="E210" s="723"/>
      <c r="F210" s="578"/>
      <c r="G210" s="578"/>
      <c r="H210" s="578"/>
      <c r="I210" s="578"/>
      <c r="J210" s="578"/>
      <c r="K210" s="555"/>
    </row>
    <row r="211" spans="1:11" ht="16.5">
      <c r="A211" s="555"/>
      <c r="B211" s="577"/>
      <c r="C211" s="723"/>
      <c r="D211" s="723"/>
      <c r="E211" s="723"/>
      <c r="F211" s="578"/>
      <c r="G211" s="578"/>
      <c r="H211" s="578"/>
      <c r="I211" s="578"/>
      <c r="J211" s="578"/>
      <c r="K211" s="555"/>
    </row>
    <row r="212" spans="1:11" ht="16.5">
      <c r="A212" s="555"/>
      <c r="B212" s="577"/>
      <c r="C212" s="723"/>
      <c r="D212" s="723"/>
      <c r="E212" s="723"/>
      <c r="F212" s="578"/>
      <c r="G212" s="578"/>
      <c r="H212" s="578"/>
      <c r="I212" s="578"/>
      <c r="J212" s="578"/>
      <c r="K212" s="555"/>
    </row>
    <row r="213" spans="1:11" ht="16.5">
      <c r="A213" s="555"/>
      <c r="B213" s="577"/>
      <c r="C213" s="723"/>
      <c r="D213" s="723"/>
      <c r="E213" s="723"/>
      <c r="F213" s="578"/>
      <c r="G213" s="578"/>
      <c r="H213" s="578"/>
      <c r="I213" s="578"/>
      <c r="J213" s="578"/>
      <c r="K213" s="555"/>
    </row>
    <row r="214" spans="1:11" ht="16.5">
      <c r="A214" s="555"/>
      <c r="B214" s="577"/>
      <c r="C214" s="723"/>
      <c r="D214" s="723"/>
      <c r="E214" s="723"/>
      <c r="F214" s="578"/>
      <c r="G214" s="578"/>
      <c r="H214" s="578"/>
      <c r="I214" s="578"/>
      <c r="J214" s="578"/>
      <c r="K214" s="555"/>
    </row>
    <row r="215" spans="1:11" ht="16.5">
      <c r="A215" s="555"/>
      <c r="B215" s="577"/>
      <c r="C215" s="723"/>
      <c r="D215" s="723"/>
      <c r="E215" s="723"/>
      <c r="F215" s="578"/>
      <c r="G215" s="578"/>
      <c r="H215" s="578"/>
      <c r="I215" s="578"/>
      <c r="J215" s="578"/>
      <c r="K215" s="555"/>
    </row>
    <row r="216" spans="1:11" ht="16.5">
      <c r="A216" s="555"/>
      <c r="B216" s="577"/>
      <c r="C216" s="723"/>
      <c r="D216" s="723"/>
      <c r="E216" s="723"/>
      <c r="F216" s="578"/>
      <c r="G216" s="578"/>
      <c r="H216" s="578"/>
      <c r="I216" s="578"/>
      <c r="J216" s="578"/>
      <c r="K216" s="555"/>
    </row>
    <row r="217" spans="1:11" ht="16.5">
      <c r="A217" s="555"/>
      <c r="B217" s="577"/>
      <c r="C217" s="723"/>
      <c r="D217" s="723"/>
      <c r="E217" s="723"/>
      <c r="F217" s="578"/>
      <c r="G217" s="578"/>
      <c r="H217" s="578"/>
      <c r="I217" s="578"/>
      <c r="J217" s="578"/>
      <c r="K217" s="555"/>
    </row>
    <row r="218" spans="1:11" ht="16.5">
      <c r="A218" s="555"/>
      <c r="B218" s="577"/>
      <c r="C218" s="723"/>
      <c r="D218" s="723"/>
      <c r="E218" s="723"/>
      <c r="F218" s="578"/>
      <c r="G218" s="578"/>
      <c r="H218" s="578"/>
      <c r="I218" s="578"/>
      <c r="J218" s="578"/>
      <c r="K218" s="555"/>
    </row>
    <row r="219" spans="1:11" ht="16.5">
      <c r="A219" s="555"/>
      <c r="B219" s="577"/>
      <c r="C219" s="723"/>
      <c r="D219" s="723"/>
      <c r="E219" s="723"/>
      <c r="F219" s="578"/>
      <c r="G219" s="578"/>
      <c r="H219" s="578"/>
      <c r="I219" s="578"/>
      <c r="J219" s="578"/>
      <c r="K219" s="555"/>
    </row>
    <row r="220" spans="1:11" ht="16.5">
      <c r="A220" s="555"/>
      <c r="B220" s="577"/>
      <c r="C220" s="723"/>
      <c r="D220" s="723"/>
      <c r="E220" s="723"/>
      <c r="F220" s="578"/>
      <c r="G220" s="578"/>
      <c r="H220" s="578"/>
      <c r="I220" s="578"/>
      <c r="J220" s="578"/>
      <c r="K220" s="555"/>
    </row>
    <row r="221" spans="1:11" ht="16.5">
      <c r="A221" s="555"/>
      <c r="B221" s="577"/>
      <c r="C221" s="723"/>
      <c r="D221" s="723"/>
      <c r="E221" s="723"/>
      <c r="F221" s="578"/>
      <c r="G221" s="578"/>
      <c r="H221" s="578"/>
      <c r="I221" s="578"/>
      <c r="J221" s="578"/>
      <c r="K221" s="555"/>
    </row>
    <row r="222" spans="1:11" ht="16.5">
      <c r="A222" s="555"/>
      <c r="B222" s="577"/>
      <c r="C222" s="723"/>
      <c r="D222" s="723"/>
      <c r="E222" s="723"/>
      <c r="F222" s="578"/>
      <c r="G222" s="578"/>
      <c r="H222" s="578"/>
      <c r="I222" s="578"/>
      <c r="J222" s="578"/>
      <c r="K222" s="555"/>
    </row>
    <row r="223" spans="1:11" ht="16.5">
      <c r="A223" s="555"/>
      <c r="B223" s="577"/>
      <c r="C223" s="723"/>
      <c r="D223" s="723"/>
      <c r="E223" s="723"/>
      <c r="F223" s="578"/>
      <c r="G223" s="578"/>
      <c r="H223" s="578"/>
      <c r="I223" s="578"/>
      <c r="J223" s="578"/>
      <c r="K223" s="555"/>
    </row>
    <row r="224" spans="1:11" ht="16.5">
      <c r="A224" s="555"/>
      <c r="B224" s="577"/>
      <c r="C224" s="723"/>
      <c r="D224" s="723"/>
      <c r="E224" s="723"/>
      <c r="F224" s="578"/>
      <c r="G224" s="578"/>
      <c r="H224" s="578"/>
      <c r="I224" s="578"/>
      <c r="J224" s="578"/>
      <c r="K224" s="555"/>
    </row>
    <row r="225" spans="1:11" ht="16.5">
      <c r="A225" s="555"/>
      <c r="B225" s="577"/>
      <c r="C225" s="723"/>
      <c r="D225" s="723"/>
      <c r="E225" s="723"/>
      <c r="F225" s="578"/>
      <c r="G225" s="578"/>
      <c r="H225" s="578"/>
      <c r="I225" s="578"/>
      <c r="J225" s="578"/>
      <c r="K225" s="555"/>
    </row>
    <row r="226" spans="1:11" ht="16.5">
      <c r="A226" s="555"/>
      <c r="B226" s="577"/>
      <c r="C226" s="723"/>
      <c r="D226" s="723"/>
      <c r="E226" s="723"/>
      <c r="F226" s="578"/>
      <c r="G226" s="578"/>
      <c r="H226" s="578"/>
      <c r="I226" s="578"/>
      <c r="J226" s="578"/>
      <c r="K226" s="555"/>
    </row>
    <row r="227" spans="1:11" ht="16.5">
      <c r="A227" s="555"/>
      <c r="B227" s="577"/>
      <c r="C227" s="723"/>
      <c r="D227" s="723"/>
      <c r="E227" s="723"/>
      <c r="F227" s="578"/>
      <c r="G227" s="578"/>
      <c r="H227" s="578"/>
      <c r="I227" s="578"/>
      <c r="J227" s="578"/>
      <c r="K227" s="555"/>
    </row>
    <row r="228" spans="1:11" ht="16.5">
      <c r="A228" s="555"/>
      <c r="B228" s="577"/>
      <c r="C228" s="723"/>
      <c r="D228" s="723"/>
      <c r="E228" s="723"/>
      <c r="F228" s="578"/>
      <c r="G228" s="578"/>
      <c r="H228" s="578"/>
      <c r="I228" s="578"/>
      <c r="J228" s="578"/>
      <c r="K228" s="555"/>
    </row>
    <row r="229" spans="1:11" ht="16.5">
      <c r="A229" s="555"/>
      <c r="B229" s="577"/>
      <c r="C229" s="723"/>
      <c r="D229" s="723"/>
      <c r="E229" s="723"/>
      <c r="F229" s="578"/>
      <c r="G229" s="578"/>
      <c r="H229" s="578"/>
      <c r="I229" s="578"/>
      <c r="J229" s="578"/>
      <c r="K229" s="555"/>
    </row>
    <row r="230" spans="1:11" ht="16.5">
      <c r="A230" s="555"/>
      <c r="B230" s="577"/>
      <c r="C230" s="723"/>
      <c r="D230" s="723"/>
      <c r="E230" s="723"/>
      <c r="F230" s="578"/>
      <c r="G230" s="578"/>
      <c r="H230" s="578"/>
      <c r="I230" s="578"/>
      <c r="J230" s="578"/>
      <c r="K230" s="555"/>
    </row>
    <row r="231" spans="1:11" ht="16.5">
      <c r="A231" s="555"/>
      <c r="B231" s="577"/>
      <c r="C231" s="723"/>
      <c r="D231" s="723"/>
      <c r="E231" s="723"/>
      <c r="F231" s="578"/>
      <c r="G231" s="578"/>
      <c r="H231" s="578"/>
      <c r="I231" s="578"/>
      <c r="J231" s="578"/>
      <c r="K231" s="555"/>
    </row>
    <row r="232" spans="1:11" ht="16.5">
      <c r="A232" s="555"/>
      <c r="B232" s="577"/>
      <c r="C232" s="723"/>
      <c r="D232" s="723"/>
      <c r="E232" s="723"/>
      <c r="F232" s="578"/>
      <c r="G232" s="578"/>
      <c r="H232" s="578"/>
      <c r="I232" s="578"/>
      <c r="J232" s="578"/>
      <c r="K232" s="555"/>
    </row>
    <row r="233" spans="1:11" ht="16.5">
      <c r="A233" s="555"/>
      <c r="B233" s="577"/>
      <c r="C233" s="723"/>
      <c r="D233" s="723"/>
      <c r="E233" s="723"/>
      <c r="F233" s="578"/>
      <c r="G233" s="578"/>
      <c r="H233" s="578"/>
      <c r="I233" s="578"/>
      <c r="J233" s="578"/>
      <c r="K233" s="555"/>
    </row>
    <row r="234" spans="1:11" ht="16.5">
      <c r="A234" s="555"/>
      <c r="B234" s="577"/>
      <c r="C234" s="723"/>
      <c r="D234" s="723"/>
      <c r="E234" s="723"/>
      <c r="F234" s="578"/>
      <c r="G234" s="578"/>
      <c r="H234" s="578"/>
      <c r="I234" s="578"/>
      <c r="J234" s="578"/>
      <c r="K234" s="555"/>
    </row>
    <row r="235" spans="1:11" ht="16.5">
      <c r="A235" s="555"/>
      <c r="B235" s="577"/>
      <c r="C235" s="723"/>
      <c r="D235" s="723"/>
      <c r="E235" s="723"/>
      <c r="F235" s="578"/>
      <c r="G235" s="578"/>
      <c r="H235" s="578"/>
      <c r="I235" s="578"/>
      <c r="J235" s="578"/>
      <c r="K235" s="555"/>
    </row>
    <row r="236" spans="1:11" ht="16.5">
      <c r="A236" s="555"/>
      <c r="B236" s="577"/>
      <c r="C236" s="723"/>
      <c r="D236" s="723"/>
      <c r="E236" s="723"/>
      <c r="F236" s="578"/>
      <c r="G236" s="578"/>
      <c r="H236" s="578"/>
      <c r="I236" s="578"/>
      <c r="J236" s="578"/>
      <c r="K236" s="555"/>
    </row>
    <row r="237" spans="1:11" ht="16.5">
      <c r="A237" s="555"/>
      <c r="B237" s="577"/>
      <c r="C237" s="723"/>
      <c r="D237" s="723"/>
      <c r="E237" s="723"/>
      <c r="F237" s="578"/>
      <c r="G237" s="578"/>
      <c r="H237" s="578"/>
      <c r="I237" s="578"/>
      <c r="J237" s="578"/>
      <c r="K237" s="555"/>
    </row>
    <row r="238" spans="1:11" ht="16.5">
      <c r="A238" s="555"/>
      <c r="B238" s="577"/>
      <c r="C238" s="723"/>
      <c r="D238" s="723"/>
      <c r="E238" s="723"/>
      <c r="F238" s="578"/>
      <c r="G238" s="578"/>
      <c r="H238" s="578"/>
      <c r="I238" s="578"/>
      <c r="J238" s="578"/>
      <c r="K238" s="555"/>
    </row>
    <row r="239" spans="1:11" ht="16.5">
      <c r="A239" s="555"/>
      <c r="B239" s="577"/>
      <c r="C239" s="723"/>
      <c r="D239" s="723"/>
      <c r="E239" s="723"/>
      <c r="F239" s="578"/>
      <c r="G239" s="578"/>
      <c r="H239" s="578"/>
      <c r="I239" s="578"/>
      <c r="J239" s="578"/>
      <c r="K239" s="555"/>
    </row>
    <row r="240" spans="1:11" ht="16.5">
      <c r="A240" s="555"/>
      <c r="B240" s="577"/>
      <c r="C240" s="723"/>
      <c r="D240" s="723"/>
      <c r="E240" s="723"/>
      <c r="F240" s="578"/>
      <c r="G240" s="578"/>
      <c r="H240" s="578"/>
      <c r="I240" s="578"/>
      <c r="J240" s="578"/>
      <c r="K240" s="555"/>
    </row>
    <row r="241" spans="1:11" ht="16.5">
      <c r="A241" s="555"/>
      <c r="B241" s="577"/>
      <c r="C241" s="723"/>
      <c r="D241" s="723"/>
      <c r="E241" s="723"/>
      <c r="F241" s="578"/>
      <c r="G241" s="578"/>
      <c r="H241" s="578"/>
      <c r="I241" s="578"/>
      <c r="J241" s="578"/>
      <c r="K241" s="555"/>
    </row>
    <row r="242" spans="1:11" ht="16.5">
      <c r="A242" s="555"/>
      <c r="B242" s="577"/>
      <c r="C242" s="723"/>
      <c r="D242" s="723"/>
      <c r="E242" s="723"/>
      <c r="F242" s="578"/>
      <c r="G242" s="578"/>
      <c r="H242" s="578"/>
      <c r="I242" s="578"/>
      <c r="J242" s="578"/>
      <c r="K242" s="555"/>
    </row>
    <row r="243" spans="1:11" ht="16.5">
      <c r="A243" s="555"/>
      <c r="B243" s="577"/>
      <c r="C243" s="723"/>
      <c r="D243" s="723"/>
      <c r="E243" s="723"/>
      <c r="F243" s="578"/>
      <c r="G243" s="578"/>
      <c r="H243" s="578"/>
      <c r="I243" s="578"/>
      <c r="J243" s="578"/>
      <c r="K243" s="555"/>
    </row>
    <row r="244" spans="1:11" ht="16.5">
      <c r="A244" s="555"/>
      <c r="B244" s="577"/>
      <c r="C244" s="723"/>
      <c r="D244" s="723"/>
      <c r="E244" s="723"/>
      <c r="F244" s="578"/>
      <c r="G244" s="578"/>
      <c r="H244" s="578"/>
      <c r="I244" s="578"/>
      <c r="J244" s="578"/>
      <c r="K244" s="555"/>
    </row>
    <row r="245" spans="1:11" ht="16.5">
      <c r="A245" s="555"/>
      <c r="B245" s="577"/>
      <c r="C245" s="723"/>
      <c r="D245" s="723"/>
      <c r="E245" s="723"/>
      <c r="F245" s="578"/>
      <c r="G245" s="578"/>
      <c r="H245" s="578"/>
      <c r="I245" s="578"/>
      <c r="J245" s="578"/>
      <c r="K245" s="555"/>
    </row>
    <row r="246" spans="1:11" ht="16.5">
      <c r="A246" s="555"/>
      <c r="B246" s="577"/>
      <c r="C246" s="723"/>
      <c r="D246" s="723"/>
      <c r="E246" s="723"/>
      <c r="F246" s="578"/>
      <c r="G246" s="578"/>
      <c r="H246" s="578"/>
      <c r="I246" s="578"/>
      <c r="J246" s="578"/>
      <c r="K246" s="555"/>
    </row>
    <row r="247" spans="1:11" ht="16.5">
      <c r="A247" s="555"/>
      <c r="B247" s="577"/>
      <c r="C247" s="723"/>
      <c r="D247" s="723"/>
      <c r="E247" s="723"/>
      <c r="F247" s="578"/>
      <c r="G247" s="578"/>
      <c r="H247" s="578"/>
      <c r="I247" s="578"/>
      <c r="J247" s="578"/>
      <c r="K247" s="555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K11"/>
  <sheetViews>
    <sheetView workbookViewId="0"/>
  </sheetViews>
  <sheetFormatPr defaultRowHeight="15"/>
  <sheetData>
    <row r="11" spans="1:11" ht="20.25">
      <c r="A11" s="1046" t="s">
        <v>601</v>
      </c>
      <c r="B11" s="1046"/>
      <c r="C11" s="1046"/>
      <c r="D11" s="1046"/>
      <c r="E11" s="1046"/>
      <c r="F11" s="1046"/>
      <c r="G11" s="1046"/>
      <c r="H11" s="1046"/>
      <c r="I11" s="1046"/>
      <c r="J11" s="1046"/>
      <c r="K11" s="554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0"/>
  <sheetViews>
    <sheetView workbookViewId="0"/>
  </sheetViews>
  <sheetFormatPr defaultRowHeight="15"/>
  <sheetData>
    <row r="1" spans="1:10" ht="33">
      <c r="A1" s="400"/>
      <c r="B1" s="390" t="s">
        <v>815</v>
      </c>
      <c r="C1" s="364"/>
      <c r="D1" s="383"/>
      <c r="E1" s="383"/>
      <c r="F1" s="365"/>
      <c r="G1" s="1142"/>
      <c r="H1" s="1142"/>
      <c r="I1" s="1048"/>
      <c r="J1" s="1048"/>
    </row>
    <row r="2" spans="1:10" ht="297">
      <c r="A2" s="555"/>
      <c r="B2" s="1047" t="s">
        <v>686</v>
      </c>
      <c r="C2" s="1047"/>
      <c r="D2" s="1047"/>
      <c r="E2" s="1047"/>
      <c r="F2" s="1047"/>
      <c r="G2" s="1047"/>
      <c r="H2" s="1047"/>
      <c r="I2" s="1047"/>
      <c r="J2" s="1047"/>
    </row>
    <row r="3" spans="1:10" ht="16.5">
      <c r="A3" s="1050" t="s">
        <v>816</v>
      </c>
      <c r="B3" s="1050"/>
      <c r="C3" s="1050"/>
      <c r="D3" s="1050"/>
      <c r="E3" s="1050"/>
      <c r="F3" s="1050"/>
      <c r="G3" s="1050"/>
      <c r="H3" s="1050"/>
      <c r="I3" s="1050"/>
      <c r="J3" s="1050"/>
    </row>
    <row r="4" spans="1:10" ht="16.5">
      <c r="A4" s="555"/>
      <c r="B4" s="628"/>
      <c r="C4" s="628"/>
      <c r="D4" s="628"/>
      <c r="E4" s="628"/>
      <c r="F4" s="628"/>
      <c r="G4" s="628"/>
      <c r="H4" s="628"/>
      <c r="I4" s="628"/>
      <c r="J4" s="628"/>
    </row>
    <row r="5" spans="1:10" ht="99">
      <c r="A5" s="1049" t="s">
        <v>494</v>
      </c>
      <c r="B5" s="1049" t="s">
        <v>287</v>
      </c>
      <c r="C5" s="1049" t="s">
        <v>184</v>
      </c>
      <c r="D5" s="1049" t="s">
        <v>611</v>
      </c>
      <c r="E5" s="1049" t="s">
        <v>602</v>
      </c>
      <c r="F5" s="1049" t="s">
        <v>769</v>
      </c>
      <c r="G5" s="1049"/>
      <c r="H5" s="1049"/>
      <c r="I5" s="1049"/>
      <c r="J5" s="1049"/>
    </row>
    <row r="6" spans="1:10" ht="66">
      <c r="A6" s="1049"/>
      <c r="B6" s="1049"/>
      <c r="C6" s="1049"/>
      <c r="D6" s="1049"/>
      <c r="E6" s="1049"/>
      <c r="F6" s="332" t="s">
        <v>770</v>
      </c>
      <c r="G6" s="332" t="s">
        <v>771</v>
      </c>
      <c r="H6" s="332" t="s">
        <v>772</v>
      </c>
      <c r="I6" s="332" t="s">
        <v>773</v>
      </c>
      <c r="J6" s="332" t="s">
        <v>774</v>
      </c>
    </row>
    <row r="7" spans="1:10" ht="49.5">
      <c r="A7" s="336" t="s">
        <v>101</v>
      </c>
      <c r="B7" s="333" t="s">
        <v>288</v>
      </c>
      <c r="C7" s="334"/>
      <c r="D7" s="334"/>
      <c r="E7" s="334"/>
      <c r="F7" s="335"/>
      <c r="G7" s="335"/>
      <c r="H7" s="335"/>
      <c r="I7" s="335"/>
      <c r="J7" s="335"/>
    </row>
    <row r="8" spans="1:10" ht="231">
      <c r="A8" s="336">
        <v>1</v>
      </c>
      <c r="B8" s="337" t="s">
        <v>324</v>
      </c>
      <c r="C8" s="334"/>
      <c r="D8" s="334"/>
      <c r="E8" s="334"/>
      <c r="F8" s="346"/>
      <c r="G8" s="346"/>
      <c r="H8" s="346"/>
      <c r="I8" s="346"/>
      <c r="J8" s="346"/>
    </row>
    <row r="9" spans="1:10" ht="66">
      <c r="A9" s="336"/>
      <c r="B9" s="337" t="s">
        <v>334</v>
      </c>
      <c r="C9" s="345" t="s">
        <v>305</v>
      </c>
      <c r="D9" s="539"/>
      <c r="E9" s="539"/>
      <c r="F9" s="556"/>
      <c r="G9" s="556"/>
      <c r="H9" s="556"/>
      <c r="I9" s="556"/>
      <c r="J9" s="556"/>
    </row>
    <row r="10" spans="1:10" ht="49.5">
      <c r="A10" s="347"/>
      <c r="B10" s="506" t="s">
        <v>333</v>
      </c>
      <c r="C10" s="704" t="s">
        <v>5</v>
      </c>
      <c r="D10" s="705"/>
      <c r="E10" s="705"/>
      <c r="F10" s="557"/>
      <c r="G10" s="557"/>
      <c r="H10" s="557"/>
      <c r="I10" s="557"/>
      <c r="J10" s="557"/>
    </row>
    <row r="11" spans="1:10" ht="82.5">
      <c r="A11" s="336"/>
      <c r="B11" s="341" t="s">
        <v>330</v>
      </c>
      <c r="C11" s="345" t="s">
        <v>305</v>
      </c>
      <c r="D11" s="558"/>
      <c r="E11" s="558"/>
      <c r="F11" s="559"/>
      <c r="G11" s="559"/>
      <c r="H11" s="559"/>
      <c r="I11" s="559"/>
      <c r="J11" s="559"/>
    </row>
    <row r="12" spans="1:10" ht="49.5">
      <c r="A12" s="347"/>
      <c r="B12" s="506" t="s">
        <v>333</v>
      </c>
      <c r="C12" s="706" t="s">
        <v>5</v>
      </c>
      <c r="D12" s="705"/>
      <c r="E12" s="705"/>
      <c r="F12" s="557"/>
      <c r="G12" s="557"/>
      <c r="H12" s="557"/>
      <c r="I12" s="557"/>
      <c r="J12" s="557"/>
    </row>
    <row r="13" spans="1:10" ht="66">
      <c r="A13" s="336"/>
      <c r="B13" s="341" t="s">
        <v>331</v>
      </c>
      <c r="C13" s="345" t="s">
        <v>305</v>
      </c>
      <c r="D13" s="558"/>
      <c r="E13" s="558"/>
      <c r="F13" s="559"/>
      <c r="G13" s="559"/>
      <c r="H13" s="559"/>
      <c r="I13" s="559"/>
      <c r="J13" s="559"/>
    </row>
    <row r="14" spans="1:10" ht="49.5">
      <c r="A14" s="347"/>
      <c r="B14" s="506" t="s">
        <v>333</v>
      </c>
      <c r="C14" s="706" t="s">
        <v>5</v>
      </c>
      <c r="D14" s="705"/>
      <c r="E14" s="705"/>
      <c r="F14" s="557"/>
      <c r="G14" s="557"/>
      <c r="H14" s="557"/>
      <c r="I14" s="557"/>
      <c r="J14" s="557"/>
    </row>
    <row r="15" spans="1:10" ht="33">
      <c r="A15" s="336"/>
      <c r="B15" s="341" t="s">
        <v>332</v>
      </c>
      <c r="C15" s="345" t="s">
        <v>305</v>
      </c>
      <c r="D15" s="558"/>
      <c r="E15" s="558"/>
      <c r="F15" s="559"/>
      <c r="G15" s="559"/>
      <c r="H15" s="559"/>
      <c r="I15" s="559"/>
      <c r="J15" s="559"/>
    </row>
    <row r="16" spans="1:10" ht="49.5">
      <c r="A16" s="347"/>
      <c r="B16" s="506" t="s">
        <v>333</v>
      </c>
      <c r="C16" s="706" t="s">
        <v>5</v>
      </c>
      <c r="D16" s="705"/>
      <c r="E16" s="705"/>
      <c r="F16" s="557"/>
      <c r="G16" s="557"/>
      <c r="H16" s="557"/>
      <c r="I16" s="557"/>
      <c r="J16" s="557"/>
    </row>
    <row r="17" spans="1:10" ht="33">
      <c r="A17" s="336"/>
      <c r="B17" s="340" t="s">
        <v>214</v>
      </c>
      <c r="C17" s="338"/>
      <c r="D17" s="539"/>
      <c r="E17" s="539"/>
      <c r="F17" s="556"/>
      <c r="G17" s="556"/>
      <c r="H17" s="556"/>
      <c r="I17" s="556"/>
      <c r="J17" s="556"/>
    </row>
    <row r="18" spans="1:10" ht="82.5">
      <c r="A18" s="336"/>
      <c r="B18" s="341" t="s">
        <v>289</v>
      </c>
      <c r="C18" s="338" t="s">
        <v>301</v>
      </c>
      <c r="D18" s="707"/>
      <c r="E18" s="707"/>
      <c r="F18" s="560"/>
      <c r="G18" s="560"/>
      <c r="H18" s="560"/>
      <c r="I18" s="560"/>
      <c r="J18" s="560"/>
    </row>
    <row r="19" spans="1:10" ht="66">
      <c r="A19" s="336"/>
      <c r="B19" s="341" t="s">
        <v>290</v>
      </c>
      <c r="C19" s="338" t="s">
        <v>301</v>
      </c>
      <c r="D19" s="707"/>
      <c r="E19" s="707"/>
      <c r="F19" s="558"/>
      <c r="G19" s="558"/>
      <c r="H19" s="558"/>
      <c r="I19" s="558"/>
      <c r="J19" s="558"/>
    </row>
    <row r="20" spans="1:10" ht="33">
      <c r="A20" s="336"/>
      <c r="B20" s="341" t="s">
        <v>291</v>
      </c>
      <c r="C20" s="338" t="s">
        <v>301</v>
      </c>
      <c r="D20" s="707"/>
      <c r="E20" s="707"/>
      <c r="F20" s="558"/>
      <c r="G20" s="558"/>
      <c r="H20" s="558"/>
      <c r="I20" s="558"/>
      <c r="J20" s="558"/>
    </row>
    <row r="21" spans="1:10" ht="66">
      <c r="A21" s="336">
        <v>2</v>
      </c>
      <c r="B21" s="337" t="s">
        <v>325</v>
      </c>
      <c r="C21" s="338"/>
      <c r="D21" s="334"/>
      <c r="E21" s="334"/>
      <c r="F21" s="335"/>
      <c r="G21" s="335"/>
      <c r="H21" s="335"/>
      <c r="I21" s="335"/>
      <c r="J21" s="335"/>
    </row>
    <row r="22" spans="1:10" ht="66">
      <c r="A22" s="339"/>
      <c r="B22" s="341" t="s">
        <v>314</v>
      </c>
      <c r="C22" s="338" t="s">
        <v>306</v>
      </c>
      <c r="D22" s="558"/>
      <c r="E22" s="558"/>
      <c r="F22" s="345"/>
      <c r="G22" s="345"/>
      <c r="H22" s="345"/>
      <c r="I22" s="345"/>
      <c r="J22" s="345"/>
    </row>
    <row r="23" spans="1:10" ht="66">
      <c r="A23" s="339"/>
      <c r="B23" s="341" t="s">
        <v>315</v>
      </c>
      <c r="C23" s="338" t="s">
        <v>302</v>
      </c>
      <c r="D23" s="562"/>
      <c r="E23" s="562"/>
      <c r="F23" s="562"/>
      <c r="G23" s="562"/>
      <c r="H23" s="562"/>
      <c r="I23" s="563"/>
      <c r="J23" s="563"/>
    </row>
    <row r="24" spans="1:10" ht="99">
      <c r="A24" s="339"/>
      <c r="B24" s="341" t="s">
        <v>316</v>
      </c>
      <c r="C24" s="338" t="s">
        <v>303</v>
      </c>
      <c r="D24" s="345"/>
      <c r="E24" s="345"/>
      <c r="F24" s="345"/>
      <c r="G24" s="345"/>
      <c r="H24" s="345"/>
      <c r="I24" s="345"/>
      <c r="J24" s="345"/>
    </row>
    <row r="25" spans="1:10" ht="66">
      <c r="A25" s="336">
        <v>3</v>
      </c>
      <c r="B25" s="337" t="s">
        <v>337</v>
      </c>
      <c r="C25" s="338"/>
      <c r="D25" s="334"/>
      <c r="E25" s="334"/>
      <c r="F25" s="335"/>
      <c r="G25" s="335"/>
      <c r="H25" s="335"/>
      <c r="I25" s="335"/>
      <c r="J25" s="335"/>
    </row>
    <row r="26" spans="1:10" ht="66">
      <c r="A26" s="350"/>
      <c r="B26" s="348" t="s">
        <v>334</v>
      </c>
      <c r="C26" s="349" t="s">
        <v>305</v>
      </c>
      <c r="D26" s="708"/>
      <c r="E26" s="708"/>
      <c r="F26" s="564"/>
      <c r="G26" s="564"/>
      <c r="H26" s="564"/>
      <c r="I26" s="564"/>
      <c r="J26" s="564"/>
    </row>
    <row r="27" spans="1:10" ht="33">
      <c r="A27" s="339"/>
      <c r="B27" s="340" t="s">
        <v>338</v>
      </c>
      <c r="C27" s="345"/>
      <c r="D27" s="709"/>
      <c r="E27" s="709"/>
      <c r="F27" s="565"/>
      <c r="G27" s="565"/>
      <c r="H27" s="565"/>
      <c r="I27" s="565"/>
      <c r="J27" s="565"/>
    </row>
    <row r="28" spans="1:10" ht="82.5">
      <c r="A28" s="336"/>
      <c r="B28" s="341" t="s">
        <v>330</v>
      </c>
      <c r="C28" s="345" t="s">
        <v>305</v>
      </c>
      <c r="D28" s="334"/>
      <c r="E28" s="334"/>
      <c r="F28" s="559"/>
      <c r="G28" s="559"/>
      <c r="H28" s="559"/>
      <c r="I28" s="559"/>
      <c r="J28" s="559"/>
    </row>
    <row r="29" spans="1:10" ht="49.5">
      <c r="A29" s="347"/>
      <c r="B29" s="506" t="s">
        <v>333</v>
      </c>
      <c r="C29" s="710"/>
      <c r="D29" s="711"/>
      <c r="E29" s="711"/>
      <c r="F29" s="566"/>
      <c r="G29" s="567"/>
      <c r="H29" s="568"/>
      <c r="I29" s="567"/>
      <c r="J29" s="567"/>
    </row>
    <row r="30" spans="1:10" ht="66">
      <c r="A30" s="336"/>
      <c r="B30" s="341" t="s">
        <v>331</v>
      </c>
      <c r="C30" s="345" t="s">
        <v>305</v>
      </c>
      <c r="D30" s="712"/>
      <c r="E30" s="712"/>
      <c r="F30" s="559"/>
      <c r="G30" s="559"/>
      <c r="H30" s="559"/>
      <c r="I30" s="559"/>
      <c r="J30" s="559"/>
    </row>
    <row r="31" spans="1:10" ht="49.5">
      <c r="A31" s="347"/>
      <c r="B31" s="506" t="s">
        <v>333</v>
      </c>
      <c r="C31" s="710"/>
      <c r="D31" s="711"/>
      <c r="E31" s="711"/>
      <c r="F31" s="568"/>
      <c r="G31" s="568"/>
      <c r="H31" s="568"/>
      <c r="I31" s="568"/>
      <c r="J31" s="568"/>
    </row>
    <row r="32" spans="1:10" ht="33">
      <c r="A32" s="336"/>
      <c r="B32" s="341" t="s">
        <v>332</v>
      </c>
      <c r="C32" s="345" t="s">
        <v>305</v>
      </c>
      <c r="D32" s="712"/>
      <c r="E32" s="712"/>
      <c r="F32" s="559"/>
      <c r="G32" s="559"/>
      <c r="H32" s="559"/>
      <c r="I32" s="559"/>
      <c r="J32" s="559"/>
    </row>
    <row r="33" spans="1:10" ht="49.5">
      <c r="A33" s="347"/>
      <c r="B33" s="506" t="s">
        <v>333</v>
      </c>
      <c r="C33" s="710"/>
      <c r="D33" s="711"/>
      <c r="E33" s="711"/>
      <c r="F33" s="568"/>
      <c r="G33" s="568"/>
      <c r="H33" s="568"/>
      <c r="I33" s="568"/>
      <c r="J33" s="568"/>
    </row>
    <row r="34" spans="1:10" ht="33">
      <c r="A34" s="336"/>
      <c r="B34" s="348" t="s">
        <v>335</v>
      </c>
      <c r="C34" s="349"/>
      <c r="D34" s="334"/>
      <c r="E34" s="334"/>
      <c r="F34" s="349"/>
      <c r="G34" s="349"/>
      <c r="H34" s="349"/>
      <c r="I34" s="349"/>
      <c r="J34" s="349"/>
    </row>
    <row r="35" spans="1:10" ht="82.5">
      <c r="A35" s="339"/>
      <c r="B35" s="341" t="s">
        <v>289</v>
      </c>
      <c r="C35" s="338" t="s">
        <v>301</v>
      </c>
      <c r="D35" s="713"/>
      <c r="E35" s="713"/>
      <c r="F35" s="569"/>
      <c r="G35" s="569"/>
      <c r="H35" s="569"/>
      <c r="I35" s="569"/>
      <c r="J35" s="569"/>
    </row>
    <row r="36" spans="1:10" ht="66">
      <c r="A36" s="339"/>
      <c r="B36" s="341" t="s">
        <v>290</v>
      </c>
      <c r="C36" s="338" t="s">
        <v>301</v>
      </c>
      <c r="D36" s="713"/>
      <c r="E36" s="713"/>
      <c r="F36" s="569"/>
      <c r="G36" s="569"/>
      <c r="H36" s="569"/>
      <c r="I36" s="569"/>
      <c r="J36" s="569"/>
    </row>
    <row r="37" spans="1:10" ht="33">
      <c r="A37" s="339"/>
      <c r="B37" s="341" t="s">
        <v>291</v>
      </c>
      <c r="C37" s="338" t="s">
        <v>301</v>
      </c>
      <c r="D37" s="713"/>
      <c r="E37" s="713"/>
      <c r="F37" s="569"/>
      <c r="G37" s="569"/>
      <c r="H37" s="569"/>
      <c r="I37" s="569"/>
      <c r="J37" s="569"/>
    </row>
    <row r="38" spans="1:10" ht="99">
      <c r="A38" s="336">
        <v>4</v>
      </c>
      <c r="B38" s="337" t="s">
        <v>312</v>
      </c>
      <c r="C38" s="338" t="s">
        <v>301</v>
      </c>
      <c r="D38" s="334"/>
      <c r="E38" s="334"/>
      <c r="F38" s="334"/>
      <c r="G38" s="334"/>
      <c r="H38" s="334"/>
      <c r="I38" s="334"/>
      <c r="J38" s="334"/>
    </row>
    <row r="39" spans="1:10" ht="66">
      <c r="A39" s="339">
        <v>1</v>
      </c>
      <c r="B39" s="341" t="s">
        <v>336</v>
      </c>
      <c r="C39" s="338" t="s">
        <v>342</v>
      </c>
      <c r="D39" s="338"/>
      <c r="E39" s="338"/>
      <c r="F39" s="338"/>
      <c r="G39" s="338"/>
      <c r="H39" s="338"/>
      <c r="I39" s="338"/>
      <c r="J39" s="338"/>
    </row>
    <row r="40" spans="1:10" ht="115.5">
      <c r="A40" s="336">
        <v>6</v>
      </c>
      <c r="B40" s="341" t="s">
        <v>534</v>
      </c>
      <c r="C40" s="338" t="s">
        <v>5</v>
      </c>
      <c r="D40" s="338"/>
      <c r="E40" s="338"/>
      <c r="F40" s="338"/>
      <c r="G40" s="338"/>
      <c r="H40" s="338"/>
      <c r="I40" s="338"/>
      <c r="J40" s="338"/>
    </row>
    <row r="41" spans="1:10" ht="132">
      <c r="A41" s="336">
        <v>7</v>
      </c>
      <c r="B41" s="341" t="s">
        <v>535</v>
      </c>
      <c r="C41" s="714" t="s">
        <v>5</v>
      </c>
      <c r="D41" s="715"/>
      <c r="E41" s="715"/>
      <c r="F41" s="570"/>
      <c r="G41" s="570"/>
      <c r="H41" s="570"/>
      <c r="I41" s="570"/>
      <c r="J41" s="570"/>
    </row>
    <row r="42" spans="1:10" ht="148.5">
      <c r="A42" s="336">
        <v>5</v>
      </c>
      <c r="B42" s="337" t="s">
        <v>313</v>
      </c>
      <c r="C42" s="338" t="s">
        <v>301</v>
      </c>
      <c r="D42" s="716"/>
      <c r="E42" s="716"/>
      <c r="F42" s="571"/>
      <c r="G42" s="571"/>
      <c r="H42" s="571"/>
      <c r="I42" s="571"/>
      <c r="J42" s="571"/>
    </row>
    <row r="43" spans="1:10" ht="49.5">
      <c r="A43" s="336">
        <v>6</v>
      </c>
      <c r="B43" s="337" t="s">
        <v>292</v>
      </c>
      <c r="C43" s="338"/>
      <c r="D43" s="538"/>
      <c r="E43" s="538"/>
      <c r="F43" s="538"/>
      <c r="G43" s="538"/>
      <c r="H43" s="538"/>
      <c r="I43" s="538"/>
      <c r="J43" s="538"/>
    </row>
    <row r="44" spans="1:10" ht="115.5">
      <c r="A44" s="339"/>
      <c r="B44" s="341" t="s">
        <v>293</v>
      </c>
      <c r="C44" s="338" t="s">
        <v>519</v>
      </c>
      <c r="D44" s="717"/>
      <c r="E44" s="717"/>
      <c r="F44" s="356"/>
      <c r="G44" s="356"/>
      <c r="H44" s="356"/>
      <c r="I44" s="356"/>
      <c r="J44" s="342"/>
    </row>
    <row r="45" spans="1:10" ht="66">
      <c r="A45" s="339"/>
      <c r="B45" s="340" t="s">
        <v>294</v>
      </c>
      <c r="C45" s="338" t="s">
        <v>301</v>
      </c>
      <c r="D45" s="717"/>
      <c r="E45" s="717"/>
      <c r="F45" s="353"/>
      <c r="G45" s="357"/>
      <c r="H45" s="357"/>
      <c r="I45" s="357"/>
      <c r="J45" s="353"/>
    </row>
    <row r="46" spans="1:10" ht="82.5">
      <c r="A46" s="339"/>
      <c r="B46" s="343" t="s">
        <v>309</v>
      </c>
      <c r="C46" s="338" t="s">
        <v>303</v>
      </c>
      <c r="D46" s="717"/>
      <c r="E46" s="717"/>
      <c r="F46" s="356"/>
      <c r="G46" s="356"/>
      <c r="H46" s="356"/>
      <c r="I46" s="356"/>
      <c r="J46" s="354"/>
    </row>
    <row r="47" spans="1:10" ht="115.5">
      <c r="A47" s="339"/>
      <c r="B47" s="572" t="s">
        <v>295</v>
      </c>
      <c r="C47" s="338" t="s">
        <v>519</v>
      </c>
      <c r="D47" s="717"/>
      <c r="E47" s="717"/>
      <c r="F47" s="356"/>
      <c r="G47" s="356"/>
      <c r="H47" s="356"/>
      <c r="I47" s="356"/>
      <c r="J47" s="342"/>
    </row>
    <row r="48" spans="1:10" ht="66">
      <c r="A48" s="339"/>
      <c r="B48" s="340" t="s">
        <v>296</v>
      </c>
      <c r="C48" s="338" t="s">
        <v>301</v>
      </c>
      <c r="D48" s="741"/>
      <c r="E48" s="741"/>
      <c r="F48" s="357"/>
      <c r="G48" s="357"/>
      <c r="H48" s="357"/>
      <c r="I48" s="357"/>
      <c r="J48" s="353"/>
    </row>
    <row r="49" spans="1:11" ht="33">
      <c r="A49" s="695"/>
      <c r="B49" s="696" t="s">
        <v>665</v>
      </c>
      <c r="C49" s="697" t="s">
        <v>519</v>
      </c>
      <c r="D49" s="698"/>
      <c r="E49" s="698"/>
      <c r="F49" s="699"/>
      <c r="G49" s="699"/>
      <c r="H49" s="699"/>
      <c r="I49" s="699"/>
      <c r="J49" s="700"/>
    </row>
    <row r="50" spans="1:11" ht="148.5">
      <c r="A50" s="695"/>
      <c r="B50" s="696" t="s">
        <v>666</v>
      </c>
      <c r="C50" s="703" t="s">
        <v>5</v>
      </c>
      <c r="D50" s="698"/>
      <c r="E50" s="698"/>
      <c r="F50" s="699"/>
      <c r="G50" s="699"/>
      <c r="H50" s="699"/>
      <c r="I50" s="699"/>
      <c r="J50" s="700"/>
    </row>
    <row r="51" spans="1:11" ht="66">
      <c r="A51" s="339"/>
      <c r="B51" s="343" t="s">
        <v>299</v>
      </c>
      <c r="C51" s="338" t="s">
        <v>519</v>
      </c>
      <c r="D51" s="717"/>
      <c r="E51" s="717"/>
      <c r="F51" s="356"/>
      <c r="G51" s="356"/>
      <c r="H51" s="356"/>
      <c r="I51" s="356"/>
      <c r="J51" s="342"/>
    </row>
    <row r="52" spans="1:11" ht="66">
      <c r="A52" s="621">
        <v>2</v>
      </c>
      <c r="B52" s="622" t="s">
        <v>580</v>
      </c>
      <c r="C52" s="623"/>
      <c r="D52" s="581"/>
      <c r="E52" s="581"/>
      <c r="F52" s="581"/>
      <c r="G52" s="581"/>
      <c r="H52" s="581"/>
      <c r="I52" s="581"/>
      <c r="J52" s="581"/>
    </row>
    <row r="53" spans="1:11" ht="132">
      <c r="A53" s="623"/>
      <c r="B53" s="624" t="s">
        <v>581</v>
      </c>
      <c r="C53" s="623" t="s">
        <v>342</v>
      </c>
      <c r="D53" s="933">
        <v>3080.5304380959997</v>
      </c>
      <c r="E53" s="932">
        <f>SUM(F53:J53)</f>
        <v>2673.4</v>
      </c>
      <c r="F53" s="933">
        <v>428.68</v>
      </c>
      <c r="G53" s="933">
        <f>F53+70</f>
        <v>498.68</v>
      </c>
      <c r="H53" s="933">
        <f>G53+40</f>
        <v>538.68000000000006</v>
      </c>
      <c r="I53" s="933">
        <f>H53+40</f>
        <v>578.68000000000006</v>
      </c>
      <c r="J53" s="933">
        <f>I53+50</f>
        <v>628.68000000000006</v>
      </c>
    </row>
    <row r="54" spans="1:11" ht="33">
      <c r="A54" s="621"/>
      <c r="B54" s="624" t="s">
        <v>582</v>
      </c>
      <c r="C54" s="623" t="s">
        <v>342</v>
      </c>
      <c r="D54" s="717"/>
      <c r="E54" s="717"/>
      <c r="F54" s="356"/>
      <c r="G54" s="356"/>
      <c r="H54" s="356"/>
      <c r="I54" s="356"/>
      <c r="J54" s="342"/>
    </row>
    <row r="55" spans="1:11" ht="33">
      <c r="A55" s="623"/>
      <c r="B55" s="625" t="s">
        <v>214</v>
      </c>
      <c r="C55" s="623"/>
      <c r="D55" s="717"/>
      <c r="E55" s="717"/>
      <c r="F55" s="356"/>
      <c r="G55" s="356"/>
      <c r="H55" s="356"/>
      <c r="I55" s="356"/>
      <c r="J55" s="342"/>
    </row>
    <row r="56" spans="1:11" ht="66">
      <c r="A56" s="623"/>
      <c r="B56" s="624" t="s">
        <v>583</v>
      </c>
      <c r="C56" s="623" t="s">
        <v>342</v>
      </c>
      <c r="D56" s="933">
        <v>34.524249333000007</v>
      </c>
      <c r="E56" s="871">
        <f>SUM(F56:J56)</f>
        <v>15</v>
      </c>
      <c r="F56" s="871">
        <v>3</v>
      </c>
      <c r="G56" s="871">
        <v>3</v>
      </c>
      <c r="H56" s="871">
        <v>3</v>
      </c>
      <c r="I56" s="871">
        <v>3</v>
      </c>
      <c r="J56" s="871">
        <v>3</v>
      </c>
    </row>
    <row r="57" spans="1:11" ht="66">
      <c r="A57" s="621"/>
      <c r="B57" s="624" t="s">
        <v>584</v>
      </c>
      <c r="C57" s="623" t="s">
        <v>342</v>
      </c>
      <c r="D57" s="717"/>
      <c r="E57" s="717"/>
      <c r="F57" s="356"/>
      <c r="G57" s="356"/>
      <c r="H57" s="356"/>
      <c r="I57" s="356"/>
      <c r="J57" s="342"/>
    </row>
    <row r="58" spans="1:11" ht="132">
      <c r="A58" s="621"/>
      <c r="B58" s="624" t="s">
        <v>585</v>
      </c>
      <c r="C58" s="623" t="s">
        <v>342</v>
      </c>
      <c r="D58" s="933">
        <f>D60+D61</f>
        <v>99.145040181599995</v>
      </c>
      <c r="E58" s="932">
        <f>SUM(F58:J58)</f>
        <v>66.200331662500005</v>
      </c>
      <c r="F58" s="932">
        <f t="shared" ref="F58:J58" si="0">F60+F61</f>
        <v>12.6</v>
      </c>
      <c r="G58" s="932">
        <f t="shared" si="0"/>
        <v>13.3</v>
      </c>
      <c r="H58" s="933">
        <f t="shared" si="0"/>
        <v>13.366500000000002</v>
      </c>
      <c r="I58" s="933">
        <f>I60+I61</f>
        <v>13.433332500000002</v>
      </c>
      <c r="J58" s="932">
        <f t="shared" si="0"/>
        <v>13.500499162500001</v>
      </c>
      <c r="K58" s="1028"/>
    </row>
    <row r="59" spans="1:11" ht="33">
      <c r="A59" s="623"/>
      <c r="B59" s="625" t="s">
        <v>214</v>
      </c>
      <c r="C59" s="623"/>
      <c r="D59" s="717"/>
      <c r="E59" s="717"/>
      <c r="F59" s="356"/>
      <c r="G59" s="356"/>
      <c r="H59" s="356"/>
      <c r="I59" s="356"/>
      <c r="J59" s="342"/>
      <c r="K59" s="1028"/>
    </row>
    <row r="60" spans="1:11" ht="99">
      <c r="A60" s="623"/>
      <c r="B60" s="624" t="s">
        <v>586</v>
      </c>
      <c r="C60" s="623" t="s">
        <v>342</v>
      </c>
      <c r="D60" s="933">
        <f>89.549540259+0.71</f>
        <v>90.259540258999991</v>
      </c>
      <c r="E60" s="933">
        <f>SUM(F60:J60)</f>
        <v>61.550231537500004</v>
      </c>
      <c r="F60" s="933">
        <v>11.98</v>
      </c>
      <c r="G60" s="932">
        <v>12.3</v>
      </c>
      <c r="H60" s="933">
        <f>(G60*0.5%)+G60</f>
        <v>12.361500000000001</v>
      </c>
      <c r="I60" s="933">
        <f>(H60*0.5%)+H60</f>
        <v>12.423307500000002</v>
      </c>
      <c r="J60" s="933">
        <f>I60*0.5%+I60</f>
        <v>12.485424037500001</v>
      </c>
    </row>
    <row r="61" spans="1:11" ht="165">
      <c r="A61" s="621"/>
      <c r="B61" s="624" t="s">
        <v>587</v>
      </c>
      <c r="C61" s="623" t="s">
        <v>342</v>
      </c>
      <c r="D61" s="933">
        <v>8.8854999225999993</v>
      </c>
      <c r="E61" s="933">
        <f>SUM(F61:J61)</f>
        <v>4.6501001249999998</v>
      </c>
      <c r="F61" s="933">
        <v>0.62</v>
      </c>
      <c r="G61" s="871">
        <v>1</v>
      </c>
      <c r="H61" s="933">
        <f>(G61*0.5%)+G61</f>
        <v>1.0049999999999999</v>
      </c>
      <c r="I61" s="933">
        <f>(H61*0.5%)+H61</f>
        <v>1.010025</v>
      </c>
      <c r="J61" s="933">
        <f>I61*0.5%+I61</f>
        <v>1.0150751249999999</v>
      </c>
    </row>
    <row r="62" spans="1:11" ht="66">
      <c r="A62" s="621">
        <v>3</v>
      </c>
      <c r="B62" s="622" t="s">
        <v>588</v>
      </c>
      <c r="C62" s="623" t="s">
        <v>342</v>
      </c>
      <c r="D62" s="717"/>
      <c r="E62" s="717"/>
      <c r="F62" s="356"/>
      <c r="G62" s="356"/>
      <c r="H62" s="356"/>
      <c r="I62" s="356"/>
      <c r="J62" s="342"/>
    </row>
    <row r="63" spans="1:11" ht="99">
      <c r="A63" s="623"/>
      <c r="B63" s="624" t="s">
        <v>589</v>
      </c>
      <c r="C63" s="623" t="s">
        <v>342</v>
      </c>
      <c r="D63" s="933">
        <v>3075.6488966860002</v>
      </c>
      <c r="E63" s="932">
        <v>2673.4</v>
      </c>
      <c r="F63" s="933">
        <v>428.68</v>
      </c>
      <c r="G63" s="933">
        <v>498.68</v>
      </c>
      <c r="H63" s="933">
        <v>538.68000000000006</v>
      </c>
      <c r="I63" s="933">
        <v>578.68000000000006</v>
      </c>
      <c r="J63" s="933">
        <v>628.68000000000006</v>
      </c>
    </row>
    <row r="64" spans="1:11" ht="33">
      <c r="A64" s="623"/>
      <c r="B64" s="625" t="s">
        <v>214</v>
      </c>
      <c r="C64" s="623"/>
      <c r="D64" s="717"/>
      <c r="E64" s="717"/>
      <c r="F64" s="356"/>
      <c r="G64" s="356"/>
      <c r="H64" s="356"/>
      <c r="I64" s="356"/>
      <c r="J64" s="342"/>
    </row>
    <row r="65" spans="1:10" ht="33">
      <c r="A65" s="621"/>
      <c r="B65" s="624" t="s">
        <v>590</v>
      </c>
      <c r="C65" s="623" t="s">
        <v>342</v>
      </c>
      <c r="D65" s="933">
        <v>39.394887986000001</v>
      </c>
      <c r="E65" s="933">
        <f>SUM(F65:J65)</f>
        <v>83.264999999999986</v>
      </c>
      <c r="F65" s="933">
        <v>16.652999999999999</v>
      </c>
      <c r="G65" s="933">
        <v>16.652999999999999</v>
      </c>
      <c r="H65" s="933">
        <v>16.652999999999999</v>
      </c>
      <c r="I65" s="933">
        <v>16.652999999999999</v>
      </c>
      <c r="J65" s="933">
        <v>16.652999999999999</v>
      </c>
    </row>
    <row r="66" spans="1:10" ht="198">
      <c r="A66" s="623"/>
      <c r="B66" s="624" t="s">
        <v>591</v>
      </c>
      <c r="C66" s="623" t="s">
        <v>342</v>
      </c>
      <c r="D66" s="933">
        <v>3036.2540087000002</v>
      </c>
      <c r="E66" s="933">
        <f>SUM(F66:J66)</f>
        <v>2590.1350000000002</v>
      </c>
      <c r="F66" s="933">
        <f>F63-F65</f>
        <v>412.02699999999999</v>
      </c>
      <c r="G66" s="933">
        <f t="shared" ref="G66:J66" si="1">G63-G65</f>
        <v>482.02699999999999</v>
      </c>
      <c r="H66" s="933">
        <f t="shared" si="1"/>
        <v>522.02700000000004</v>
      </c>
      <c r="I66" s="933">
        <f t="shared" si="1"/>
        <v>562.02700000000004</v>
      </c>
      <c r="J66" s="933">
        <f t="shared" si="1"/>
        <v>612.02700000000004</v>
      </c>
    </row>
    <row r="67" spans="1:10" ht="16.5">
      <c r="A67" s="339"/>
      <c r="B67" s="343"/>
      <c r="C67" s="338"/>
      <c r="D67" s="717"/>
      <c r="E67" s="717"/>
      <c r="F67" s="356"/>
      <c r="G67" s="356"/>
      <c r="H67" s="356"/>
      <c r="I67" s="356"/>
      <c r="J67" s="342"/>
    </row>
    <row r="68" spans="1:10" ht="66">
      <c r="A68" s="336">
        <v>7</v>
      </c>
      <c r="B68" s="337" t="s">
        <v>278</v>
      </c>
      <c r="C68" s="338" t="s">
        <v>301</v>
      </c>
      <c r="D68" s="334"/>
      <c r="E68" s="334"/>
      <c r="F68" s="335"/>
      <c r="G68" s="335"/>
      <c r="H68" s="335"/>
      <c r="I68" s="335"/>
      <c r="J68" s="335"/>
    </row>
    <row r="69" spans="1:10" ht="49.5">
      <c r="A69" s="336" t="s">
        <v>102</v>
      </c>
      <c r="B69" s="337" t="s">
        <v>297</v>
      </c>
      <c r="C69" s="338"/>
      <c r="D69" s="334"/>
      <c r="E69" s="334"/>
      <c r="F69" s="335"/>
      <c r="G69" s="335"/>
      <c r="H69" s="335"/>
      <c r="I69" s="335"/>
      <c r="J69" s="335"/>
    </row>
    <row r="70" spans="1:10" ht="49.5">
      <c r="A70" s="339">
        <v>1</v>
      </c>
      <c r="B70" s="343" t="s">
        <v>729</v>
      </c>
      <c r="C70" s="338" t="s">
        <v>461</v>
      </c>
      <c r="D70" s="871">
        <v>59033</v>
      </c>
      <c r="E70" s="871">
        <f>J70</f>
        <v>63128</v>
      </c>
      <c r="F70" s="871">
        <v>59407</v>
      </c>
      <c r="G70" s="871">
        <v>60416</v>
      </c>
      <c r="H70" s="871">
        <f>G70+800</f>
        <v>61216</v>
      </c>
      <c r="I70" s="871">
        <f>H70+980</f>
        <v>62196</v>
      </c>
      <c r="J70" s="871">
        <f>I70+932</f>
        <v>63128</v>
      </c>
    </row>
    <row r="71" spans="1:10" ht="49.5">
      <c r="A71" s="339">
        <v>2</v>
      </c>
      <c r="B71" s="343" t="s">
        <v>728</v>
      </c>
      <c r="C71" s="749" t="s">
        <v>625</v>
      </c>
      <c r="D71" s="344">
        <f>'Biểu 6A'!K13</f>
        <v>19.399999999999999</v>
      </c>
      <c r="E71" s="344">
        <f>J71</f>
        <v>15</v>
      </c>
      <c r="F71" s="344">
        <v>19</v>
      </c>
      <c r="G71" s="344">
        <v>17</v>
      </c>
      <c r="H71" s="344">
        <v>16.399999999999999</v>
      </c>
      <c r="I71" s="344">
        <v>15.8</v>
      </c>
      <c r="J71" s="344">
        <v>15</v>
      </c>
    </row>
    <row r="72" spans="1:10" ht="115.5">
      <c r="A72" s="339">
        <v>3</v>
      </c>
      <c r="B72" s="341" t="s">
        <v>596</v>
      </c>
      <c r="C72" s="722"/>
      <c r="D72" s="558"/>
      <c r="E72" s="558"/>
      <c r="F72" s="354"/>
      <c r="G72" s="354"/>
      <c r="H72" s="354"/>
      <c r="I72" s="354"/>
      <c r="J72" s="574"/>
    </row>
    <row r="73" spans="1:10" ht="115.5">
      <c r="A73" s="586" t="s">
        <v>284</v>
      </c>
      <c r="B73" s="343" t="s">
        <v>730</v>
      </c>
      <c r="C73" s="722" t="s">
        <v>5</v>
      </c>
      <c r="D73" s="344">
        <v>41.9</v>
      </c>
      <c r="E73" s="344">
        <f>J73</f>
        <v>21.200000000000003</v>
      </c>
      <c r="F73" s="344">
        <v>37.200000000000003</v>
      </c>
      <c r="G73" s="344">
        <f>F73-4</f>
        <v>33.200000000000003</v>
      </c>
      <c r="H73" s="344">
        <f>G73-4</f>
        <v>29.200000000000003</v>
      </c>
      <c r="I73" s="344">
        <f>H73-4</f>
        <v>25.200000000000003</v>
      </c>
      <c r="J73" s="344">
        <f>I73-4</f>
        <v>21.200000000000003</v>
      </c>
    </row>
    <row r="74" spans="1:10" ht="148.5">
      <c r="A74" s="586" t="s">
        <v>284</v>
      </c>
      <c r="B74" s="343" t="s">
        <v>736</v>
      </c>
      <c r="C74" s="722" t="s">
        <v>5</v>
      </c>
      <c r="D74" s="558" t="s">
        <v>679</v>
      </c>
      <c r="E74" s="344">
        <v>4</v>
      </c>
      <c r="F74" s="344">
        <v>4</v>
      </c>
      <c r="G74" s="344">
        <v>4</v>
      </c>
      <c r="H74" s="344">
        <v>4</v>
      </c>
      <c r="I74" s="344">
        <v>4</v>
      </c>
      <c r="J74" s="344">
        <v>4</v>
      </c>
    </row>
    <row r="75" spans="1:10" ht="99">
      <c r="A75" s="339">
        <v>4</v>
      </c>
      <c r="B75" s="343" t="s">
        <v>732</v>
      </c>
      <c r="C75" s="338" t="s">
        <v>461</v>
      </c>
      <c r="D75" s="871">
        <v>3329</v>
      </c>
      <c r="E75" s="871">
        <f>SUM(F75:J75)</f>
        <v>3500</v>
      </c>
      <c r="F75" s="871">
        <v>700</v>
      </c>
      <c r="G75" s="871">
        <v>700</v>
      </c>
      <c r="H75" s="871">
        <v>700</v>
      </c>
      <c r="I75" s="871">
        <v>700</v>
      </c>
      <c r="J75" s="871">
        <v>700</v>
      </c>
    </row>
    <row r="76" spans="1:10" ht="181.5">
      <c r="A76" s="339">
        <v>5</v>
      </c>
      <c r="B76" s="343" t="s">
        <v>536</v>
      </c>
      <c r="C76" s="338" t="s">
        <v>5</v>
      </c>
      <c r="D76" s="344">
        <v>58.83</v>
      </c>
      <c r="E76" s="344">
        <v>54</v>
      </c>
      <c r="F76" s="344">
        <v>58.34</v>
      </c>
      <c r="G76" s="344">
        <v>58</v>
      </c>
      <c r="H76" s="344">
        <v>56</v>
      </c>
      <c r="I76" s="344">
        <v>55</v>
      </c>
      <c r="J76" s="344">
        <v>54</v>
      </c>
    </row>
    <row r="77" spans="1:10" ht="247.5">
      <c r="A77" s="339">
        <v>6</v>
      </c>
      <c r="B77" s="343" t="s">
        <v>737</v>
      </c>
      <c r="C77" s="338" t="s">
        <v>301</v>
      </c>
      <c r="D77" s="927">
        <v>29.1</v>
      </c>
      <c r="E77" s="928">
        <f>J77</f>
        <v>36</v>
      </c>
      <c r="F77" s="928">
        <v>33</v>
      </c>
      <c r="G77" s="927">
        <v>33.4</v>
      </c>
      <c r="H77" s="927">
        <v>34.799999999999997</v>
      </c>
      <c r="I77" s="928">
        <v>35</v>
      </c>
      <c r="J77" s="928">
        <v>36</v>
      </c>
    </row>
    <row r="78" spans="1:10" ht="99">
      <c r="A78" s="586" t="s">
        <v>284</v>
      </c>
      <c r="B78" s="343" t="s">
        <v>537</v>
      </c>
      <c r="C78" s="338" t="s">
        <v>301</v>
      </c>
      <c r="D78" s="338"/>
      <c r="E78" s="338"/>
      <c r="F78" s="342"/>
      <c r="G78" s="342"/>
      <c r="H78" s="342"/>
      <c r="I78" s="342"/>
      <c r="J78" s="342"/>
    </row>
    <row r="79" spans="1:10" ht="99">
      <c r="A79" s="339">
        <v>7</v>
      </c>
      <c r="B79" s="343" t="s">
        <v>734</v>
      </c>
      <c r="C79" s="338" t="s">
        <v>301</v>
      </c>
      <c r="D79" s="344">
        <v>2.5</v>
      </c>
      <c r="E79" s="344">
        <f>J79</f>
        <v>1.5</v>
      </c>
      <c r="F79" s="344">
        <v>1.7</v>
      </c>
      <c r="G79" s="344">
        <v>1.7</v>
      </c>
      <c r="H79" s="344">
        <v>1.6</v>
      </c>
      <c r="I79" s="344">
        <v>1.6</v>
      </c>
      <c r="J79" s="344">
        <v>1.5</v>
      </c>
    </row>
    <row r="80" spans="1:10" ht="115.5">
      <c r="A80" s="339"/>
      <c r="B80" s="343" t="s">
        <v>328</v>
      </c>
      <c r="C80" s="338"/>
      <c r="D80" s="338"/>
      <c r="E80" s="338"/>
      <c r="F80" s="342"/>
      <c r="G80" s="342"/>
      <c r="H80" s="342"/>
      <c r="I80" s="342"/>
      <c r="J80" s="342"/>
    </row>
    <row r="81" spans="1:14" ht="66">
      <c r="A81" s="339">
        <v>8</v>
      </c>
      <c r="B81" s="343" t="s">
        <v>300</v>
      </c>
      <c r="C81" s="338" t="s">
        <v>311</v>
      </c>
      <c r="D81" s="345"/>
      <c r="E81" s="345"/>
      <c r="F81" s="576"/>
      <c r="G81" s="576"/>
      <c r="H81" s="576"/>
      <c r="I81" s="576"/>
      <c r="J81" s="576"/>
    </row>
    <row r="82" spans="1:14" ht="99">
      <c r="A82" s="344">
        <v>8</v>
      </c>
      <c r="B82" s="343" t="s">
        <v>538</v>
      </c>
      <c r="C82" s="344" t="s">
        <v>540</v>
      </c>
      <c r="D82" s="344">
        <v>10</v>
      </c>
      <c r="E82" s="927">
        <f>J82</f>
        <v>12.672665061462425</v>
      </c>
      <c r="F82" s="927">
        <f>62*10000/F70</f>
        <v>10.436480549430202</v>
      </c>
      <c r="G82" s="927">
        <f>64*10000/G70</f>
        <v>10.59322033898305</v>
      </c>
      <c r="H82" s="927">
        <f>68*10000/H70</f>
        <v>11.108207004704653</v>
      </c>
      <c r="I82" s="927">
        <f>72*10000/I70</f>
        <v>11.576307158016593</v>
      </c>
      <c r="J82" s="927">
        <f>80*10000/J70</f>
        <v>12.672665061462425</v>
      </c>
    </row>
    <row r="83" spans="1:14" ht="132">
      <c r="A83" s="344">
        <v>9</v>
      </c>
      <c r="B83" s="343" t="s">
        <v>542</v>
      </c>
      <c r="C83" s="344" t="s">
        <v>541</v>
      </c>
      <c r="D83" s="344">
        <v>25.4</v>
      </c>
      <c r="E83" s="927">
        <f>J83</f>
        <v>28.513496388290456</v>
      </c>
      <c r="F83" s="927">
        <f>160*10000/F70</f>
        <v>26.932853030787619</v>
      </c>
      <c r="G83" s="927">
        <f>170*10000/G70</f>
        <v>28.13824152542373</v>
      </c>
      <c r="H83" s="927">
        <f>180*10000/H70</f>
        <v>29.404077365394667</v>
      </c>
      <c r="I83" s="927">
        <f>180*10000/I70</f>
        <v>28.940767895041482</v>
      </c>
      <c r="J83" s="927">
        <f>180*10000/J70</f>
        <v>28.513496388290456</v>
      </c>
    </row>
    <row r="84" spans="1:14" ht="115.5">
      <c r="B84" s="343" t="s">
        <v>539</v>
      </c>
      <c r="C84" s="344" t="s">
        <v>5</v>
      </c>
    </row>
    <row r="85" spans="1:14" ht="165">
      <c r="A85" s="336" t="s">
        <v>115</v>
      </c>
      <c r="B85" s="337" t="s">
        <v>307</v>
      </c>
      <c r="C85" s="344"/>
      <c r="D85" s="334"/>
      <c r="E85" s="334"/>
      <c r="F85" s="335"/>
      <c r="G85" s="335"/>
      <c r="H85" s="335"/>
      <c r="I85" s="335"/>
      <c r="J85" s="335"/>
    </row>
    <row r="86" spans="1:14" ht="49.5">
      <c r="A86" s="344">
        <v>1</v>
      </c>
      <c r="B86" s="343" t="s">
        <v>90</v>
      </c>
      <c r="C86" s="344" t="s">
        <v>5</v>
      </c>
      <c r="D86" s="344">
        <v>38</v>
      </c>
      <c r="E86" s="344">
        <v>40</v>
      </c>
      <c r="F86" s="344">
        <v>38.4</v>
      </c>
      <c r="G86" s="344">
        <v>38.799999999999997</v>
      </c>
      <c r="H86" s="344">
        <v>39.200000000000003</v>
      </c>
      <c r="I86" s="344">
        <v>39.6</v>
      </c>
      <c r="J86" s="344">
        <v>40</v>
      </c>
    </row>
    <row r="87" spans="1:14" ht="168.75">
      <c r="A87" s="344">
        <v>2</v>
      </c>
      <c r="B87" s="343" t="s">
        <v>738</v>
      </c>
      <c r="C87" s="344" t="s">
        <v>5</v>
      </c>
      <c r="D87" s="344">
        <v>78</v>
      </c>
      <c r="E87" s="344">
        <v>95</v>
      </c>
      <c r="F87" s="344">
        <v>80</v>
      </c>
      <c r="G87" s="344">
        <v>84</v>
      </c>
      <c r="H87" s="344">
        <v>88</v>
      </c>
      <c r="I87" s="344">
        <v>90</v>
      </c>
      <c r="J87" s="344">
        <v>95</v>
      </c>
      <c r="K87" s="1139" t="s">
        <v>687</v>
      </c>
      <c r="L87" s="1140"/>
      <c r="M87" s="1140"/>
      <c r="N87" s="1140"/>
    </row>
    <row r="88" spans="1:14" ht="148.5">
      <c r="A88" s="344">
        <v>3</v>
      </c>
      <c r="B88" s="343" t="s">
        <v>739</v>
      </c>
      <c r="C88" s="344" t="s">
        <v>5</v>
      </c>
      <c r="D88" s="344">
        <v>100</v>
      </c>
      <c r="E88" s="344">
        <v>100</v>
      </c>
      <c r="F88" s="344">
        <v>100</v>
      </c>
      <c r="G88" s="344">
        <v>100</v>
      </c>
      <c r="H88" s="344">
        <v>100</v>
      </c>
      <c r="I88" s="344">
        <v>100</v>
      </c>
      <c r="J88" s="344">
        <v>100</v>
      </c>
      <c r="K88" s="1141"/>
      <c r="L88" s="1140"/>
      <c r="M88" s="1140"/>
      <c r="N88" s="1140"/>
    </row>
    <row r="89" spans="1:14" ht="313.5">
      <c r="A89" s="344">
        <v>4</v>
      </c>
      <c r="B89" s="343" t="s">
        <v>298</v>
      </c>
      <c r="C89" s="344" t="s">
        <v>5</v>
      </c>
      <c r="D89" s="344"/>
      <c r="E89" s="344"/>
      <c r="F89" s="342"/>
      <c r="G89" s="342"/>
      <c r="H89" s="342"/>
      <c r="I89" s="342"/>
      <c r="J89" s="342"/>
    </row>
    <row r="90" spans="1:14" ht="82.5">
      <c r="A90" s="344">
        <v>4</v>
      </c>
      <c r="B90" s="343" t="s">
        <v>740</v>
      </c>
      <c r="C90" s="344" t="s">
        <v>5</v>
      </c>
      <c r="D90" s="344"/>
      <c r="E90" s="344"/>
      <c r="F90" s="344">
        <v>95</v>
      </c>
      <c r="G90" s="344">
        <v>95</v>
      </c>
      <c r="H90" s="344">
        <v>95</v>
      </c>
      <c r="I90" s="344">
        <v>95</v>
      </c>
      <c r="J90" s="344">
        <v>95</v>
      </c>
    </row>
    <row r="91" spans="1:14" ht="165">
      <c r="A91" s="344">
        <v>5</v>
      </c>
      <c r="B91" s="343" t="s">
        <v>741</v>
      </c>
      <c r="C91" s="344" t="s">
        <v>5</v>
      </c>
      <c r="D91" s="344">
        <v>100</v>
      </c>
      <c r="E91" s="344">
        <v>100</v>
      </c>
      <c r="F91" s="344">
        <v>100</v>
      </c>
      <c r="G91" s="344">
        <v>100</v>
      </c>
      <c r="H91" s="344">
        <v>100</v>
      </c>
      <c r="I91" s="344">
        <v>100</v>
      </c>
      <c r="J91" s="344">
        <v>100</v>
      </c>
      <c r="K91" s="1139" t="s">
        <v>688</v>
      </c>
      <c r="L91" s="1140"/>
      <c r="M91" s="1140"/>
      <c r="N91" s="1140"/>
    </row>
    <row r="92" spans="1:14" ht="165">
      <c r="A92" s="344">
        <v>6</v>
      </c>
      <c r="B92" s="343" t="s">
        <v>742</v>
      </c>
      <c r="C92" s="344" t="s">
        <v>5</v>
      </c>
      <c r="F92" s="344">
        <v>90</v>
      </c>
      <c r="G92" s="344">
        <v>90</v>
      </c>
      <c r="H92" s="344">
        <v>90</v>
      </c>
      <c r="I92" s="344">
        <v>90</v>
      </c>
      <c r="J92" s="344">
        <v>90</v>
      </c>
      <c r="K92" s="1141"/>
      <c r="L92" s="1140"/>
      <c r="M92" s="1140"/>
      <c r="N92" s="1140"/>
    </row>
    <row r="93" spans="1:14" ht="49.5">
      <c r="A93" s="336" t="s">
        <v>116</v>
      </c>
      <c r="B93" s="333" t="s">
        <v>593</v>
      </c>
      <c r="C93" s="332"/>
      <c r="D93" s="332"/>
      <c r="E93" s="332"/>
      <c r="F93" s="335"/>
      <c r="G93" s="335"/>
      <c r="H93" s="335"/>
      <c r="I93" s="335"/>
      <c r="J93" s="335"/>
    </row>
    <row r="94" spans="1:14" ht="206.25">
      <c r="A94" s="722">
        <v>1</v>
      </c>
      <c r="B94" s="341" t="s">
        <v>594</v>
      </c>
      <c r="C94" s="722" t="s">
        <v>370</v>
      </c>
      <c r="D94" s="722"/>
      <c r="E94" s="722">
        <v>3</v>
      </c>
      <c r="F94" s="722">
        <v>1</v>
      </c>
      <c r="G94" s="722">
        <v>1</v>
      </c>
      <c r="H94" s="722">
        <v>2</v>
      </c>
      <c r="I94" s="722">
        <v>2</v>
      </c>
      <c r="J94" s="722">
        <v>3</v>
      </c>
      <c r="K94" s="1139" t="s">
        <v>689</v>
      </c>
      <c r="L94" s="1140"/>
      <c r="M94" s="1140"/>
      <c r="N94" s="1140"/>
    </row>
    <row r="95" spans="1:14" ht="99">
      <c r="A95" s="875">
        <v>2</v>
      </c>
      <c r="B95" s="341" t="s">
        <v>595</v>
      </c>
      <c r="C95" s="722" t="s">
        <v>5</v>
      </c>
      <c r="D95" s="930"/>
      <c r="E95" s="930">
        <f t="shared" ref="E95:J95" si="2">E94/11*100</f>
        <v>27.27272727272727</v>
      </c>
      <c r="F95" s="930">
        <f t="shared" si="2"/>
        <v>9.0909090909090917</v>
      </c>
      <c r="G95" s="930">
        <f t="shared" si="2"/>
        <v>9.0909090909090917</v>
      </c>
      <c r="H95" s="930">
        <f t="shared" si="2"/>
        <v>18.181818181818183</v>
      </c>
      <c r="I95" s="930">
        <f t="shared" si="2"/>
        <v>18.181818181818183</v>
      </c>
      <c r="J95" s="930">
        <f t="shared" si="2"/>
        <v>27.27272727272727</v>
      </c>
      <c r="K95" s="1141"/>
      <c r="L95" s="1140"/>
      <c r="M95" s="1140"/>
      <c r="N95" s="1140"/>
    </row>
    <row r="96" spans="1:14" ht="181.5">
      <c r="A96" s="875"/>
      <c r="B96" s="341" t="s">
        <v>680</v>
      </c>
      <c r="C96" s="722" t="s">
        <v>5</v>
      </c>
      <c r="D96" s="722"/>
      <c r="E96" s="722"/>
      <c r="F96" s="342"/>
      <c r="G96" s="342"/>
      <c r="H96" s="342"/>
      <c r="I96" s="342"/>
      <c r="J96" s="342"/>
    </row>
    <row r="97" spans="1:10" ht="82.5">
      <c r="A97" s="875" t="s">
        <v>545</v>
      </c>
      <c r="B97" s="343" t="s">
        <v>600</v>
      </c>
      <c r="C97" s="722" t="s">
        <v>5</v>
      </c>
      <c r="D97" s="722"/>
      <c r="E97" s="722"/>
      <c r="F97" s="342"/>
      <c r="G97" s="342"/>
      <c r="H97" s="342"/>
      <c r="I97" s="342"/>
      <c r="J97" s="342"/>
    </row>
    <row r="98" spans="1:10" ht="16.5">
      <c r="A98" s="555"/>
      <c r="B98" s="577"/>
      <c r="C98" s="723"/>
      <c r="D98" s="723"/>
      <c r="E98" s="723"/>
      <c r="F98" s="578"/>
      <c r="G98" s="578"/>
      <c r="H98" s="578"/>
      <c r="I98" s="578"/>
      <c r="J98" s="578"/>
    </row>
    <row r="99" spans="1:10" ht="16.5">
      <c r="A99" s="555"/>
      <c r="B99" s="577"/>
      <c r="C99" s="723"/>
      <c r="D99" s="723"/>
      <c r="E99" s="723"/>
      <c r="F99" s="578"/>
      <c r="G99" s="578"/>
      <c r="H99" s="578"/>
      <c r="I99" s="578"/>
      <c r="J99" s="578"/>
    </row>
    <row r="100" spans="1:10" ht="16.5">
      <c r="A100" s="555"/>
      <c r="B100" s="577"/>
      <c r="C100" s="723"/>
      <c r="D100" s="723"/>
      <c r="E100" s="723"/>
      <c r="F100" s="578"/>
      <c r="G100" s="578"/>
      <c r="H100" s="578"/>
      <c r="I100" s="578"/>
      <c r="J100" s="578"/>
    </row>
    <row r="101" spans="1:10" ht="16.5">
      <c r="A101" s="555"/>
      <c r="B101" s="577"/>
      <c r="C101" s="723"/>
      <c r="D101" s="723"/>
      <c r="E101" s="723"/>
      <c r="F101" s="578"/>
      <c r="G101" s="578"/>
      <c r="H101" s="578"/>
      <c r="I101" s="578"/>
      <c r="J101" s="578"/>
    </row>
    <row r="102" spans="1:10" ht="16.5">
      <c r="A102" s="555"/>
      <c r="B102" s="577"/>
      <c r="C102" s="723"/>
      <c r="D102" s="723"/>
      <c r="E102" s="723"/>
      <c r="F102" s="578"/>
      <c r="G102" s="578"/>
      <c r="H102" s="578"/>
      <c r="I102" s="578"/>
      <c r="J102" s="578"/>
    </row>
    <row r="103" spans="1:10" ht="16.5">
      <c r="A103" s="555"/>
      <c r="B103" s="577"/>
      <c r="C103" s="723"/>
      <c r="D103" s="723"/>
      <c r="E103" s="723"/>
      <c r="F103" s="578"/>
      <c r="G103" s="578"/>
      <c r="H103" s="578"/>
      <c r="I103" s="578"/>
      <c r="J103" s="578"/>
    </row>
    <row r="104" spans="1:10" ht="16.5">
      <c r="A104" s="555"/>
      <c r="B104" s="577"/>
      <c r="C104" s="723"/>
      <c r="D104" s="723"/>
      <c r="E104" s="723"/>
      <c r="F104" s="578"/>
      <c r="G104" s="578"/>
      <c r="H104" s="578"/>
      <c r="I104" s="578"/>
      <c r="J104" s="578"/>
    </row>
    <row r="105" spans="1:10" ht="16.5">
      <c r="A105" s="555"/>
      <c r="B105" s="577"/>
      <c r="C105" s="723"/>
      <c r="D105" s="723"/>
      <c r="E105" s="723"/>
      <c r="F105" s="578"/>
      <c r="G105" s="578"/>
      <c r="H105" s="578"/>
      <c r="I105" s="578"/>
      <c r="J105" s="578"/>
    </row>
    <row r="106" spans="1:10" ht="16.5">
      <c r="A106" s="555"/>
      <c r="B106" s="577"/>
      <c r="C106" s="723"/>
      <c r="D106" s="723"/>
      <c r="E106" s="723"/>
      <c r="F106" s="578"/>
      <c r="G106" s="578"/>
      <c r="H106" s="578"/>
      <c r="I106" s="578"/>
      <c r="J106" s="578"/>
    </row>
    <row r="107" spans="1:10" ht="16.5">
      <c r="A107" s="555"/>
      <c r="B107" s="577"/>
      <c r="C107" s="723"/>
      <c r="D107" s="723"/>
      <c r="E107" s="723"/>
      <c r="F107" s="578"/>
      <c r="G107" s="578"/>
      <c r="H107" s="578"/>
      <c r="I107" s="578"/>
      <c r="J107" s="578"/>
    </row>
    <row r="108" spans="1:10" ht="16.5">
      <c r="A108" s="555"/>
      <c r="B108" s="577"/>
      <c r="C108" s="723"/>
      <c r="D108" s="723"/>
      <c r="E108" s="723"/>
      <c r="F108" s="578"/>
      <c r="G108" s="578"/>
      <c r="H108" s="578"/>
      <c r="I108" s="578"/>
      <c r="J108" s="578"/>
    </row>
    <row r="109" spans="1:10" ht="16.5">
      <c r="A109" s="555"/>
      <c r="B109" s="577"/>
      <c r="C109" s="723"/>
      <c r="D109" s="723"/>
      <c r="E109" s="723"/>
      <c r="F109" s="578"/>
      <c r="G109" s="578"/>
      <c r="H109" s="578"/>
      <c r="I109" s="578"/>
      <c r="J109" s="578"/>
    </row>
    <row r="110" spans="1:10" ht="16.5">
      <c r="A110" s="555"/>
      <c r="B110" s="577"/>
      <c r="C110" s="723"/>
      <c r="D110" s="723"/>
      <c r="E110" s="723"/>
      <c r="F110" s="578"/>
      <c r="G110" s="578"/>
      <c r="H110" s="578"/>
      <c r="I110" s="578"/>
      <c r="J110" s="578"/>
    </row>
    <row r="111" spans="1:10" ht="16.5">
      <c r="A111" s="555"/>
      <c r="B111" s="577"/>
      <c r="C111" s="723"/>
      <c r="D111" s="723"/>
      <c r="E111" s="723"/>
      <c r="F111" s="578"/>
      <c r="G111" s="578"/>
      <c r="H111" s="578"/>
      <c r="I111" s="578"/>
      <c r="J111" s="578"/>
    </row>
    <row r="112" spans="1:10" ht="16.5">
      <c r="A112" s="555"/>
      <c r="B112" s="577"/>
      <c r="C112" s="723"/>
      <c r="D112" s="723"/>
      <c r="E112" s="723"/>
      <c r="F112" s="578"/>
      <c r="G112" s="578"/>
      <c r="H112" s="578"/>
      <c r="I112" s="578"/>
      <c r="J112" s="578"/>
    </row>
    <row r="113" spans="1:10" ht="16.5">
      <c r="A113" s="555"/>
      <c r="B113" s="577"/>
      <c r="C113" s="723"/>
      <c r="D113" s="723"/>
      <c r="E113" s="723"/>
      <c r="F113" s="578"/>
      <c r="G113" s="578"/>
      <c r="H113" s="578"/>
      <c r="I113" s="578"/>
      <c r="J113" s="578"/>
    </row>
    <row r="114" spans="1:10" ht="16.5">
      <c r="A114" s="555"/>
      <c r="B114" s="577"/>
      <c r="C114" s="723"/>
      <c r="D114" s="723"/>
      <c r="E114" s="723"/>
      <c r="F114" s="578"/>
      <c r="G114" s="578"/>
      <c r="H114" s="578"/>
      <c r="I114" s="578"/>
      <c r="J114" s="578"/>
    </row>
    <row r="115" spans="1:10" ht="16.5">
      <c r="A115" s="555"/>
      <c r="B115" s="577"/>
      <c r="C115" s="723"/>
      <c r="D115" s="723"/>
      <c r="E115" s="723"/>
      <c r="F115" s="578"/>
      <c r="G115" s="578"/>
      <c r="H115" s="578"/>
      <c r="I115" s="578"/>
      <c r="J115" s="578"/>
    </row>
    <row r="116" spans="1:10" ht="16.5">
      <c r="A116" s="555"/>
      <c r="B116" s="577"/>
      <c r="C116" s="723"/>
      <c r="D116" s="723"/>
      <c r="E116" s="723"/>
      <c r="F116" s="578"/>
      <c r="G116" s="578"/>
      <c r="H116" s="578"/>
      <c r="I116" s="578"/>
      <c r="J116" s="578"/>
    </row>
    <row r="117" spans="1:10" ht="16.5">
      <c r="A117" s="555"/>
      <c r="B117" s="577"/>
      <c r="C117" s="723"/>
      <c r="D117" s="723"/>
      <c r="E117" s="723"/>
      <c r="F117" s="578"/>
      <c r="G117" s="578"/>
      <c r="H117" s="578"/>
      <c r="I117" s="578"/>
      <c r="J117" s="578"/>
    </row>
    <row r="118" spans="1:10" ht="16.5">
      <c r="A118" s="555"/>
      <c r="B118" s="577"/>
      <c r="C118" s="723"/>
      <c r="D118" s="723"/>
      <c r="E118" s="723"/>
      <c r="F118" s="578"/>
      <c r="G118" s="578"/>
      <c r="H118" s="578"/>
      <c r="I118" s="578"/>
      <c r="J118" s="578"/>
    </row>
    <row r="119" spans="1:10" ht="16.5">
      <c r="A119" s="555"/>
      <c r="B119" s="577"/>
      <c r="C119" s="723"/>
      <c r="D119" s="723"/>
      <c r="E119" s="723"/>
      <c r="F119" s="578"/>
      <c r="G119" s="578"/>
      <c r="H119" s="578"/>
      <c r="I119" s="578"/>
      <c r="J119" s="578"/>
    </row>
    <row r="120" spans="1:10" ht="16.5">
      <c r="A120" s="555"/>
      <c r="B120" s="577"/>
      <c r="C120" s="723"/>
      <c r="D120" s="723"/>
      <c r="E120" s="723"/>
      <c r="F120" s="578"/>
      <c r="G120" s="578"/>
      <c r="H120" s="578"/>
      <c r="I120" s="578"/>
      <c r="J120" s="578"/>
    </row>
    <row r="121" spans="1:10" ht="16.5">
      <c r="A121" s="555"/>
      <c r="B121" s="577"/>
      <c r="C121" s="723"/>
      <c r="D121" s="723"/>
      <c r="E121" s="723"/>
      <c r="F121" s="578"/>
      <c r="G121" s="578"/>
      <c r="H121" s="578"/>
      <c r="I121" s="578"/>
      <c r="J121" s="578"/>
    </row>
    <row r="122" spans="1:10" ht="16.5">
      <c r="A122" s="555"/>
      <c r="B122" s="577"/>
      <c r="C122" s="723"/>
      <c r="D122" s="723"/>
      <c r="E122" s="723"/>
      <c r="F122" s="578"/>
      <c r="G122" s="578"/>
      <c r="H122" s="578"/>
      <c r="I122" s="578"/>
      <c r="J122" s="578"/>
    </row>
    <row r="123" spans="1:10" ht="16.5">
      <c r="A123" s="555"/>
      <c r="B123" s="577"/>
      <c r="C123" s="723"/>
      <c r="D123" s="723"/>
      <c r="E123" s="723"/>
      <c r="F123" s="578"/>
      <c r="G123" s="578"/>
      <c r="H123" s="578"/>
      <c r="I123" s="578"/>
      <c r="J123" s="578"/>
    </row>
    <row r="124" spans="1:10" ht="16.5">
      <c r="A124" s="555"/>
      <c r="B124" s="577"/>
      <c r="C124" s="723"/>
      <c r="D124" s="723"/>
      <c r="E124" s="723"/>
      <c r="F124" s="578"/>
      <c r="G124" s="578"/>
      <c r="H124" s="578"/>
      <c r="I124" s="578"/>
      <c r="J124" s="578"/>
    </row>
    <row r="125" spans="1:10" ht="16.5">
      <c r="A125" s="555"/>
      <c r="B125" s="577"/>
      <c r="C125" s="723"/>
      <c r="D125" s="723"/>
      <c r="E125" s="723"/>
      <c r="F125" s="578"/>
      <c r="G125" s="578"/>
      <c r="H125" s="578"/>
      <c r="I125" s="578"/>
      <c r="J125" s="578"/>
    </row>
    <row r="126" spans="1:10" ht="16.5">
      <c r="A126" s="555"/>
      <c r="B126" s="577"/>
      <c r="C126" s="723"/>
      <c r="D126" s="723"/>
      <c r="E126" s="723"/>
      <c r="F126" s="578"/>
      <c r="G126" s="578"/>
      <c r="H126" s="578"/>
      <c r="I126" s="578"/>
      <c r="J126" s="578"/>
    </row>
    <row r="127" spans="1:10" ht="16.5">
      <c r="A127" s="555"/>
      <c r="B127" s="577"/>
      <c r="C127" s="723"/>
      <c r="D127" s="723"/>
      <c r="E127" s="723"/>
      <c r="F127" s="578"/>
      <c r="G127" s="578"/>
      <c r="H127" s="578"/>
      <c r="I127" s="578"/>
      <c r="J127" s="578"/>
    </row>
    <row r="128" spans="1:10" ht="16.5">
      <c r="A128" s="555"/>
      <c r="B128" s="577"/>
      <c r="C128" s="723"/>
      <c r="D128" s="723"/>
      <c r="E128" s="723"/>
      <c r="F128" s="578"/>
      <c r="G128" s="578"/>
      <c r="H128" s="578"/>
      <c r="I128" s="578"/>
      <c r="J128" s="578"/>
    </row>
    <row r="129" spans="1:10" ht="16.5">
      <c r="A129" s="555"/>
      <c r="B129" s="577"/>
      <c r="C129" s="723"/>
      <c r="D129" s="723"/>
      <c r="E129" s="723"/>
      <c r="F129" s="578"/>
      <c r="G129" s="578"/>
      <c r="H129" s="578"/>
      <c r="I129" s="578"/>
      <c r="J129" s="578"/>
    </row>
    <row r="130" spans="1:10" ht="16.5">
      <c r="A130" s="555"/>
      <c r="B130" s="577"/>
      <c r="C130" s="723"/>
      <c r="D130" s="723"/>
      <c r="E130" s="723"/>
      <c r="F130" s="578"/>
      <c r="G130" s="578"/>
      <c r="H130" s="578"/>
      <c r="I130" s="578"/>
      <c r="J130" s="578"/>
    </row>
    <row r="131" spans="1:10" ht="16.5">
      <c r="A131" s="555"/>
      <c r="B131" s="577"/>
      <c r="C131" s="723"/>
      <c r="D131" s="723"/>
      <c r="E131" s="723"/>
      <c r="F131" s="578"/>
      <c r="G131" s="578"/>
      <c r="H131" s="578"/>
      <c r="I131" s="578"/>
      <c r="J131" s="578"/>
    </row>
    <row r="132" spans="1:10" ht="16.5">
      <c r="A132" s="555"/>
      <c r="B132" s="577"/>
      <c r="C132" s="723"/>
      <c r="D132" s="723"/>
      <c r="E132" s="723"/>
      <c r="F132" s="578"/>
      <c r="G132" s="578"/>
      <c r="H132" s="578"/>
      <c r="I132" s="578"/>
      <c r="J132" s="578"/>
    </row>
    <row r="133" spans="1:10" ht="16.5">
      <c r="A133" s="555"/>
      <c r="B133" s="577"/>
      <c r="C133" s="723"/>
      <c r="D133" s="723"/>
      <c r="E133" s="723"/>
      <c r="F133" s="578"/>
      <c r="G133" s="578"/>
      <c r="H133" s="578"/>
      <c r="I133" s="578"/>
      <c r="J133" s="578"/>
    </row>
    <row r="134" spans="1:10" ht="16.5">
      <c r="A134" s="555"/>
      <c r="B134" s="577"/>
      <c r="C134" s="723"/>
      <c r="D134" s="723"/>
      <c r="E134" s="723"/>
      <c r="F134" s="578"/>
      <c r="G134" s="578"/>
      <c r="H134" s="578"/>
      <c r="I134" s="578"/>
      <c r="J134" s="578"/>
    </row>
    <row r="135" spans="1:10" ht="16.5">
      <c r="A135" s="555"/>
      <c r="B135" s="577"/>
      <c r="C135" s="723"/>
      <c r="D135" s="723"/>
      <c r="E135" s="723"/>
      <c r="F135" s="578"/>
      <c r="G135" s="578"/>
      <c r="H135" s="578"/>
      <c r="I135" s="578"/>
      <c r="J135" s="578"/>
    </row>
    <row r="136" spans="1:10" ht="16.5">
      <c r="A136" s="555"/>
      <c r="B136" s="577"/>
      <c r="C136" s="723"/>
      <c r="D136" s="723"/>
      <c r="E136" s="723"/>
      <c r="F136" s="578"/>
      <c r="G136" s="578"/>
      <c r="H136" s="578"/>
      <c r="I136" s="578"/>
      <c r="J136" s="578"/>
    </row>
    <row r="137" spans="1:10" ht="16.5">
      <c r="A137" s="555"/>
      <c r="B137" s="577"/>
      <c r="C137" s="723"/>
      <c r="D137" s="723"/>
      <c r="E137" s="723"/>
      <c r="F137" s="578"/>
      <c r="G137" s="578"/>
      <c r="H137" s="578"/>
      <c r="I137" s="578"/>
      <c r="J137" s="578"/>
    </row>
    <row r="138" spans="1:10" ht="16.5">
      <c r="A138" s="555"/>
      <c r="B138" s="577"/>
      <c r="C138" s="723"/>
      <c r="D138" s="723"/>
      <c r="E138" s="723"/>
      <c r="F138" s="578"/>
      <c r="G138" s="578"/>
      <c r="H138" s="578"/>
      <c r="I138" s="578"/>
      <c r="J138" s="578"/>
    </row>
    <row r="139" spans="1:10" ht="16.5">
      <c r="A139" s="555"/>
      <c r="B139" s="577"/>
      <c r="C139" s="723"/>
      <c r="D139" s="723"/>
      <c r="E139" s="723"/>
      <c r="F139" s="578"/>
      <c r="G139" s="578"/>
      <c r="H139" s="578"/>
      <c r="I139" s="578"/>
      <c r="J139" s="578"/>
    </row>
    <row r="140" spans="1:10" ht="16.5">
      <c r="A140" s="555"/>
      <c r="B140" s="577"/>
      <c r="C140" s="723"/>
      <c r="D140" s="723"/>
      <c r="E140" s="723"/>
      <c r="F140" s="578"/>
      <c r="G140" s="578"/>
      <c r="H140" s="578"/>
      <c r="I140" s="578"/>
      <c r="J140" s="578"/>
    </row>
    <row r="141" spans="1:10" ht="16.5">
      <c r="A141" s="555"/>
      <c r="B141" s="577"/>
      <c r="C141" s="723"/>
      <c r="D141" s="723"/>
      <c r="E141" s="723"/>
      <c r="F141" s="578"/>
      <c r="G141" s="578"/>
      <c r="H141" s="578"/>
      <c r="I141" s="578"/>
      <c r="J141" s="578"/>
    </row>
    <row r="142" spans="1:10" ht="16.5">
      <c r="A142" s="555"/>
      <c r="B142" s="577"/>
      <c r="C142" s="723"/>
      <c r="D142" s="723"/>
      <c r="E142" s="723"/>
      <c r="F142" s="578"/>
      <c r="G142" s="578"/>
      <c r="H142" s="578"/>
      <c r="I142" s="578"/>
      <c r="J142" s="578"/>
    </row>
    <row r="143" spans="1:10" ht="16.5">
      <c r="A143" s="555"/>
      <c r="B143" s="577"/>
      <c r="C143" s="723"/>
      <c r="D143" s="723"/>
      <c r="E143" s="723"/>
      <c r="F143" s="578"/>
      <c r="G143" s="578"/>
      <c r="H143" s="578"/>
      <c r="I143" s="578"/>
      <c r="J143" s="578"/>
    </row>
    <row r="144" spans="1:10" ht="16.5">
      <c r="A144" s="555"/>
      <c r="B144" s="577"/>
      <c r="C144" s="723"/>
      <c r="D144" s="723"/>
      <c r="E144" s="723"/>
      <c r="F144" s="578"/>
      <c r="G144" s="578"/>
      <c r="H144" s="578"/>
      <c r="I144" s="578"/>
      <c r="J144" s="578"/>
    </row>
    <row r="145" spans="1:10" ht="16.5">
      <c r="A145" s="555"/>
      <c r="B145" s="577"/>
      <c r="C145" s="723"/>
      <c r="D145" s="723"/>
      <c r="E145" s="723"/>
      <c r="F145" s="578"/>
      <c r="G145" s="578"/>
      <c r="H145" s="578"/>
      <c r="I145" s="578"/>
      <c r="J145" s="578"/>
    </row>
    <row r="146" spans="1:10" ht="16.5">
      <c r="A146" s="555"/>
      <c r="B146" s="577"/>
      <c r="C146" s="723"/>
      <c r="D146" s="723"/>
      <c r="E146" s="723"/>
      <c r="F146" s="578"/>
      <c r="G146" s="578"/>
      <c r="H146" s="578"/>
      <c r="I146" s="578"/>
      <c r="J146" s="578"/>
    </row>
    <row r="147" spans="1:10" ht="16.5">
      <c r="A147" s="555"/>
      <c r="B147" s="577"/>
      <c r="C147" s="723"/>
      <c r="D147" s="723"/>
      <c r="E147" s="723"/>
      <c r="F147" s="578"/>
      <c r="G147" s="578"/>
      <c r="H147" s="578"/>
      <c r="I147" s="578"/>
      <c r="J147" s="578"/>
    </row>
    <row r="148" spans="1:10" ht="16.5">
      <c r="A148" s="555"/>
      <c r="B148" s="577"/>
      <c r="C148" s="723"/>
      <c r="D148" s="723"/>
      <c r="E148" s="723"/>
      <c r="F148" s="578"/>
      <c r="G148" s="578"/>
      <c r="H148" s="578"/>
      <c r="I148" s="578"/>
      <c r="J148" s="578"/>
    </row>
    <row r="149" spans="1:10" ht="16.5">
      <c r="A149" s="555"/>
      <c r="B149" s="577"/>
      <c r="C149" s="723"/>
      <c r="D149" s="723"/>
      <c r="E149" s="723"/>
      <c r="F149" s="578"/>
      <c r="G149" s="578"/>
      <c r="H149" s="578"/>
      <c r="I149" s="578"/>
      <c r="J149" s="578"/>
    </row>
    <row r="150" spans="1:10" ht="16.5">
      <c r="A150" s="555"/>
      <c r="B150" s="577"/>
      <c r="C150" s="723"/>
      <c r="D150" s="723"/>
      <c r="E150" s="723"/>
      <c r="F150" s="578"/>
      <c r="G150" s="578"/>
      <c r="H150" s="578"/>
      <c r="I150" s="578"/>
      <c r="J150" s="578"/>
    </row>
    <row r="151" spans="1:10" ht="16.5">
      <c r="A151" s="555"/>
      <c r="B151" s="577"/>
      <c r="C151" s="723"/>
      <c r="D151" s="723"/>
      <c r="E151" s="723"/>
      <c r="F151" s="578"/>
      <c r="G151" s="578"/>
      <c r="H151" s="578"/>
      <c r="I151" s="578"/>
      <c r="J151" s="578"/>
    </row>
    <row r="152" spans="1:10" ht="16.5">
      <c r="A152" s="555"/>
      <c r="B152" s="577"/>
      <c r="C152" s="723"/>
      <c r="D152" s="723"/>
      <c r="E152" s="723"/>
      <c r="F152" s="578"/>
      <c r="G152" s="578"/>
      <c r="H152" s="578"/>
      <c r="I152" s="578"/>
      <c r="J152" s="578"/>
    </row>
    <row r="153" spans="1:10" ht="16.5">
      <c r="A153" s="555"/>
      <c r="B153" s="577"/>
      <c r="C153" s="723"/>
      <c r="D153" s="723"/>
      <c r="E153" s="723"/>
      <c r="F153" s="578"/>
      <c r="G153" s="578"/>
      <c r="H153" s="578"/>
      <c r="I153" s="578"/>
      <c r="J153" s="578"/>
    </row>
    <row r="154" spans="1:10" ht="16.5">
      <c r="A154" s="555"/>
      <c r="B154" s="577"/>
      <c r="C154" s="723"/>
      <c r="D154" s="723"/>
      <c r="E154" s="723"/>
      <c r="F154" s="578"/>
      <c r="G154" s="578"/>
      <c r="H154" s="578"/>
      <c r="I154" s="578"/>
      <c r="J154" s="578"/>
    </row>
    <row r="155" spans="1:10" ht="16.5">
      <c r="A155" s="555"/>
      <c r="B155" s="577"/>
      <c r="C155" s="723"/>
      <c r="D155" s="723"/>
      <c r="E155" s="723"/>
      <c r="F155" s="578"/>
      <c r="G155" s="578"/>
      <c r="H155" s="578"/>
      <c r="I155" s="578"/>
      <c r="J155" s="578"/>
    </row>
    <row r="156" spans="1:10" ht="16.5">
      <c r="A156" s="555"/>
      <c r="B156" s="577"/>
      <c r="C156" s="723"/>
      <c r="D156" s="723"/>
      <c r="E156" s="723"/>
      <c r="F156" s="578"/>
      <c r="G156" s="578"/>
      <c r="H156" s="578"/>
      <c r="I156" s="578"/>
      <c r="J156" s="578"/>
    </row>
    <row r="157" spans="1:10" ht="16.5">
      <c r="A157" s="555"/>
      <c r="B157" s="577"/>
      <c r="C157" s="723"/>
      <c r="D157" s="723"/>
      <c r="E157" s="723"/>
      <c r="F157" s="578"/>
      <c r="G157" s="578"/>
      <c r="H157" s="578"/>
      <c r="I157" s="578"/>
      <c r="J157" s="578"/>
    </row>
    <row r="158" spans="1:10" ht="16.5">
      <c r="A158" s="555"/>
      <c r="B158" s="577"/>
      <c r="C158" s="723"/>
      <c r="D158" s="723"/>
      <c r="E158" s="723"/>
      <c r="F158" s="578"/>
      <c r="G158" s="578"/>
      <c r="H158" s="578"/>
      <c r="I158" s="578"/>
      <c r="J158" s="578"/>
    </row>
    <row r="159" spans="1:10" ht="16.5">
      <c r="A159" s="555"/>
      <c r="B159" s="577"/>
      <c r="C159" s="723"/>
      <c r="D159" s="723"/>
      <c r="E159" s="723"/>
      <c r="F159" s="578"/>
      <c r="G159" s="578"/>
      <c r="H159" s="578"/>
      <c r="I159" s="578"/>
      <c r="J159" s="578"/>
    </row>
    <row r="160" spans="1:10" ht="16.5">
      <c r="A160" s="555"/>
      <c r="B160" s="577"/>
      <c r="C160" s="723"/>
      <c r="D160" s="723"/>
      <c r="E160" s="723"/>
      <c r="F160" s="578"/>
      <c r="G160" s="578"/>
      <c r="H160" s="578"/>
      <c r="I160" s="578"/>
      <c r="J160" s="578"/>
    </row>
    <row r="161" spans="1:10" ht="16.5">
      <c r="A161" s="555"/>
      <c r="B161" s="577"/>
      <c r="C161" s="723"/>
      <c r="D161" s="723"/>
      <c r="E161" s="723"/>
      <c r="F161" s="578"/>
      <c r="G161" s="578"/>
      <c r="H161" s="578"/>
      <c r="I161" s="578"/>
      <c r="J161" s="578"/>
    </row>
    <row r="162" spans="1:10" ht="16.5">
      <c r="A162" s="555"/>
      <c r="B162" s="577"/>
      <c r="C162" s="723"/>
      <c r="D162" s="723"/>
      <c r="E162" s="723"/>
      <c r="F162" s="578"/>
      <c r="G162" s="578"/>
      <c r="H162" s="578"/>
      <c r="I162" s="578"/>
      <c r="J162" s="578"/>
    </row>
    <row r="163" spans="1:10" ht="16.5">
      <c r="A163" s="555"/>
      <c r="B163" s="577"/>
      <c r="C163" s="723"/>
      <c r="D163" s="723"/>
      <c r="E163" s="723"/>
      <c r="F163" s="578"/>
      <c r="G163" s="578"/>
      <c r="H163" s="578"/>
      <c r="I163" s="578"/>
      <c r="J163" s="578"/>
    </row>
    <row r="164" spans="1:10" ht="16.5">
      <c r="A164" s="555"/>
      <c r="B164" s="577"/>
      <c r="C164" s="723"/>
      <c r="D164" s="723"/>
      <c r="E164" s="723"/>
      <c r="F164" s="578"/>
      <c r="G164" s="578"/>
      <c r="H164" s="578"/>
      <c r="I164" s="578"/>
      <c r="J164" s="578"/>
    </row>
    <row r="165" spans="1:10" ht="16.5">
      <c r="A165" s="555"/>
      <c r="B165" s="577"/>
      <c r="C165" s="723"/>
      <c r="D165" s="723"/>
      <c r="E165" s="723"/>
      <c r="F165" s="578"/>
      <c r="G165" s="578"/>
      <c r="H165" s="578"/>
      <c r="I165" s="578"/>
      <c r="J165" s="578"/>
    </row>
    <row r="166" spans="1:10" ht="16.5">
      <c r="A166" s="555"/>
      <c r="B166" s="577"/>
      <c r="C166" s="723"/>
      <c r="D166" s="723"/>
      <c r="E166" s="723"/>
      <c r="F166" s="578"/>
      <c r="G166" s="578"/>
      <c r="H166" s="578"/>
      <c r="I166" s="578"/>
      <c r="J166" s="578"/>
    </row>
    <row r="167" spans="1:10" ht="16.5">
      <c r="A167" s="555"/>
      <c r="B167" s="577"/>
      <c r="C167" s="723"/>
      <c r="D167" s="723"/>
      <c r="E167" s="723"/>
      <c r="F167" s="578"/>
      <c r="G167" s="578"/>
      <c r="H167" s="578"/>
      <c r="I167" s="578"/>
      <c r="J167" s="578"/>
    </row>
    <row r="168" spans="1:10" ht="16.5">
      <c r="A168" s="555"/>
      <c r="B168" s="577"/>
      <c r="C168" s="723"/>
      <c r="D168" s="723"/>
      <c r="E168" s="723"/>
      <c r="F168" s="578"/>
      <c r="G168" s="578"/>
      <c r="H168" s="578"/>
      <c r="I168" s="578"/>
      <c r="J168" s="578"/>
    </row>
    <row r="169" spans="1:10" ht="16.5">
      <c r="A169" s="555"/>
      <c r="B169" s="577"/>
      <c r="C169" s="723"/>
      <c r="D169" s="723"/>
      <c r="E169" s="723"/>
      <c r="F169" s="578"/>
      <c r="G169" s="578"/>
      <c r="H169" s="578"/>
      <c r="I169" s="578"/>
      <c r="J169" s="578"/>
    </row>
    <row r="170" spans="1:10" ht="16.5">
      <c r="A170" s="555"/>
      <c r="B170" s="577"/>
      <c r="C170" s="723"/>
      <c r="D170" s="723"/>
      <c r="E170" s="723"/>
      <c r="F170" s="578"/>
      <c r="G170" s="578"/>
      <c r="H170" s="578"/>
      <c r="I170" s="578"/>
      <c r="J170" s="578"/>
    </row>
    <row r="171" spans="1:10" ht="16.5">
      <c r="A171" s="555"/>
      <c r="B171" s="577"/>
      <c r="C171" s="723"/>
      <c r="D171" s="723"/>
      <c r="E171" s="723"/>
      <c r="F171" s="578"/>
      <c r="G171" s="578"/>
      <c r="H171" s="578"/>
      <c r="I171" s="578"/>
      <c r="J171" s="578"/>
    </row>
    <row r="172" spans="1:10" ht="16.5">
      <c r="A172" s="555"/>
      <c r="B172" s="577"/>
      <c r="C172" s="723"/>
      <c r="D172" s="723"/>
      <c r="E172" s="723"/>
      <c r="F172" s="578"/>
      <c r="G172" s="578"/>
      <c r="H172" s="578"/>
      <c r="I172" s="578"/>
      <c r="J172" s="578"/>
    </row>
    <row r="173" spans="1:10" ht="16.5">
      <c r="A173" s="555"/>
      <c r="B173" s="577"/>
      <c r="C173" s="723"/>
      <c r="D173" s="723"/>
      <c r="E173" s="723"/>
      <c r="F173" s="578"/>
      <c r="G173" s="578"/>
      <c r="H173" s="578"/>
      <c r="I173" s="578"/>
      <c r="J173" s="578"/>
    </row>
    <row r="174" spans="1:10" ht="16.5">
      <c r="A174" s="555"/>
      <c r="B174" s="577"/>
      <c r="C174" s="723"/>
      <c r="D174" s="723"/>
      <c r="E174" s="723"/>
      <c r="F174" s="578"/>
      <c r="G174" s="578"/>
      <c r="H174" s="578"/>
      <c r="I174" s="578"/>
      <c r="J174" s="578"/>
    </row>
    <row r="175" spans="1:10" ht="16.5">
      <c r="A175" s="555"/>
      <c r="B175" s="577"/>
      <c r="C175" s="723"/>
      <c r="D175" s="723"/>
      <c r="E175" s="723"/>
      <c r="F175" s="578"/>
      <c r="G175" s="578"/>
      <c r="H175" s="578"/>
      <c r="I175" s="578"/>
      <c r="J175" s="578"/>
    </row>
    <row r="176" spans="1:10" ht="16.5">
      <c r="A176" s="555"/>
      <c r="B176" s="577"/>
      <c r="C176" s="723"/>
      <c r="D176" s="723"/>
      <c r="E176" s="723"/>
      <c r="F176" s="578"/>
      <c r="G176" s="578"/>
      <c r="H176" s="578"/>
      <c r="I176" s="578"/>
      <c r="J176" s="578"/>
    </row>
    <row r="177" spans="1:10" ht="16.5">
      <c r="A177" s="555"/>
      <c r="B177" s="577"/>
      <c r="C177" s="723"/>
      <c r="D177" s="723"/>
      <c r="E177" s="723"/>
      <c r="F177" s="578"/>
      <c r="G177" s="578"/>
      <c r="H177" s="578"/>
      <c r="I177" s="578"/>
      <c r="J177" s="578"/>
    </row>
    <row r="178" spans="1:10" ht="16.5">
      <c r="A178" s="555"/>
      <c r="B178" s="577"/>
      <c r="C178" s="723"/>
      <c r="D178" s="723"/>
      <c r="E178" s="723"/>
      <c r="F178" s="578"/>
      <c r="G178" s="578"/>
      <c r="H178" s="578"/>
      <c r="I178" s="578"/>
      <c r="J178" s="578"/>
    </row>
    <row r="179" spans="1:10" ht="16.5">
      <c r="A179" s="555"/>
      <c r="B179" s="577"/>
      <c r="C179" s="723"/>
      <c r="D179" s="723"/>
      <c r="E179" s="723"/>
      <c r="F179" s="578"/>
      <c r="G179" s="578"/>
      <c r="H179" s="578"/>
      <c r="I179" s="578"/>
      <c r="J179" s="578"/>
    </row>
    <row r="180" spans="1:10" ht="16.5">
      <c r="A180" s="555"/>
      <c r="B180" s="577"/>
      <c r="C180" s="723"/>
      <c r="D180" s="723"/>
      <c r="E180" s="723"/>
      <c r="F180" s="578"/>
      <c r="G180" s="578"/>
      <c r="H180" s="578"/>
      <c r="I180" s="578"/>
      <c r="J180" s="578"/>
    </row>
    <row r="181" spans="1:10" ht="16.5">
      <c r="A181" s="555"/>
      <c r="B181" s="577"/>
      <c r="C181" s="723"/>
      <c r="D181" s="723"/>
      <c r="E181" s="723"/>
      <c r="F181" s="578"/>
      <c r="G181" s="578"/>
      <c r="H181" s="578"/>
      <c r="I181" s="578"/>
      <c r="J181" s="578"/>
    </row>
    <row r="182" spans="1:10" ht="16.5">
      <c r="A182" s="555"/>
      <c r="B182" s="577"/>
      <c r="C182" s="723"/>
      <c r="D182" s="723"/>
      <c r="E182" s="723"/>
      <c r="F182" s="578"/>
      <c r="G182" s="578"/>
      <c r="H182" s="578"/>
      <c r="I182" s="578"/>
      <c r="J182" s="578"/>
    </row>
    <row r="183" spans="1:10" ht="16.5">
      <c r="A183" s="555"/>
      <c r="B183" s="577"/>
      <c r="C183" s="723"/>
      <c r="D183" s="723"/>
      <c r="E183" s="723"/>
      <c r="F183" s="578"/>
      <c r="G183" s="578"/>
      <c r="H183" s="578"/>
      <c r="I183" s="578"/>
      <c r="J183" s="578"/>
    </row>
    <row r="184" spans="1:10" ht="16.5">
      <c r="A184" s="555"/>
      <c r="B184" s="577"/>
      <c r="C184" s="723"/>
      <c r="D184" s="723"/>
      <c r="E184" s="723"/>
      <c r="F184" s="578"/>
      <c r="G184" s="578"/>
      <c r="H184" s="578"/>
      <c r="I184" s="578"/>
      <c r="J184" s="578"/>
    </row>
    <row r="185" spans="1:10" ht="16.5">
      <c r="A185" s="555"/>
      <c r="B185" s="577"/>
      <c r="C185" s="723"/>
      <c r="D185" s="723"/>
      <c r="E185" s="723"/>
      <c r="F185" s="578"/>
      <c r="G185" s="578"/>
      <c r="H185" s="578"/>
      <c r="I185" s="578"/>
      <c r="J185" s="578"/>
    </row>
    <row r="186" spans="1:10" ht="16.5">
      <c r="A186" s="555"/>
      <c r="B186" s="577"/>
      <c r="C186" s="723"/>
      <c r="D186" s="723"/>
      <c r="E186" s="723"/>
      <c r="F186" s="578"/>
      <c r="G186" s="578"/>
      <c r="H186" s="578"/>
      <c r="I186" s="578"/>
      <c r="J186" s="578"/>
    </row>
    <row r="187" spans="1:10" ht="16.5">
      <c r="A187" s="555"/>
      <c r="B187" s="577"/>
      <c r="C187" s="723"/>
      <c r="D187" s="723"/>
      <c r="E187" s="723"/>
      <c r="F187" s="578"/>
      <c r="G187" s="578"/>
      <c r="H187" s="578"/>
      <c r="I187" s="578"/>
      <c r="J187" s="578"/>
    </row>
    <row r="188" spans="1:10" ht="16.5">
      <c r="A188" s="555"/>
      <c r="B188" s="577"/>
      <c r="C188" s="723"/>
      <c r="D188" s="723"/>
      <c r="E188" s="723"/>
      <c r="F188" s="578"/>
      <c r="G188" s="578"/>
      <c r="H188" s="578"/>
      <c r="I188" s="578"/>
      <c r="J188" s="578"/>
    </row>
    <row r="189" spans="1:10" ht="16.5">
      <c r="A189" s="555"/>
      <c r="B189" s="577"/>
      <c r="C189" s="723"/>
      <c r="D189" s="723"/>
      <c r="E189" s="723"/>
      <c r="F189" s="578"/>
      <c r="G189" s="578"/>
      <c r="H189" s="578"/>
      <c r="I189" s="578"/>
      <c r="J189" s="578"/>
    </row>
    <row r="190" spans="1:10" ht="16.5">
      <c r="A190" s="555"/>
      <c r="B190" s="577"/>
      <c r="C190" s="723"/>
      <c r="D190" s="723"/>
      <c r="E190" s="723"/>
      <c r="F190" s="578"/>
      <c r="G190" s="578"/>
      <c r="H190" s="578"/>
      <c r="I190" s="578"/>
      <c r="J190" s="578"/>
    </row>
    <row r="191" spans="1:10" ht="16.5">
      <c r="A191" s="555"/>
      <c r="B191" s="577"/>
      <c r="C191" s="723"/>
      <c r="D191" s="723"/>
      <c r="E191" s="723"/>
      <c r="F191" s="578"/>
      <c r="G191" s="578"/>
      <c r="H191" s="578"/>
      <c r="I191" s="578"/>
      <c r="J191" s="578"/>
    </row>
    <row r="192" spans="1:10" ht="16.5">
      <c r="A192" s="555"/>
      <c r="B192" s="577"/>
      <c r="C192" s="723"/>
      <c r="D192" s="723"/>
      <c r="E192" s="723"/>
      <c r="F192" s="578"/>
      <c r="G192" s="578"/>
      <c r="H192" s="578"/>
      <c r="I192" s="578"/>
      <c r="J192" s="578"/>
    </row>
    <row r="193" spans="1:10" ht="16.5">
      <c r="A193" s="555"/>
      <c r="B193" s="577"/>
      <c r="C193" s="723"/>
      <c r="D193" s="723"/>
      <c r="E193" s="723"/>
      <c r="F193" s="578"/>
      <c r="G193" s="578"/>
      <c r="H193" s="578"/>
      <c r="I193" s="578"/>
      <c r="J193" s="578"/>
    </row>
    <row r="194" spans="1:10" ht="16.5">
      <c r="A194" s="555"/>
      <c r="B194" s="577"/>
      <c r="C194" s="723"/>
      <c r="D194" s="723"/>
      <c r="E194" s="723"/>
      <c r="F194" s="578"/>
      <c r="G194" s="578"/>
      <c r="H194" s="578"/>
      <c r="I194" s="578"/>
      <c r="J194" s="578"/>
    </row>
    <row r="195" spans="1:10" ht="16.5">
      <c r="A195" s="555"/>
      <c r="B195" s="577"/>
      <c r="C195" s="723"/>
      <c r="D195" s="723"/>
      <c r="E195" s="723"/>
      <c r="F195" s="578"/>
      <c r="G195" s="578"/>
      <c r="H195" s="578"/>
      <c r="I195" s="578"/>
      <c r="J195" s="578"/>
    </row>
    <row r="196" spans="1:10" ht="16.5">
      <c r="A196" s="555"/>
      <c r="B196" s="577"/>
      <c r="C196" s="723"/>
      <c r="D196" s="723"/>
      <c r="E196" s="723"/>
      <c r="F196" s="578"/>
      <c r="G196" s="578"/>
      <c r="H196" s="578"/>
      <c r="I196" s="578"/>
      <c r="J196" s="578"/>
    </row>
    <row r="197" spans="1:10" ht="16.5">
      <c r="A197" s="555"/>
      <c r="B197" s="577"/>
      <c r="C197" s="723"/>
      <c r="D197" s="723"/>
      <c r="E197" s="723"/>
      <c r="F197" s="578"/>
      <c r="G197" s="578"/>
      <c r="H197" s="578"/>
      <c r="I197" s="578"/>
      <c r="J197" s="578"/>
    </row>
    <row r="198" spans="1:10" ht="16.5">
      <c r="A198" s="555"/>
      <c r="B198" s="577"/>
      <c r="C198" s="723"/>
      <c r="D198" s="723"/>
      <c r="E198" s="723"/>
      <c r="F198" s="578"/>
      <c r="G198" s="578"/>
      <c r="H198" s="578"/>
      <c r="I198" s="578"/>
      <c r="J198" s="578"/>
    </row>
    <row r="199" spans="1:10" ht="16.5">
      <c r="A199" s="555"/>
      <c r="B199" s="577"/>
      <c r="C199" s="723"/>
      <c r="D199" s="723"/>
      <c r="E199" s="723"/>
      <c r="F199" s="578"/>
      <c r="G199" s="578"/>
      <c r="H199" s="578"/>
      <c r="I199" s="578"/>
      <c r="J199" s="578"/>
    </row>
    <row r="200" spans="1:10" ht="16.5">
      <c r="A200" s="555"/>
      <c r="B200" s="577"/>
      <c r="C200" s="723"/>
      <c r="D200" s="723"/>
      <c r="E200" s="723"/>
      <c r="F200" s="578"/>
      <c r="G200" s="578"/>
      <c r="H200" s="578"/>
      <c r="I200" s="578"/>
      <c r="J200" s="578"/>
    </row>
    <row r="201" spans="1:10" ht="16.5">
      <c r="A201" s="555"/>
      <c r="B201" s="577"/>
      <c r="C201" s="723"/>
      <c r="D201" s="723"/>
      <c r="E201" s="723"/>
      <c r="F201" s="578"/>
      <c r="G201" s="578"/>
      <c r="H201" s="578"/>
      <c r="I201" s="578"/>
      <c r="J201" s="578"/>
    </row>
    <row r="202" spans="1:10" ht="16.5">
      <c r="A202" s="555"/>
      <c r="B202" s="577"/>
      <c r="C202" s="723"/>
      <c r="D202" s="723"/>
      <c r="E202" s="723"/>
      <c r="F202" s="578"/>
      <c r="G202" s="578"/>
      <c r="H202" s="578"/>
      <c r="I202" s="578"/>
      <c r="J202" s="578"/>
    </row>
    <row r="203" spans="1:10" ht="16.5">
      <c r="A203" s="555"/>
      <c r="B203" s="577"/>
      <c r="C203" s="723"/>
      <c r="D203" s="723"/>
      <c r="E203" s="723"/>
      <c r="F203" s="578"/>
      <c r="G203" s="578"/>
      <c r="H203" s="578"/>
      <c r="I203" s="578"/>
      <c r="J203" s="578"/>
    </row>
    <row r="204" spans="1:10" ht="16.5">
      <c r="A204" s="555"/>
      <c r="B204" s="577"/>
      <c r="C204" s="723"/>
      <c r="D204" s="723"/>
      <c r="E204" s="723"/>
      <c r="F204" s="578"/>
      <c r="G204" s="578"/>
      <c r="H204" s="578"/>
      <c r="I204" s="578"/>
      <c r="J204" s="578"/>
    </row>
    <row r="205" spans="1:10" ht="16.5">
      <c r="A205" s="555"/>
      <c r="B205" s="577"/>
      <c r="C205" s="723"/>
      <c r="D205" s="723"/>
      <c r="E205" s="723"/>
      <c r="F205" s="578"/>
      <c r="G205" s="578"/>
      <c r="H205" s="578"/>
      <c r="I205" s="578"/>
      <c r="J205" s="578"/>
    </row>
    <row r="206" spans="1:10" ht="16.5">
      <c r="A206" s="555"/>
      <c r="B206" s="577"/>
      <c r="C206" s="723"/>
      <c r="D206" s="723"/>
      <c r="E206" s="723"/>
      <c r="F206" s="578"/>
      <c r="G206" s="578"/>
      <c r="H206" s="578"/>
      <c r="I206" s="578"/>
      <c r="J206" s="578"/>
    </row>
    <row r="207" spans="1:10" ht="16.5">
      <c r="A207" s="555"/>
      <c r="B207" s="577"/>
      <c r="C207" s="723"/>
      <c r="D207" s="723"/>
      <c r="E207" s="723"/>
      <c r="F207" s="578"/>
      <c r="G207" s="578"/>
      <c r="H207" s="578"/>
      <c r="I207" s="578"/>
      <c r="J207" s="578"/>
    </row>
    <row r="208" spans="1:10" ht="16.5">
      <c r="A208" s="555"/>
      <c r="B208" s="577"/>
      <c r="C208" s="723"/>
      <c r="D208" s="723"/>
      <c r="E208" s="723"/>
      <c r="F208" s="578"/>
      <c r="G208" s="578"/>
      <c r="H208" s="578"/>
      <c r="I208" s="578"/>
      <c r="J208" s="578"/>
    </row>
    <row r="209" spans="1:10" ht="16.5">
      <c r="A209" s="555"/>
      <c r="B209" s="577"/>
      <c r="C209" s="723"/>
      <c r="D209" s="723"/>
      <c r="E209" s="723"/>
      <c r="F209" s="578"/>
      <c r="G209" s="578"/>
      <c r="H209" s="578"/>
      <c r="I209" s="578"/>
      <c r="J209" s="578"/>
    </row>
    <row r="210" spans="1:10" ht="16.5">
      <c r="A210" s="555"/>
      <c r="B210" s="577"/>
      <c r="C210" s="723"/>
      <c r="D210" s="723"/>
      <c r="E210" s="723"/>
      <c r="F210" s="578"/>
      <c r="G210" s="578"/>
      <c r="H210" s="578"/>
      <c r="I210" s="578"/>
      <c r="J210" s="578"/>
    </row>
    <row r="211" spans="1:10" ht="16.5">
      <c r="A211" s="555"/>
      <c r="B211" s="577"/>
      <c r="C211" s="723"/>
      <c r="D211" s="723"/>
      <c r="E211" s="723"/>
      <c r="F211" s="578"/>
      <c r="G211" s="578"/>
      <c r="H211" s="578"/>
      <c r="I211" s="578"/>
      <c r="J211" s="578"/>
    </row>
    <row r="212" spans="1:10" ht="16.5">
      <c r="A212" s="555"/>
      <c r="B212" s="577"/>
      <c r="C212" s="723"/>
      <c r="D212" s="723"/>
      <c r="E212" s="723"/>
      <c r="F212" s="578"/>
      <c r="G212" s="578"/>
      <c r="H212" s="578"/>
      <c r="I212" s="578"/>
      <c r="J212" s="578"/>
    </row>
    <row r="213" spans="1:10" ht="16.5">
      <c r="A213" s="555"/>
      <c r="B213" s="577"/>
      <c r="C213" s="723"/>
      <c r="D213" s="723"/>
      <c r="E213" s="723"/>
      <c r="F213" s="578"/>
      <c r="G213" s="578"/>
      <c r="H213" s="578"/>
      <c r="I213" s="578"/>
      <c r="J213" s="578"/>
    </row>
    <row r="214" spans="1:10" ht="16.5">
      <c r="A214" s="555"/>
      <c r="B214" s="577"/>
      <c r="C214" s="723"/>
      <c r="D214" s="723"/>
      <c r="E214" s="723"/>
      <c r="F214" s="578"/>
      <c r="G214" s="578"/>
      <c r="H214" s="578"/>
      <c r="I214" s="578"/>
      <c r="J214" s="578"/>
    </row>
    <row r="215" spans="1:10" ht="16.5">
      <c r="A215" s="555"/>
      <c r="B215" s="577"/>
      <c r="C215" s="723"/>
      <c r="D215" s="723"/>
      <c r="E215" s="723"/>
      <c r="F215" s="578"/>
      <c r="G215" s="578"/>
      <c r="H215" s="578"/>
      <c r="I215" s="578"/>
      <c r="J215" s="578"/>
    </row>
    <row r="216" spans="1:10" ht="16.5">
      <c r="A216" s="555"/>
      <c r="B216" s="577"/>
      <c r="C216" s="723"/>
      <c r="D216" s="723"/>
      <c r="E216" s="723"/>
      <c r="F216" s="578"/>
      <c r="G216" s="578"/>
      <c r="H216" s="578"/>
      <c r="I216" s="578"/>
      <c r="J216" s="578"/>
    </row>
    <row r="217" spans="1:10" ht="16.5">
      <c r="A217" s="555"/>
      <c r="B217" s="577"/>
      <c r="C217" s="723"/>
      <c r="D217" s="723"/>
      <c r="E217" s="723"/>
      <c r="F217" s="578"/>
      <c r="G217" s="578"/>
      <c r="H217" s="578"/>
      <c r="I217" s="578"/>
      <c r="J217" s="578"/>
    </row>
    <row r="218" spans="1:10" ht="16.5">
      <c r="A218" s="555"/>
      <c r="B218" s="577"/>
      <c r="C218" s="723"/>
      <c r="D218" s="723"/>
      <c r="E218" s="723"/>
      <c r="F218" s="578"/>
      <c r="G218" s="578"/>
      <c r="H218" s="578"/>
      <c r="I218" s="578"/>
      <c r="J218" s="578"/>
    </row>
    <row r="219" spans="1:10" ht="16.5">
      <c r="A219" s="555"/>
      <c r="B219" s="577"/>
      <c r="C219" s="723"/>
      <c r="D219" s="723"/>
      <c r="E219" s="723"/>
      <c r="F219" s="578"/>
      <c r="G219" s="578"/>
      <c r="H219" s="578"/>
      <c r="I219" s="578"/>
      <c r="J219" s="578"/>
    </row>
    <row r="220" spans="1:10" ht="16.5">
      <c r="A220" s="555"/>
      <c r="B220" s="577"/>
      <c r="C220" s="723"/>
      <c r="D220" s="723"/>
      <c r="E220" s="723"/>
      <c r="F220" s="578"/>
      <c r="G220" s="578"/>
      <c r="H220" s="578"/>
      <c r="I220" s="578"/>
      <c r="J220" s="578"/>
    </row>
    <row r="221" spans="1:10" ht="16.5">
      <c r="A221" s="555"/>
      <c r="B221" s="577"/>
      <c r="C221" s="723"/>
      <c r="D221" s="723"/>
      <c r="E221" s="723"/>
      <c r="F221" s="578"/>
      <c r="G221" s="578"/>
      <c r="H221" s="578"/>
      <c r="I221" s="578"/>
      <c r="J221" s="578"/>
    </row>
    <row r="222" spans="1:10" ht="16.5">
      <c r="A222" s="555"/>
      <c r="B222" s="577"/>
      <c r="C222" s="723"/>
      <c r="D222" s="723"/>
      <c r="E222" s="723"/>
      <c r="F222" s="578"/>
      <c r="G222" s="578"/>
      <c r="H222" s="578"/>
      <c r="I222" s="578"/>
      <c r="J222" s="578"/>
    </row>
    <row r="223" spans="1:10" ht="16.5">
      <c r="A223" s="555"/>
      <c r="B223" s="577"/>
      <c r="C223" s="723"/>
      <c r="D223" s="723"/>
      <c r="E223" s="723"/>
      <c r="F223" s="578"/>
      <c r="G223" s="578"/>
      <c r="H223" s="578"/>
      <c r="I223" s="578"/>
      <c r="J223" s="578"/>
    </row>
    <row r="224" spans="1:10" ht="16.5">
      <c r="A224" s="555"/>
      <c r="B224" s="577"/>
      <c r="C224" s="723"/>
      <c r="D224" s="723"/>
      <c r="E224" s="723"/>
      <c r="F224" s="578"/>
      <c r="G224" s="578"/>
      <c r="H224" s="578"/>
      <c r="I224" s="578"/>
      <c r="J224" s="578"/>
    </row>
    <row r="225" spans="1:10" ht="16.5">
      <c r="A225" s="555"/>
      <c r="B225" s="577"/>
      <c r="C225" s="723"/>
      <c r="D225" s="723"/>
      <c r="E225" s="723"/>
      <c r="F225" s="578"/>
      <c r="G225" s="578"/>
      <c r="H225" s="578"/>
      <c r="I225" s="578"/>
      <c r="J225" s="578"/>
    </row>
    <row r="226" spans="1:10" ht="16.5">
      <c r="A226" s="555"/>
      <c r="B226" s="577"/>
      <c r="C226" s="723"/>
      <c r="D226" s="723"/>
      <c r="E226" s="723"/>
      <c r="F226" s="578"/>
      <c r="G226" s="578"/>
      <c r="H226" s="578"/>
      <c r="I226" s="578"/>
      <c r="J226" s="578"/>
    </row>
    <row r="227" spans="1:10" ht="16.5">
      <c r="A227" s="555"/>
      <c r="B227" s="577"/>
      <c r="C227" s="723"/>
      <c r="D227" s="723"/>
      <c r="E227" s="723"/>
      <c r="F227" s="578"/>
      <c r="G227" s="578"/>
      <c r="H227" s="578"/>
      <c r="I227" s="578"/>
      <c r="J227" s="578"/>
    </row>
    <row r="228" spans="1:10" ht="16.5">
      <c r="A228" s="555"/>
      <c r="B228" s="577"/>
      <c r="C228" s="723"/>
      <c r="D228" s="723"/>
      <c r="E228" s="723"/>
      <c r="F228" s="578"/>
      <c r="G228" s="578"/>
      <c r="H228" s="578"/>
      <c r="I228" s="578"/>
      <c r="J228" s="578"/>
    </row>
    <row r="229" spans="1:10" ht="16.5">
      <c r="A229" s="555"/>
      <c r="B229" s="577"/>
      <c r="C229" s="723"/>
      <c r="D229" s="723"/>
      <c r="E229" s="723"/>
      <c r="F229" s="578"/>
      <c r="G229" s="578"/>
      <c r="H229" s="578"/>
      <c r="I229" s="578"/>
      <c r="J229" s="578"/>
    </row>
    <row r="230" spans="1:10" ht="16.5">
      <c r="A230" s="555"/>
      <c r="B230" s="577"/>
      <c r="C230" s="723"/>
      <c r="D230" s="723"/>
      <c r="E230" s="723"/>
      <c r="F230" s="578"/>
      <c r="G230" s="578"/>
      <c r="H230" s="578"/>
      <c r="I230" s="578"/>
      <c r="J230" s="578"/>
    </row>
    <row r="231" spans="1:10" ht="16.5">
      <c r="A231" s="555"/>
      <c r="B231" s="577"/>
      <c r="C231" s="723"/>
      <c r="D231" s="723"/>
      <c r="E231" s="723"/>
      <c r="F231" s="578"/>
      <c r="G231" s="578"/>
      <c r="H231" s="578"/>
      <c r="I231" s="578"/>
      <c r="J231" s="578"/>
    </row>
    <row r="232" spans="1:10" ht="16.5">
      <c r="A232" s="555"/>
      <c r="B232" s="577"/>
      <c r="C232" s="723"/>
      <c r="D232" s="723"/>
      <c r="E232" s="723"/>
      <c r="F232" s="578"/>
      <c r="G232" s="578"/>
      <c r="H232" s="578"/>
      <c r="I232" s="578"/>
      <c r="J232" s="578"/>
    </row>
    <row r="233" spans="1:10" ht="16.5">
      <c r="A233" s="555"/>
      <c r="B233" s="577"/>
      <c r="C233" s="723"/>
      <c r="D233" s="723"/>
      <c r="E233" s="723"/>
      <c r="F233" s="578"/>
      <c r="G233" s="578"/>
      <c r="H233" s="578"/>
      <c r="I233" s="578"/>
      <c r="J233" s="578"/>
    </row>
    <row r="234" spans="1:10" ht="16.5">
      <c r="A234" s="555"/>
      <c r="B234" s="577"/>
      <c r="C234" s="723"/>
      <c r="D234" s="723"/>
      <c r="E234" s="723"/>
      <c r="F234" s="578"/>
      <c r="G234" s="578"/>
      <c r="H234" s="578"/>
      <c r="I234" s="578"/>
      <c r="J234" s="578"/>
    </row>
    <row r="235" spans="1:10" ht="16.5">
      <c r="A235" s="555"/>
      <c r="B235" s="577"/>
      <c r="C235" s="723"/>
      <c r="D235" s="723"/>
      <c r="E235" s="723"/>
      <c r="F235" s="578"/>
      <c r="G235" s="578"/>
      <c r="H235" s="578"/>
      <c r="I235" s="578"/>
      <c r="J235" s="578"/>
    </row>
    <row r="236" spans="1:10" ht="16.5">
      <c r="A236" s="555"/>
      <c r="B236" s="577"/>
      <c r="C236" s="723"/>
      <c r="D236" s="723"/>
      <c r="E236" s="723"/>
      <c r="F236" s="578"/>
      <c r="G236" s="578"/>
      <c r="H236" s="578"/>
      <c r="I236" s="578"/>
      <c r="J236" s="578"/>
    </row>
    <row r="237" spans="1:10" ht="16.5">
      <c r="A237" s="555"/>
      <c r="B237" s="577"/>
      <c r="C237" s="723"/>
      <c r="D237" s="723"/>
      <c r="E237" s="723"/>
      <c r="F237" s="578"/>
      <c r="G237" s="578"/>
      <c r="H237" s="578"/>
      <c r="I237" s="578"/>
      <c r="J237" s="578"/>
    </row>
    <row r="238" spans="1:10" ht="16.5">
      <c r="A238" s="555"/>
      <c r="B238" s="577"/>
      <c r="C238" s="723"/>
      <c r="D238" s="723"/>
      <c r="E238" s="723"/>
      <c r="F238" s="578"/>
      <c r="G238" s="578"/>
      <c r="H238" s="578"/>
      <c r="I238" s="578"/>
      <c r="J238" s="578"/>
    </row>
    <row r="239" spans="1:10" ht="16.5">
      <c r="A239" s="555"/>
      <c r="B239" s="577"/>
      <c r="C239" s="723"/>
      <c r="D239" s="723"/>
      <c r="E239" s="723"/>
      <c r="F239" s="578"/>
      <c r="G239" s="578"/>
      <c r="H239" s="578"/>
      <c r="I239" s="578"/>
      <c r="J239" s="578"/>
    </row>
    <row r="240" spans="1:10" ht="16.5">
      <c r="A240" s="555"/>
      <c r="B240" s="577"/>
      <c r="C240" s="723"/>
      <c r="D240" s="723"/>
      <c r="E240" s="723"/>
      <c r="F240" s="578"/>
      <c r="G240" s="578"/>
      <c r="H240" s="578"/>
      <c r="I240" s="578"/>
      <c r="J240" s="578"/>
    </row>
    <row r="241" spans="1:10" ht="16.5">
      <c r="A241" s="555"/>
      <c r="B241" s="577"/>
      <c r="C241" s="723"/>
      <c r="D241" s="723"/>
      <c r="E241" s="723"/>
      <c r="F241" s="578"/>
      <c r="G241" s="578"/>
      <c r="H241" s="578"/>
      <c r="I241" s="578"/>
      <c r="J241" s="578"/>
    </row>
    <row r="242" spans="1:10" ht="16.5">
      <c r="A242" s="555"/>
      <c r="B242" s="577"/>
      <c r="C242" s="723"/>
      <c r="D242" s="723"/>
      <c r="E242" s="723"/>
      <c r="F242" s="578"/>
      <c r="G242" s="578"/>
      <c r="H242" s="578"/>
      <c r="I242" s="578"/>
      <c r="J242" s="578"/>
    </row>
    <row r="243" spans="1:10" ht="16.5">
      <c r="A243" s="555"/>
      <c r="B243" s="577"/>
      <c r="C243" s="723"/>
      <c r="D243" s="723"/>
      <c r="E243" s="723"/>
      <c r="F243" s="578"/>
      <c r="G243" s="578"/>
      <c r="H243" s="578"/>
      <c r="I243" s="578"/>
      <c r="J243" s="578"/>
    </row>
    <row r="244" spans="1:10" ht="16.5">
      <c r="A244" s="555"/>
      <c r="B244" s="577"/>
      <c r="C244" s="723"/>
      <c r="D244" s="723"/>
      <c r="E244" s="723"/>
      <c r="F244" s="578"/>
      <c r="G244" s="578"/>
      <c r="H244" s="578"/>
      <c r="I244" s="578"/>
      <c r="J244" s="578"/>
    </row>
    <row r="245" spans="1:10" ht="16.5">
      <c r="A245" s="555"/>
      <c r="B245" s="577"/>
      <c r="C245" s="723"/>
      <c r="D245" s="723"/>
      <c r="E245" s="723"/>
      <c r="F245" s="578"/>
      <c r="G245" s="578"/>
      <c r="H245" s="578"/>
      <c r="I245" s="578"/>
      <c r="J245" s="578"/>
    </row>
    <row r="246" spans="1:10" ht="16.5">
      <c r="A246" s="555"/>
      <c r="B246" s="577"/>
      <c r="C246" s="723"/>
      <c r="D246" s="723"/>
      <c r="E246" s="723"/>
      <c r="F246" s="578"/>
      <c r="G246" s="578"/>
      <c r="H246" s="578"/>
      <c r="I246" s="578"/>
      <c r="J246" s="578"/>
    </row>
    <row r="247" spans="1:10" ht="16.5">
      <c r="A247" s="555"/>
      <c r="B247" s="577"/>
      <c r="C247" s="723"/>
      <c r="D247" s="723"/>
      <c r="E247" s="723"/>
      <c r="F247" s="578"/>
      <c r="G247" s="578"/>
      <c r="H247" s="578"/>
      <c r="I247" s="578"/>
      <c r="J247" s="578"/>
    </row>
    <row r="248" spans="1:10" ht="16.5">
      <c r="A248" s="555"/>
      <c r="B248" s="577"/>
      <c r="C248" s="723"/>
      <c r="D248" s="723"/>
      <c r="E248" s="723"/>
      <c r="F248" s="578"/>
      <c r="G248" s="578"/>
      <c r="H248" s="578"/>
      <c r="I248" s="578"/>
      <c r="J248" s="578"/>
    </row>
    <row r="249" spans="1:10" ht="16.5">
      <c r="A249" s="555"/>
      <c r="B249" s="577"/>
      <c r="C249" s="723"/>
      <c r="D249" s="723"/>
      <c r="E249" s="723"/>
      <c r="F249" s="578"/>
      <c r="G249" s="578"/>
      <c r="H249" s="578"/>
      <c r="I249" s="578"/>
      <c r="J249" s="578"/>
    </row>
    <row r="250" spans="1:10" ht="16.5">
      <c r="A250" s="555"/>
      <c r="B250" s="577"/>
      <c r="C250" s="723"/>
      <c r="D250" s="723"/>
      <c r="E250" s="723"/>
      <c r="F250" s="578"/>
      <c r="G250" s="578"/>
      <c r="H250" s="578"/>
      <c r="I250" s="578"/>
      <c r="J250" s="578"/>
    </row>
    <row r="251" spans="1:10" ht="16.5">
      <c r="A251" s="555"/>
      <c r="B251" s="577"/>
      <c r="C251" s="723"/>
      <c r="D251" s="723"/>
      <c r="E251" s="723"/>
      <c r="F251" s="578"/>
      <c r="G251" s="578"/>
      <c r="H251" s="578"/>
      <c r="I251" s="578"/>
      <c r="J251" s="578"/>
    </row>
    <row r="252" spans="1:10" ht="16.5">
      <c r="A252" s="555"/>
      <c r="B252" s="577"/>
      <c r="C252" s="723"/>
      <c r="D252" s="723"/>
      <c r="E252" s="723"/>
      <c r="F252" s="578"/>
      <c r="G252" s="578"/>
      <c r="H252" s="578"/>
      <c r="I252" s="578"/>
      <c r="J252" s="578"/>
    </row>
    <row r="253" spans="1:10" ht="16.5">
      <c r="A253" s="555"/>
      <c r="B253" s="577"/>
      <c r="C253" s="723"/>
      <c r="D253" s="723"/>
      <c r="E253" s="723"/>
      <c r="F253" s="578"/>
      <c r="G253" s="578"/>
      <c r="H253" s="578"/>
      <c r="I253" s="578"/>
      <c r="J253" s="578"/>
    </row>
    <row r="254" spans="1:10" ht="16.5">
      <c r="A254" s="555"/>
      <c r="B254" s="577"/>
      <c r="C254" s="723"/>
      <c r="D254" s="723"/>
      <c r="E254" s="723"/>
      <c r="F254" s="578"/>
      <c r="G254" s="578"/>
      <c r="H254" s="578"/>
      <c r="I254" s="578"/>
      <c r="J254" s="578"/>
    </row>
    <row r="255" spans="1:10" ht="16.5">
      <c r="A255" s="555"/>
      <c r="B255" s="577"/>
      <c r="C255" s="723"/>
      <c r="D255" s="723"/>
      <c r="E255" s="723"/>
      <c r="F255" s="578"/>
      <c r="G255" s="578"/>
      <c r="H255" s="578"/>
      <c r="I255" s="578"/>
      <c r="J255" s="578"/>
    </row>
    <row r="256" spans="1:10" ht="16.5">
      <c r="A256" s="555"/>
      <c r="B256" s="577"/>
      <c r="C256" s="723"/>
      <c r="D256" s="723"/>
      <c r="E256" s="723"/>
      <c r="F256" s="578"/>
      <c r="G256" s="578"/>
      <c r="H256" s="578"/>
      <c r="I256" s="578"/>
      <c r="J256" s="578"/>
    </row>
    <row r="257" spans="1:10" ht="16.5">
      <c r="A257" s="555"/>
      <c r="B257" s="577"/>
      <c r="C257" s="723"/>
      <c r="D257" s="723"/>
      <c r="E257" s="723"/>
      <c r="F257" s="578"/>
      <c r="G257" s="578"/>
      <c r="H257" s="578"/>
      <c r="I257" s="578"/>
      <c r="J257" s="578"/>
    </row>
    <row r="258" spans="1:10" ht="16.5">
      <c r="A258" s="555"/>
      <c r="B258" s="577"/>
      <c r="C258" s="723"/>
      <c r="D258" s="723"/>
      <c r="E258" s="723"/>
      <c r="F258" s="578"/>
      <c r="G258" s="578"/>
      <c r="H258" s="578"/>
      <c r="I258" s="578"/>
      <c r="J258" s="578"/>
    </row>
    <row r="259" spans="1:10" ht="16.5">
      <c r="A259" s="555"/>
      <c r="B259" s="577"/>
      <c r="C259" s="723"/>
      <c r="D259" s="723"/>
      <c r="E259" s="723"/>
      <c r="F259" s="578"/>
      <c r="G259" s="578"/>
      <c r="H259" s="578"/>
      <c r="I259" s="578"/>
      <c r="J259" s="578"/>
    </row>
    <row r="260" spans="1:10" ht="16.5">
      <c r="A260" s="555"/>
      <c r="B260" s="577"/>
      <c r="C260" s="723"/>
      <c r="D260" s="723"/>
      <c r="E260" s="723"/>
      <c r="F260" s="578"/>
      <c r="G260" s="578"/>
      <c r="H260" s="578"/>
      <c r="I260" s="578"/>
      <c r="J260" s="578"/>
    </row>
    <row r="261" spans="1:10" ht="16.5">
      <c r="A261" s="555"/>
      <c r="B261" s="577"/>
      <c r="C261" s="723"/>
      <c r="D261" s="723"/>
      <c r="E261" s="723"/>
      <c r="F261" s="578"/>
      <c r="G261" s="578"/>
      <c r="H261" s="578"/>
      <c r="I261" s="578"/>
      <c r="J261" s="578"/>
    </row>
    <row r="262" spans="1:10" ht="16.5">
      <c r="A262" s="555"/>
      <c r="B262" s="577"/>
      <c r="C262" s="723"/>
      <c r="D262" s="723"/>
      <c r="E262" s="723"/>
      <c r="F262" s="578"/>
      <c r="G262" s="578"/>
      <c r="H262" s="578"/>
      <c r="I262" s="578"/>
      <c r="J262" s="578"/>
    </row>
    <row r="263" spans="1:10" ht="16.5">
      <c r="A263" s="555"/>
      <c r="B263" s="577"/>
      <c r="C263" s="723"/>
      <c r="D263" s="723"/>
      <c r="E263" s="723"/>
      <c r="F263" s="578"/>
      <c r="G263" s="578"/>
      <c r="H263" s="578"/>
      <c r="I263" s="578"/>
      <c r="J263" s="578"/>
    </row>
    <row r="264" spans="1:10" ht="16.5">
      <c r="A264" s="555"/>
      <c r="B264" s="577"/>
      <c r="C264" s="723"/>
      <c r="D264" s="723"/>
      <c r="E264" s="723"/>
      <c r="F264" s="578"/>
      <c r="G264" s="578"/>
      <c r="H264" s="578"/>
      <c r="I264" s="578"/>
      <c r="J264" s="578"/>
    </row>
    <row r="265" spans="1:10" ht="16.5">
      <c r="A265" s="555"/>
      <c r="B265" s="577"/>
      <c r="C265" s="723"/>
      <c r="D265" s="723"/>
      <c r="E265" s="723"/>
      <c r="F265" s="578"/>
      <c r="G265" s="578"/>
      <c r="H265" s="578"/>
      <c r="I265" s="578"/>
      <c r="J265" s="578"/>
    </row>
    <row r="266" spans="1:10" ht="16.5">
      <c r="A266" s="555"/>
      <c r="B266" s="577"/>
      <c r="C266" s="723"/>
      <c r="D266" s="723"/>
      <c r="E266" s="723"/>
      <c r="F266" s="578"/>
      <c r="G266" s="578"/>
      <c r="H266" s="578"/>
      <c r="I266" s="578"/>
      <c r="J266" s="578"/>
    </row>
    <row r="267" spans="1:10" ht="16.5">
      <c r="A267" s="555"/>
      <c r="B267" s="577"/>
      <c r="C267" s="723"/>
      <c r="D267" s="723"/>
      <c r="E267" s="723"/>
      <c r="F267" s="578"/>
      <c r="G267" s="578"/>
      <c r="H267" s="578"/>
      <c r="I267" s="578"/>
      <c r="J267" s="578"/>
    </row>
    <row r="268" spans="1:10" ht="16.5">
      <c r="A268" s="555"/>
      <c r="B268" s="577"/>
      <c r="C268" s="723"/>
      <c r="D268" s="723"/>
      <c r="E268" s="723"/>
      <c r="F268" s="578"/>
      <c r="G268" s="578"/>
      <c r="H268" s="578"/>
      <c r="I268" s="578"/>
      <c r="J268" s="578"/>
    </row>
    <row r="269" spans="1:10" ht="16.5">
      <c r="A269" s="555"/>
      <c r="B269" s="577"/>
      <c r="C269" s="723"/>
      <c r="D269" s="723"/>
      <c r="E269" s="723"/>
      <c r="F269" s="578"/>
      <c r="G269" s="578"/>
      <c r="H269" s="578"/>
      <c r="I269" s="578"/>
      <c r="J269" s="578"/>
    </row>
    <row r="270" spans="1:10" ht="16.5">
      <c r="A270" s="555"/>
      <c r="B270" s="577"/>
      <c r="C270" s="723"/>
      <c r="D270" s="723"/>
      <c r="E270" s="723"/>
      <c r="F270" s="578"/>
      <c r="G270" s="578"/>
      <c r="H270" s="578"/>
      <c r="I270" s="578"/>
      <c r="J270" s="578"/>
    </row>
    <row r="271" spans="1:10" ht="16.5">
      <c r="A271" s="555"/>
      <c r="B271" s="577"/>
      <c r="C271" s="723"/>
      <c r="D271" s="723"/>
      <c r="E271" s="723"/>
      <c r="F271" s="578"/>
      <c r="G271" s="578"/>
      <c r="H271" s="578"/>
      <c r="I271" s="578"/>
      <c r="J271" s="578"/>
    </row>
    <row r="272" spans="1:10" ht="16.5">
      <c r="A272" s="555"/>
      <c r="B272" s="577"/>
      <c r="C272" s="723"/>
      <c r="D272" s="723"/>
      <c r="E272" s="723"/>
      <c r="F272" s="578"/>
      <c r="G272" s="578"/>
      <c r="H272" s="578"/>
      <c r="I272" s="578"/>
      <c r="J272" s="578"/>
    </row>
    <row r="273" spans="1:10" ht="16.5">
      <c r="A273" s="555"/>
      <c r="B273" s="577"/>
      <c r="C273" s="723"/>
      <c r="D273" s="723"/>
      <c r="E273" s="723"/>
      <c r="F273" s="578"/>
      <c r="G273" s="578"/>
      <c r="H273" s="578"/>
      <c r="I273" s="578"/>
      <c r="J273" s="578"/>
    </row>
    <row r="274" spans="1:10" ht="16.5">
      <c r="A274" s="555"/>
      <c r="B274" s="577"/>
      <c r="C274" s="723"/>
      <c r="D274" s="723"/>
      <c r="E274" s="723"/>
      <c r="F274" s="578"/>
      <c r="G274" s="578"/>
      <c r="H274" s="578"/>
      <c r="I274" s="578"/>
      <c r="J274" s="578"/>
    </row>
    <row r="275" spans="1:10" ht="16.5">
      <c r="A275" s="555"/>
      <c r="B275" s="577"/>
      <c r="C275" s="723"/>
      <c r="D275" s="723"/>
      <c r="E275" s="723"/>
      <c r="F275" s="578"/>
      <c r="G275" s="578"/>
      <c r="H275" s="578"/>
      <c r="I275" s="578"/>
      <c r="J275" s="578"/>
    </row>
    <row r="276" spans="1:10" ht="16.5">
      <c r="A276" s="555"/>
      <c r="B276" s="577"/>
      <c r="C276" s="723"/>
      <c r="D276" s="723"/>
      <c r="E276" s="723"/>
      <c r="F276" s="578"/>
      <c r="G276" s="578"/>
      <c r="H276" s="578"/>
      <c r="I276" s="578"/>
      <c r="J276" s="578"/>
    </row>
    <row r="277" spans="1:10" ht="16.5">
      <c r="A277" s="555"/>
      <c r="B277" s="577"/>
      <c r="C277" s="723"/>
      <c r="D277" s="723"/>
      <c r="E277" s="723"/>
      <c r="F277" s="578"/>
      <c r="G277" s="578"/>
      <c r="H277" s="578"/>
      <c r="I277" s="578"/>
      <c r="J277" s="578"/>
    </row>
    <row r="278" spans="1:10" ht="16.5">
      <c r="A278" s="555"/>
      <c r="B278" s="577"/>
      <c r="C278" s="723"/>
      <c r="D278" s="723"/>
      <c r="E278" s="723"/>
      <c r="F278" s="578"/>
      <c r="G278" s="578"/>
      <c r="H278" s="578"/>
      <c r="I278" s="578"/>
      <c r="J278" s="578"/>
    </row>
    <row r="279" spans="1:10" ht="16.5">
      <c r="A279" s="555"/>
      <c r="B279" s="577"/>
      <c r="C279" s="723"/>
      <c r="D279" s="723"/>
      <c r="E279" s="723"/>
      <c r="F279" s="578"/>
      <c r="G279" s="578"/>
      <c r="H279" s="578"/>
      <c r="I279" s="578"/>
      <c r="J279" s="578"/>
    </row>
    <row r="280" spans="1:10" ht="16.5">
      <c r="A280" s="555"/>
      <c r="B280" s="577"/>
      <c r="C280" s="723"/>
      <c r="D280" s="723"/>
      <c r="E280" s="723"/>
      <c r="F280" s="578"/>
      <c r="G280" s="578"/>
      <c r="H280" s="578"/>
      <c r="I280" s="578"/>
      <c r="J280" s="578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5"/>
  <sheetViews>
    <sheetView workbookViewId="0"/>
  </sheetViews>
  <sheetFormatPr defaultRowHeight="15"/>
  <sheetData>
    <row r="1" spans="1:12" ht="33">
      <c r="A1" s="360"/>
      <c r="B1" s="390" t="s">
        <v>817</v>
      </c>
      <c r="D1" s="362"/>
      <c r="E1" s="362"/>
      <c r="G1" s="1142"/>
      <c r="H1" s="1142"/>
      <c r="I1" s="1048"/>
      <c r="J1" s="1048"/>
    </row>
    <row r="2" spans="1:12" ht="231">
      <c r="A2" s="1051" t="s">
        <v>609</v>
      </c>
      <c r="B2" s="1052"/>
      <c r="C2" s="1052"/>
      <c r="D2" s="1052"/>
      <c r="E2" s="1052"/>
      <c r="F2" s="1052"/>
      <c r="G2" s="1052"/>
      <c r="H2" s="1052"/>
      <c r="I2" s="1052"/>
      <c r="J2" s="1052"/>
    </row>
    <row r="3" spans="1:12" ht="264">
      <c r="A3" s="1055" t="s">
        <v>816</v>
      </c>
      <c r="B3" s="1055"/>
      <c r="C3" s="1055"/>
      <c r="D3" s="1055"/>
      <c r="E3" s="1055"/>
      <c r="F3" s="1055"/>
      <c r="G3" s="1055"/>
      <c r="H3" s="1055"/>
      <c r="I3" s="1055"/>
      <c r="J3" s="1055"/>
    </row>
    <row r="4" spans="1:12" ht="16.5">
      <c r="A4" s="591"/>
      <c r="B4" s="437"/>
      <c r="C4" s="438"/>
      <c r="D4" s="591"/>
      <c r="E4" s="591"/>
      <c r="F4" s="363"/>
      <c r="G4" s="363"/>
      <c r="H4" s="363"/>
      <c r="I4" s="363"/>
      <c r="J4" s="363"/>
    </row>
    <row r="5" spans="1:12" ht="99">
      <c r="A5" s="1053" t="s">
        <v>0</v>
      </c>
      <c r="B5" s="1053" t="s">
        <v>287</v>
      </c>
      <c r="C5" s="1053" t="s">
        <v>184</v>
      </c>
      <c r="D5" s="1049" t="s">
        <v>611</v>
      </c>
      <c r="E5" s="1049" t="s">
        <v>602</v>
      </c>
      <c r="F5" s="1056" t="s">
        <v>769</v>
      </c>
      <c r="G5" s="1057"/>
      <c r="H5" s="1057"/>
      <c r="I5" s="1057"/>
      <c r="J5" s="1058"/>
    </row>
    <row r="6" spans="1:12" ht="66">
      <c r="A6" s="1054"/>
      <c r="B6" s="1054"/>
      <c r="C6" s="1054"/>
      <c r="D6" s="1049"/>
      <c r="E6" s="1049"/>
      <c r="F6" s="332" t="s">
        <v>770</v>
      </c>
      <c r="G6" s="332" t="s">
        <v>771</v>
      </c>
      <c r="H6" s="332" t="s">
        <v>772</v>
      </c>
      <c r="I6" s="332" t="s">
        <v>773</v>
      </c>
      <c r="J6" s="332" t="s">
        <v>774</v>
      </c>
    </row>
    <row r="7" spans="1:12" ht="82.5">
      <c r="A7" s="368" t="s">
        <v>101</v>
      </c>
      <c r="B7" s="369" t="s">
        <v>340</v>
      </c>
      <c r="C7" s="370" t="s">
        <v>5</v>
      </c>
      <c r="D7" s="371"/>
      <c r="E7" s="371"/>
      <c r="F7" s="371"/>
      <c r="G7" s="371"/>
      <c r="H7" s="371"/>
      <c r="I7" s="371"/>
      <c r="J7" s="371"/>
    </row>
    <row r="8" spans="1:12" ht="49.5">
      <c r="A8" s="368" t="s">
        <v>102</v>
      </c>
      <c r="B8" s="369" t="s">
        <v>341</v>
      </c>
      <c r="C8" s="370" t="s">
        <v>342</v>
      </c>
      <c r="D8" s="371"/>
      <c r="E8" s="371"/>
      <c r="F8" s="373"/>
      <c r="G8" s="373"/>
      <c r="H8" s="373"/>
      <c r="I8" s="373"/>
      <c r="J8" s="373"/>
    </row>
    <row r="9" spans="1:12" ht="49.5">
      <c r="A9" s="368" t="s">
        <v>115</v>
      </c>
      <c r="B9" s="375" t="s">
        <v>343</v>
      </c>
      <c r="C9" s="366"/>
      <c r="D9" s="724"/>
      <c r="E9" s="724"/>
      <c r="F9" s="373"/>
      <c r="G9" s="725"/>
      <c r="H9" s="725"/>
      <c r="I9" s="725"/>
      <c r="J9" s="725"/>
    </row>
    <row r="10" spans="1:12" ht="49.5">
      <c r="A10" s="376">
        <v>1</v>
      </c>
      <c r="B10" s="377" t="s">
        <v>743</v>
      </c>
      <c r="C10" s="370" t="s">
        <v>354</v>
      </c>
      <c r="D10" s="933">
        <v>118883.19</v>
      </c>
      <c r="E10" s="933">
        <f>SUM(F10:J10)</f>
        <v>137283.03999999998</v>
      </c>
      <c r="F10" s="933">
        <v>26916.11</v>
      </c>
      <c r="G10" s="933">
        <v>27021.84</v>
      </c>
      <c r="H10" s="933">
        <v>27462.14</v>
      </c>
      <c r="I10" s="933">
        <v>27798.65</v>
      </c>
      <c r="J10" s="932">
        <v>28084.3</v>
      </c>
      <c r="K10" s="378"/>
    </row>
    <row r="11" spans="1:12" ht="49.5">
      <c r="A11" s="376"/>
      <c r="B11" s="377" t="s">
        <v>345</v>
      </c>
      <c r="C11" s="370" t="s">
        <v>354</v>
      </c>
      <c r="D11" s="933">
        <v>68689.34</v>
      </c>
      <c r="E11" s="933">
        <f>SUM(F11:J11)</f>
        <v>76389.09</v>
      </c>
      <c r="F11" s="933">
        <v>15060.49</v>
      </c>
      <c r="G11" s="932">
        <v>15115.2</v>
      </c>
      <c r="H11" s="932">
        <v>15271.2</v>
      </c>
      <c r="I11" s="932">
        <v>15404.2</v>
      </c>
      <c r="J11" s="871">
        <v>15538</v>
      </c>
      <c r="K11" s="380"/>
    </row>
    <row r="12" spans="1:12" ht="33">
      <c r="A12" s="376"/>
      <c r="B12" s="377" t="s">
        <v>346</v>
      </c>
      <c r="C12" s="370" t="s">
        <v>354</v>
      </c>
      <c r="D12" s="933">
        <f t="shared" ref="D12:J12" si="0">D10-D11</f>
        <v>50193.850000000006</v>
      </c>
      <c r="E12" s="933">
        <f t="shared" si="0"/>
        <v>60893.949999999983</v>
      </c>
      <c r="F12" s="933">
        <f t="shared" si="0"/>
        <v>11855.62</v>
      </c>
      <c r="G12" s="933">
        <f t="shared" si="0"/>
        <v>11906.64</v>
      </c>
      <c r="H12" s="933">
        <f t="shared" si="0"/>
        <v>12190.939999999999</v>
      </c>
      <c r="I12" s="933">
        <f t="shared" si="0"/>
        <v>12394.45</v>
      </c>
      <c r="J12" s="932">
        <f t="shared" si="0"/>
        <v>12546.3</v>
      </c>
      <c r="K12" s="378"/>
    </row>
    <row r="13" spans="1:12" ht="33">
      <c r="A13" s="376"/>
      <c r="B13" s="377" t="s">
        <v>347</v>
      </c>
      <c r="C13" s="370" t="s">
        <v>354</v>
      </c>
      <c r="D13" s="731"/>
      <c r="E13" s="731"/>
      <c r="F13" s="732"/>
      <c r="G13" s="732"/>
      <c r="H13" s="732"/>
      <c r="I13" s="732"/>
      <c r="J13" s="732"/>
      <c r="K13" s="378"/>
    </row>
    <row r="14" spans="1:12" ht="33">
      <c r="A14" s="376"/>
      <c r="B14" s="377" t="s">
        <v>348</v>
      </c>
      <c r="C14" s="370" t="s">
        <v>682</v>
      </c>
      <c r="D14" s="733"/>
      <c r="E14" s="733"/>
      <c r="F14" s="734"/>
      <c r="G14" s="734"/>
      <c r="H14" s="734"/>
      <c r="I14" s="734"/>
      <c r="J14" s="734"/>
      <c r="K14" s="378"/>
    </row>
    <row r="15" spans="1:12" ht="33">
      <c r="A15" s="376"/>
      <c r="B15" s="377" t="s">
        <v>521</v>
      </c>
      <c r="C15" s="370" t="s">
        <v>682</v>
      </c>
      <c r="D15" s="733"/>
      <c r="E15" s="733"/>
      <c r="F15" s="734"/>
      <c r="G15" s="734"/>
      <c r="H15" s="935"/>
      <c r="I15" s="935"/>
      <c r="J15" s="935"/>
      <c r="K15" s="453"/>
      <c r="L15" s="374"/>
    </row>
    <row r="16" spans="1:12" ht="49.5">
      <c r="A16" s="376">
        <v>2</v>
      </c>
      <c r="B16" s="377" t="s">
        <v>700</v>
      </c>
      <c r="C16" s="370" t="s">
        <v>699</v>
      </c>
      <c r="D16" s="871">
        <v>82615</v>
      </c>
      <c r="E16" s="871">
        <f>J16</f>
        <v>103545</v>
      </c>
      <c r="F16" s="871">
        <v>88863</v>
      </c>
      <c r="G16" s="871">
        <v>92363</v>
      </c>
      <c r="H16" s="871">
        <v>95956</v>
      </c>
      <c r="I16" s="871">
        <v>99690</v>
      </c>
      <c r="J16" s="871">
        <v>103545</v>
      </c>
      <c r="K16" s="453"/>
      <c r="L16" s="374"/>
    </row>
    <row r="17" spans="1:12" ht="49.5">
      <c r="A17" s="376">
        <v>3</v>
      </c>
      <c r="B17" s="377" t="s">
        <v>701</v>
      </c>
      <c r="C17" s="370" t="s">
        <v>699</v>
      </c>
      <c r="D17" s="871">
        <v>254810</v>
      </c>
      <c r="E17" s="871">
        <f>J17</f>
        <v>324095</v>
      </c>
      <c r="F17" s="871">
        <v>266634</v>
      </c>
      <c r="G17" s="871">
        <v>279966</v>
      </c>
      <c r="H17" s="871">
        <v>293964</v>
      </c>
      <c r="I17" s="871">
        <v>308662</v>
      </c>
      <c r="J17" s="871">
        <v>324095</v>
      </c>
      <c r="K17" s="453"/>
      <c r="L17" s="374"/>
    </row>
    <row r="18" spans="1:12" ht="49.5">
      <c r="A18" s="376"/>
      <c r="B18" s="381" t="s">
        <v>349</v>
      </c>
      <c r="C18" s="370" t="s">
        <v>682</v>
      </c>
      <c r="D18" s="382"/>
      <c r="E18" s="382"/>
      <c r="F18" s="382"/>
      <c r="G18" s="382"/>
      <c r="H18" s="382"/>
      <c r="I18" s="382"/>
      <c r="J18" s="382"/>
    </row>
    <row r="19" spans="1:12" ht="49.5">
      <c r="A19" s="376">
        <v>4</v>
      </c>
      <c r="B19" s="381" t="s">
        <v>744</v>
      </c>
      <c r="C19" s="370" t="s">
        <v>682</v>
      </c>
      <c r="D19" s="934">
        <v>204.34</v>
      </c>
      <c r="E19" s="382"/>
      <c r="F19" s="382"/>
      <c r="G19" s="382"/>
      <c r="H19" s="382"/>
      <c r="I19" s="382"/>
      <c r="J19" s="382"/>
    </row>
    <row r="20" spans="1:12" ht="49.5">
      <c r="A20" s="376">
        <v>4</v>
      </c>
      <c r="B20" s="381" t="s">
        <v>90</v>
      </c>
      <c r="C20" s="370" t="s">
        <v>301</v>
      </c>
      <c r="D20" s="871">
        <v>38</v>
      </c>
      <c r="E20" s="871">
        <v>40</v>
      </c>
      <c r="F20" s="932">
        <v>38.4</v>
      </c>
      <c r="G20" s="932">
        <v>38.799999999999997</v>
      </c>
      <c r="H20" s="932">
        <v>39.200000000000003</v>
      </c>
      <c r="I20" s="932">
        <v>39.6</v>
      </c>
      <c r="J20" s="871">
        <v>40</v>
      </c>
    </row>
    <row r="21" spans="1:12" ht="49.5">
      <c r="A21" s="376">
        <v>5</v>
      </c>
      <c r="B21" s="381" t="s">
        <v>749</v>
      </c>
      <c r="C21" s="370" t="s">
        <v>354</v>
      </c>
      <c r="D21" s="933">
        <v>423.88</v>
      </c>
      <c r="E21" s="871">
        <f>SUM(F21:J21)</f>
        <v>842</v>
      </c>
      <c r="F21" s="871">
        <f>F22+F23</f>
        <v>165</v>
      </c>
      <c r="G21" s="871">
        <f>G22+G23</f>
        <v>167</v>
      </c>
      <c r="H21" s="871">
        <f>H22+H23</f>
        <v>169</v>
      </c>
      <c r="I21" s="871">
        <f>I22+I23</f>
        <v>170</v>
      </c>
      <c r="J21" s="871">
        <f>J22+J23</f>
        <v>171</v>
      </c>
    </row>
    <row r="22" spans="1:12" ht="37.5">
      <c r="A22" s="962" t="s">
        <v>284</v>
      </c>
      <c r="B22" s="921" t="s">
        <v>747</v>
      </c>
      <c r="C22" s="370" t="s">
        <v>354</v>
      </c>
      <c r="D22" s="933">
        <v>211.98</v>
      </c>
      <c r="E22" s="871">
        <f>SUM(F22:J22)</f>
        <v>467</v>
      </c>
      <c r="F22" s="871">
        <v>90</v>
      </c>
      <c r="G22" s="871">
        <v>92</v>
      </c>
      <c r="H22" s="871">
        <v>94</v>
      </c>
      <c r="I22" s="871">
        <v>95</v>
      </c>
      <c r="J22" s="871">
        <v>96</v>
      </c>
    </row>
    <row r="23" spans="1:12" ht="37.5">
      <c r="A23" s="962" t="s">
        <v>284</v>
      </c>
      <c r="B23" s="921" t="s">
        <v>775</v>
      </c>
      <c r="C23" s="370" t="s">
        <v>354</v>
      </c>
      <c r="D23" s="932">
        <f>D21-D22</f>
        <v>211.9</v>
      </c>
      <c r="E23" s="871">
        <f>SUM(F23:J23)</f>
        <v>375</v>
      </c>
      <c r="F23" s="871">
        <v>75</v>
      </c>
      <c r="G23" s="871">
        <v>75</v>
      </c>
      <c r="H23" s="871">
        <v>75</v>
      </c>
      <c r="I23" s="871">
        <v>75</v>
      </c>
      <c r="J23" s="871">
        <v>75</v>
      </c>
    </row>
    <row r="24" spans="1:12" ht="82.5">
      <c r="A24" s="376">
        <v>6</v>
      </c>
      <c r="B24" s="381" t="s">
        <v>750</v>
      </c>
      <c r="C24" s="370" t="s">
        <v>682</v>
      </c>
      <c r="D24" s="871">
        <v>70</v>
      </c>
      <c r="E24" s="871">
        <v>80</v>
      </c>
      <c r="F24" s="871">
        <v>70</v>
      </c>
      <c r="G24" s="871">
        <v>72</v>
      </c>
      <c r="H24" s="871">
        <v>75</v>
      </c>
      <c r="I24" s="871">
        <v>78</v>
      </c>
      <c r="J24" s="871">
        <v>80</v>
      </c>
    </row>
    <row r="25" spans="1:12" ht="16.5">
      <c r="A25" s="383"/>
      <c r="B25" s="384"/>
      <c r="C25" s="364"/>
      <c r="D25" s="385"/>
      <c r="E25" s="385"/>
      <c r="F25" s="386"/>
      <c r="G25" s="386"/>
      <c r="H25" s="386"/>
      <c r="I25" s="386"/>
      <c r="J25" s="386"/>
    </row>
    <row r="26" spans="1:12" ht="16.5">
      <c r="A26" s="383"/>
      <c r="B26" s="387"/>
      <c r="C26" s="364"/>
      <c r="D26" s="385"/>
      <c r="E26" s="385"/>
      <c r="F26" s="388"/>
      <c r="G26" s="386"/>
      <c r="H26" s="386"/>
      <c r="I26" s="386"/>
      <c r="J26" s="386"/>
      <c r="K26" s="378"/>
    </row>
    <row r="27" spans="1:12" ht="16.5">
      <c r="A27" s="383"/>
      <c r="B27" s="384"/>
      <c r="C27" s="364"/>
      <c r="D27" s="383"/>
      <c r="E27" s="383"/>
      <c r="F27" s="389"/>
      <c r="G27" s="389"/>
      <c r="H27" s="389"/>
      <c r="I27" s="389"/>
      <c r="J27" s="851"/>
    </row>
    <row r="28" spans="1:12" ht="16.5">
      <c r="A28" s="383"/>
      <c r="B28" s="384"/>
      <c r="C28" s="364"/>
      <c r="D28" s="383"/>
      <c r="E28" s="383"/>
      <c r="F28" s="389"/>
      <c r="G28" s="389"/>
      <c r="H28" s="389"/>
      <c r="I28" s="389"/>
      <c r="J28" s="389"/>
    </row>
    <row r="29" spans="1:12" ht="16.5">
      <c r="A29" s="383"/>
      <c r="B29" s="384"/>
      <c r="C29" s="364"/>
      <c r="D29" s="383"/>
      <c r="E29" s="383"/>
      <c r="F29" s="389"/>
      <c r="G29" s="389"/>
      <c r="H29" s="389"/>
      <c r="I29" s="389"/>
      <c r="J29" s="389"/>
    </row>
    <row r="30" spans="1:12" ht="16.5">
      <c r="A30" s="383"/>
      <c r="B30" s="384"/>
      <c r="C30" s="364"/>
      <c r="D30" s="383"/>
      <c r="E30" s="383"/>
      <c r="F30" s="389"/>
      <c r="G30" s="389"/>
      <c r="H30" s="389"/>
      <c r="I30" s="389"/>
      <c r="J30" s="389"/>
    </row>
    <row r="31" spans="1:12" ht="16.5">
      <c r="A31" s="383"/>
      <c r="B31" s="384"/>
      <c r="C31" s="364"/>
      <c r="D31" s="383"/>
      <c r="E31" s="383"/>
      <c r="F31" s="389"/>
      <c r="G31" s="389"/>
      <c r="H31" s="389"/>
      <c r="I31" s="389"/>
      <c r="J31" s="389"/>
    </row>
    <row r="32" spans="1:12" ht="16.5">
      <c r="A32" s="383"/>
      <c r="B32" s="384"/>
      <c r="C32" s="364"/>
      <c r="D32" s="383"/>
      <c r="E32" s="383"/>
      <c r="F32" s="365"/>
      <c r="G32" s="365"/>
      <c r="H32" s="365"/>
      <c r="I32" s="365"/>
      <c r="J32" s="365"/>
    </row>
    <row r="33" spans="1:10" ht="18.75">
      <c r="A33" s="383"/>
      <c r="B33" s="384"/>
      <c r="C33" s="726"/>
      <c r="D33" s="383"/>
      <c r="E33" s="383"/>
      <c r="F33" s="365"/>
      <c r="G33" s="365"/>
      <c r="H33" s="365"/>
      <c r="I33" s="365"/>
      <c r="J33" s="365"/>
    </row>
    <row r="34" spans="1:10" ht="18.75">
      <c r="A34" s="383"/>
      <c r="B34" s="384"/>
      <c r="C34" s="727"/>
      <c r="D34" s="383"/>
      <c r="E34" s="383"/>
      <c r="F34" s="365"/>
      <c r="G34" s="365"/>
      <c r="H34" s="365"/>
      <c r="I34" s="365"/>
      <c r="J34" s="365"/>
    </row>
    <row r="35" spans="1:10" ht="18.75">
      <c r="A35" s="383"/>
      <c r="B35" s="384"/>
      <c r="C35" s="727"/>
      <c r="D35" s="383"/>
      <c r="E35" s="383"/>
      <c r="F35" s="365"/>
      <c r="G35" s="365"/>
      <c r="H35" s="365"/>
      <c r="I35" s="365"/>
      <c r="J35" s="365"/>
    </row>
    <row r="36" spans="1:10" ht="16.5">
      <c r="A36" s="383"/>
      <c r="B36" s="384"/>
      <c r="C36" s="728"/>
      <c r="D36" s="383"/>
      <c r="E36" s="383"/>
      <c r="F36" s="365"/>
      <c r="G36" s="365"/>
      <c r="H36" s="365"/>
      <c r="I36" s="365"/>
      <c r="J36" s="365"/>
    </row>
    <row r="37" spans="1:10" ht="16.5">
      <c r="A37" s="383"/>
      <c r="B37" s="384"/>
      <c r="C37" s="728"/>
      <c r="D37" s="383"/>
      <c r="E37" s="383"/>
      <c r="F37" s="365"/>
      <c r="G37" s="365"/>
      <c r="H37" s="365"/>
      <c r="I37" s="365"/>
      <c r="J37" s="365"/>
    </row>
    <row r="38" spans="1:10" ht="16.5">
      <c r="A38" s="383"/>
      <c r="B38" s="384"/>
      <c r="C38" s="728"/>
      <c r="D38" s="383"/>
      <c r="E38" s="383"/>
      <c r="F38" s="365"/>
      <c r="G38" s="365"/>
      <c r="H38" s="365"/>
      <c r="I38" s="365"/>
      <c r="J38" s="365"/>
    </row>
    <row r="39" spans="1:10" ht="16.5">
      <c r="A39" s="383"/>
      <c r="B39" s="384"/>
      <c r="C39" s="536"/>
      <c r="D39" s="383"/>
      <c r="E39" s="383"/>
      <c r="F39" s="365"/>
      <c r="G39" s="365"/>
      <c r="H39" s="365"/>
      <c r="I39" s="365"/>
      <c r="J39" s="365"/>
    </row>
    <row r="40" spans="1:10" ht="16.5">
      <c r="A40" s="383"/>
      <c r="B40" s="384"/>
      <c r="C40" s="364"/>
      <c r="D40" s="383"/>
      <c r="E40" s="383"/>
      <c r="F40" s="365"/>
      <c r="G40" s="365"/>
      <c r="H40" s="365"/>
      <c r="I40" s="365"/>
      <c r="J40" s="365"/>
    </row>
    <row r="41" spans="1:10" ht="16.5">
      <c r="A41" s="383"/>
      <c r="B41" s="384"/>
      <c r="C41" s="364"/>
      <c r="D41" s="383"/>
      <c r="E41" s="383"/>
      <c r="F41" s="365"/>
      <c r="G41" s="365"/>
      <c r="H41" s="365"/>
      <c r="I41" s="365"/>
      <c r="J41" s="365"/>
    </row>
    <row r="42" spans="1:10" ht="16.5">
      <c r="A42" s="383"/>
      <c r="B42" s="384"/>
      <c r="C42" s="364"/>
      <c r="D42" s="383"/>
      <c r="E42" s="383"/>
      <c r="F42" s="365"/>
      <c r="G42" s="365"/>
      <c r="H42" s="365"/>
      <c r="I42" s="365"/>
      <c r="J42" s="365"/>
    </row>
    <row r="43" spans="1:10" ht="16.5">
      <c r="A43" s="383"/>
      <c r="B43" s="384"/>
      <c r="C43" s="364"/>
      <c r="D43" s="383"/>
      <c r="E43" s="383"/>
      <c r="F43" s="365"/>
      <c r="G43" s="365"/>
      <c r="H43" s="365"/>
      <c r="I43" s="365"/>
      <c r="J43" s="365"/>
    </row>
    <row r="44" spans="1:10" ht="16.5">
      <c r="A44" s="383"/>
      <c r="B44" s="384"/>
      <c r="C44" s="364"/>
      <c r="D44" s="383"/>
      <c r="E44" s="383"/>
      <c r="F44" s="365"/>
      <c r="G44" s="365"/>
      <c r="H44" s="365"/>
      <c r="I44" s="365"/>
      <c r="J44" s="365"/>
    </row>
    <row r="45" spans="1:10" ht="16.5">
      <c r="A45" s="383"/>
      <c r="B45" s="384"/>
      <c r="C45" s="364"/>
      <c r="D45" s="383"/>
      <c r="E45" s="383"/>
      <c r="F45" s="365"/>
      <c r="G45" s="365"/>
      <c r="H45" s="365"/>
      <c r="I45" s="365"/>
      <c r="J45" s="365"/>
    </row>
    <row r="46" spans="1:10" ht="16.5">
      <c r="A46" s="383"/>
      <c r="B46" s="384"/>
      <c r="C46" s="364"/>
      <c r="D46" s="383"/>
      <c r="E46" s="383"/>
      <c r="F46" s="365"/>
      <c r="G46" s="365"/>
      <c r="H46" s="365"/>
      <c r="I46" s="365"/>
      <c r="J46" s="365"/>
    </row>
    <row r="47" spans="1:10" ht="16.5">
      <c r="A47" s="383"/>
      <c r="B47" s="384"/>
      <c r="C47" s="364"/>
      <c r="D47" s="383"/>
      <c r="E47" s="383"/>
      <c r="F47" s="365"/>
      <c r="G47" s="365"/>
      <c r="H47" s="365"/>
      <c r="I47" s="365"/>
      <c r="J47" s="365"/>
    </row>
    <row r="48" spans="1:10" ht="16.5">
      <c r="A48" s="383"/>
      <c r="B48" s="384"/>
      <c r="C48" s="364"/>
      <c r="D48" s="383"/>
      <c r="E48" s="383"/>
      <c r="F48" s="365"/>
      <c r="G48" s="365"/>
      <c r="H48" s="365"/>
      <c r="I48" s="365"/>
      <c r="J48" s="365"/>
    </row>
    <row r="49" spans="1:10" ht="16.5">
      <c r="A49" s="383"/>
      <c r="B49" s="384"/>
      <c r="C49" s="364"/>
      <c r="D49" s="383"/>
      <c r="E49" s="383"/>
      <c r="F49" s="365"/>
      <c r="G49" s="365"/>
      <c r="H49" s="365"/>
      <c r="I49" s="365"/>
      <c r="J49" s="365"/>
    </row>
    <row r="50" spans="1:10" ht="16.5">
      <c r="A50" s="383"/>
      <c r="B50" s="384"/>
      <c r="C50" s="364"/>
      <c r="D50" s="383"/>
      <c r="E50" s="383"/>
      <c r="F50" s="365"/>
      <c r="G50" s="365"/>
      <c r="H50" s="365"/>
      <c r="I50" s="365"/>
      <c r="J50" s="365"/>
    </row>
    <row r="51" spans="1:10" ht="16.5">
      <c r="A51" s="383"/>
      <c r="B51" s="384"/>
      <c r="C51" s="364"/>
      <c r="D51" s="383"/>
      <c r="E51" s="383"/>
      <c r="F51" s="365"/>
      <c r="G51" s="365"/>
      <c r="H51" s="365"/>
      <c r="I51" s="365"/>
      <c r="J51" s="365"/>
    </row>
    <row r="52" spans="1:10" ht="16.5">
      <c r="A52" s="383"/>
      <c r="B52" s="384"/>
      <c r="C52" s="364"/>
      <c r="D52" s="383"/>
      <c r="E52" s="383"/>
      <c r="F52" s="365"/>
      <c r="G52" s="365"/>
      <c r="H52" s="365"/>
      <c r="I52" s="365"/>
      <c r="J52" s="365"/>
    </row>
    <row r="53" spans="1:10" ht="16.5">
      <c r="A53" s="383"/>
      <c r="B53" s="384"/>
      <c r="C53" s="364"/>
      <c r="D53" s="383"/>
      <c r="E53" s="383"/>
      <c r="F53" s="365"/>
      <c r="G53" s="365"/>
      <c r="H53" s="365"/>
      <c r="I53" s="365"/>
      <c r="J53" s="365"/>
    </row>
    <row r="54" spans="1:10" ht="16.5">
      <c r="A54" s="383"/>
      <c r="B54" s="384"/>
      <c r="C54" s="364"/>
      <c r="D54" s="383"/>
      <c r="E54" s="383"/>
      <c r="F54" s="365"/>
      <c r="G54" s="365"/>
      <c r="H54" s="365"/>
      <c r="I54" s="365"/>
      <c r="J54" s="365"/>
    </row>
    <row r="55" spans="1:10" ht="16.5">
      <c r="A55" s="383"/>
      <c r="B55" s="384"/>
      <c r="C55" s="364"/>
      <c r="D55" s="383"/>
      <c r="E55" s="383"/>
      <c r="F55" s="365"/>
      <c r="G55" s="365"/>
      <c r="H55" s="365"/>
      <c r="I55" s="365"/>
      <c r="J55" s="365"/>
    </row>
    <row r="56" spans="1:10" ht="16.5">
      <c r="A56" s="383"/>
      <c r="B56" s="384"/>
      <c r="C56" s="364"/>
      <c r="D56" s="383"/>
      <c r="E56" s="383"/>
      <c r="F56" s="365"/>
      <c r="G56" s="365"/>
      <c r="H56" s="365"/>
      <c r="I56" s="365"/>
      <c r="J56" s="365"/>
    </row>
    <row r="57" spans="1:10" ht="16.5">
      <c r="A57" s="383"/>
      <c r="B57" s="384"/>
      <c r="C57" s="364"/>
      <c r="D57" s="383"/>
      <c r="E57" s="383"/>
      <c r="F57" s="365"/>
      <c r="G57" s="365"/>
      <c r="H57" s="365"/>
      <c r="I57" s="365"/>
      <c r="J57" s="365"/>
    </row>
    <row r="58" spans="1:10" ht="16.5">
      <c r="A58" s="383"/>
      <c r="B58" s="384"/>
      <c r="C58" s="364"/>
      <c r="D58" s="383"/>
      <c r="E58" s="383"/>
      <c r="F58" s="365"/>
      <c r="G58" s="365"/>
      <c r="H58" s="365"/>
      <c r="I58" s="365"/>
      <c r="J58" s="365"/>
    </row>
    <row r="59" spans="1:10" ht="16.5">
      <c r="A59" s="383"/>
      <c r="B59" s="384"/>
      <c r="C59" s="364"/>
      <c r="D59" s="383"/>
      <c r="E59" s="383"/>
      <c r="F59" s="365"/>
      <c r="G59" s="365"/>
      <c r="H59" s="365"/>
      <c r="I59" s="365"/>
      <c r="J59" s="365"/>
    </row>
    <row r="60" spans="1:10" ht="16.5">
      <c r="A60" s="383"/>
      <c r="B60" s="384"/>
      <c r="C60" s="364"/>
      <c r="D60" s="383"/>
      <c r="E60" s="383"/>
      <c r="F60" s="365"/>
      <c r="G60" s="365"/>
      <c r="H60" s="365"/>
      <c r="I60" s="365"/>
      <c r="J60" s="365"/>
    </row>
    <row r="61" spans="1:10" ht="16.5">
      <c r="A61" s="383"/>
      <c r="B61" s="384"/>
      <c r="C61" s="364"/>
      <c r="D61" s="383"/>
      <c r="E61" s="383"/>
      <c r="F61" s="365"/>
      <c r="G61" s="365"/>
      <c r="H61" s="365"/>
      <c r="I61" s="365"/>
      <c r="J61" s="365"/>
    </row>
    <row r="62" spans="1:10" ht="16.5">
      <c r="A62" s="383"/>
      <c r="B62" s="384"/>
      <c r="C62" s="364"/>
      <c r="D62" s="383"/>
      <c r="E62" s="383"/>
      <c r="F62" s="365"/>
      <c r="G62" s="365"/>
      <c r="H62" s="365"/>
      <c r="I62" s="365"/>
      <c r="J62" s="365"/>
    </row>
    <row r="63" spans="1:10" ht="16.5">
      <c r="A63" s="383"/>
      <c r="B63" s="384"/>
      <c r="C63" s="364"/>
      <c r="D63" s="383"/>
      <c r="E63" s="383"/>
      <c r="F63" s="365"/>
      <c r="G63" s="365"/>
      <c r="H63" s="365"/>
      <c r="I63" s="365"/>
      <c r="J63" s="365"/>
    </row>
    <row r="64" spans="1:10" ht="16.5">
      <c r="A64" s="383"/>
      <c r="B64" s="384"/>
      <c r="C64" s="364"/>
      <c r="D64" s="383"/>
      <c r="E64" s="383"/>
      <c r="F64" s="365"/>
      <c r="G64" s="365"/>
      <c r="H64" s="365"/>
      <c r="I64" s="365"/>
      <c r="J64" s="365"/>
    </row>
    <row r="65" spans="1:10" ht="16.5">
      <c r="A65" s="383"/>
      <c r="B65" s="384"/>
      <c r="C65" s="364"/>
      <c r="D65" s="383"/>
      <c r="E65" s="383"/>
      <c r="F65" s="365"/>
      <c r="G65" s="365"/>
      <c r="H65" s="365"/>
      <c r="I65" s="365"/>
      <c r="J65" s="365"/>
    </row>
    <row r="66" spans="1:10" ht="16.5">
      <c r="A66" s="383"/>
      <c r="B66" s="384"/>
      <c r="C66" s="364"/>
      <c r="D66" s="383"/>
      <c r="E66" s="383"/>
      <c r="F66" s="365"/>
      <c r="G66" s="365"/>
      <c r="H66" s="365"/>
      <c r="I66" s="365"/>
      <c r="J66" s="365"/>
    </row>
    <row r="67" spans="1:10" ht="16.5">
      <c r="A67" s="383"/>
      <c r="B67" s="384"/>
      <c r="C67" s="364"/>
      <c r="D67" s="383"/>
      <c r="E67" s="383"/>
      <c r="F67" s="365"/>
      <c r="G67" s="365"/>
      <c r="H67" s="365"/>
      <c r="I67" s="365"/>
      <c r="J67" s="365"/>
    </row>
    <row r="68" spans="1:10" ht="16.5">
      <c r="A68" s="383"/>
      <c r="B68" s="384"/>
      <c r="C68" s="364"/>
      <c r="D68" s="383"/>
      <c r="E68" s="383"/>
      <c r="F68" s="365"/>
      <c r="G68" s="365"/>
      <c r="H68" s="365"/>
      <c r="I68" s="365"/>
      <c r="J68" s="365"/>
    </row>
    <row r="69" spans="1:10" ht="16.5">
      <c r="A69" s="383"/>
      <c r="B69" s="384"/>
      <c r="C69" s="364"/>
      <c r="D69" s="383"/>
      <c r="E69" s="383"/>
      <c r="F69" s="365"/>
      <c r="G69" s="365"/>
      <c r="H69" s="365"/>
      <c r="I69" s="365"/>
      <c r="J69" s="365"/>
    </row>
    <row r="70" spans="1:10" ht="16.5">
      <c r="A70" s="383"/>
      <c r="B70" s="384"/>
      <c r="C70" s="364"/>
      <c r="D70" s="383"/>
      <c r="E70" s="383"/>
      <c r="F70" s="365"/>
      <c r="G70" s="365"/>
      <c r="H70" s="365"/>
      <c r="I70" s="365"/>
      <c r="J70" s="365"/>
    </row>
    <row r="71" spans="1:10" ht="16.5">
      <c r="A71" s="383"/>
      <c r="B71" s="384"/>
      <c r="C71" s="364"/>
      <c r="D71" s="383"/>
      <c r="E71" s="383"/>
      <c r="F71" s="365"/>
      <c r="G71" s="365"/>
      <c r="H71" s="365"/>
      <c r="I71" s="365"/>
      <c r="J71" s="365"/>
    </row>
    <row r="72" spans="1:10" ht="16.5">
      <c r="A72" s="383"/>
      <c r="B72" s="384"/>
      <c r="C72" s="364"/>
      <c r="D72" s="383"/>
      <c r="E72" s="383"/>
      <c r="F72" s="365"/>
      <c r="G72" s="365"/>
      <c r="H72" s="365"/>
      <c r="I72" s="365"/>
      <c r="J72" s="365"/>
    </row>
    <row r="73" spans="1:10" ht="16.5">
      <c r="A73" s="383"/>
      <c r="B73" s="384"/>
      <c r="C73" s="364"/>
      <c r="D73" s="383"/>
      <c r="E73" s="383"/>
      <c r="F73" s="365"/>
      <c r="G73" s="365"/>
      <c r="H73" s="365"/>
      <c r="I73" s="365"/>
      <c r="J73" s="365"/>
    </row>
    <row r="74" spans="1:10" ht="16.5">
      <c r="A74" s="383"/>
      <c r="B74" s="384"/>
      <c r="C74" s="364"/>
      <c r="D74" s="383"/>
      <c r="E74" s="383"/>
      <c r="F74" s="365"/>
      <c r="G74" s="365"/>
      <c r="H74" s="365"/>
      <c r="I74" s="365"/>
      <c r="J74" s="365"/>
    </row>
    <row r="75" spans="1:10" ht="16.5">
      <c r="A75" s="383"/>
      <c r="B75" s="384"/>
      <c r="C75" s="364"/>
      <c r="D75" s="383"/>
      <c r="E75" s="383"/>
      <c r="F75" s="365"/>
      <c r="G75" s="365"/>
      <c r="H75" s="365"/>
      <c r="I75" s="365"/>
      <c r="J75" s="365"/>
    </row>
    <row r="76" spans="1:10" ht="16.5">
      <c r="A76" s="383"/>
      <c r="B76" s="384"/>
      <c r="C76" s="364"/>
      <c r="D76" s="383"/>
      <c r="E76" s="383"/>
      <c r="F76" s="365"/>
      <c r="G76" s="365"/>
      <c r="H76" s="365"/>
      <c r="I76" s="365"/>
      <c r="J76" s="365"/>
    </row>
    <row r="77" spans="1:10" ht="16.5">
      <c r="A77" s="383"/>
      <c r="B77" s="384"/>
      <c r="C77" s="364"/>
      <c r="D77" s="383"/>
      <c r="E77" s="383"/>
      <c r="F77" s="365"/>
      <c r="G77" s="365"/>
      <c r="H77" s="365"/>
      <c r="I77" s="365"/>
      <c r="J77" s="365"/>
    </row>
    <row r="78" spans="1:10" ht="16.5">
      <c r="A78" s="383"/>
      <c r="B78" s="384"/>
      <c r="C78" s="364"/>
      <c r="D78" s="383"/>
      <c r="E78" s="383"/>
      <c r="F78" s="365"/>
      <c r="G78" s="365"/>
      <c r="H78" s="365"/>
      <c r="I78" s="365"/>
      <c r="J78" s="365"/>
    </row>
    <row r="79" spans="1:10" ht="16.5">
      <c r="A79" s="383"/>
      <c r="B79" s="384"/>
      <c r="C79" s="364"/>
      <c r="D79" s="383"/>
      <c r="E79" s="383"/>
      <c r="F79" s="365"/>
      <c r="G79" s="365"/>
      <c r="H79" s="365"/>
      <c r="I79" s="365"/>
      <c r="J79" s="365"/>
    </row>
    <row r="80" spans="1:10" ht="16.5">
      <c r="A80" s="383"/>
      <c r="B80" s="384"/>
      <c r="C80" s="364"/>
      <c r="D80" s="383"/>
      <c r="E80" s="383"/>
      <c r="F80" s="365"/>
      <c r="G80" s="365"/>
      <c r="H80" s="365"/>
      <c r="I80" s="365"/>
      <c r="J80" s="365"/>
    </row>
    <row r="81" spans="1:10" ht="16.5">
      <c r="A81" s="383"/>
      <c r="B81" s="384"/>
      <c r="C81" s="364"/>
      <c r="D81" s="383"/>
      <c r="E81" s="383"/>
      <c r="F81" s="365"/>
      <c r="G81" s="365"/>
      <c r="H81" s="365"/>
      <c r="I81" s="365"/>
      <c r="J81" s="365"/>
    </row>
    <row r="82" spans="1:10" ht="16.5">
      <c r="A82" s="383"/>
      <c r="B82" s="384"/>
      <c r="C82" s="364"/>
      <c r="D82" s="383"/>
      <c r="E82" s="383"/>
      <c r="F82" s="365"/>
      <c r="G82" s="365"/>
      <c r="H82" s="365"/>
      <c r="I82" s="365"/>
      <c r="J82" s="365"/>
    </row>
    <row r="83" spans="1:10" ht="16.5">
      <c r="A83" s="383"/>
      <c r="B83" s="384"/>
      <c r="C83" s="364"/>
      <c r="D83" s="383"/>
      <c r="E83" s="383"/>
      <c r="F83" s="365"/>
      <c r="G83" s="365"/>
      <c r="H83" s="365"/>
      <c r="I83" s="365"/>
      <c r="J83" s="365"/>
    </row>
    <row r="84" spans="1:10" ht="16.5">
      <c r="A84" s="383"/>
      <c r="B84" s="384"/>
      <c r="C84" s="364"/>
      <c r="D84" s="383"/>
      <c r="E84" s="383"/>
      <c r="F84" s="365"/>
      <c r="G84" s="365"/>
      <c r="H84" s="365"/>
      <c r="I84" s="365"/>
      <c r="J84" s="365"/>
    </row>
    <row r="85" spans="1:10" ht="16.5">
      <c r="A85" s="383"/>
      <c r="B85" s="384"/>
      <c r="C85" s="364"/>
      <c r="D85" s="383"/>
      <c r="E85" s="383"/>
      <c r="F85" s="365"/>
      <c r="G85" s="365"/>
      <c r="H85" s="365"/>
      <c r="I85" s="365"/>
      <c r="J85" s="365"/>
    </row>
    <row r="86" spans="1:10" ht="16.5">
      <c r="A86" s="383"/>
      <c r="B86" s="384"/>
      <c r="C86" s="364"/>
      <c r="D86" s="383"/>
      <c r="E86" s="383"/>
      <c r="F86" s="365"/>
      <c r="G86" s="365"/>
      <c r="H86" s="365"/>
      <c r="I86" s="365"/>
      <c r="J86" s="365"/>
    </row>
    <row r="87" spans="1:10" ht="16.5">
      <c r="A87" s="383"/>
      <c r="B87" s="384"/>
      <c r="C87" s="364"/>
      <c r="D87" s="383"/>
      <c r="E87" s="383"/>
      <c r="F87" s="365"/>
      <c r="G87" s="365"/>
      <c r="H87" s="365"/>
      <c r="I87" s="365"/>
      <c r="J87" s="365"/>
    </row>
    <row r="88" spans="1:10" ht="16.5">
      <c r="A88" s="383"/>
      <c r="B88" s="384"/>
      <c r="C88" s="364"/>
      <c r="D88" s="383"/>
      <c r="E88" s="383"/>
      <c r="F88" s="365"/>
      <c r="G88" s="365"/>
      <c r="H88" s="365"/>
      <c r="I88" s="365"/>
      <c r="J88" s="365"/>
    </row>
    <row r="89" spans="1:10" ht="16.5">
      <c r="A89" s="383"/>
      <c r="B89" s="384"/>
      <c r="C89" s="364"/>
      <c r="D89" s="383"/>
      <c r="E89" s="383"/>
      <c r="F89" s="365"/>
      <c r="G89" s="365"/>
      <c r="H89" s="365"/>
      <c r="I89" s="365"/>
      <c r="J89" s="365"/>
    </row>
    <row r="90" spans="1:10" ht="16.5">
      <c r="A90" s="383"/>
      <c r="B90" s="384"/>
      <c r="C90" s="364"/>
      <c r="D90" s="383"/>
      <c r="E90" s="383"/>
      <c r="F90" s="365"/>
      <c r="G90" s="365"/>
      <c r="H90" s="365"/>
      <c r="I90" s="365"/>
      <c r="J90" s="365"/>
    </row>
    <row r="91" spans="1:10" ht="16.5">
      <c r="A91" s="383"/>
      <c r="B91" s="384"/>
      <c r="C91" s="364"/>
      <c r="D91" s="383"/>
      <c r="E91" s="383"/>
      <c r="F91" s="365"/>
      <c r="G91" s="365"/>
      <c r="H91" s="365"/>
      <c r="I91" s="365"/>
      <c r="J91" s="365"/>
    </row>
    <row r="92" spans="1:10" ht="16.5">
      <c r="A92" s="383"/>
      <c r="B92" s="384"/>
      <c r="C92" s="364"/>
      <c r="D92" s="383"/>
      <c r="E92" s="383"/>
      <c r="F92" s="365"/>
      <c r="G92" s="365"/>
      <c r="H92" s="365"/>
      <c r="I92" s="365"/>
      <c r="J92" s="365"/>
    </row>
    <row r="93" spans="1:10" ht="16.5">
      <c r="A93" s="383"/>
      <c r="B93" s="384"/>
      <c r="C93" s="364"/>
      <c r="D93" s="383"/>
      <c r="E93" s="383"/>
      <c r="F93" s="365"/>
      <c r="G93" s="365"/>
      <c r="H93" s="365"/>
      <c r="I93" s="365"/>
      <c r="J93" s="365"/>
    </row>
    <row r="94" spans="1:10" ht="16.5">
      <c r="A94" s="383"/>
      <c r="B94" s="384"/>
      <c r="C94" s="364"/>
      <c r="D94" s="383"/>
      <c r="E94" s="383"/>
      <c r="F94" s="365"/>
      <c r="G94" s="365"/>
      <c r="H94" s="365"/>
      <c r="I94" s="365"/>
      <c r="J94" s="365"/>
    </row>
    <row r="95" spans="1:10" ht="16.5">
      <c r="A95" s="383"/>
      <c r="B95" s="384"/>
      <c r="C95" s="364"/>
      <c r="D95" s="383"/>
      <c r="E95" s="383"/>
      <c r="F95" s="365"/>
      <c r="G95" s="365"/>
      <c r="H95" s="365"/>
      <c r="I95" s="365"/>
      <c r="J95" s="365"/>
    </row>
    <row r="96" spans="1:10" ht="16.5">
      <c r="A96" s="383"/>
      <c r="B96" s="384"/>
      <c r="C96" s="364"/>
      <c r="D96" s="383"/>
      <c r="E96" s="383"/>
      <c r="F96" s="365"/>
      <c r="G96" s="365"/>
      <c r="H96" s="365"/>
      <c r="I96" s="365"/>
      <c r="J96" s="365"/>
    </row>
    <row r="97" spans="1:10" ht="16.5">
      <c r="A97" s="383"/>
      <c r="B97" s="384"/>
      <c r="C97" s="364"/>
      <c r="D97" s="383"/>
      <c r="E97" s="383"/>
      <c r="F97" s="365"/>
      <c r="G97" s="365"/>
      <c r="H97" s="365"/>
      <c r="I97" s="365"/>
      <c r="J97" s="365"/>
    </row>
    <row r="98" spans="1:10" ht="16.5">
      <c r="A98" s="383"/>
      <c r="B98" s="384"/>
      <c r="C98" s="364"/>
      <c r="D98" s="383"/>
      <c r="E98" s="383"/>
      <c r="F98" s="365"/>
      <c r="G98" s="365"/>
      <c r="H98" s="365"/>
      <c r="I98" s="365"/>
      <c r="J98" s="365"/>
    </row>
    <row r="99" spans="1:10" ht="16.5">
      <c r="A99" s="383"/>
      <c r="B99" s="384"/>
      <c r="C99" s="364"/>
      <c r="D99" s="383"/>
      <c r="E99" s="383"/>
      <c r="F99" s="365"/>
      <c r="G99" s="365"/>
      <c r="H99" s="365"/>
      <c r="I99" s="365"/>
      <c r="J99" s="365"/>
    </row>
    <row r="100" spans="1:10" ht="16.5">
      <c r="A100" s="383"/>
      <c r="B100" s="384"/>
      <c r="C100" s="364"/>
      <c r="D100" s="383"/>
      <c r="E100" s="383"/>
      <c r="F100" s="365"/>
      <c r="G100" s="365"/>
      <c r="H100" s="365"/>
      <c r="I100" s="365"/>
      <c r="J100" s="365"/>
    </row>
    <row r="101" spans="1:10" ht="16.5">
      <c r="A101" s="383"/>
      <c r="B101" s="384"/>
      <c r="C101" s="364"/>
      <c r="D101" s="383"/>
      <c r="E101" s="383"/>
      <c r="F101" s="365"/>
      <c r="G101" s="365"/>
      <c r="H101" s="365"/>
      <c r="I101" s="365"/>
      <c r="J101" s="365"/>
    </row>
    <row r="102" spans="1:10" ht="16.5">
      <c r="A102" s="383"/>
      <c r="B102" s="384"/>
      <c r="C102" s="364"/>
      <c r="D102" s="383"/>
      <c r="E102" s="383"/>
      <c r="F102" s="365"/>
      <c r="G102" s="365"/>
      <c r="H102" s="365"/>
      <c r="I102" s="365"/>
      <c r="J102" s="365"/>
    </row>
    <row r="103" spans="1:10" ht="16.5">
      <c r="A103" s="383"/>
      <c r="B103" s="384"/>
      <c r="C103" s="364"/>
      <c r="D103" s="383"/>
      <c r="E103" s="383"/>
      <c r="F103" s="365"/>
      <c r="G103" s="365"/>
      <c r="H103" s="365"/>
      <c r="I103" s="365"/>
      <c r="J103" s="365"/>
    </row>
    <row r="104" spans="1:10" ht="16.5">
      <c r="A104" s="383"/>
      <c r="B104" s="384"/>
      <c r="C104" s="364"/>
      <c r="D104" s="383"/>
      <c r="E104" s="383"/>
      <c r="F104" s="365"/>
      <c r="G104" s="365"/>
      <c r="H104" s="365"/>
      <c r="I104" s="365"/>
      <c r="J104" s="365"/>
    </row>
    <row r="105" spans="1:10" ht="16.5">
      <c r="A105" s="383"/>
      <c r="B105" s="384"/>
      <c r="C105" s="364"/>
      <c r="D105" s="383"/>
      <c r="E105" s="383"/>
      <c r="F105" s="365"/>
      <c r="G105" s="365"/>
      <c r="H105" s="365"/>
      <c r="I105" s="365"/>
      <c r="J105" s="365"/>
    </row>
    <row r="106" spans="1:10" ht="16.5">
      <c r="A106" s="383"/>
      <c r="B106" s="384"/>
      <c r="C106" s="364"/>
      <c r="D106" s="383"/>
      <c r="E106" s="383"/>
      <c r="F106" s="365"/>
      <c r="G106" s="365"/>
      <c r="H106" s="365"/>
      <c r="I106" s="365"/>
      <c r="J106" s="365"/>
    </row>
    <row r="107" spans="1:10" ht="16.5">
      <c r="A107" s="383"/>
      <c r="B107" s="384"/>
      <c r="C107" s="364"/>
      <c r="D107" s="383"/>
      <c r="E107" s="383"/>
      <c r="F107" s="365"/>
      <c r="G107" s="365"/>
      <c r="H107" s="365"/>
      <c r="I107" s="365"/>
      <c r="J107" s="365"/>
    </row>
    <row r="108" spans="1:10" ht="16.5">
      <c r="A108" s="383"/>
      <c r="B108" s="384"/>
      <c r="C108" s="364"/>
      <c r="D108" s="383"/>
      <c r="E108" s="383"/>
      <c r="F108" s="365"/>
      <c r="G108" s="365"/>
      <c r="H108" s="365"/>
      <c r="I108" s="365"/>
      <c r="J108" s="365"/>
    </row>
    <row r="109" spans="1:10" ht="16.5">
      <c r="A109" s="383"/>
      <c r="B109" s="384"/>
      <c r="C109" s="364"/>
      <c r="D109" s="383"/>
      <c r="E109" s="383"/>
      <c r="F109" s="365"/>
      <c r="G109" s="365"/>
      <c r="H109" s="365"/>
      <c r="I109" s="365"/>
      <c r="J109" s="365"/>
    </row>
    <row r="110" spans="1:10" ht="16.5">
      <c r="A110" s="383"/>
      <c r="B110" s="384"/>
      <c r="C110" s="364"/>
      <c r="D110" s="383"/>
      <c r="E110" s="383"/>
      <c r="F110" s="365"/>
      <c r="G110" s="365"/>
      <c r="H110" s="365"/>
      <c r="I110" s="365"/>
      <c r="J110" s="365"/>
    </row>
    <row r="111" spans="1:10" ht="16.5">
      <c r="A111" s="383"/>
      <c r="B111" s="384"/>
      <c r="C111" s="364"/>
      <c r="D111" s="383"/>
      <c r="E111" s="383"/>
      <c r="F111" s="365"/>
      <c r="G111" s="365"/>
      <c r="H111" s="365"/>
      <c r="I111" s="365"/>
      <c r="J111" s="365"/>
    </row>
    <row r="112" spans="1:10" ht="16.5">
      <c r="A112" s="383"/>
      <c r="B112" s="384"/>
      <c r="C112" s="364"/>
      <c r="D112" s="383"/>
      <c r="E112" s="383"/>
      <c r="F112" s="365"/>
      <c r="G112" s="365"/>
      <c r="H112" s="365"/>
      <c r="I112" s="365"/>
      <c r="J112" s="365"/>
    </row>
    <row r="113" spans="1:10" ht="16.5">
      <c r="A113" s="383"/>
      <c r="B113" s="384"/>
      <c r="C113" s="364"/>
      <c r="D113" s="383"/>
      <c r="E113" s="383"/>
      <c r="F113" s="365"/>
      <c r="G113" s="365"/>
      <c r="H113" s="365"/>
      <c r="I113" s="365"/>
      <c r="J113" s="365"/>
    </row>
    <row r="114" spans="1:10" ht="16.5">
      <c r="A114" s="383"/>
      <c r="B114" s="384"/>
      <c r="C114" s="364"/>
      <c r="D114" s="383"/>
      <c r="E114" s="383"/>
      <c r="F114" s="365"/>
      <c r="G114" s="365"/>
      <c r="H114" s="365"/>
      <c r="I114" s="365"/>
      <c r="J114" s="365"/>
    </row>
    <row r="115" spans="1:10" ht="16.5">
      <c r="A115" s="383"/>
      <c r="B115" s="384"/>
      <c r="C115" s="364"/>
      <c r="D115" s="383"/>
      <c r="E115" s="383"/>
      <c r="F115" s="365"/>
      <c r="G115" s="365"/>
      <c r="H115" s="365"/>
      <c r="I115" s="365"/>
      <c r="J115" s="365"/>
    </row>
    <row r="116" spans="1:10" ht="16.5">
      <c r="A116" s="383"/>
      <c r="B116" s="384"/>
      <c r="C116" s="364"/>
      <c r="D116" s="383"/>
      <c r="E116" s="383"/>
      <c r="F116" s="365"/>
      <c r="G116" s="365"/>
      <c r="H116" s="365"/>
      <c r="I116" s="365"/>
      <c r="J116" s="365"/>
    </row>
    <row r="117" spans="1:10" ht="16.5">
      <c r="A117" s="383"/>
      <c r="B117" s="384"/>
      <c r="C117" s="364"/>
      <c r="D117" s="383"/>
      <c r="E117" s="383"/>
      <c r="F117" s="365"/>
      <c r="G117" s="365"/>
      <c r="H117" s="365"/>
      <c r="I117" s="365"/>
      <c r="J117" s="365"/>
    </row>
    <row r="118" spans="1:10" ht="16.5">
      <c r="A118" s="383"/>
      <c r="B118" s="384"/>
      <c r="C118" s="364"/>
      <c r="D118" s="383"/>
      <c r="E118" s="383"/>
      <c r="F118" s="365"/>
      <c r="G118" s="365"/>
      <c r="H118" s="365"/>
      <c r="I118" s="365"/>
      <c r="J118" s="365"/>
    </row>
    <row r="119" spans="1:10" ht="16.5">
      <c r="A119" s="383"/>
      <c r="B119" s="384"/>
      <c r="C119" s="364"/>
      <c r="D119" s="383"/>
      <c r="E119" s="383"/>
      <c r="F119" s="365"/>
      <c r="G119" s="365"/>
      <c r="H119" s="365"/>
      <c r="I119" s="365"/>
      <c r="J119" s="365"/>
    </row>
    <row r="120" spans="1:10" ht="16.5">
      <c r="A120" s="383"/>
      <c r="B120" s="384"/>
      <c r="C120" s="364"/>
      <c r="D120" s="383"/>
      <c r="E120" s="383"/>
      <c r="F120" s="365"/>
      <c r="G120" s="365"/>
      <c r="H120" s="365"/>
      <c r="I120" s="365"/>
      <c r="J120" s="365"/>
    </row>
    <row r="121" spans="1:10" ht="16.5">
      <c r="A121" s="383"/>
      <c r="B121" s="384"/>
      <c r="C121" s="364"/>
      <c r="D121" s="383"/>
      <c r="E121" s="383"/>
      <c r="F121" s="365"/>
      <c r="G121" s="365"/>
      <c r="H121" s="365"/>
      <c r="I121" s="365"/>
      <c r="J121" s="365"/>
    </row>
    <row r="122" spans="1:10" ht="16.5">
      <c r="A122" s="383"/>
      <c r="B122" s="384"/>
      <c r="C122" s="364"/>
      <c r="D122" s="383"/>
      <c r="E122" s="383"/>
      <c r="F122" s="365"/>
      <c r="G122" s="365"/>
      <c r="H122" s="365"/>
      <c r="I122" s="365"/>
      <c r="J122" s="365"/>
    </row>
    <row r="123" spans="1:10" ht="16.5">
      <c r="A123" s="383"/>
      <c r="B123" s="384"/>
      <c r="C123" s="364"/>
      <c r="D123" s="383"/>
      <c r="E123" s="383"/>
      <c r="F123" s="365"/>
      <c r="G123" s="365"/>
      <c r="H123" s="365"/>
      <c r="I123" s="365"/>
      <c r="J123" s="365"/>
    </row>
    <row r="124" spans="1:10" ht="16.5">
      <c r="A124" s="383"/>
      <c r="B124" s="384"/>
      <c r="C124" s="364"/>
      <c r="D124" s="383"/>
      <c r="E124" s="383"/>
      <c r="F124" s="365"/>
      <c r="G124" s="365"/>
      <c r="H124" s="365"/>
      <c r="I124" s="365"/>
      <c r="J124" s="365"/>
    </row>
    <row r="125" spans="1:10" ht="16.5">
      <c r="A125" s="383"/>
      <c r="B125" s="384"/>
      <c r="C125" s="364"/>
      <c r="D125" s="383"/>
      <c r="E125" s="383"/>
      <c r="F125" s="365"/>
      <c r="G125" s="365"/>
      <c r="H125" s="365"/>
      <c r="I125" s="365"/>
      <c r="J125" s="365"/>
    </row>
    <row r="126" spans="1:10" ht="16.5">
      <c r="A126" s="383"/>
      <c r="B126" s="384"/>
      <c r="C126" s="364"/>
      <c r="D126" s="383"/>
      <c r="E126" s="383"/>
      <c r="F126" s="365"/>
      <c r="G126" s="365"/>
      <c r="H126" s="365"/>
      <c r="I126" s="365"/>
      <c r="J126" s="365"/>
    </row>
    <row r="127" spans="1:10" ht="16.5">
      <c r="A127" s="383"/>
      <c r="B127" s="384"/>
      <c r="C127" s="364"/>
      <c r="D127" s="383"/>
      <c r="E127" s="383"/>
      <c r="F127" s="365"/>
      <c r="G127" s="365"/>
      <c r="H127" s="365"/>
      <c r="I127" s="365"/>
      <c r="J127" s="365"/>
    </row>
    <row r="128" spans="1:10" ht="16.5">
      <c r="A128" s="383"/>
      <c r="B128" s="384"/>
      <c r="C128" s="364"/>
      <c r="D128" s="383"/>
      <c r="E128" s="383"/>
      <c r="F128" s="365"/>
      <c r="G128" s="365"/>
      <c r="H128" s="365"/>
      <c r="I128" s="365"/>
      <c r="J128" s="365"/>
    </row>
    <row r="129" spans="1:10" ht="16.5">
      <c r="A129" s="383"/>
      <c r="B129" s="384"/>
      <c r="C129" s="364"/>
      <c r="D129" s="383"/>
      <c r="E129" s="383"/>
      <c r="F129" s="365"/>
      <c r="G129" s="365"/>
      <c r="H129" s="365"/>
      <c r="I129" s="365"/>
      <c r="J129" s="365"/>
    </row>
    <row r="130" spans="1:10" ht="16.5">
      <c r="A130" s="383"/>
      <c r="B130" s="384"/>
      <c r="C130" s="364"/>
      <c r="D130" s="383"/>
      <c r="E130" s="383"/>
      <c r="F130" s="365"/>
      <c r="G130" s="365"/>
      <c r="H130" s="365"/>
      <c r="I130" s="365"/>
      <c r="J130" s="365"/>
    </row>
    <row r="131" spans="1:10" ht="16.5">
      <c r="A131" s="383"/>
      <c r="B131" s="384"/>
      <c r="C131" s="364"/>
      <c r="D131" s="383"/>
      <c r="E131" s="383"/>
      <c r="F131" s="365"/>
      <c r="G131" s="365"/>
      <c r="H131" s="365"/>
      <c r="I131" s="365"/>
      <c r="J131" s="365"/>
    </row>
    <row r="132" spans="1:10" ht="16.5">
      <c r="A132" s="383"/>
      <c r="B132" s="384"/>
      <c r="C132" s="364"/>
      <c r="D132" s="383"/>
      <c r="E132" s="383"/>
      <c r="F132" s="365"/>
      <c r="G132" s="365"/>
      <c r="H132" s="365"/>
      <c r="I132" s="365"/>
      <c r="J132" s="365"/>
    </row>
    <row r="133" spans="1:10" ht="16.5">
      <c r="A133" s="383"/>
      <c r="B133" s="384"/>
      <c r="C133" s="364"/>
      <c r="D133" s="383"/>
      <c r="E133" s="383"/>
      <c r="F133" s="365"/>
      <c r="G133" s="365"/>
      <c r="H133" s="365"/>
      <c r="I133" s="365"/>
      <c r="J133" s="365"/>
    </row>
    <row r="134" spans="1:10" ht="16.5">
      <c r="A134" s="383"/>
      <c r="B134" s="384"/>
      <c r="C134" s="364"/>
      <c r="D134" s="383"/>
      <c r="E134" s="383"/>
      <c r="F134" s="365"/>
      <c r="G134" s="365"/>
      <c r="H134" s="365"/>
      <c r="I134" s="365"/>
      <c r="J134" s="365"/>
    </row>
    <row r="135" spans="1:10" ht="16.5">
      <c r="A135" s="383"/>
      <c r="B135" s="384"/>
      <c r="C135" s="364"/>
      <c r="D135" s="383"/>
      <c r="E135" s="383"/>
      <c r="F135" s="365"/>
      <c r="G135" s="365"/>
      <c r="H135" s="365"/>
      <c r="I135" s="365"/>
      <c r="J135" s="365"/>
    </row>
    <row r="136" spans="1:10" ht="16.5">
      <c r="A136" s="383"/>
      <c r="B136" s="384"/>
      <c r="C136" s="364"/>
      <c r="D136" s="383"/>
      <c r="E136" s="383"/>
      <c r="F136" s="365"/>
      <c r="G136" s="365"/>
      <c r="H136" s="365"/>
      <c r="I136" s="365"/>
      <c r="J136" s="365"/>
    </row>
    <row r="137" spans="1:10" ht="16.5">
      <c r="A137" s="383"/>
      <c r="B137" s="384"/>
      <c r="C137" s="364"/>
      <c r="D137" s="383"/>
      <c r="E137" s="383"/>
      <c r="F137" s="365"/>
      <c r="G137" s="365"/>
      <c r="H137" s="365"/>
      <c r="I137" s="365"/>
      <c r="J137" s="365"/>
    </row>
    <row r="138" spans="1:10" ht="16.5">
      <c r="A138" s="383"/>
      <c r="B138" s="384"/>
      <c r="C138" s="364"/>
      <c r="D138" s="383"/>
      <c r="E138" s="383"/>
      <c r="F138" s="365"/>
      <c r="G138" s="365"/>
      <c r="H138" s="365"/>
      <c r="I138" s="365"/>
      <c r="J138" s="365"/>
    </row>
    <row r="139" spans="1:10" ht="16.5">
      <c r="A139" s="383"/>
      <c r="B139" s="384"/>
      <c r="C139" s="364"/>
      <c r="D139" s="383"/>
      <c r="E139" s="383"/>
      <c r="F139" s="365"/>
      <c r="G139" s="365"/>
      <c r="H139" s="365"/>
      <c r="I139" s="365"/>
      <c r="J139" s="365"/>
    </row>
    <row r="140" spans="1:10" ht="16.5">
      <c r="A140" s="383"/>
      <c r="B140" s="384"/>
      <c r="C140" s="364"/>
      <c r="D140" s="383"/>
      <c r="E140" s="383"/>
      <c r="F140" s="365"/>
      <c r="G140" s="365"/>
      <c r="H140" s="365"/>
      <c r="I140" s="365"/>
      <c r="J140" s="365"/>
    </row>
    <row r="141" spans="1:10" ht="16.5">
      <c r="A141" s="383"/>
      <c r="B141" s="384"/>
      <c r="C141" s="364"/>
      <c r="D141" s="383"/>
      <c r="E141" s="383"/>
      <c r="F141" s="365"/>
      <c r="G141" s="365"/>
      <c r="H141" s="365"/>
      <c r="I141" s="365"/>
      <c r="J141" s="365"/>
    </row>
    <row r="142" spans="1:10" ht="16.5">
      <c r="A142" s="383"/>
      <c r="B142" s="384"/>
      <c r="C142" s="364"/>
      <c r="D142" s="383"/>
      <c r="E142" s="383"/>
      <c r="F142" s="365"/>
      <c r="G142" s="365"/>
      <c r="H142" s="365"/>
      <c r="I142" s="365"/>
      <c r="J142" s="365"/>
    </row>
    <row r="143" spans="1:10" ht="16.5">
      <c r="A143" s="383"/>
      <c r="B143" s="384"/>
      <c r="C143" s="364"/>
      <c r="D143" s="383"/>
      <c r="E143" s="383"/>
      <c r="F143" s="365"/>
      <c r="G143" s="365"/>
      <c r="H143" s="365"/>
      <c r="I143" s="365"/>
      <c r="J143" s="365"/>
    </row>
    <row r="144" spans="1:10" ht="16.5">
      <c r="A144" s="383"/>
      <c r="B144" s="384"/>
      <c r="C144" s="364"/>
      <c r="D144" s="383"/>
      <c r="E144" s="383"/>
      <c r="F144" s="365"/>
      <c r="G144" s="365"/>
      <c r="H144" s="365"/>
      <c r="I144" s="365"/>
      <c r="J144" s="365"/>
    </row>
    <row r="145" spans="1:10" ht="16.5">
      <c r="A145" s="383"/>
      <c r="B145" s="384"/>
      <c r="C145" s="364"/>
      <c r="D145" s="383"/>
      <c r="E145" s="383"/>
      <c r="F145" s="365"/>
      <c r="G145" s="365"/>
      <c r="H145" s="365"/>
      <c r="I145" s="365"/>
      <c r="J145" s="365"/>
    </row>
    <row r="146" spans="1:10" ht="16.5">
      <c r="A146" s="383"/>
      <c r="B146" s="384"/>
      <c r="C146" s="364"/>
      <c r="D146" s="383"/>
      <c r="E146" s="383"/>
      <c r="F146" s="365"/>
      <c r="G146" s="365"/>
      <c r="H146" s="365"/>
      <c r="I146" s="365"/>
      <c r="J146" s="365"/>
    </row>
    <row r="147" spans="1:10" ht="16.5">
      <c r="A147" s="383"/>
      <c r="B147" s="384"/>
      <c r="C147" s="364"/>
      <c r="D147" s="383"/>
      <c r="E147" s="383"/>
      <c r="F147" s="365"/>
      <c r="G147" s="365"/>
      <c r="H147" s="365"/>
      <c r="I147" s="365"/>
      <c r="J147" s="365"/>
    </row>
    <row r="148" spans="1:10" ht="16.5">
      <c r="A148" s="383"/>
      <c r="B148" s="384"/>
      <c r="C148" s="364"/>
      <c r="D148" s="383"/>
      <c r="E148" s="383"/>
      <c r="F148" s="365"/>
      <c r="G148" s="365"/>
      <c r="H148" s="365"/>
      <c r="I148" s="365"/>
      <c r="J148" s="365"/>
    </row>
    <row r="149" spans="1:10" ht="16.5">
      <c r="A149" s="383"/>
      <c r="B149" s="384"/>
      <c r="C149" s="364"/>
      <c r="D149" s="383"/>
      <c r="E149" s="383"/>
      <c r="F149" s="365"/>
      <c r="G149" s="365"/>
      <c r="H149" s="365"/>
      <c r="I149" s="365"/>
      <c r="J149" s="365"/>
    </row>
    <row r="150" spans="1:10" ht="16.5">
      <c r="A150" s="383"/>
      <c r="B150" s="384"/>
      <c r="C150" s="364"/>
      <c r="D150" s="383"/>
      <c r="E150" s="383"/>
      <c r="F150" s="365"/>
      <c r="G150" s="365"/>
      <c r="H150" s="365"/>
      <c r="I150" s="365"/>
      <c r="J150" s="365"/>
    </row>
    <row r="151" spans="1:10" ht="16.5">
      <c r="A151" s="383"/>
      <c r="B151" s="384"/>
      <c r="C151" s="364"/>
      <c r="D151" s="383"/>
      <c r="E151" s="383"/>
      <c r="F151" s="365"/>
      <c r="G151" s="365"/>
      <c r="H151" s="365"/>
      <c r="I151" s="365"/>
      <c r="J151" s="365"/>
    </row>
    <row r="152" spans="1:10" ht="16.5">
      <c r="A152" s="383"/>
      <c r="B152" s="384"/>
      <c r="C152" s="364"/>
      <c r="D152" s="383"/>
      <c r="E152" s="383"/>
      <c r="F152" s="365"/>
      <c r="G152" s="365"/>
      <c r="H152" s="365"/>
      <c r="I152" s="365"/>
      <c r="J152" s="365"/>
    </row>
    <row r="153" spans="1:10" ht="16.5">
      <c r="A153" s="383"/>
      <c r="B153" s="384"/>
      <c r="C153" s="364"/>
      <c r="D153" s="383"/>
      <c r="E153" s="383"/>
      <c r="F153" s="365"/>
      <c r="G153" s="365"/>
      <c r="H153" s="365"/>
      <c r="I153" s="365"/>
      <c r="J153" s="365"/>
    </row>
    <row r="154" spans="1:10" ht="16.5">
      <c r="A154" s="383"/>
      <c r="B154" s="384"/>
      <c r="C154" s="364"/>
      <c r="D154" s="383"/>
      <c r="E154" s="383"/>
      <c r="F154" s="365"/>
      <c r="G154" s="365"/>
      <c r="H154" s="365"/>
      <c r="I154" s="365"/>
      <c r="J154" s="365"/>
    </row>
    <row r="155" spans="1:10" ht="16.5">
      <c r="A155" s="383"/>
      <c r="B155" s="384"/>
      <c r="C155" s="364"/>
      <c r="D155" s="383"/>
      <c r="E155" s="383"/>
      <c r="F155" s="365"/>
      <c r="G155" s="365"/>
      <c r="H155" s="365"/>
      <c r="I155" s="365"/>
      <c r="J155" s="365"/>
    </row>
    <row r="156" spans="1:10" ht="16.5">
      <c r="A156" s="383"/>
      <c r="B156" s="384"/>
      <c r="C156" s="364"/>
      <c r="D156" s="383"/>
      <c r="E156" s="383"/>
      <c r="F156" s="365"/>
      <c r="G156" s="365"/>
      <c r="H156" s="365"/>
      <c r="I156" s="365"/>
      <c r="J156" s="365"/>
    </row>
    <row r="157" spans="1:10" ht="16.5">
      <c r="A157" s="383"/>
      <c r="B157" s="384"/>
      <c r="C157" s="364"/>
      <c r="D157" s="383"/>
      <c r="E157" s="383"/>
      <c r="F157" s="365"/>
      <c r="G157" s="365"/>
      <c r="H157" s="365"/>
      <c r="I157" s="365"/>
      <c r="J157" s="365"/>
    </row>
    <row r="158" spans="1:10" ht="16.5">
      <c r="A158" s="383"/>
      <c r="B158" s="384"/>
      <c r="C158" s="364"/>
      <c r="D158" s="383"/>
      <c r="E158" s="383"/>
      <c r="F158" s="365"/>
      <c r="G158" s="365"/>
      <c r="H158" s="365"/>
      <c r="I158" s="365"/>
      <c r="J158" s="365"/>
    </row>
    <row r="159" spans="1:10" ht="16.5">
      <c r="A159" s="383"/>
      <c r="B159" s="384"/>
      <c r="C159" s="364"/>
      <c r="D159" s="383"/>
      <c r="E159" s="383"/>
      <c r="F159" s="365"/>
      <c r="G159" s="365"/>
      <c r="H159" s="365"/>
      <c r="I159" s="365"/>
      <c r="J159" s="365"/>
    </row>
    <row r="160" spans="1:10" ht="16.5">
      <c r="A160" s="383"/>
      <c r="B160" s="384"/>
      <c r="C160" s="364"/>
      <c r="D160" s="383"/>
      <c r="E160" s="383"/>
      <c r="F160" s="365"/>
      <c r="G160" s="365"/>
      <c r="H160" s="365"/>
      <c r="I160" s="365"/>
      <c r="J160" s="365"/>
    </row>
    <row r="161" spans="1:10" ht="16.5">
      <c r="A161" s="383"/>
      <c r="B161" s="384"/>
      <c r="C161" s="364"/>
      <c r="D161" s="383"/>
      <c r="E161" s="383"/>
      <c r="F161" s="365"/>
      <c r="G161" s="365"/>
      <c r="H161" s="365"/>
      <c r="I161" s="365"/>
      <c r="J161" s="365"/>
    </row>
    <row r="162" spans="1:10" ht="16.5">
      <c r="A162" s="383"/>
      <c r="B162" s="384"/>
      <c r="C162" s="364"/>
      <c r="D162" s="383"/>
      <c r="E162" s="383"/>
      <c r="F162" s="365"/>
      <c r="G162" s="365"/>
      <c r="H162" s="365"/>
      <c r="I162" s="365"/>
      <c r="J162" s="365"/>
    </row>
    <row r="163" spans="1:10" ht="16.5">
      <c r="A163" s="383"/>
      <c r="B163" s="384"/>
      <c r="C163" s="364"/>
      <c r="D163" s="383"/>
      <c r="E163" s="383"/>
      <c r="F163" s="365"/>
      <c r="G163" s="365"/>
      <c r="H163" s="365"/>
      <c r="I163" s="365"/>
      <c r="J163" s="365"/>
    </row>
    <row r="164" spans="1:10" ht="16.5">
      <c r="A164" s="383"/>
      <c r="B164" s="384"/>
      <c r="C164" s="364"/>
      <c r="D164" s="383"/>
      <c r="E164" s="383"/>
      <c r="F164" s="365"/>
      <c r="G164" s="365"/>
      <c r="H164" s="365"/>
      <c r="I164" s="365"/>
      <c r="J164" s="365"/>
    </row>
    <row r="165" spans="1:10" ht="16.5">
      <c r="A165" s="383"/>
      <c r="B165" s="384"/>
      <c r="C165" s="364"/>
      <c r="D165" s="383"/>
      <c r="E165" s="383"/>
      <c r="F165" s="365"/>
      <c r="G165" s="365"/>
      <c r="H165" s="365"/>
      <c r="I165" s="365"/>
      <c r="J165" s="365"/>
    </row>
    <row r="166" spans="1:10" ht="16.5">
      <c r="A166" s="383"/>
      <c r="B166" s="384"/>
      <c r="C166" s="364"/>
      <c r="D166" s="383"/>
      <c r="E166" s="383"/>
      <c r="F166" s="365"/>
      <c r="G166" s="365"/>
      <c r="H166" s="365"/>
      <c r="I166" s="365"/>
      <c r="J166" s="365"/>
    </row>
    <row r="167" spans="1:10" ht="16.5">
      <c r="A167" s="383"/>
      <c r="B167" s="384"/>
      <c r="C167" s="364"/>
      <c r="D167" s="383"/>
      <c r="E167" s="383"/>
      <c r="F167" s="365"/>
      <c r="G167" s="365"/>
      <c r="H167" s="365"/>
      <c r="I167" s="365"/>
      <c r="J167" s="365"/>
    </row>
    <row r="168" spans="1:10" ht="16.5">
      <c r="A168" s="383"/>
      <c r="B168" s="384"/>
      <c r="C168" s="364"/>
      <c r="D168" s="383"/>
      <c r="E168" s="383"/>
      <c r="F168" s="365"/>
      <c r="G168" s="365"/>
      <c r="H168" s="365"/>
      <c r="I168" s="365"/>
      <c r="J168" s="365"/>
    </row>
    <row r="169" spans="1:10" ht="16.5">
      <c r="A169" s="383"/>
      <c r="B169" s="384"/>
      <c r="C169" s="364"/>
      <c r="D169" s="383"/>
      <c r="E169" s="383"/>
      <c r="F169" s="365"/>
      <c r="G169" s="365"/>
      <c r="H169" s="365"/>
      <c r="I169" s="365"/>
      <c r="J169" s="365"/>
    </row>
    <row r="170" spans="1:10" ht="16.5">
      <c r="A170" s="383"/>
      <c r="B170" s="384"/>
      <c r="C170" s="364"/>
      <c r="D170" s="383"/>
      <c r="E170" s="383"/>
      <c r="F170" s="365"/>
      <c r="G170" s="365"/>
      <c r="H170" s="365"/>
      <c r="I170" s="365"/>
      <c r="J170" s="365"/>
    </row>
    <row r="171" spans="1:10" ht="16.5">
      <c r="A171" s="383"/>
      <c r="B171" s="384"/>
      <c r="C171" s="364"/>
      <c r="D171" s="383"/>
      <c r="E171" s="383"/>
      <c r="F171" s="365"/>
      <c r="G171" s="365"/>
      <c r="H171" s="365"/>
      <c r="I171" s="365"/>
      <c r="J171" s="365"/>
    </row>
    <row r="172" spans="1:10" ht="16.5">
      <c r="A172" s="383"/>
      <c r="B172" s="384"/>
      <c r="C172" s="364"/>
      <c r="D172" s="383"/>
      <c r="E172" s="383"/>
      <c r="F172" s="365"/>
      <c r="G172" s="365"/>
      <c r="H172" s="365"/>
      <c r="I172" s="365"/>
      <c r="J172" s="365"/>
    </row>
    <row r="173" spans="1:10" ht="16.5">
      <c r="A173" s="383"/>
      <c r="B173" s="384"/>
      <c r="C173" s="364"/>
      <c r="D173" s="383"/>
      <c r="E173" s="383"/>
      <c r="F173" s="365"/>
      <c r="G173" s="365"/>
      <c r="H173" s="365"/>
      <c r="I173" s="365"/>
      <c r="J173" s="365"/>
    </row>
    <row r="174" spans="1:10" ht="16.5">
      <c r="A174" s="383"/>
      <c r="B174" s="384"/>
      <c r="C174" s="364"/>
      <c r="D174" s="383"/>
      <c r="E174" s="383"/>
      <c r="F174" s="365"/>
      <c r="G174" s="365"/>
      <c r="H174" s="365"/>
      <c r="I174" s="365"/>
      <c r="J174" s="365"/>
    </row>
    <row r="175" spans="1:10" ht="16.5">
      <c r="A175" s="383"/>
      <c r="B175" s="384"/>
      <c r="C175" s="364"/>
      <c r="D175" s="383"/>
      <c r="E175" s="383"/>
      <c r="F175" s="365"/>
      <c r="G175" s="365"/>
      <c r="H175" s="365"/>
      <c r="I175" s="365"/>
      <c r="J175" s="365"/>
    </row>
    <row r="176" spans="1:10" ht="16.5">
      <c r="A176" s="383"/>
      <c r="B176" s="384"/>
      <c r="C176" s="364"/>
      <c r="D176" s="383"/>
      <c r="E176" s="383"/>
      <c r="F176" s="365"/>
      <c r="G176" s="365"/>
      <c r="H176" s="365"/>
      <c r="I176" s="365"/>
      <c r="J176" s="365"/>
    </row>
    <row r="177" spans="1:10" ht="16.5">
      <c r="A177" s="383"/>
      <c r="B177" s="384"/>
      <c r="C177" s="364"/>
      <c r="D177" s="383"/>
      <c r="E177" s="383"/>
      <c r="F177" s="365"/>
      <c r="G177" s="365"/>
      <c r="H177" s="365"/>
      <c r="I177" s="365"/>
      <c r="J177" s="365"/>
    </row>
    <row r="178" spans="1:10" ht="16.5">
      <c r="A178" s="383"/>
      <c r="B178" s="384"/>
      <c r="C178" s="364"/>
      <c r="D178" s="383"/>
      <c r="E178" s="383"/>
      <c r="F178" s="365"/>
      <c r="G178" s="365"/>
      <c r="H178" s="365"/>
      <c r="I178" s="365"/>
      <c r="J178" s="365"/>
    </row>
    <row r="179" spans="1:10" ht="16.5">
      <c r="A179" s="383"/>
      <c r="B179" s="384"/>
      <c r="C179" s="364"/>
      <c r="D179" s="383"/>
      <c r="E179" s="383"/>
      <c r="F179" s="365"/>
      <c r="G179" s="365"/>
      <c r="H179" s="365"/>
      <c r="I179" s="365"/>
      <c r="J179" s="365"/>
    </row>
    <row r="180" spans="1:10" ht="16.5">
      <c r="A180" s="383"/>
      <c r="B180" s="384"/>
      <c r="C180" s="364"/>
      <c r="D180" s="383"/>
      <c r="E180" s="383"/>
      <c r="F180" s="365"/>
      <c r="G180" s="365"/>
      <c r="H180" s="365"/>
      <c r="I180" s="365"/>
      <c r="J180" s="365"/>
    </row>
    <row r="181" spans="1:10" ht="16.5">
      <c r="A181" s="383"/>
      <c r="B181" s="384"/>
      <c r="C181" s="364"/>
      <c r="D181" s="383"/>
      <c r="E181" s="383"/>
      <c r="F181" s="365"/>
      <c r="G181" s="365"/>
      <c r="H181" s="365"/>
      <c r="I181" s="365"/>
      <c r="J181" s="365"/>
    </row>
    <row r="182" spans="1:10" ht="16.5">
      <c r="A182" s="383"/>
      <c r="B182" s="384"/>
      <c r="C182" s="364"/>
      <c r="D182" s="383"/>
      <c r="E182" s="383"/>
      <c r="F182" s="365"/>
      <c r="G182" s="365"/>
      <c r="H182" s="365"/>
      <c r="I182" s="365"/>
      <c r="J182" s="365"/>
    </row>
    <row r="183" spans="1:10" ht="16.5">
      <c r="A183" s="383"/>
      <c r="B183" s="384"/>
      <c r="C183" s="364"/>
      <c r="D183" s="383"/>
      <c r="E183" s="383"/>
      <c r="F183" s="365"/>
      <c r="G183" s="365"/>
      <c r="H183" s="365"/>
      <c r="I183" s="365"/>
      <c r="J183" s="365"/>
    </row>
    <row r="184" spans="1:10" ht="16.5">
      <c r="A184" s="383"/>
      <c r="B184" s="384"/>
      <c r="C184" s="364"/>
      <c r="D184" s="383"/>
      <c r="E184" s="383"/>
      <c r="F184" s="365"/>
      <c r="G184" s="365"/>
      <c r="H184" s="365"/>
      <c r="I184" s="365"/>
      <c r="J184" s="365"/>
    </row>
    <row r="185" spans="1:10" ht="16.5">
      <c r="A185" s="383"/>
      <c r="B185" s="384"/>
      <c r="C185" s="364"/>
      <c r="D185" s="383"/>
      <c r="E185" s="383"/>
      <c r="F185" s="365"/>
      <c r="G185" s="365"/>
      <c r="H185" s="365"/>
      <c r="I185" s="365"/>
      <c r="J185" s="365"/>
    </row>
    <row r="186" spans="1:10" ht="16.5">
      <c r="A186" s="383"/>
      <c r="B186" s="384"/>
      <c r="C186" s="364"/>
      <c r="D186" s="383"/>
      <c r="E186" s="383"/>
      <c r="F186" s="365"/>
      <c r="G186" s="365"/>
      <c r="H186" s="365"/>
      <c r="I186" s="365"/>
      <c r="J186" s="365"/>
    </row>
    <row r="187" spans="1:10" ht="16.5">
      <c r="A187" s="383"/>
      <c r="B187" s="384"/>
      <c r="C187" s="364"/>
      <c r="D187" s="383"/>
      <c r="E187" s="383"/>
      <c r="F187" s="365"/>
      <c r="G187" s="365"/>
      <c r="H187" s="365"/>
      <c r="I187" s="365"/>
      <c r="J187" s="365"/>
    </row>
    <row r="188" spans="1:10" ht="16.5">
      <c r="A188" s="383"/>
      <c r="B188" s="384"/>
      <c r="C188" s="364"/>
      <c r="D188" s="383"/>
      <c r="E188" s="383"/>
      <c r="F188" s="365"/>
      <c r="G188" s="365"/>
      <c r="H188" s="365"/>
      <c r="I188" s="365"/>
      <c r="J188" s="365"/>
    </row>
    <row r="189" spans="1:10" ht="16.5">
      <c r="A189" s="383"/>
      <c r="B189" s="384"/>
      <c r="C189" s="364"/>
      <c r="D189" s="383"/>
      <c r="E189" s="383"/>
      <c r="F189" s="365"/>
      <c r="G189" s="365"/>
      <c r="H189" s="365"/>
      <c r="I189" s="365"/>
      <c r="J189" s="365"/>
    </row>
    <row r="190" spans="1:10" ht="16.5">
      <c r="A190" s="383"/>
      <c r="B190" s="384"/>
      <c r="C190" s="364"/>
      <c r="D190" s="383"/>
      <c r="E190" s="383"/>
      <c r="F190" s="365"/>
      <c r="G190" s="365"/>
      <c r="H190" s="365"/>
      <c r="I190" s="365"/>
      <c r="J190" s="365"/>
    </row>
    <row r="191" spans="1:10" ht="16.5">
      <c r="A191" s="383"/>
      <c r="B191" s="384"/>
      <c r="C191" s="364"/>
      <c r="D191" s="383"/>
      <c r="E191" s="383"/>
      <c r="F191" s="365"/>
      <c r="G191" s="365"/>
      <c r="H191" s="365"/>
      <c r="I191" s="365"/>
      <c r="J191" s="365"/>
    </row>
    <row r="192" spans="1:10" ht="16.5">
      <c r="A192" s="383"/>
      <c r="B192" s="384"/>
      <c r="C192" s="364"/>
      <c r="D192" s="383"/>
      <c r="E192" s="383"/>
      <c r="F192" s="365"/>
      <c r="G192" s="365"/>
      <c r="H192" s="365"/>
      <c r="I192" s="365"/>
      <c r="J192" s="365"/>
    </row>
    <row r="193" spans="1:10" ht="16.5">
      <c r="A193" s="383"/>
      <c r="B193" s="384"/>
      <c r="C193" s="364"/>
      <c r="D193" s="383"/>
      <c r="E193" s="383"/>
      <c r="F193" s="365"/>
      <c r="G193" s="365"/>
      <c r="H193" s="365"/>
      <c r="I193" s="365"/>
      <c r="J193" s="365"/>
    </row>
    <row r="194" spans="1:10" ht="16.5">
      <c r="A194" s="383"/>
      <c r="B194" s="384"/>
      <c r="C194" s="364"/>
      <c r="D194" s="383"/>
      <c r="E194" s="383"/>
      <c r="F194" s="365"/>
      <c r="G194" s="365"/>
      <c r="H194" s="365"/>
      <c r="I194" s="365"/>
      <c r="J194" s="365"/>
    </row>
    <row r="195" spans="1:10" ht="16.5">
      <c r="A195" s="383"/>
      <c r="B195" s="384"/>
      <c r="C195" s="364"/>
      <c r="D195" s="383"/>
      <c r="E195" s="383"/>
      <c r="F195" s="365"/>
      <c r="G195" s="365"/>
      <c r="H195" s="365"/>
      <c r="I195" s="365"/>
      <c r="J195" s="365"/>
    </row>
    <row r="196" spans="1:10" ht="16.5">
      <c r="A196" s="383"/>
      <c r="B196" s="384"/>
      <c r="C196" s="364"/>
      <c r="D196" s="383"/>
      <c r="E196" s="383"/>
      <c r="F196" s="365"/>
      <c r="G196" s="365"/>
      <c r="H196" s="365"/>
      <c r="I196" s="365"/>
      <c r="J196" s="365"/>
    </row>
    <row r="197" spans="1:10" ht="16.5">
      <c r="A197" s="383"/>
      <c r="B197" s="384"/>
      <c r="C197" s="364"/>
      <c r="D197" s="383"/>
      <c r="E197" s="383"/>
      <c r="F197" s="365"/>
      <c r="G197" s="365"/>
      <c r="H197" s="365"/>
      <c r="I197" s="365"/>
      <c r="J197" s="365"/>
    </row>
    <row r="198" spans="1:10" ht="16.5">
      <c r="A198" s="383"/>
      <c r="B198" s="384"/>
      <c r="C198" s="364"/>
      <c r="D198" s="383"/>
      <c r="E198" s="383"/>
      <c r="F198" s="365"/>
      <c r="G198" s="365"/>
      <c r="H198" s="365"/>
      <c r="I198" s="365"/>
      <c r="J198" s="365"/>
    </row>
    <row r="199" spans="1:10" ht="16.5">
      <c r="A199" s="383"/>
      <c r="B199" s="384"/>
      <c r="C199" s="364"/>
      <c r="D199" s="383"/>
      <c r="E199" s="383"/>
      <c r="F199" s="365"/>
      <c r="G199" s="365"/>
      <c r="H199" s="365"/>
      <c r="I199" s="365"/>
      <c r="J199" s="365"/>
    </row>
    <row r="200" spans="1:10" ht="16.5">
      <c r="A200" s="383"/>
      <c r="B200" s="384"/>
      <c r="C200" s="364"/>
      <c r="D200" s="383"/>
      <c r="E200" s="383"/>
      <c r="F200" s="365"/>
      <c r="G200" s="365"/>
      <c r="H200" s="365"/>
      <c r="I200" s="365"/>
      <c r="J200" s="365"/>
    </row>
    <row r="201" spans="1:10" ht="16.5">
      <c r="A201" s="383"/>
      <c r="B201" s="384"/>
      <c r="C201" s="364"/>
      <c r="D201" s="383"/>
      <c r="E201" s="383"/>
      <c r="F201" s="365"/>
      <c r="G201" s="365"/>
      <c r="H201" s="365"/>
      <c r="I201" s="365"/>
      <c r="J201" s="365"/>
    </row>
    <row r="202" spans="1:10" ht="16.5">
      <c r="A202" s="383"/>
      <c r="B202" s="384"/>
      <c r="C202" s="364"/>
      <c r="D202" s="383"/>
      <c r="E202" s="383"/>
      <c r="F202" s="365"/>
      <c r="G202" s="365"/>
      <c r="H202" s="365"/>
      <c r="I202" s="365"/>
      <c r="J202" s="365"/>
    </row>
    <row r="203" spans="1:10" ht="16.5">
      <c r="A203" s="383"/>
      <c r="B203" s="384"/>
      <c r="C203" s="364"/>
      <c r="D203" s="383"/>
      <c r="E203" s="383"/>
      <c r="F203" s="365"/>
      <c r="G203" s="365"/>
      <c r="H203" s="365"/>
      <c r="I203" s="365"/>
      <c r="J203" s="365"/>
    </row>
    <row r="204" spans="1:10" ht="16.5">
      <c r="A204" s="383"/>
      <c r="B204" s="384"/>
      <c r="C204" s="364"/>
      <c r="D204" s="383"/>
      <c r="E204" s="383"/>
      <c r="F204" s="365"/>
      <c r="G204" s="365"/>
      <c r="H204" s="365"/>
      <c r="I204" s="365"/>
      <c r="J204" s="365"/>
    </row>
    <row r="205" spans="1:10" ht="16.5">
      <c r="A205" s="383"/>
      <c r="B205" s="384"/>
      <c r="C205" s="364"/>
      <c r="D205" s="383"/>
      <c r="E205" s="383"/>
      <c r="F205" s="365"/>
      <c r="G205" s="365"/>
      <c r="H205" s="365"/>
      <c r="I205" s="365"/>
      <c r="J205" s="365"/>
    </row>
    <row r="206" spans="1:10" ht="16.5">
      <c r="A206" s="383"/>
      <c r="B206" s="384"/>
      <c r="C206" s="364"/>
      <c r="D206" s="383"/>
      <c r="E206" s="383"/>
      <c r="F206" s="365"/>
      <c r="G206" s="365"/>
      <c r="H206" s="365"/>
      <c r="I206" s="365"/>
      <c r="J206" s="365"/>
    </row>
    <row r="207" spans="1:10" ht="16.5">
      <c r="A207" s="383"/>
      <c r="B207" s="384"/>
      <c r="C207" s="364"/>
      <c r="D207" s="383"/>
      <c r="E207" s="383"/>
      <c r="F207" s="365"/>
      <c r="G207" s="365"/>
      <c r="H207" s="365"/>
      <c r="I207" s="365"/>
      <c r="J207" s="365"/>
    </row>
    <row r="208" spans="1:10" ht="16.5">
      <c r="A208" s="383"/>
      <c r="B208" s="384"/>
      <c r="C208" s="364"/>
      <c r="D208" s="383"/>
      <c r="E208" s="383"/>
      <c r="F208" s="365"/>
      <c r="G208" s="365"/>
      <c r="H208" s="365"/>
      <c r="I208" s="365"/>
      <c r="J208" s="365"/>
    </row>
    <row r="209" spans="1:10" ht="16.5">
      <c r="A209" s="383"/>
      <c r="B209" s="384"/>
      <c r="C209" s="364"/>
      <c r="D209" s="383"/>
      <c r="E209" s="383"/>
      <c r="F209" s="365"/>
      <c r="G209" s="365"/>
      <c r="H209" s="365"/>
      <c r="I209" s="365"/>
      <c r="J209" s="365"/>
    </row>
    <row r="210" spans="1:10" ht="16.5">
      <c r="A210" s="383"/>
      <c r="B210" s="384"/>
      <c r="C210" s="364"/>
      <c r="D210" s="383"/>
      <c r="E210" s="383"/>
      <c r="F210" s="365"/>
      <c r="G210" s="365"/>
      <c r="H210" s="365"/>
      <c r="I210" s="365"/>
      <c r="J210" s="365"/>
    </row>
    <row r="211" spans="1:10" ht="16.5">
      <c r="A211" s="383"/>
      <c r="B211" s="384"/>
      <c r="C211" s="364"/>
      <c r="D211" s="383"/>
      <c r="E211" s="383"/>
      <c r="F211" s="365"/>
      <c r="G211" s="365"/>
      <c r="H211" s="365"/>
      <c r="I211" s="365"/>
      <c r="J211" s="365"/>
    </row>
    <row r="212" spans="1:10" ht="16.5">
      <c r="A212" s="383"/>
      <c r="B212" s="384"/>
      <c r="C212" s="364"/>
      <c r="D212" s="383"/>
      <c r="E212" s="383"/>
      <c r="F212" s="365"/>
      <c r="G212" s="365"/>
      <c r="H212" s="365"/>
      <c r="I212" s="365"/>
      <c r="J212" s="365"/>
    </row>
    <row r="213" spans="1:10" ht="16.5">
      <c r="A213" s="383"/>
      <c r="B213" s="384"/>
      <c r="C213" s="364"/>
      <c r="D213" s="383"/>
      <c r="E213" s="383"/>
      <c r="F213" s="365"/>
      <c r="G213" s="365"/>
      <c r="H213" s="365"/>
      <c r="I213" s="365"/>
      <c r="J213" s="365"/>
    </row>
    <row r="214" spans="1:10" ht="16.5">
      <c r="A214" s="383"/>
      <c r="B214" s="384"/>
      <c r="C214" s="364"/>
      <c r="D214" s="383"/>
      <c r="E214" s="383"/>
      <c r="F214" s="365"/>
      <c r="G214" s="365"/>
      <c r="H214" s="365"/>
      <c r="I214" s="365"/>
      <c r="J214" s="365"/>
    </row>
    <row r="215" spans="1:10" ht="16.5">
      <c r="A215" s="383"/>
      <c r="B215" s="384"/>
      <c r="C215" s="364"/>
      <c r="D215" s="383"/>
      <c r="E215" s="383"/>
      <c r="F215" s="365"/>
      <c r="G215" s="365"/>
      <c r="H215" s="365"/>
      <c r="I215" s="365"/>
      <c r="J215" s="365"/>
    </row>
    <row r="216" spans="1:10" ht="16.5">
      <c r="A216" s="383"/>
      <c r="B216" s="384"/>
      <c r="C216" s="364"/>
      <c r="D216" s="383"/>
      <c r="E216" s="383"/>
      <c r="F216" s="365"/>
      <c r="G216" s="365"/>
      <c r="H216" s="365"/>
      <c r="I216" s="365"/>
      <c r="J216" s="365"/>
    </row>
    <row r="217" spans="1:10" ht="16.5">
      <c r="A217" s="383"/>
      <c r="B217" s="384"/>
      <c r="C217" s="364"/>
      <c r="D217" s="383"/>
      <c r="E217" s="383"/>
      <c r="F217" s="365"/>
      <c r="G217" s="365"/>
      <c r="H217" s="365"/>
      <c r="I217" s="365"/>
      <c r="J217" s="365"/>
    </row>
    <row r="218" spans="1:10" ht="16.5">
      <c r="A218" s="383"/>
      <c r="B218" s="384"/>
      <c r="C218" s="364"/>
      <c r="D218" s="383"/>
      <c r="E218" s="383"/>
      <c r="F218" s="365"/>
      <c r="G218" s="365"/>
      <c r="H218" s="365"/>
      <c r="I218" s="365"/>
      <c r="J218" s="365"/>
    </row>
    <row r="219" spans="1:10" ht="16.5">
      <c r="A219" s="383"/>
      <c r="B219" s="384"/>
      <c r="C219" s="364"/>
      <c r="D219" s="383"/>
      <c r="E219" s="383"/>
      <c r="F219" s="365"/>
      <c r="G219" s="365"/>
      <c r="H219" s="365"/>
      <c r="I219" s="365"/>
      <c r="J219" s="365"/>
    </row>
    <row r="220" spans="1:10" ht="16.5">
      <c r="A220" s="383"/>
      <c r="B220" s="384"/>
      <c r="C220" s="364"/>
      <c r="D220" s="383"/>
      <c r="E220" s="383"/>
      <c r="F220" s="365"/>
      <c r="G220" s="365"/>
      <c r="H220" s="365"/>
      <c r="I220" s="365"/>
      <c r="J220" s="365"/>
    </row>
    <row r="221" spans="1:10" ht="16.5">
      <c r="A221" s="383"/>
      <c r="B221" s="384"/>
      <c r="C221" s="364"/>
      <c r="D221" s="383"/>
      <c r="E221" s="383"/>
      <c r="F221" s="365"/>
      <c r="G221" s="365"/>
      <c r="H221" s="365"/>
      <c r="I221" s="365"/>
      <c r="J221" s="365"/>
    </row>
    <row r="222" spans="1:10" ht="16.5">
      <c r="A222" s="383"/>
      <c r="B222" s="384"/>
      <c r="C222" s="364"/>
      <c r="D222" s="383"/>
      <c r="E222" s="383"/>
      <c r="F222" s="365"/>
      <c r="G222" s="365"/>
      <c r="H222" s="365"/>
      <c r="I222" s="365"/>
      <c r="J222" s="365"/>
    </row>
    <row r="223" spans="1:10" ht="16.5">
      <c r="A223" s="383"/>
      <c r="B223" s="384"/>
      <c r="C223" s="364"/>
      <c r="D223" s="383"/>
      <c r="E223" s="383"/>
      <c r="F223" s="365"/>
      <c r="G223" s="365"/>
      <c r="H223" s="365"/>
      <c r="I223" s="365"/>
      <c r="J223" s="365"/>
    </row>
    <row r="224" spans="1:10" ht="16.5">
      <c r="A224" s="383"/>
      <c r="B224" s="384"/>
      <c r="C224" s="364"/>
      <c r="D224" s="383"/>
      <c r="E224" s="383"/>
      <c r="F224" s="365"/>
      <c r="G224" s="365"/>
      <c r="H224" s="365"/>
      <c r="I224" s="365"/>
      <c r="J224" s="365"/>
    </row>
    <row r="225" spans="1:10" ht="16.5">
      <c r="A225" s="383"/>
      <c r="B225" s="384"/>
      <c r="C225" s="364"/>
      <c r="D225" s="383"/>
      <c r="E225" s="383"/>
      <c r="F225" s="365"/>
      <c r="G225" s="365"/>
      <c r="H225" s="365"/>
      <c r="I225" s="365"/>
      <c r="J225" s="365"/>
    </row>
    <row r="226" spans="1:10" ht="16.5">
      <c r="A226" s="383"/>
      <c r="B226" s="384"/>
      <c r="C226" s="364"/>
      <c r="D226" s="383"/>
      <c r="E226" s="383"/>
      <c r="F226" s="365"/>
      <c r="G226" s="365"/>
      <c r="H226" s="365"/>
      <c r="I226" s="365"/>
      <c r="J226" s="365"/>
    </row>
    <row r="227" spans="1:10" ht="16.5">
      <c r="A227" s="383"/>
      <c r="B227" s="384"/>
      <c r="C227" s="364"/>
      <c r="D227" s="383"/>
      <c r="E227" s="383"/>
      <c r="F227" s="365"/>
      <c r="G227" s="365"/>
      <c r="H227" s="365"/>
      <c r="I227" s="365"/>
      <c r="J227" s="365"/>
    </row>
    <row r="228" spans="1:10" ht="16.5">
      <c r="A228" s="383"/>
      <c r="B228" s="384"/>
      <c r="C228" s="364"/>
      <c r="D228" s="383"/>
      <c r="E228" s="383"/>
      <c r="F228" s="365"/>
      <c r="G228" s="365"/>
      <c r="H228" s="365"/>
      <c r="I228" s="365"/>
      <c r="J228" s="365"/>
    </row>
    <row r="229" spans="1:10" ht="16.5">
      <c r="A229" s="383"/>
      <c r="B229" s="384"/>
      <c r="C229" s="364"/>
      <c r="D229" s="383"/>
      <c r="E229" s="383"/>
      <c r="F229" s="365"/>
      <c r="G229" s="365"/>
      <c r="H229" s="365"/>
      <c r="I229" s="365"/>
      <c r="J229" s="365"/>
    </row>
    <row r="230" spans="1:10" ht="16.5">
      <c r="A230" s="383"/>
      <c r="B230" s="384"/>
      <c r="C230" s="364"/>
      <c r="D230" s="383"/>
      <c r="E230" s="383"/>
      <c r="F230" s="365"/>
      <c r="G230" s="365"/>
      <c r="H230" s="365"/>
      <c r="I230" s="365"/>
      <c r="J230" s="365"/>
    </row>
    <row r="231" spans="1:10" ht="16.5">
      <c r="A231" s="383"/>
      <c r="B231" s="384"/>
      <c r="C231" s="364"/>
      <c r="D231" s="383"/>
      <c r="E231" s="383"/>
      <c r="F231" s="365"/>
      <c r="G231" s="365"/>
      <c r="H231" s="365"/>
      <c r="I231" s="365"/>
      <c r="J231" s="365"/>
    </row>
    <row r="232" spans="1:10" ht="16.5">
      <c r="A232" s="383"/>
      <c r="B232" s="384"/>
      <c r="C232" s="364"/>
      <c r="D232" s="383"/>
      <c r="E232" s="383"/>
      <c r="F232" s="365"/>
      <c r="G232" s="365"/>
      <c r="H232" s="365"/>
      <c r="I232" s="365"/>
      <c r="J232" s="365"/>
    </row>
    <row r="233" spans="1:10" ht="16.5">
      <c r="A233" s="383"/>
      <c r="B233" s="384"/>
      <c r="C233" s="364"/>
      <c r="D233" s="383"/>
      <c r="E233" s="383"/>
      <c r="F233" s="365"/>
      <c r="G233" s="365"/>
      <c r="H233" s="365"/>
      <c r="I233" s="365"/>
      <c r="J233" s="365"/>
    </row>
    <row r="234" spans="1:10" ht="16.5">
      <c r="A234" s="383"/>
      <c r="B234" s="384"/>
      <c r="C234" s="364"/>
      <c r="D234" s="383"/>
      <c r="E234" s="383"/>
      <c r="F234" s="365"/>
      <c r="G234" s="365"/>
      <c r="H234" s="365"/>
      <c r="I234" s="365"/>
      <c r="J234" s="365"/>
    </row>
    <row r="235" spans="1:10" ht="16.5">
      <c r="A235" s="383"/>
      <c r="B235" s="384"/>
      <c r="C235" s="364"/>
      <c r="D235" s="383"/>
      <c r="E235" s="383"/>
      <c r="F235" s="365"/>
      <c r="G235" s="365"/>
      <c r="H235" s="365"/>
      <c r="I235" s="365"/>
      <c r="J235" s="365"/>
    </row>
    <row r="236" spans="1:10" ht="16.5">
      <c r="A236" s="383"/>
      <c r="B236" s="384"/>
      <c r="C236" s="364"/>
      <c r="D236" s="383"/>
      <c r="E236" s="383"/>
      <c r="F236" s="365"/>
      <c r="G236" s="365"/>
      <c r="H236" s="365"/>
      <c r="I236" s="365"/>
      <c r="J236" s="365"/>
    </row>
    <row r="237" spans="1:10" ht="16.5">
      <c r="A237" s="383"/>
      <c r="B237" s="384"/>
      <c r="C237" s="364"/>
      <c r="D237" s="383"/>
      <c r="E237" s="383"/>
      <c r="F237" s="365"/>
      <c r="G237" s="365"/>
      <c r="H237" s="365"/>
      <c r="I237" s="365"/>
      <c r="J237" s="365"/>
    </row>
    <row r="238" spans="1:10" ht="16.5">
      <c r="A238" s="383"/>
      <c r="B238" s="384"/>
      <c r="C238" s="364"/>
      <c r="D238" s="383"/>
      <c r="E238" s="383"/>
      <c r="F238" s="365"/>
      <c r="G238" s="365"/>
      <c r="H238" s="365"/>
      <c r="I238" s="365"/>
      <c r="J238" s="365"/>
    </row>
    <row r="239" spans="1:10" ht="16.5">
      <c r="A239" s="383"/>
      <c r="B239" s="384"/>
      <c r="C239" s="364"/>
      <c r="D239" s="383"/>
      <c r="E239" s="383"/>
      <c r="F239" s="365"/>
      <c r="G239" s="365"/>
      <c r="H239" s="365"/>
      <c r="I239" s="365"/>
      <c r="J239" s="365"/>
    </row>
    <row r="240" spans="1:10" ht="16.5">
      <c r="A240" s="383"/>
      <c r="B240" s="384"/>
      <c r="C240" s="364"/>
      <c r="D240" s="383"/>
      <c r="E240" s="383"/>
      <c r="F240" s="365"/>
      <c r="G240" s="365"/>
      <c r="H240" s="365"/>
      <c r="I240" s="365"/>
      <c r="J240" s="365"/>
    </row>
    <row r="241" spans="1:10" ht="16.5">
      <c r="A241" s="383"/>
      <c r="B241" s="384"/>
      <c r="C241" s="364"/>
      <c r="D241" s="383"/>
      <c r="E241" s="383"/>
      <c r="F241" s="365"/>
      <c r="G241" s="365"/>
      <c r="H241" s="365"/>
      <c r="I241" s="365"/>
      <c r="J241" s="365"/>
    </row>
    <row r="242" spans="1:10" ht="16.5">
      <c r="A242" s="383"/>
      <c r="B242" s="384"/>
      <c r="C242" s="364"/>
      <c r="D242" s="383"/>
      <c r="E242" s="383"/>
      <c r="F242" s="365"/>
      <c r="G242" s="365"/>
      <c r="H242" s="365"/>
      <c r="I242" s="365"/>
      <c r="J242" s="365"/>
    </row>
    <row r="243" spans="1:10" ht="16.5">
      <c r="A243" s="383"/>
      <c r="B243" s="384"/>
      <c r="C243" s="364"/>
      <c r="D243" s="383"/>
      <c r="E243" s="383"/>
      <c r="F243" s="365"/>
      <c r="G243" s="365"/>
      <c r="H243" s="365"/>
      <c r="I243" s="365"/>
      <c r="J243" s="365"/>
    </row>
    <row r="244" spans="1:10" ht="16.5">
      <c r="A244" s="383"/>
      <c r="B244" s="384"/>
      <c r="C244" s="364"/>
      <c r="D244" s="383"/>
      <c r="E244" s="383"/>
      <c r="F244" s="365"/>
      <c r="G244" s="365"/>
      <c r="H244" s="365"/>
      <c r="I244" s="365"/>
      <c r="J244" s="365"/>
    </row>
    <row r="245" spans="1:10" ht="16.5">
      <c r="A245" s="383"/>
      <c r="B245" s="384"/>
      <c r="C245" s="364"/>
      <c r="D245" s="383"/>
      <c r="E245" s="383"/>
      <c r="F245" s="365"/>
      <c r="G245" s="365"/>
      <c r="H245" s="365"/>
      <c r="I245" s="365"/>
      <c r="J245" s="365"/>
    </row>
    <row r="246" spans="1:10" ht="16.5">
      <c r="A246" s="383"/>
      <c r="B246" s="384"/>
      <c r="C246" s="364"/>
      <c r="D246" s="383"/>
      <c r="E246" s="383"/>
      <c r="F246" s="365"/>
      <c r="G246" s="365"/>
      <c r="H246" s="365"/>
      <c r="I246" s="365"/>
      <c r="J246" s="365"/>
    </row>
    <row r="247" spans="1:10" ht="16.5">
      <c r="A247" s="383"/>
      <c r="B247" s="384"/>
      <c r="C247" s="364"/>
      <c r="D247" s="383"/>
      <c r="E247" s="383"/>
      <c r="F247" s="365"/>
      <c r="G247" s="365"/>
      <c r="H247" s="365"/>
      <c r="I247" s="365"/>
      <c r="J247" s="365"/>
    </row>
    <row r="248" spans="1:10" ht="16.5">
      <c r="A248" s="383"/>
      <c r="B248" s="384"/>
      <c r="C248" s="364"/>
      <c r="D248" s="383"/>
      <c r="E248" s="383"/>
      <c r="F248" s="365"/>
      <c r="G248" s="365"/>
      <c r="H248" s="365"/>
      <c r="I248" s="365"/>
      <c r="J248" s="365"/>
    </row>
    <row r="249" spans="1:10" ht="16.5">
      <c r="A249" s="383"/>
      <c r="B249" s="384"/>
      <c r="C249" s="364"/>
      <c r="D249" s="383"/>
      <c r="E249" s="383"/>
      <c r="F249" s="365"/>
      <c r="G249" s="365"/>
      <c r="H249" s="365"/>
      <c r="I249" s="365"/>
      <c r="J249" s="365"/>
    </row>
    <row r="250" spans="1:10" ht="16.5">
      <c r="A250" s="383"/>
      <c r="B250" s="384"/>
      <c r="C250" s="364"/>
      <c r="D250" s="383"/>
      <c r="E250" s="383"/>
      <c r="F250" s="365"/>
      <c r="G250" s="365"/>
      <c r="H250" s="365"/>
      <c r="I250" s="365"/>
      <c r="J250" s="365"/>
    </row>
    <row r="251" spans="1:10" ht="16.5">
      <c r="A251" s="383"/>
      <c r="B251" s="384"/>
      <c r="C251" s="364"/>
      <c r="D251" s="383"/>
      <c r="E251" s="383"/>
      <c r="F251" s="365"/>
      <c r="G251" s="365"/>
      <c r="H251" s="365"/>
      <c r="I251" s="365"/>
      <c r="J251" s="365"/>
    </row>
    <row r="252" spans="1:10" ht="16.5">
      <c r="A252" s="383"/>
      <c r="B252" s="384"/>
      <c r="C252" s="364"/>
      <c r="D252" s="383"/>
      <c r="E252" s="383"/>
      <c r="F252" s="365"/>
      <c r="G252" s="365"/>
      <c r="H252" s="365"/>
      <c r="I252" s="365"/>
      <c r="J252" s="365"/>
    </row>
    <row r="253" spans="1:10" ht="16.5">
      <c r="A253" s="383"/>
      <c r="B253" s="384"/>
      <c r="C253" s="364"/>
      <c r="D253" s="383"/>
      <c r="E253" s="383"/>
      <c r="F253" s="365"/>
      <c r="G253" s="365"/>
      <c r="H253" s="365"/>
      <c r="I253" s="365"/>
      <c r="J253" s="365"/>
    </row>
    <row r="254" spans="1:10" ht="16.5">
      <c r="A254" s="383"/>
      <c r="B254" s="384"/>
      <c r="C254" s="364"/>
      <c r="D254" s="383"/>
      <c r="E254" s="383"/>
      <c r="F254" s="365"/>
      <c r="G254" s="365"/>
      <c r="H254" s="365"/>
      <c r="I254" s="365"/>
      <c r="J254" s="365"/>
    </row>
    <row r="255" spans="1:10" ht="16.5">
      <c r="A255" s="383"/>
      <c r="B255" s="384"/>
      <c r="C255" s="364"/>
      <c r="D255" s="383"/>
      <c r="E255" s="383"/>
      <c r="F255" s="365"/>
      <c r="G255" s="365"/>
      <c r="H255" s="365"/>
      <c r="I255" s="365"/>
      <c r="J255" s="365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/>
  </sheetViews>
  <sheetFormatPr defaultRowHeight="15"/>
  <sheetData>
    <row r="1" spans="1:13" ht="33">
      <c r="A1" s="656"/>
      <c r="B1" s="772" t="s">
        <v>818</v>
      </c>
      <c r="D1" s="773"/>
      <c r="E1" s="773"/>
      <c r="G1" s="1143"/>
      <c r="H1" s="1143"/>
      <c r="I1" s="1144"/>
      <c r="J1" s="1144"/>
    </row>
    <row r="2" spans="1:13" ht="16.5">
      <c r="A2" s="1145" t="s">
        <v>713</v>
      </c>
      <c r="B2" s="1145"/>
      <c r="C2" s="1145"/>
      <c r="D2" s="1145"/>
      <c r="E2" s="1145"/>
      <c r="F2" s="1145"/>
      <c r="G2" s="1145"/>
      <c r="H2" s="1145"/>
      <c r="I2" s="1145"/>
      <c r="J2" s="1145"/>
    </row>
    <row r="3" spans="1:13" ht="16.5">
      <c r="A3" s="1154" t="s">
        <v>816</v>
      </c>
      <c r="B3" s="1154"/>
      <c r="C3" s="1154"/>
      <c r="D3" s="1154"/>
      <c r="E3" s="1154"/>
      <c r="F3" s="1154"/>
      <c r="G3" s="1154"/>
      <c r="H3" s="1154"/>
      <c r="I3" s="1154"/>
      <c r="J3" s="1154"/>
    </row>
    <row r="4" spans="1:13" ht="16.5">
      <c r="A4" s="856"/>
      <c r="B4" s="856"/>
      <c r="C4" s="856"/>
      <c r="D4" s="856"/>
      <c r="E4" s="856"/>
      <c r="F4" s="856"/>
      <c r="G4" s="856"/>
      <c r="H4" s="856"/>
      <c r="I4" s="856"/>
      <c r="J4" s="856"/>
    </row>
    <row r="5" spans="1:13" ht="99">
      <c r="A5" s="1146" t="s">
        <v>0</v>
      </c>
      <c r="B5" s="1148" t="s">
        <v>287</v>
      </c>
      <c r="C5" s="1148" t="s">
        <v>184</v>
      </c>
      <c r="D5" s="1150" t="s">
        <v>611</v>
      </c>
      <c r="E5" s="1150" t="s">
        <v>602</v>
      </c>
      <c r="F5" s="1151" t="s">
        <v>769</v>
      </c>
      <c r="G5" s="1152"/>
      <c r="H5" s="1152"/>
      <c r="I5" s="1152"/>
      <c r="J5" s="1153"/>
    </row>
    <row r="6" spans="1:13" ht="66">
      <c r="A6" s="1147"/>
      <c r="B6" s="1149"/>
      <c r="C6" s="1149"/>
      <c r="D6" s="1150"/>
      <c r="E6" s="1150"/>
      <c r="F6" s="332" t="s">
        <v>770</v>
      </c>
      <c r="G6" s="332" t="s">
        <v>771</v>
      </c>
      <c r="H6" s="332" t="s">
        <v>772</v>
      </c>
      <c r="I6" s="332" t="s">
        <v>773</v>
      </c>
      <c r="J6" s="332" t="s">
        <v>774</v>
      </c>
    </row>
    <row r="7" spans="1:13" ht="82.5">
      <c r="A7" s="936" t="s">
        <v>101</v>
      </c>
      <c r="B7" s="1045" t="s">
        <v>668</v>
      </c>
      <c r="C7" s="937" t="s">
        <v>342</v>
      </c>
      <c r="D7" s="855"/>
      <c r="E7" s="855"/>
      <c r="F7" s="855"/>
      <c r="G7" s="855"/>
      <c r="H7" s="855"/>
      <c r="I7" s="855"/>
      <c r="J7" s="855"/>
    </row>
    <row r="8" spans="1:13" ht="82.5">
      <c r="A8" s="936"/>
      <c r="B8" s="678" t="s">
        <v>670</v>
      </c>
      <c r="C8" s="675" t="s">
        <v>342</v>
      </c>
      <c r="D8" s="855"/>
      <c r="E8" s="855"/>
      <c r="F8" s="855"/>
      <c r="G8" s="855"/>
      <c r="H8" s="855"/>
      <c r="I8" s="855"/>
      <c r="J8" s="855"/>
    </row>
    <row r="9" spans="1:13" ht="66">
      <c r="A9" s="936"/>
      <c r="B9" s="678" t="s">
        <v>671</v>
      </c>
      <c r="C9" s="675" t="s">
        <v>342</v>
      </c>
      <c r="D9" s="855"/>
      <c r="E9" s="855"/>
      <c r="F9" s="855"/>
      <c r="G9" s="855"/>
      <c r="H9" s="855"/>
      <c r="I9" s="855"/>
      <c r="J9" s="855"/>
    </row>
    <row r="10" spans="1:13" ht="115.5">
      <c r="A10" s="936"/>
      <c r="B10" s="678" t="s">
        <v>672</v>
      </c>
      <c r="C10" s="675" t="s">
        <v>342</v>
      </c>
      <c r="D10" s="855"/>
      <c r="E10" s="855"/>
      <c r="F10" s="855"/>
      <c r="G10" s="855"/>
      <c r="H10" s="855"/>
      <c r="I10" s="855"/>
      <c r="J10" s="855"/>
    </row>
    <row r="11" spans="1:13" ht="66">
      <c r="A11" s="936"/>
      <c r="B11" s="678" t="s">
        <v>673</v>
      </c>
      <c r="C11" s="675" t="s">
        <v>342</v>
      </c>
      <c r="D11" s="855"/>
      <c r="E11" s="855"/>
      <c r="F11" s="855"/>
      <c r="G11" s="855"/>
      <c r="H11" s="855"/>
      <c r="I11" s="855"/>
      <c r="J11" s="855"/>
    </row>
    <row r="12" spans="1:13" ht="99">
      <c r="A12" s="938" t="s">
        <v>102</v>
      </c>
      <c r="B12" s="939" t="s">
        <v>568</v>
      </c>
      <c r="C12" s="940" t="s">
        <v>5</v>
      </c>
      <c r="D12" s="774"/>
      <c r="E12" s="774"/>
      <c r="F12" s="774"/>
      <c r="G12" s="774"/>
      <c r="H12" s="774"/>
      <c r="I12" s="774"/>
      <c r="J12" s="774"/>
      <c r="K12" s="681"/>
      <c r="M12" s="680"/>
    </row>
    <row r="13" spans="1:13" ht="66">
      <c r="A13" s="940"/>
      <c r="B13" s="941" t="s">
        <v>569</v>
      </c>
      <c r="C13" s="940" t="s">
        <v>5</v>
      </c>
      <c r="D13" s="774"/>
      <c r="E13" s="774"/>
      <c r="F13" s="774"/>
      <c r="G13" s="774"/>
      <c r="H13" s="774"/>
      <c r="I13" s="774"/>
      <c r="J13" s="774"/>
      <c r="K13" s="681"/>
      <c r="M13" s="680"/>
    </row>
    <row r="14" spans="1:13" ht="115.5">
      <c r="A14" s="938" t="s">
        <v>115</v>
      </c>
      <c r="B14" s="939" t="s">
        <v>570</v>
      </c>
      <c r="C14" s="940" t="s">
        <v>5</v>
      </c>
      <c r="D14" s="774"/>
      <c r="E14" s="774"/>
      <c r="F14" s="774"/>
      <c r="G14" s="774"/>
      <c r="H14" s="774"/>
      <c r="I14" s="774"/>
      <c r="J14" s="774"/>
      <c r="K14" s="680"/>
    </row>
    <row r="15" spans="1:13" ht="51">
      <c r="A15" s="942"/>
      <c r="B15" s="943" t="s">
        <v>674</v>
      </c>
      <c r="C15" s="944"/>
      <c r="D15" s="774"/>
      <c r="E15" s="774"/>
      <c r="F15" s="774"/>
      <c r="G15" s="774"/>
      <c r="H15" s="774"/>
      <c r="I15" s="774"/>
      <c r="J15" s="774"/>
      <c r="K15" s="681"/>
      <c r="M15" s="680"/>
    </row>
    <row r="16" spans="1:13" ht="63.75">
      <c r="A16" s="945"/>
      <c r="B16" s="946" t="s">
        <v>675</v>
      </c>
      <c r="C16" s="947" t="s">
        <v>5</v>
      </c>
      <c r="D16" s="948"/>
      <c r="E16" s="948"/>
      <c r="F16" s="948"/>
      <c r="G16" s="948"/>
      <c r="H16" s="948"/>
      <c r="I16" s="948"/>
      <c r="J16" s="948"/>
      <c r="K16" s="846" t="s">
        <v>690</v>
      </c>
      <c r="M16" s="847"/>
    </row>
    <row r="17" spans="1:13" ht="38.25">
      <c r="A17" s="945"/>
      <c r="B17" s="946" t="s">
        <v>677</v>
      </c>
      <c r="C17" s="947" t="s">
        <v>5</v>
      </c>
      <c r="D17" s="948"/>
      <c r="E17" s="948"/>
      <c r="F17" s="948"/>
      <c r="G17" s="948"/>
      <c r="H17" s="948"/>
      <c r="I17" s="948"/>
      <c r="J17" s="948"/>
      <c r="K17" s="848"/>
      <c r="M17" s="847"/>
    </row>
    <row r="18" spans="1:13" ht="82.5">
      <c r="A18" s="775" t="s">
        <v>116</v>
      </c>
      <c r="B18" s="776" t="s">
        <v>350</v>
      </c>
      <c r="C18" s="777"/>
      <c r="D18" s="778"/>
      <c r="E18" s="778"/>
      <c r="F18" s="778"/>
      <c r="G18" s="778"/>
      <c r="H18" s="778"/>
      <c r="I18" s="778"/>
      <c r="J18" s="778"/>
    </row>
    <row r="19" spans="1:13" ht="33">
      <c r="A19" s="779">
        <v>1</v>
      </c>
      <c r="B19" s="780" t="s">
        <v>351</v>
      </c>
      <c r="C19" s="777" t="s">
        <v>352</v>
      </c>
      <c r="D19" s="778"/>
      <c r="E19" s="778"/>
      <c r="F19" s="778"/>
      <c r="G19" s="778"/>
      <c r="H19" s="778"/>
      <c r="I19" s="778"/>
      <c r="J19" s="778"/>
    </row>
    <row r="20" spans="1:13" ht="49.5">
      <c r="A20" s="779">
        <v>2</v>
      </c>
      <c r="B20" s="780" t="s">
        <v>353</v>
      </c>
      <c r="C20" s="777" t="s">
        <v>522</v>
      </c>
      <c r="D20" s="778"/>
      <c r="E20" s="778"/>
      <c r="F20" s="949"/>
      <c r="G20" s="950"/>
      <c r="H20" s="950"/>
      <c r="I20" s="950"/>
      <c r="J20" s="949"/>
    </row>
    <row r="21" spans="1:13" ht="33">
      <c r="A21" s="779">
        <v>1</v>
      </c>
      <c r="B21" s="780" t="s">
        <v>355</v>
      </c>
      <c r="C21" s="777" t="s">
        <v>356</v>
      </c>
      <c r="D21" s="954">
        <v>58.1</v>
      </c>
      <c r="E21" s="777">
        <f>SUM(F21:J21)</f>
        <v>117</v>
      </c>
      <c r="F21" s="777">
        <v>20</v>
      </c>
      <c r="G21" s="777">
        <v>22</v>
      </c>
      <c r="H21" s="777">
        <v>24</v>
      </c>
      <c r="I21" s="777">
        <v>25</v>
      </c>
      <c r="J21" s="777">
        <v>26</v>
      </c>
    </row>
    <row r="22" spans="1:13" ht="33">
      <c r="A22" s="779">
        <v>2</v>
      </c>
      <c r="B22" s="780" t="s">
        <v>357</v>
      </c>
      <c r="C22" s="777" t="s">
        <v>751</v>
      </c>
      <c r="D22" s="954">
        <v>24.3</v>
      </c>
      <c r="E22" s="954">
        <f>SUM(F22:J22)</f>
        <v>32.5</v>
      </c>
      <c r="F22" s="954">
        <v>6.5</v>
      </c>
      <c r="G22" s="954">
        <v>6.5</v>
      </c>
      <c r="H22" s="954">
        <v>6.5</v>
      </c>
      <c r="I22" s="954">
        <v>6.5</v>
      </c>
      <c r="J22" s="954">
        <v>6.5</v>
      </c>
    </row>
    <row r="23" spans="1:13" ht="49.5">
      <c r="A23" s="779">
        <v>3</v>
      </c>
      <c r="B23" s="780" t="s">
        <v>359</v>
      </c>
      <c r="C23" s="777" t="s">
        <v>752</v>
      </c>
      <c r="D23" s="954">
        <v>2.1</v>
      </c>
      <c r="E23" s="954">
        <f>SUM(F23:J23)</f>
        <v>2.5</v>
      </c>
      <c r="F23" s="954">
        <v>0.5</v>
      </c>
      <c r="G23" s="954">
        <v>0.5</v>
      </c>
      <c r="H23" s="954">
        <v>0.5</v>
      </c>
      <c r="I23" s="954">
        <v>0.5</v>
      </c>
      <c r="J23" s="954">
        <v>0.5</v>
      </c>
    </row>
    <row r="24" spans="1:13" ht="33">
      <c r="A24" s="779">
        <v>6</v>
      </c>
      <c r="B24" s="780" t="s">
        <v>361</v>
      </c>
      <c r="C24" s="777" t="s">
        <v>362</v>
      </c>
      <c r="D24" s="778"/>
      <c r="E24" s="954"/>
      <c r="F24" s="954"/>
      <c r="G24" s="954"/>
      <c r="H24" s="954"/>
      <c r="I24" s="954"/>
      <c r="J24" s="954"/>
    </row>
    <row r="25" spans="1:13" ht="49.5">
      <c r="A25" s="779">
        <v>7</v>
      </c>
      <c r="B25" s="780" t="s">
        <v>363</v>
      </c>
      <c r="C25" s="777" t="s">
        <v>364</v>
      </c>
      <c r="D25" s="951"/>
      <c r="E25" s="954"/>
      <c r="F25" s="954"/>
      <c r="G25" s="954"/>
      <c r="H25" s="954"/>
      <c r="I25" s="954"/>
      <c r="J25" s="954"/>
    </row>
    <row r="26" spans="1:13" ht="99">
      <c r="A26" s="779">
        <v>8</v>
      </c>
      <c r="B26" s="780" t="s">
        <v>365</v>
      </c>
      <c r="C26" s="777" t="s">
        <v>354</v>
      </c>
      <c r="D26" s="951"/>
      <c r="E26" s="954"/>
      <c r="F26" s="954"/>
      <c r="G26" s="954"/>
      <c r="H26" s="954"/>
      <c r="I26" s="954"/>
      <c r="J26" s="954"/>
    </row>
    <row r="27" spans="1:13" ht="66">
      <c r="A27" s="781">
        <v>9</v>
      </c>
      <c r="B27" s="780" t="s">
        <v>366</v>
      </c>
      <c r="C27" s="777" t="s">
        <v>367</v>
      </c>
      <c r="D27" s="952"/>
      <c r="E27" s="954"/>
      <c r="F27" s="954"/>
      <c r="G27" s="954"/>
      <c r="H27" s="954"/>
      <c r="I27" s="954"/>
      <c r="J27" s="954"/>
    </row>
    <row r="28" spans="1:13" ht="66">
      <c r="A28" s="781">
        <v>10</v>
      </c>
      <c r="B28" s="780" t="s">
        <v>368</v>
      </c>
      <c r="C28" s="777" t="s">
        <v>354</v>
      </c>
      <c r="D28" s="951"/>
      <c r="E28" s="954"/>
      <c r="F28" s="954"/>
      <c r="G28" s="954"/>
      <c r="H28" s="954"/>
      <c r="I28" s="954"/>
      <c r="J28" s="954"/>
    </row>
    <row r="29" spans="1:13" ht="82.5">
      <c r="A29" s="779">
        <v>4</v>
      </c>
      <c r="B29" s="780" t="s">
        <v>369</v>
      </c>
      <c r="C29" s="777" t="s">
        <v>370</v>
      </c>
      <c r="D29" s="953">
        <v>12</v>
      </c>
      <c r="E29" s="777">
        <v>12</v>
      </c>
      <c r="F29" s="777">
        <v>12</v>
      </c>
      <c r="G29" s="777">
        <v>12</v>
      </c>
      <c r="H29" s="777">
        <v>12</v>
      </c>
      <c r="I29" s="777">
        <v>12</v>
      </c>
      <c r="J29" s="777">
        <v>12</v>
      </c>
    </row>
    <row r="30" spans="1:13" ht="66">
      <c r="A30" s="779">
        <v>5</v>
      </c>
      <c r="B30" s="780" t="s">
        <v>371</v>
      </c>
      <c r="C30" s="777" t="s">
        <v>5</v>
      </c>
      <c r="D30" s="953">
        <v>84</v>
      </c>
      <c r="E30" s="777">
        <v>95</v>
      </c>
      <c r="F30" s="777">
        <v>86</v>
      </c>
      <c r="G30" s="777">
        <v>88</v>
      </c>
      <c r="H30" s="777">
        <v>92</v>
      </c>
      <c r="I30" s="777">
        <v>95</v>
      </c>
      <c r="J30" s="777">
        <v>99</v>
      </c>
    </row>
    <row r="31" spans="1:13" ht="16.5">
      <c r="B31" s="782"/>
      <c r="C31" s="782"/>
      <c r="D31" s="782"/>
      <c r="E31" s="782"/>
      <c r="F31" s="782"/>
      <c r="G31" s="782"/>
      <c r="H31" s="782"/>
      <c r="I31" s="782"/>
      <c r="J31" s="782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workbookViewId="0"/>
  </sheetViews>
  <sheetFormatPr defaultRowHeight="15"/>
  <sheetData>
    <row r="1" spans="1:23" ht="33">
      <c r="B1" s="390" t="s">
        <v>712</v>
      </c>
      <c r="H1" s="1142" t="s">
        <v>608</v>
      </c>
      <c r="I1" s="1142"/>
      <c r="J1" s="1048" t="s">
        <v>613</v>
      </c>
      <c r="K1" s="1048"/>
    </row>
    <row r="2" spans="1:23" ht="17.25">
      <c r="B2" s="1064" t="s">
        <v>678</v>
      </c>
      <c r="C2" s="1064"/>
      <c r="D2" s="1064"/>
      <c r="E2" s="1064"/>
      <c r="F2" s="1064"/>
      <c r="G2" s="1064"/>
      <c r="H2" s="1064"/>
      <c r="I2" s="1064"/>
      <c r="J2" s="1064"/>
      <c r="K2" s="1064"/>
    </row>
    <row r="3" spans="1:23" ht="16.5">
      <c r="A3" s="1063" t="s">
        <v>691</v>
      </c>
      <c r="B3" s="1063"/>
      <c r="C3" s="1063"/>
      <c r="D3" s="1063"/>
      <c r="E3" s="1063"/>
      <c r="F3" s="1063"/>
      <c r="G3" s="1063"/>
      <c r="H3" s="1063"/>
      <c r="I3" s="1063"/>
      <c r="J3" s="1063"/>
      <c r="K3" s="1063"/>
    </row>
    <row r="4" spans="1:23" ht="12.75"/>
    <row r="5" spans="1:23" ht="99">
      <c r="A5" s="1066" t="s">
        <v>0</v>
      </c>
      <c r="B5" s="1066" t="s">
        <v>373</v>
      </c>
      <c r="C5" s="1066" t="s">
        <v>184</v>
      </c>
      <c r="D5" s="1066" t="s">
        <v>374</v>
      </c>
      <c r="E5" s="1049" t="s">
        <v>611</v>
      </c>
      <c r="F5" s="1049" t="s">
        <v>602</v>
      </c>
      <c r="G5" s="1056" t="s">
        <v>610</v>
      </c>
      <c r="H5" s="1057"/>
      <c r="I5" s="1057"/>
      <c r="J5" s="1057"/>
      <c r="K5" s="1058"/>
      <c r="L5" s="401"/>
    </row>
    <row r="6" spans="1:23" ht="33">
      <c r="A6" s="1066"/>
      <c r="B6" s="1066"/>
      <c r="C6" s="1066"/>
      <c r="D6" s="1066"/>
      <c r="E6" s="1049"/>
      <c r="F6" s="1049"/>
      <c r="G6" s="332" t="s">
        <v>603</v>
      </c>
      <c r="H6" s="332" t="s">
        <v>604</v>
      </c>
      <c r="I6" s="332" t="s">
        <v>605</v>
      </c>
      <c r="J6" s="332" t="s">
        <v>606</v>
      </c>
      <c r="K6" s="332" t="s">
        <v>607</v>
      </c>
      <c r="L6" s="401"/>
    </row>
    <row r="7" spans="1:23" ht="16.5">
      <c r="A7" s="402" t="s">
        <v>376</v>
      </c>
      <c r="B7" s="402" t="s">
        <v>377</v>
      </c>
      <c r="C7" s="402" t="s">
        <v>378</v>
      </c>
      <c r="D7" s="402" t="s">
        <v>379</v>
      </c>
      <c r="E7" s="402"/>
      <c r="F7" s="402"/>
      <c r="G7" s="402"/>
      <c r="H7" s="402"/>
      <c r="I7" s="402"/>
      <c r="J7" s="402"/>
      <c r="K7" s="402"/>
      <c r="L7" s="403"/>
    </row>
    <row r="8" spans="1:23" ht="33">
      <c r="A8" s="404">
        <v>1</v>
      </c>
      <c r="B8" s="405" t="s">
        <v>385</v>
      </c>
      <c r="C8" s="406" t="s">
        <v>386</v>
      </c>
      <c r="D8" s="407">
        <v>80.540000000000006</v>
      </c>
      <c r="E8" s="407"/>
      <c r="F8" s="407"/>
      <c r="G8" s="407"/>
      <c r="H8" s="407"/>
      <c r="I8" s="407"/>
      <c r="J8" s="407"/>
      <c r="K8" s="407"/>
      <c r="L8" s="408"/>
    </row>
    <row r="9" spans="1:23" ht="49.5">
      <c r="A9" s="409" t="s">
        <v>377</v>
      </c>
      <c r="B9" s="410" t="s">
        <v>387</v>
      </c>
      <c r="C9" s="411" t="s">
        <v>344</v>
      </c>
      <c r="D9" s="412">
        <v>360</v>
      </c>
      <c r="E9" s="412"/>
      <c r="F9" s="412"/>
      <c r="G9" s="413"/>
      <c r="H9" s="413"/>
      <c r="I9" s="413"/>
      <c r="J9" s="413"/>
      <c r="K9" s="413"/>
      <c r="L9" s="414"/>
      <c r="N9" s="394"/>
      <c r="O9" s="392"/>
      <c r="Q9" s="394"/>
      <c r="R9" s="392"/>
      <c r="T9" s="394"/>
      <c r="U9" s="392"/>
      <c r="W9" s="394"/>
    </row>
    <row r="10" spans="1:23" ht="82.5">
      <c r="A10" s="409" t="s">
        <v>378</v>
      </c>
      <c r="B10" s="410" t="s">
        <v>388</v>
      </c>
      <c r="C10" s="415"/>
      <c r="D10" s="416"/>
      <c r="E10" s="416"/>
      <c r="F10" s="416"/>
      <c r="G10" s="413"/>
      <c r="H10" s="413"/>
      <c r="I10" s="413"/>
      <c r="J10" s="413"/>
      <c r="K10" s="413"/>
      <c r="L10" s="417"/>
    </row>
    <row r="11" spans="1:23" ht="49.5">
      <c r="A11" s="418"/>
      <c r="B11" s="419" t="s">
        <v>389</v>
      </c>
      <c r="C11" s="415" t="s">
        <v>390</v>
      </c>
      <c r="D11" s="416">
        <v>15</v>
      </c>
      <c r="E11" s="416"/>
      <c r="F11" s="416"/>
      <c r="G11" s="420"/>
      <c r="H11" s="420"/>
      <c r="I11" s="420"/>
      <c r="J11" s="420"/>
      <c r="K11" s="420"/>
      <c r="L11" s="417"/>
    </row>
    <row r="12" spans="1:23" ht="33">
      <c r="A12" s="418"/>
      <c r="B12" s="421" t="s">
        <v>391</v>
      </c>
      <c r="C12" s="422" t="s">
        <v>392</v>
      </c>
      <c r="D12" s="416">
        <v>650</v>
      </c>
      <c r="E12" s="844">
        <v>58.1</v>
      </c>
      <c r="F12" s="845">
        <f>SUM(G12:K12)</f>
        <v>117</v>
      </c>
      <c r="G12" s="845">
        <v>20</v>
      </c>
      <c r="H12" s="845">
        <v>22</v>
      </c>
      <c r="I12" s="845">
        <v>24</v>
      </c>
      <c r="J12" s="845">
        <v>25</v>
      </c>
      <c r="K12" s="845">
        <v>26</v>
      </c>
      <c r="L12" s="417"/>
    </row>
    <row r="13" spans="1:23" ht="49.5">
      <c r="A13" s="423"/>
      <c r="B13" s="419" t="s">
        <v>393</v>
      </c>
      <c r="C13" s="422" t="s">
        <v>394</v>
      </c>
      <c r="D13" s="424"/>
      <c r="E13" s="424"/>
      <c r="F13" s="424"/>
      <c r="G13" s="425"/>
      <c r="H13" s="425"/>
      <c r="I13" s="426"/>
      <c r="J13" s="425"/>
      <c r="K13" s="425"/>
      <c r="L13" s="414"/>
      <c r="N13" s="394"/>
      <c r="O13" s="392"/>
      <c r="Q13" s="394"/>
      <c r="R13" s="392"/>
      <c r="T13" s="394"/>
      <c r="U13" s="392"/>
      <c r="W13" s="394"/>
    </row>
    <row r="14" spans="1:23" ht="49.5">
      <c r="A14" s="423"/>
      <c r="B14" s="419" t="s">
        <v>395</v>
      </c>
      <c r="C14" s="415" t="s">
        <v>396</v>
      </c>
      <c r="D14" s="424"/>
      <c r="E14" s="424"/>
      <c r="F14" s="424"/>
      <c r="G14" s="425"/>
      <c r="H14" s="425"/>
      <c r="I14" s="425"/>
      <c r="J14" s="426"/>
      <c r="K14" s="426"/>
      <c r="L14" s="427"/>
    </row>
    <row r="15" spans="1:23" ht="49.5">
      <c r="A15" s="428" t="s">
        <v>379</v>
      </c>
      <c r="B15" s="429" t="s">
        <v>397</v>
      </c>
      <c r="C15" s="430"/>
      <c r="D15" s="431"/>
      <c r="E15" s="431"/>
      <c r="F15" s="431"/>
      <c r="G15" s="432"/>
      <c r="H15" s="432"/>
      <c r="I15" s="432"/>
      <c r="J15" s="432"/>
      <c r="K15" s="432"/>
      <c r="L15" s="427"/>
    </row>
    <row r="16" spans="1:23" ht="16.5">
      <c r="A16" s="433"/>
      <c r="B16" s="375"/>
      <c r="C16" s="370"/>
      <c r="D16" s="434"/>
      <c r="E16" s="434"/>
      <c r="F16" s="434"/>
      <c r="G16" s="435"/>
      <c r="H16" s="435"/>
      <c r="I16" s="435"/>
      <c r="J16" s="435"/>
      <c r="K16" s="435"/>
      <c r="L16" s="427"/>
    </row>
    <row r="17" spans="1:23" ht="16.5">
      <c r="A17" s="436"/>
      <c r="B17" s="437"/>
      <c r="C17" s="438"/>
      <c r="D17" s="439"/>
      <c r="E17" s="439"/>
      <c r="F17" s="439"/>
      <c r="G17" s="440"/>
      <c r="H17" s="440"/>
      <c r="I17" s="440"/>
      <c r="J17" s="440"/>
      <c r="K17" s="440"/>
      <c r="L17" s="363"/>
    </row>
    <row r="18" spans="1:23" ht="16.5">
      <c r="D18" s="441"/>
      <c r="E18" s="441"/>
      <c r="F18" s="441"/>
      <c r="G18" s="442"/>
      <c r="H18" s="442"/>
      <c r="I18" s="442"/>
      <c r="J18" s="442"/>
      <c r="K18" s="442"/>
    </row>
    <row r="19" spans="1:23" ht="409.5">
      <c r="B19" s="1065" t="s">
        <v>398</v>
      </c>
      <c r="C19" s="1065"/>
      <c r="D19" s="1065"/>
      <c r="E19" s="1065"/>
      <c r="F19" s="1065"/>
      <c r="G19" s="1065"/>
      <c r="H19" s="1065"/>
      <c r="I19" s="1065"/>
      <c r="J19" s="1065"/>
      <c r="K19" s="1065"/>
    </row>
    <row r="20" spans="1:23" ht="16.5">
      <c r="G20" s="389"/>
      <c r="H20" s="389"/>
      <c r="I20" s="389"/>
      <c r="J20" s="389"/>
      <c r="K20" s="389"/>
    </row>
    <row r="21" spans="1:23" ht="16.5">
      <c r="G21" s="389"/>
      <c r="H21" s="389"/>
      <c r="I21" s="389"/>
      <c r="J21" s="389"/>
      <c r="K21" s="389"/>
    </row>
    <row r="22" spans="1:23" ht="16.5">
      <c r="B22" s="387"/>
      <c r="G22" s="443"/>
      <c r="L22" s="444"/>
      <c r="N22" s="443"/>
      <c r="O22" s="444"/>
      <c r="Q22" s="443"/>
      <c r="R22" s="444"/>
      <c r="T22" s="443"/>
      <c r="U22" s="444"/>
      <c r="W22" s="443"/>
    </row>
    <row r="28" spans="1:23" ht="12.75"/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0"/>
  <sheetViews>
    <sheetView workbookViewId="0"/>
  </sheetViews>
  <sheetFormatPr defaultRowHeight="15"/>
  <sheetData>
    <row r="1" spans="1:20" ht="31.5">
      <c r="A1" s="360"/>
      <c r="B1" s="367" t="s">
        <v>711</v>
      </c>
      <c r="D1" s="362"/>
      <c r="E1" s="362"/>
      <c r="G1" s="1048"/>
      <c r="H1" s="1048"/>
      <c r="I1" s="1155"/>
      <c r="J1" s="1155"/>
    </row>
    <row r="2" spans="1:20" ht="16.5">
      <c r="A2" s="1063" t="s">
        <v>714</v>
      </c>
      <c r="B2" s="1063"/>
      <c r="C2" s="1063"/>
      <c r="D2" s="1063"/>
      <c r="E2" s="1063"/>
      <c r="F2" s="1063"/>
      <c r="G2" s="1063"/>
      <c r="H2" s="1063"/>
      <c r="I2" s="1063"/>
      <c r="J2" s="1063"/>
    </row>
    <row r="3" spans="1:20" ht="16.5">
      <c r="A3" s="1060" t="s">
        <v>816</v>
      </c>
      <c r="B3" s="1060"/>
      <c r="C3" s="1060"/>
      <c r="D3" s="1060"/>
      <c r="E3" s="1060"/>
      <c r="F3" s="1060"/>
      <c r="G3" s="1060"/>
      <c r="H3" s="1060"/>
      <c r="I3" s="1060"/>
      <c r="J3" s="1060"/>
    </row>
    <row r="4" spans="1:20" ht="16.5">
      <c r="A4" s="672"/>
      <c r="B4" s="672"/>
      <c r="C4" s="672"/>
      <c r="D4" s="672"/>
      <c r="E4" s="672"/>
      <c r="F4" s="672"/>
      <c r="G4" s="672"/>
      <c r="H4" s="672"/>
      <c r="I4" s="672"/>
      <c r="J4" s="672"/>
    </row>
    <row r="5" spans="1:20" ht="99">
      <c r="A5" s="1053" t="s">
        <v>0</v>
      </c>
      <c r="B5" s="1053" t="s">
        <v>287</v>
      </c>
      <c r="C5" s="1053" t="s">
        <v>184</v>
      </c>
      <c r="D5" s="1049" t="s">
        <v>611</v>
      </c>
      <c r="E5" s="1049" t="s">
        <v>602</v>
      </c>
      <c r="F5" s="1056" t="s">
        <v>769</v>
      </c>
      <c r="G5" s="1057"/>
      <c r="H5" s="1057"/>
      <c r="I5" s="1057"/>
      <c r="J5" s="1058"/>
    </row>
    <row r="6" spans="1:20" ht="66">
      <c r="A6" s="1054"/>
      <c r="B6" s="1054"/>
      <c r="C6" s="1054"/>
      <c r="D6" s="1049"/>
      <c r="E6" s="1049"/>
      <c r="F6" s="332" t="s">
        <v>770</v>
      </c>
      <c r="G6" s="332" t="s">
        <v>771</v>
      </c>
      <c r="H6" s="332" t="s">
        <v>772</v>
      </c>
      <c r="I6" s="332" t="s">
        <v>773</v>
      </c>
      <c r="J6" s="332" t="s">
        <v>774</v>
      </c>
    </row>
    <row r="7" spans="1:20" ht="33">
      <c r="A7" s="446" t="s">
        <v>400</v>
      </c>
      <c r="B7" s="447" t="s">
        <v>401</v>
      </c>
      <c r="C7" s="448"/>
      <c r="D7" s="449"/>
      <c r="E7" s="449"/>
      <c r="F7" s="450"/>
      <c r="G7" s="451"/>
      <c r="H7" s="451"/>
      <c r="I7" s="451"/>
      <c r="J7" s="451"/>
      <c r="K7" s="452"/>
      <c r="L7" s="453"/>
      <c r="N7" s="452"/>
      <c r="O7" s="453"/>
      <c r="Q7" s="452"/>
      <c r="R7" s="453"/>
      <c r="T7" s="452"/>
    </row>
    <row r="8" spans="1:20" ht="148.5">
      <c r="A8" s="881"/>
      <c r="B8" s="882" t="s">
        <v>667</v>
      </c>
      <c r="C8" s="883" t="s">
        <v>342</v>
      </c>
      <c r="D8" s="933">
        <v>2439.6790000000001</v>
      </c>
      <c r="E8" s="871">
        <f>SUM(F8:J8)</f>
        <v>3365</v>
      </c>
      <c r="F8" s="871">
        <v>630</v>
      </c>
      <c r="G8" s="871">
        <v>650</v>
      </c>
      <c r="H8" s="871">
        <v>670</v>
      </c>
      <c r="I8" s="871">
        <v>695</v>
      </c>
      <c r="J8" s="871">
        <v>720</v>
      </c>
      <c r="K8" s="379" t="s">
        <v>696</v>
      </c>
      <c r="L8" s="378"/>
      <c r="N8" s="379"/>
      <c r="O8" s="378"/>
      <c r="Q8" s="379"/>
      <c r="R8" s="378"/>
      <c r="T8" s="379"/>
    </row>
    <row r="9" spans="1:20" ht="181.5">
      <c r="A9" s="454"/>
      <c r="B9" s="455" t="s">
        <v>402</v>
      </c>
      <c r="C9" s="456" t="s">
        <v>301</v>
      </c>
      <c r="D9" s="457"/>
      <c r="E9" s="457"/>
      <c r="F9" s="457"/>
      <c r="G9" s="457"/>
      <c r="H9" s="457"/>
      <c r="I9" s="457"/>
      <c r="J9" s="457"/>
      <c r="K9" s="379"/>
      <c r="L9" s="458"/>
      <c r="N9" s="379"/>
      <c r="O9" s="378"/>
      <c r="P9" s="361"/>
      <c r="Q9" s="361"/>
      <c r="R9" s="361"/>
      <c r="S9" s="361"/>
      <c r="T9" s="361"/>
    </row>
    <row r="10" spans="1:20" ht="16.5">
      <c r="A10" s="368" t="s">
        <v>403</v>
      </c>
      <c r="B10" s="375" t="s">
        <v>404</v>
      </c>
      <c r="C10" s="366"/>
      <c r="D10" s="459"/>
      <c r="E10" s="459"/>
      <c r="F10" s="460"/>
      <c r="G10" s="435"/>
      <c r="H10" s="435"/>
      <c r="I10" s="435"/>
      <c r="J10" s="435"/>
      <c r="K10" s="367"/>
      <c r="L10" s="367"/>
      <c r="M10" s="367"/>
      <c r="N10" s="367"/>
      <c r="O10" s="367"/>
      <c r="P10" s="367"/>
      <c r="Q10" s="367"/>
      <c r="R10" s="367"/>
      <c r="S10" s="367"/>
      <c r="T10" s="367"/>
    </row>
    <row r="11" spans="1:20" ht="99">
      <c r="A11" s="957" t="s">
        <v>284</v>
      </c>
      <c r="B11" s="815" t="s">
        <v>776</v>
      </c>
      <c r="C11" s="965" t="s">
        <v>778</v>
      </c>
      <c r="D11" s="457">
        <v>18.89</v>
      </c>
      <c r="E11" s="457">
        <f>SUM(F11:J11)</f>
        <v>28.669333374000001</v>
      </c>
      <c r="F11" s="932">
        <v>5.4</v>
      </c>
      <c r="G11" s="932">
        <f>(F11*3%)+F11</f>
        <v>5.5620000000000003</v>
      </c>
      <c r="H11" s="932">
        <f>G11+(G11*3%)</f>
        <v>5.7288600000000001</v>
      </c>
      <c r="I11" s="932">
        <f>H11+(H11*3%)</f>
        <v>5.9007258</v>
      </c>
      <c r="J11" s="932">
        <f>I11+(I11*3%)</f>
        <v>6.077747574</v>
      </c>
      <c r="K11" s="367"/>
      <c r="L11" s="970">
        <f>SUM(F11:J11)</f>
        <v>28.669333374000001</v>
      </c>
      <c r="M11" s="367"/>
      <c r="N11" s="367"/>
      <c r="O11" s="367"/>
      <c r="P11" s="367"/>
      <c r="Q11" s="367"/>
      <c r="R11" s="367"/>
      <c r="S11" s="367"/>
      <c r="T11" s="367"/>
    </row>
    <row r="12" spans="1:20" ht="99">
      <c r="A12" s="957" t="s">
        <v>284</v>
      </c>
      <c r="B12" s="815" t="s">
        <v>777</v>
      </c>
      <c r="C12" s="965" t="s">
        <v>779</v>
      </c>
      <c r="D12" s="457">
        <v>484.56</v>
      </c>
      <c r="E12" s="968">
        <f>SUM(F12:J12)</f>
        <v>648.85837095062493</v>
      </c>
      <c r="F12" s="871">
        <v>121</v>
      </c>
      <c r="G12" s="932">
        <f>F12+(F12*3.5%)</f>
        <v>125.235</v>
      </c>
      <c r="H12" s="932">
        <f>G12+(G12*3.5%)</f>
        <v>129.618225</v>
      </c>
      <c r="I12" s="932">
        <f>H12+(H12*3.5%)</f>
        <v>134.15486287499999</v>
      </c>
      <c r="J12" s="932">
        <f>I12+(I12*3.5%)</f>
        <v>138.85028307562499</v>
      </c>
      <c r="K12" s="367"/>
      <c r="L12" s="970">
        <f>SUM(F12:J12)</f>
        <v>648.85837095062493</v>
      </c>
      <c r="M12" s="367"/>
      <c r="N12" s="367"/>
      <c r="O12" s="367"/>
      <c r="P12" s="367"/>
      <c r="Q12" s="367"/>
      <c r="R12" s="367"/>
      <c r="S12" s="367"/>
      <c r="T12" s="367"/>
    </row>
    <row r="13" spans="1:20" ht="49.5">
      <c r="A13" s="957" t="s">
        <v>284</v>
      </c>
      <c r="B13" s="815" t="s">
        <v>782</v>
      </c>
      <c r="C13" s="965" t="s">
        <v>781</v>
      </c>
      <c r="D13" s="968">
        <v>346.3</v>
      </c>
      <c r="E13" s="968">
        <f>SUM(F13:J13)</f>
        <v>506.1478224999999</v>
      </c>
      <c r="F13" s="932">
        <v>91.6</v>
      </c>
      <c r="G13" s="932">
        <f>(F13*5%)+F13</f>
        <v>96.179999999999993</v>
      </c>
      <c r="H13" s="932">
        <f>(G13*5%)+G13</f>
        <v>100.98899999999999</v>
      </c>
      <c r="I13" s="932">
        <f>(H13*5%)+H13</f>
        <v>106.03844999999998</v>
      </c>
      <c r="J13" s="932">
        <f>(I13*5%)+I13</f>
        <v>111.34037249999999</v>
      </c>
      <c r="K13" s="367"/>
      <c r="L13" s="970">
        <f>SUM(F13:J13)</f>
        <v>506.1478224999999</v>
      </c>
      <c r="M13" s="367"/>
      <c r="N13" s="367"/>
      <c r="O13" s="367"/>
      <c r="P13" s="367"/>
      <c r="Q13" s="367"/>
      <c r="R13" s="367"/>
      <c r="S13" s="367"/>
      <c r="T13" s="367"/>
    </row>
    <row r="14" spans="1:20" ht="66">
      <c r="A14" s="957" t="s">
        <v>284</v>
      </c>
      <c r="B14" s="815" t="s">
        <v>783</v>
      </c>
      <c r="C14" s="965" t="s">
        <v>780</v>
      </c>
      <c r="D14" s="933">
        <v>8129.43</v>
      </c>
      <c r="E14" s="933">
        <f>SUM(F14:J14)</f>
        <v>11573.9160658</v>
      </c>
      <c r="F14" s="871">
        <v>2180</v>
      </c>
      <c r="G14" s="871">
        <f>F14+(F14*3%)</f>
        <v>2245.4</v>
      </c>
      <c r="H14" s="871">
        <f>G14+(G14*3%)</f>
        <v>2312.7620000000002</v>
      </c>
      <c r="I14" s="871">
        <f>H14+(H14*3%)</f>
        <v>2382.1448600000003</v>
      </c>
      <c r="J14" s="871">
        <f>I14+(I14*3%)</f>
        <v>2453.6092058000004</v>
      </c>
      <c r="K14" s="367"/>
      <c r="L14" s="970">
        <f>SUM(F14:J14)</f>
        <v>11573.9160658</v>
      </c>
      <c r="M14" s="367"/>
      <c r="N14" s="367"/>
      <c r="O14" s="367"/>
      <c r="P14" s="367"/>
      <c r="Q14" s="367"/>
      <c r="R14" s="367"/>
      <c r="S14" s="367"/>
      <c r="T14" s="367"/>
    </row>
    <row r="15" spans="1:20" ht="66">
      <c r="A15" s="368" t="s">
        <v>409</v>
      </c>
      <c r="B15" s="369" t="s">
        <v>410</v>
      </c>
      <c r="C15" s="366"/>
      <c r="D15" s="459"/>
      <c r="E15" s="459"/>
      <c r="F15" s="435"/>
      <c r="G15" s="435"/>
      <c r="H15" s="435"/>
      <c r="I15" s="435"/>
      <c r="J15" s="435"/>
      <c r="P15" s="367"/>
      <c r="Q15" s="367"/>
      <c r="R15" s="367"/>
      <c r="S15" s="367"/>
      <c r="T15" s="367"/>
    </row>
    <row r="16" spans="1:20" ht="82.5">
      <c r="A16" s="956" t="s">
        <v>284</v>
      </c>
      <c r="B16" s="461" t="s">
        <v>753</v>
      </c>
      <c r="C16" s="456" t="s">
        <v>304</v>
      </c>
      <c r="D16" s="968">
        <v>57.8</v>
      </c>
      <c r="E16" s="967">
        <f>J16</f>
        <v>63</v>
      </c>
      <c r="F16" s="967">
        <f>35045*100/'Biểu 1B'!F70</f>
        <v>58.991364653997003</v>
      </c>
      <c r="G16" s="968">
        <f>35750*100/'Biểu 1B'!G70</f>
        <v>59.173066737288138</v>
      </c>
      <c r="H16" s="968">
        <f>36305*100/'Biểu 1B'!H70</f>
        <v>59.306390486147414</v>
      </c>
      <c r="I16" s="967">
        <v>61</v>
      </c>
      <c r="J16" s="967">
        <v>63</v>
      </c>
    </row>
    <row r="17" spans="1:12" ht="115.5">
      <c r="A17" s="956" t="s">
        <v>284</v>
      </c>
      <c r="B17" s="461" t="s">
        <v>754</v>
      </c>
      <c r="C17" s="456" t="s">
        <v>304</v>
      </c>
      <c r="D17" s="968">
        <v>3.4</v>
      </c>
      <c r="E17" s="968">
        <v>3.5</v>
      </c>
      <c r="F17" s="968">
        <f>1975*100/'Biểu 1B'!F70</f>
        <v>3.3245240459878467</v>
      </c>
      <c r="G17" s="968">
        <f>1975*100/'Biểu 1B'!G70</f>
        <v>3.269001588983051</v>
      </c>
      <c r="H17" s="968">
        <v>3.4</v>
      </c>
      <c r="I17" s="968">
        <v>3.4</v>
      </c>
      <c r="J17" s="968">
        <v>3.5</v>
      </c>
    </row>
    <row r="18" spans="1:12" ht="16.5">
      <c r="A18" s="368" t="s">
        <v>411</v>
      </c>
      <c r="B18" s="369" t="s">
        <v>412</v>
      </c>
      <c r="C18" s="366"/>
      <c r="D18" s="459"/>
      <c r="E18" s="459"/>
      <c r="F18" s="435"/>
      <c r="G18" s="435"/>
      <c r="H18" s="435"/>
      <c r="I18" s="435"/>
      <c r="J18" s="435"/>
    </row>
    <row r="19" spans="1:12" ht="99">
      <c r="A19" s="957" t="s">
        <v>284</v>
      </c>
      <c r="B19" s="461" t="s">
        <v>755</v>
      </c>
      <c r="C19" s="370" t="s">
        <v>685</v>
      </c>
      <c r="D19" s="871">
        <v>28030</v>
      </c>
      <c r="E19" s="871">
        <f>SUM(F19:J19)</f>
        <v>75209.271711499998</v>
      </c>
      <c r="F19" s="871">
        <f>F21+F20</f>
        <v>14235</v>
      </c>
      <c r="G19" s="871">
        <f>G21</f>
        <v>14574.5</v>
      </c>
      <c r="H19" s="871">
        <f>H21</f>
        <v>15011.735000000001</v>
      </c>
      <c r="I19" s="871">
        <f>I21</f>
        <v>15462.08705</v>
      </c>
      <c r="J19" s="871">
        <f>J21</f>
        <v>15925.949661500001</v>
      </c>
      <c r="K19" s="378"/>
      <c r="L19" s="963"/>
    </row>
    <row r="20" spans="1:12" ht="49.5">
      <c r="A20" s="957" t="s">
        <v>756</v>
      </c>
      <c r="B20" s="461" t="s">
        <v>785</v>
      </c>
      <c r="C20" s="370" t="s">
        <v>685</v>
      </c>
      <c r="D20" s="964"/>
      <c r="E20" s="871">
        <f>SUM(F20:J20)</f>
        <v>425</v>
      </c>
      <c r="F20" s="871">
        <v>85</v>
      </c>
      <c r="G20" s="871">
        <v>85</v>
      </c>
      <c r="H20" s="871">
        <v>85</v>
      </c>
      <c r="I20" s="871">
        <v>85</v>
      </c>
      <c r="J20" s="871">
        <v>85</v>
      </c>
      <c r="L20" s="963"/>
    </row>
    <row r="21" spans="1:12" ht="66">
      <c r="A21" s="957" t="s">
        <v>756</v>
      </c>
      <c r="B21" s="461" t="s">
        <v>758</v>
      </c>
      <c r="C21" s="370" t="s">
        <v>685</v>
      </c>
      <c r="D21" s="871">
        <v>28030</v>
      </c>
      <c r="E21" s="871">
        <f>SUM(F21:J21)</f>
        <v>75124.271711499998</v>
      </c>
      <c r="F21" s="871">
        <v>14150</v>
      </c>
      <c r="G21" s="871">
        <f>(F21*3%)+F21</f>
        <v>14574.5</v>
      </c>
      <c r="H21" s="871">
        <f>(G21*3%)+G21</f>
        <v>15011.735000000001</v>
      </c>
      <c r="I21" s="871">
        <f>(H21*3%)+H21</f>
        <v>15462.08705</v>
      </c>
      <c r="J21" s="871">
        <f>(I21*3%)+I21</f>
        <v>15925.949661500001</v>
      </c>
      <c r="L21" s="963"/>
    </row>
    <row r="22" spans="1:12" ht="66">
      <c r="A22" s="957" t="s">
        <v>284</v>
      </c>
      <c r="B22" s="461" t="s">
        <v>784</v>
      </c>
      <c r="C22" s="884" t="s">
        <v>342</v>
      </c>
      <c r="D22" s="964"/>
      <c r="E22" s="964"/>
      <c r="F22" s="964"/>
      <c r="G22" s="964"/>
      <c r="H22" s="964"/>
      <c r="I22" s="964"/>
      <c r="J22" s="964"/>
      <c r="L22" s="963"/>
    </row>
    <row r="23" spans="1:12" ht="16.5">
      <c r="A23" s="383"/>
      <c r="B23" s="384"/>
      <c r="C23" s="364"/>
      <c r="D23" s="383"/>
      <c r="E23" s="383"/>
      <c r="F23" s="365"/>
      <c r="G23" s="365"/>
      <c r="H23" s="365"/>
      <c r="I23" s="365"/>
      <c r="J23" s="365"/>
    </row>
    <row r="24" spans="1:12" ht="16.5">
      <c r="A24" s="383"/>
      <c r="B24" s="384"/>
      <c r="C24" s="364"/>
      <c r="D24" s="383"/>
      <c r="E24" s="383"/>
      <c r="F24" s="852"/>
      <c r="G24" s="852"/>
      <c r="H24" s="365"/>
      <c r="I24" s="852"/>
      <c r="J24" s="365"/>
    </row>
    <row r="25" spans="1:12" ht="16.5">
      <c r="A25" s="383"/>
      <c r="B25" s="384"/>
      <c r="C25" s="364"/>
      <c r="D25" s="383"/>
      <c r="E25" s="383"/>
      <c r="F25" s="365"/>
      <c r="G25" s="365"/>
      <c r="H25" s="365"/>
      <c r="I25" s="365"/>
      <c r="J25" s="365"/>
    </row>
    <row r="26" spans="1:12" ht="16.5">
      <c r="A26" s="383"/>
      <c r="B26" s="384"/>
      <c r="C26" s="364"/>
      <c r="D26" s="383"/>
      <c r="E26" s="383"/>
      <c r="F26" s="365"/>
      <c r="G26" s="365"/>
      <c r="H26" s="365"/>
      <c r="I26" s="365"/>
      <c r="J26" s="365"/>
    </row>
    <row r="27" spans="1:12" ht="16.5">
      <c r="A27" s="383"/>
      <c r="B27" s="384"/>
      <c r="C27" s="364"/>
      <c r="D27" s="383"/>
      <c r="E27" s="383"/>
      <c r="F27" s="365"/>
      <c r="G27" s="365"/>
      <c r="H27" s="365"/>
      <c r="I27" s="365"/>
      <c r="J27" s="365"/>
    </row>
    <row r="28" spans="1:12" ht="16.5">
      <c r="A28" s="383"/>
      <c r="B28" s="384"/>
      <c r="C28" s="364"/>
      <c r="D28" s="383"/>
      <c r="E28" s="383"/>
      <c r="F28" s="365"/>
      <c r="G28" s="365"/>
      <c r="H28" s="365"/>
      <c r="I28" s="365"/>
      <c r="J28" s="365"/>
    </row>
    <row r="29" spans="1:12" ht="16.5">
      <c r="A29" s="383"/>
      <c r="B29" s="384"/>
      <c r="C29" s="364"/>
      <c r="D29" s="383"/>
      <c r="E29" s="383"/>
      <c r="F29" s="365"/>
      <c r="G29" s="365"/>
      <c r="H29" s="365"/>
      <c r="I29" s="365"/>
      <c r="J29" s="365"/>
    </row>
    <row r="30" spans="1:12" ht="16.5">
      <c r="A30" s="383"/>
      <c r="B30" s="384"/>
      <c r="C30" s="364"/>
      <c r="D30" s="383"/>
      <c r="E30" s="383"/>
      <c r="F30" s="365"/>
      <c r="G30" s="365"/>
      <c r="H30" s="365"/>
      <c r="I30" s="365"/>
      <c r="J30" s="365"/>
    </row>
    <row r="31" spans="1:12" ht="16.5">
      <c r="A31" s="383"/>
      <c r="B31" s="384"/>
      <c r="C31" s="364"/>
      <c r="D31" s="383"/>
      <c r="E31" s="383"/>
      <c r="F31" s="365"/>
      <c r="G31" s="365"/>
      <c r="H31" s="365"/>
      <c r="I31" s="365"/>
      <c r="J31" s="365"/>
    </row>
    <row r="32" spans="1:12" ht="16.5">
      <c r="A32" s="383"/>
      <c r="B32" s="384"/>
      <c r="C32" s="364"/>
      <c r="D32" s="383"/>
      <c r="E32" s="383"/>
      <c r="F32" s="365"/>
      <c r="G32" s="365"/>
      <c r="H32" s="365"/>
      <c r="I32" s="365"/>
      <c r="J32" s="365"/>
    </row>
    <row r="33" spans="1:20" ht="16.5">
      <c r="A33" s="383"/>
      <c r="B33" s="387"/>
      <c r="C33" s="364"/>
      <c r="D33" s="383"/>
      <c r="E33" s="383"/>
      <c r="F33" s="443"/>
      <c r="G33" s="365"/>
      <c r="H33" s="365"/>
      <c r="I33" s="365"/>
      <c r="J33" s="365"/>
      <c r="K33" s="379"/>
      <c r="L33" s="378"/>
      <c r="N33" s="379"/>
      <c r="O33" s="378"/>
      <c r="Q33" s="379"/>
      <c r="R33" s="378"/>
      <c r="T33" s="379"/>
    </row>
    <row r="34" spans="1:20" ht="16.5">
      <c r="A34" s="383"/>
      <c r="B34" s="384"/>
      <c r="C34" s="364"/>
      <c r="D34" s="383"/>
      <c r="E34" s="383"/>
      <c r="F34" s="365"/>
      <c r="G34" s="365"/>
      <c r="H34" s="365"/>
      <c r="I34" s="365"/>
      <c r="J34" s="365"/>
    </row>
    <row r="35" spans="1:20" ht="16.5">
      <c r="A35" s="383"/>
      <c r="B35" s="384"/>
      <c r="C35" s="364"/>
      <c r="D35" s="383"/>
      <c r="E35" s="383"/>
      <c r="F35" s="365"/>
      <c r="G35" s="365"/>
      <c r="H35" s="365"/>
      <c r="I35" s="365"/>
      <c r="J35" s="365"/>
    </row>
    <row r="36" spans="1:20" ht="16.5">
      <c r="A36" s="383"/>
      <c r="B36" s="384"/>
      <c r="C36" s="364"/>
      <c r="D36" s="383"/>
      <c r="E36" s="383"/>
      <c r="F36" s="365"/>
      <c r="G36" s="365"/>
      <c r="H36" s="365"/>
      <c r="I36" s="365"/>
      <c r="J36" s="365"/>
    </row>
    <row r="37" spans="1:20" ht="16.5">
      <c r="A37" s="383"/>
      <c r="B37" s="384"/>
      <c r="C37" s="364"/>
      <c r="D37" s="383"/>
      <c r="E37" s="383"/>
      <c r="F37" s="365"/>
      <c r="G37" s="365"/>
      <c r="H37" s="365"/>
      <c r="I37" s="365"/>
      <c r="J37" s="365"/>
    </row>
    <row r="38" spans="1:20" ht="16.5">
      <c r="A38" s="383"/>
      <c r="B38" s="384"/>
      <c r="C38" s="364"/>
      <c r="D38" s="383"/>
      <c r="E38" s="383"/>
      <c r="F38" s="365"/>
      <c r="G38" s="365"/>
      <c r="H38" s="365"/>
      <c r="I38" s="365"/>
      <c r="J38" s="365"/>
    </row>
    <row r="39" spans="1:20" ht="16.5">
      <c r="A39" s="383"/>
      <c r="B39" s="384"/>
      <c r="C39" s="364"/>
      <c r="D39" s="383"/>
      <c r="E39" s="383"/>
      <c r="F39" s="365"/>
      <c r="G39" s="365"/>
      <c r="H39" s="365"/>
      <c r="I39" s="365"/>
      <c r="J39" s="365"/>
    </row>
    <row r="40" spans="1:20" ht="16.5">
      <c r="A40" s="383"/>
      <c r="B40" s="384"/>
      <c r="C40" s="364"/>
      <c r="D40" s="383"/>
      <c r="E40" s="383"/>
      <c r="F40" s="365"/>
      <c r="G40" s="365"/>
      <c r="H40" s="365"/>
      <c r="I40" s="365"/>
      <c r="J40" s="365"/>
    </row>
    <row r="41" spans="1:20" ht="16.5">
      <c r="A41" s="383"/>
      <c r="B41" s="384"/>
      <c r="C41" s="364"/>
      <c r="D41" s="383"/>
      <c r="E41" s="383"/>
      <c r="F41" s="365"/>
      <c r="G41" s="365"/>
      <c r="H41" s="365"/>
      <c r="I41" s="365"/>
      <c r="J41" s="365"/>
    </row>
    <row r="42" spans="1:20" ht="16.5">
      <c r="A42" s="383"/>
      <c r="B42" s="384"/>
      <c r="C42" s="364"/>
      <c r="D42" s="383"/>
      <c r="E42" s="383"/>
      <c r="F42" s="365"/>
      <c r="G42" s="365"/>
      <c r="H42" s="365"/>
      <c r="I42" s="365"/>
      <c r="J42" s="365"/>
    </row>
    <row r="43" spans="1:20" ht="16.5">
      <c r="A43" s="383"/>
      <c r="B43" s="384"/>
      <c r="C43" s="364"/>
      <c r="D43" s="383"/>
      <c r="E43" s="383"/>
      <c r="F43" s="365"/>
      <c r="G43" s="365"/>
      <c r="H43" s="365"/>
      <c r="I43" s="365"/>
      <c r="J43" s="365"/>
    </row>
    <row r="44" spans="1:20" ht="16.5">
      <c r="A44" s="383"/>
      <c r="B44" s="384"/>
      <c r="C44" s="364"/>
      <c r="D44" s="383"/>
      <c r="E44" s="383"/>
      <c r="F44" s="365"/>
      <c r="G44" s="365"/>
      <c r="H44" s="365"/>
      <c r="I44" s="365"/>
      <c r="J44" s="365"/>
    </row>
    <row r="45" spans="1:20" ht="16.5">
      <c r="A45" s="383"/>
      <c r="B45" s="384"/>
      <c r="C45" s="364"/>
      <c r="D45" s="383"/>
      <c r="E45" s="383"/>
      <c r="F45" s="365"/>
      <c r="G45" s="365"/>
      <c r="H45" s="365"/>
      <c r="I45" s="365"/>
      <c r="J45" s="365"/>
    </row>
    <row r="46" spans="1:20" ht="16.5">
      <c r="A46" s="383"/>
      <c r="B46" s="384"/>
      <c r="C46" s="364"/>
      <c r="D46" s="383"/>
      <c r="E46" s="383"/>
      <c r="F46" s="365"/>
      <c r="G46" s="365"/>
      <c r="H46" s="365"/>
      <c r="I46" s="365"/>
      <c r="J46" s="365"/>
    </row>
    <row r="47" spans="1:20" ht="16.5">
      <c r="A47" s="383"/>
      <c r="B47" s="384"/>
      <c r="C47" s="364"/>
      <c r="D47" s="383"/>
      <c r="E47" s="383"/>
      <c r="F47" s="365"/>
      <c r="G47" s="365"/>
      <c r="H47" s="365"/>
      <c r="I47" s="365"/>
      <c r="J47" s="365"/>
    </row>
    <row r="48" spans="1:20" ht="16.5">
      <c r="A48" s="383"/>
      <c r="B48" s="384"/>
      <c r="C48" s="364"/>
      <c r="D48" s="383"/>
      <c r="E48" s="383"/>
      <c r="F48" s="365"/>
      <c r="G48" s="365"/>
      <c r="H48" s="365"/>
      <c r="I48" s="365"/>
      <c r="J48" s="365"/>
    </row>
    <row r="49" spans="1:10" ht="16.5">
      <c r="A49" s="383"/>
      <c r="B49" s="384"/>
      <c r="C49" s="364"/>
      <c r="D49" s="383"/>
      <c r="E49" s="383"/>
      <c r="F49" s="365"/>
      <c r="G49" s="365"/>
      <c r="H49" s="365"/>
      <c r="I49" s="365"/>
      <c r="J49" s="365"/>
    </row>
    <row r="50" spans="1:10" ht="16.5">
      <c r="A50" s="383"/>
      <c r="B50" s="384"/>
      <c r="C50" s="364"/>
      <c r="D50" s="383"/>
      <c r="E50" s="383"/>
      <c r="F50" s="365"/>
      <c r="G50" s="365"/>
      <c r="H50" s="365"/>
      <c r="I50" s="365"/>
      <c r="J50" s="365"/>
    </row>
    <row r="51" spans="1:10" ht="16.5">
      <c r="A51" s="383"/>
      <c r="B51" s="384"/>
      <c r="C51" s="364"/>
      <c r="D51" s="383"/>
      <c r="E51" s="383"/>
      <c r="F51" s="365"/>
      <c r="G51" s="365"/>
      <c r="H51" s="365"/>
      <c r="I51" s="365"/>
      <c r="J51" s="365"/>
    </row>
    <row r="52" spans="1:10" ht="16.5">
      <c r="A52" s="383"/>
      <c r="B52" s="384"/>
      <c r="C52" s="364"/>
      <c r="D52" s="383"/>
      <c r="E52" s="383"/>
      <c r="F52" s="365"/>
      <c r="G52" s="365"/>
      <c r="H52" s="365"/>
      <c r="I52" s="365"/>
      <c r="J52" s="365"/>
    </row>
    <row r="53" spans="1:10" ht="16.5">
      <c r="A53" s="383"/>
      <c r="B53" s="384"/>
      <c r="C53" s="364"/>
      <c r="D53" s="383"/>
      <c r="E53" s="383"/>
      <c r="F53" s="365"/>
      <c r="G53" s="365"/>
      <c r="H53" s="365"/>
      <c r="I53" s="365"/>
      <c r="J53" s="365"/>
    </row>
    <row r="54" spans="1:10" ht="16.5">
      <c r="A54" s="383"/>
      <c r="B54" s="384"/>
      <c r="C54" s="364"/>
      <c r="D54" s="383"/>
      <c r="E54" s="383"/>
      <c r="F54" s="365"/>
      <c r="G54" s="365"/>
      <c r="H54" s="365"/>
      <c r="I54" s="365"/>
      <c r="J54" s="365"/>
    </row>
    <row r="55" spans="1:10" ht="16.5">
      <c r="A55" s="383"/>
      <c r="B55" s="384"/>
      <c r="C55" s="364"/>
      <c r="D55" s="383"/>
      <c r="E55" s="383"/>
      <c r="F55" s="365"/>
      <c r="G55" s="365"/>
      <c r="H55" s="365"/>
      <c r="I55" s="365"/>
      <c r="J55" s="365"/>
    </row>
    <row r="56" spans="1:10" ht="16.5">
      <c r="A56" s="383"/>
      <c r="B56" s="384"/>
      <c r="C56" s="364"/>
      <c r="D56" s="383"/>
      <c r="E56" s="383"/>
      <c r="F56" s="365"/>
      <c r="G56" s="365"/>
      <c r="H56" s="365"/>
      <c r="I56" s="365"/>
      <c r="J56" s="365"/>
    </row>
    <row r="57" spans="1:10" ht="16.5">
      <c r="A57" s="383"/>
      <c r="B57" s="384"/>
      <c r="C57" s="364"/>
      <c r="D57" s="383"/>
      <c r="E57" s="383"/>
      <c r="F57" s="365"/>
      <c r="G57" s="365"/>
      <c r="H57" s="365"/>
      <c r="I57" s="365"/>
      <c r="J57" s="365"/>
    </row>
    <row r="58" spans="1:10" ht="16.5">
      <c r="A58" s="383"/>
      <c r="B58" s="384"/>
      <c r="C58" s="364"/>
      <c r="D58" s="383"/>
      <c r="E58" s="383"/>
      <c r="F58" s="365"/>
      <c r="G58" s="365"/>
      <c r="H58" s="365"/>
      <c r="I58" s="365"/>
      <c r="J58" s="365"/>
    </row>
    <row r="59" spans="1:10" ht="16.5">
      <c r="A59" s="383"/>
      <c r="B59" s="384"/>
      <c r="C59" s="364"/>
      <c r="D59" s="383"/>
      <c r="E59" s="383"/>
      <c r="F59" s="365"/>
      <c r="G59" s="365"/>
      <c r="H59" s="365"/>
      <c r="I59" s="365"/>
      <c r="J59" s="365"/>
    </row>
    <row r="60" spans="1:10" ht="16.5">
      <c r="A60" s="383"/>
      <c r="B60" s="384"/>
      <c r="C60" s="364"/>
      <c r="D60" s="383"/>
      <c r="E60" s="383"/>
      <c r="F60" s="365"/>
      <c r="G60" s="365"/>
      <c r="H60" s="365"/>
      <c r="I60" s="365"/>
      <c r="J60" s="365"/>
    </row>
    <row r="61" spans="1:10" ht="16.5">
      <c r="A61" s="383"/>
      <c r="B61" s="384"/>
      <c r="C61" s="364"/>
      <c r="D61" s="383"/>
      <c r="E61" s="383"/>
      <c r="F61" s="365"/>
      <c r="G61" s="365"/>
      <c r="H61" s="365"/>
      <c r="I61" s="365"/>
      <c r="J61" s="365"/>
    </row>
    <row r="62" spans="1:10" ht="16.5">
      <c r="A62" s="383"/>
      <c r="B62" s="384"/>
      <c r="C62" s="364"/>
      <c r="D62" s="383"/>
      <c r="E62" s="383"/>
      <c r="F62" s="365"/>
      <c r="G62" s="365"/>
      <c r="H62" s="365"/>
      <c r="I62" s="365"/>
      <c r="J62" s="365"/>
    </row>
    <row r="63" spans="1:10" ht="16.5">
      <c r="A63" s="383"/>
      <c r="B63" s="384"/>
      <c r="C63" s="364"/>
      <c r="D63" s="383"/>
      <c r="E63" s="383"/>
      <c r="F63" s="365"/>
      <c r="G63" s="365"/>
      <c r="H63" s="365"/>
      <c r="I63" s="365"/>
      <c r="J63" s="365"/>
    </row>
    <row r="64" spans="1:10" ht="16.5">
      <c r="A64" s="383"/>
      <c r="B64" s="384"/>
      <c r="C64" s="364"/>
      <c r="D64" s="383"/>
      <c r="E64" s="383"/>
      <c r="F64" s="365"/>
      <c r="G64" s="365"/>
      <c r="H64" s="365"/>
      <c r="I64" s="365"/>
      <c r="J64" s="365"/>
    </row>
    <row r="65" spans="1:10" ht="16.5">
      <c r="A65" s="383"/>
      <c r="B65" s="384"/>
      <c r="C65" s="364"/>
      <c r="D65" s="383"/>
      <c r="E65" s="383"/>
      <c r="F65" s="365"/>
      <c r="G65" s="365"/>
      <c r="H65" s="365"/>
      <c r="I65" s="365"/>
      <c r="J65" s="365"/>
    </row>
    <row r="66" spans="1:10" ht="16.5">
      <c r="A66" s="383"/>
      <c r="B66" s="384"/>
      <c r="C66" s="364"/>
      <c r="D66" s="383"/>
      <c r="E66" s="383"/>
      <c r="F66" s="365"/>
      <c r="G66" s="365"/>
      <c r="H66" s="365"/>
      <c r="I66" s="365"/>
      <c r="J66" s="365"/>
    </row>
    <row r="67" spans="1:10" ht="16.5">
      <c r="A67" s="383"/>
      <c r="B67" s="384"/>
      <c r="C67" s="364"/>
      <c r="D67" s="383"/>
      <c r="E67" s="383"/>
      <c r="F67" s="365"/>
      <c r="G67" s="365"/>
      <c r="H67" s="365"/>
      <c r="I67" s="365"/>
      <c r="J67" s="365"/>
    </row>
    <row r="68" spans="1:10" ht="16.5">
      <c r="A68" s="383"/>
      <c r="B68" s="384"/>
      <c r="C68" s="364"/>
      <c r="D68" s="383"/>
      <c r="E68" s="383"/>
      <c r="F68" s="365"/>
      <c r="G68" s="365"/>
      <c r="H68" s="365"/>
      <c r="I68" s="365"/>
      <c r="J68" s="365"/>
    </row>
    <row r="69" spans="1:10" ht="16.5">
      <c r="A69" s="383"/>
      <c r="B69" s="384"/>
      <c r="C69" s="364"/>
      <c r="D69" s="383"/>
      <c r="E69" s="383"/>
      <c r="F69" s="365"/>
      <c r="G69" s="365"/>
      <c r="H69" s="365"/>
      <c r="I69" s="365"/>
      <c r="J69" s="365"/>
    </row>
    <row r="70" spans="1:10" ht="16.5">
      <c r="A70" s="383"/>
      <c r="B70" s="384"/>
      <c r="C70" s="364"/>
      <c r="D70" s="383"/>
      <c r="E70" s="383"/>
      <c r="F70" s="365"/>
      <c r="G70" s="365"/>
      <c r="H70" s="365"/>
      <c r="I70" s="365"/>
      <c r="J70" s="365"/>
    </row>
    <row r="71" spans="1:10" ht="16.5">
      <c r="A71" s="383"/>
      <c r="B71" s="384"/>
      <c r="C71" s="364"/>
      <c r="D71" s="383"/>
      <c r="E71" s="383"/>
      <c r="F71" s="365"/>
      <c r="G71" s="365"/>
      <c r="H71" s="365"/>
      <c r="I71" s="365"/>
      <c r="J71" s="365"/>
    </row>
    <row r="72" spans="1:10" ht="16.5">
      <c r="A72" s="383"/>
      <c r="B72" s="384"/>
      <c r="C72" s="364"/>
      <c r="D72" s="383"/>
      <c r="E72" s="383"/>
      <c r="F72" s="365"/>
      <c r="G72" s="365"/>
      <c r="H72" s="365"/>
      <c r="I72" s="365"/>
      <c r="J72" s="365"/>
    </row>
    <row r="73" spans="1:10" ht="16.5">
      <c r="A73" s="383"/>
      <c r="B73" s="384"/>
      <c r="C73" s="364"/>
      <c r="D73" s="383"/>
      <c r="E73" s="383"/>
      <c r="F73" s="365"/>
      <c r="G73" s="365"/>
      <c r="H73" s="365"/>
      <c r="I73" s="365"/>
      <c r="J73" s="365"/>
    </row>
    <row r="74" spans="1:10" ht="16.5">
      <c r="A74" s="383"/>
      <c r="B74" s="384"/>
      <c r="C74" s="364"/>
      <c r="D74" s="383"/>
      <c r="E74" s="383"/>
      <c r="F74" s="365"/>
      <c r="G74" s="365"/>
      <c r="H74" s="365"/>
      <c r="I74" s="365"/>
      <c r="J74" s="365"/>
    </row>
    <row r="75" spans="1:10" ht="16.5">
      <c r="A75" s="383"/>
      <c r="B75" s="384"/>
      <c r="C75" s="364"/>
      <c r="D75" s="383"/>
      <c r="E75" s="383"/>
      <c r="F75" s="365"/>
      <c r="G75" s="365"/>
      <c r="H75" s="365"/>
      <c r="I75" s="365"/>
      <c r="J75" s="365"/>
    </row>
    <row r="76" spans="1:10" ht="16.5">
      <c r="A76" s="383"/>
      <c r="B76" s="384"/>
      <c r="C76" s="364"/>
      <c r="D76" s="383"/>
      <c r="E76" s="383"/>
      <c r="F76" s="365"/>
      <c r="G76" s="365"/>
      <c r="H76" s="365"/>
      <c r="I76" s="365"/>
      <c r="J76" s="365"/>
    </row>
    <row r="77" spans="1:10" ht="16.5">
      <c r="A77" s="383"/>
      <c r="B77" s="384"/>
      <c r="C77" s="364"/>
      <c r="D77" s="383"/>
      <c r="E77" s="383"/>
      <c r="F77" s="365"/>
      <c r="G77" s="365"/>
      <c r="H77" s="365"/>
      <c r="I77" s="365"/>
      <c r="J77" s="365"/>
    </row>
    <row r="78" spans="1:10" ht="16.5">
      <c r="A78" s="383"/>
      <c r="B78" s="384"/>
      <c r="C78" s="364"/>
      <c r="D78" s="383"/>
      <c r="E78" s="383"/>
      <c r="F78" s="365"/>
      <c r="G78" s="365"/>
      <c r="H78" s="365"/>
      <c r="I78" s="365"/>
      <c r="J78" s="365"/>
    </row>
    <row r="79" spans="1:10" ht="16.5">
      <c r="A79" s="383"/>
      <c r="B79" s="384"/>
      <c r="C79" s="364"/>
      <c r="D79" s="383"/>
      <c r="E79" s="383"/>
      <c r="F79" s="365"/>
      <c r="G79" s="365"/>
      <c r="H79" s="365"/>
      <c r="I79" s="365"/>
      <c r="J79" s="365"/>
    </row>
    <row r="80" spans="1:10" ht="16.5">
      <c r="A80" s="383"/>
      <c r="B80" s="384"/>
      <c r="C80" s="364"/>
      <c r="D80" s="383"/>
      <c r="E80" s="383"/>
      <c r="F80" s="365"/>
      <c r="G80" s="365"/>
      <c r="H80" s="365"/>
      <c r="I80" s="365"/>
      <c r="J80" s="365"/>
    </row>
    <row r="81" spans="1:10" ht="16.5">
      <c r="A81" s="383"/>
      <c r="B81" s="384"/>
      <c r="C81" s="364"/>
      <c r="D81" s="383"/>
      <c r="E81" s="383"/>
      <c r="F81" s="365"/>
      <c r="G81" s="365"/>
      <c r="H81" s="365"/>
      <c r="I81" s="365"/>
      <c r="J81" s="365"/>
    </row>
    <row r="82" spans="1:10" ht="16.5">
      <c r="A82" s="383"/>
      <c r="B82" s="384"/>
      <c r="C82" s="364"/>
      <c r="D82" s="383"/>
      <c r="E82" s="383"/>
      <c r="F82" s="365"/>
      <c r="G82" s="365"/>
      <c r="H82" s="365"/>
      <c r="I82" s="365"/>
      <c r="J82" s="365"/>
    </row>
    <row r="83" spans="1:10" ht="16.5">
      <c r="A83" s="383"/>
      <c r="B83" s="384"/>
      <c r="C83" s="364"/>
      <c r="D83" s="383"/>
      <c r="E83" s="383"/>
      <c r="F83" s="365"/>
      <c r="G83" s="365"/>
      <c r="H83" s="365"/>
      <c r="I83" s="365"/>
      <c r="J83" s="365"/>
    </row>
    <row r="84" spans="1:10" ht="16.5">
      <c r="A84" s="383"/>
      <c r="B84" s="384"/>
      <c r="C84" s="364"/>
      <c r="D84" s="383"/>
      <c r="E84" s="383"/>
      <c r="F84" s="365"/>
      <c r="G84" s="365"/>
      <c r="H84" s="365"/>
      <c r="I84" s="365"/>
      <c r="J84" s="365"/>
    </row>
    <row r="85" spans="1:10" ht="16.5">
      <c r="A85" s="383"/>
      <c r="B85" s="384"/>
      <c r="C85" s="364"/>
      <c r="D85" s="383"/>
      <c r="E85" s="383"/>
      <c r="F85" s="365"/>
      <c r="G85" s="365"/>
      <c r="H85" s="365"/>
      <c r="I85" s="365"/>
      <c r="J85" s="365"/>
    </row>
    <row r="86" spans="1:10" ht="16.5">
      <c r="A86" s="383"/>
      <c r="B86" s="384"/>
      <c r="C86" s="364"/>
      <c r="D86" s="383"/>
      <c r="E86" s="383"/>
      <c r="F86" s="365"/>
      <c r="G86" s="365"/>
      <c r="H86" s="365"/>
      <c r="I86" s="365"/>
      <c r="J86" s="365"/>
    </row>
    <row r="87" spans="1:10" ht="16.5">
      <c r="A87" s="383"/>
      <c r="B87" s="384"/>
      <c r="C87" s="364"/>
      <c r="D87" s="383"/>
      <c r="E87" s="383"/>
      <c r="F87" s="365"/>
      <c r="G87" s="365"/>
      <c r="H87" s="365"/>
      <c r="I87" s="365"/>
      <c r="J87" s="365"/>
    </row>
    <row r="88" spans="1:10" ht="16.5">
      <c r="A88" s="383"/>
      <c r="B88" s="384"/>
      <c r="C88" s="364"/>
      <c r="D88" s="383"/>
      <c r="E88" s="383"/>
      <c r="F88" s="365"/>
      <c r="G88" s="365"/>
      <c r="H88" s="365"/>
      <c r="I88" s="365"/>
      <c r="J88" s="365"/>
    </row>
    <row r="89" spans="1:10" ht="16.5">
      <c r="A89" s="383"/>
      <c r="B89" s="384"/>
      <c r="C89" s="364"/>
      <c r="D89" s="383"/>
      <c r="E89" s="383"/>
      <c r="F89" s="365"/>
      <c r="G89" s="365"/>
      <c r="H89" s="365"/>
      <c r="I89" s="365"/>
      <c r="J89" s="365"/>
    </row>
    <row r="90" spans="1:10" ht="16.5">
      <c r="A90" s="383"/>
      <c r="B90" s="384"/>
      <c r="C90" s="364"/>
      <c r="D90" s="383"/>
      <c r="E90" s="383"/>
      <c r="F90" s="365"/>
      <c r="G90" s="365"/>
      <c r="H90" s="365"/>
      <c r="I90" s="365"/>
      <c r="J90" s="365"/>
    </row>
    <row r="91" spans="1:10" ht="16.5">
      <c r="A91" s="383"/>
      <c r="B91" s="384"/>
      <c r="C91" s="364"/>
      <c r="D91" s="383"/>
      <c r="E91" s="383"/>
      <c r="F91" s="365"/>
      <c r="G91" s="365"/>
      <c r="H91" s="365"/>
      <c r="I91" s="365"/>
      <c r="J91" s="365"/>
    </row>
    <row r="92" spans="1:10" ht="16.5">
      <c r="A92" s="383"/>
      <c r="B92" s="384"/>
      <c r="C92" s="364"/>
      <c r="D92" s="383"/>
      <c r="E92" s="383"/>
      <c r="F92" s="365"/>
      <c r="G92" s="365"/>
      <c r="H92" s="365"/>
      <c r="I92" s="365"/>
      <c r="J92" s="365"/>
    </row>
    <row r="93" spans="1:10" ht="16.5">
      <c r="A93" s="383"/>
      <c r="B93" s="384"/>
      <c r="C93" s="364"/>
      <c r="D93" s="383"/>
      <c r="E93" s="383"/>
      <c r="F93" s="365"/>
      <c r="G93" s="365"/>
      <c r="H93" s="365"/>
      <c r="I93" s="365"/>
      <c r="J93" s="365"/>
    </row>
    <row r="94" spans="1:10" ht="16.5">
      <c r="A94" s="383"/>
      <c r="B94" s="384"/>
      <c r="C94" s="364"/>
      <c r="D94" s="383"/>
      <c r="E94" s="383"/>
      <c r="F94" s="365"/>
      <c r="G94" s="365"/>
      <c r="H94" s="365"/>
      <c r="I94" s="365"/>
      <c r="J94" s="365"/>
    </row>
    <row r="95" spans="1:10" ht="16.5">
      <c r="A95" s="383"/>
      <c r="B95" s="384"/>
      <c r="C95" s="364"/>
      <c r="D95" s="383"/>
      <c r="E95" s="383"/>
      <c r="F95" s="365"/>
      <c r="G95" s="365"/>
      <c r="H95" s="365"/>
      <c r="I95" s="365"/>
      <c r="J95" s="365"/>
    </row>
    <row r="96" spans="1:10" ht="16.5">
      <c r="A96" s="383"/>
      <c r="B96" s="384"/>
      <c r="C96" s="364"/>
      <c r="D96" s="383"/>
      <c r="E96" s="383"/>
      <c r="F96" s="365"/>
      <c r="G96" s="365"/>
      <c r="H96" s="365"/>
      <c r="I96" s="365"/>
      <c r="J96" s="365"/>
    </row>
    <row r="97" spans="1:10" ht="16.5">
      <c r="A97" s="383"/>
      <c r="B97" s="384"/>
      <c r="C97" s="364"/>
      <c r="D97" s="383"/>
      <c r="E97" s="383"/>
      <c r="F97" s="365"/>
      <c r="G97" s="365"/>
      <c r="H97" s="365"/>
      <c r="I97" s="365"/>
      <c r="J97" s="365"/>
    </row>
    <row r="98" spans="1:10" ht="16.5">
      <c r="A98" s="383"/>
      <c r="B98" s="384"/>
      <c r="C98" s="364"/>
      <c r="D98" s="383"/>
      <c r="E98" s="383"/>
      <c r="F98" s="365"/>
      <c r="G98" s="365"/>
      <c r="H98" s="365"/>
      <c r="I98" s="365"/>
      <c r="J98" s="365"/>
    </row>
    <row r="99" spans="1:10" ht="16.5">
      <c r="A99" s="383"/>
      <c r="B99" s="384"/>
      <c r="C99" s="364"/>
      <c r="D99" s="383"/>
      <c r="E99" s="383"/>
      <c r="F99" s="365"/>
      <c r="G99" s="365"/>
      <c r="H99" s="365"/>
      <c r="I99" s="365"/>
      <c r="J99" s="365"/>
    </row>
    <row r="100" spans="1:10" ht="16.5">
      <c r="A100" s="383"/>
      <c r="B100" s="384"/>
      <c r="C100" s="364"/>
      <c r="D100" s="383"/>
      <c r="E100" s="383"/>
      <c r="F100" s="365"/>
      <c r="G100" s="365"/>
      <c r="H100" s="365"/>
      <c r="I100" s="365"/>
      <c r="J100" s="365"/>
    </row>
    <row r="101" spans="1:10" ht="16.5">
      <c r="A101" s="383"/>
      <c r="B101" s="384"/>
      <c r="C101" s="364"/>
      <c r="D101" s="383"/>
      <c r="E101" s="383"/>
      <c r="F101" s="365"/>
      <c r="G101" s="365"/>
      <c r="H101" s="365"/>
      <c r="I101" s="365"/>
      <c r="J101" s="365"/>
    </row>
    <row r="102" spans="1:10" ht="16.5">
      <c r="A102" s="383"/>
      <c r="B102" s="384"/>
      <c r="C102" s="364"/>
      <c r="D102" s="383"/>
      <c r="E102" s="383"/>
      <c r="F102" s="365"/>
      <c r="G102" s="365"/>
      <c r="H102" s="365"/>
      <c r="I102" s="365"/>
      <c r="J102" s="365"/>
    </row>
    <row r="103" spans="1:10" ht="16.5">
      <c r="A103" s="383"/>
      <c r="B103" s="384"/>
      <c r="C103" s="364"/>
      <c r="D103" s="383"/>
      <c r="E103" s="383"/>
      <c r="F103" s="365"/>
      <c r="G103" s="365"/>
      <c r="H103" s="365"/>
      <c r="I103" s="365"/>
      <c r="J103" s="365"/>
    </row>
    <row r="104" spans="1:10" ht="16.5">
      <c r="A104" s="383"/>
      <c r="B104" s="384"/>
      <c r="C104" s="364"/>
      <c r="D104" s="383"/>
      <c r="E104" s="383"/>
      <c r="F104" s="365"/>
      <c r="G104" s="365"/>
      <c r="H104" s="365"/>
      <c r="I104" s="365"/>
      <c r="J104" s="365"/>
    </row>
    <row r="105" spans="1:10" ht="16.5">
      <c r="A105" s="383"/>
      <c r="B105" s="384"/>
      <c r="C105" s="364"/>
      <c r="D105" s="383"/>
      <c r="E105" s="383"/>
      <c r="F105" s="365"/>
      <c r="G105" s="365"/>
      <c r="H105" s="365"/>
      <c r="I105" s="365"/>
      <c r="J105" s="365"/>
    </row>
    <row r="106" spans="1:10" ht="16.5">
      <c r="A106" s="383"/>
      <c r="B106" s="384"/>
      <c r="C106" s="364"/>
      <c r="D106" s="383"/>
      <c r="E106" s="383"/>
      <c r="F106" s="365"/>
      <c r="G106" s="365"/>
      <c r="H106" s="365"/>
      <c r="I106" s="365"/>
      <c r="J106" s="365"/>
    </row>
    <row r="107" spans="1:10" ht="16.5">
      <c r="A107" s="383"/>
      <c r="B107" s="384"/>
      <c r="C107" s="364"/>
      <c r="D107" s="383"/>
      <c r="E107" s="383"/>
      <c r="F107" s="365"/>
      <c r="G107" s="365"/>
      <c r="H107" s="365"/>
      <c r="I107" s="365"/>
      <c r="J107" s="365"/>
    </row>
    <row r="108" spans="1:10" ht="16.5">
      <c r="A108" s="383"/>
      <c r="B108" s="384"/>
      <c r="C108" s="364"/>
      <c r="D108" s="383"/>
      <c r="E108" s="383"/>
      <c r="F108" s="365"/>
      <c r="G108" s="365"/>
      <c r="H108" s="365"/>
      <c r="I108" s="365"/>
      <c r="J108" s="365"/>
    </row>
    <row r="109" spans="1:10" ht="16.5">
      <c r="A109" s="383"/>
      <c r="B109" s="384"/>
      <c r="C109" s="364"/>
      <c r="D109" s="383"/>
      <c r="E109" s="383"/>
      <c r="F109" s="365"/>
      <c r="G109" s="365"/>
      <c r="H109" s="365"/>
      <c r="I109" s="365"/>
      <c r="J109" s="365"/>
    </row>
    <row r="110" spans="1:10" ht="16.5">
      <c r="A110" s="383"/>
      <c r="B110" s="384"/>
      <c r="C110" s="364"/>
      <c r="D110" s="383"/>
      <c r="E110" s="383"/>
      <c r="F110" s="365"/>
      <c r="G110" s="365"/>
      <c r="H110" s="365"/>
      <c r="I110" s="365"/>
      <c r="J110" s="365"/>
    </row>
    <row r="111" spans="1:10" ht="16.5">
      <c r="A111" s="383"/>
      <c r="B111" s="384"/>
      <c r="C111" s="364"/>
      <c r="D111" s="383"/>
      <c r="E111" s="383"/>
      <c r="F111" s="365"/>
      <c r="G111" s="365"/>
      <c r="H111" s="365"/>
      <c r="I111" s="365"/>
      <c r="J111" s="365"/>
    </row>
    <row r="112" spans="1:10" ht="16.5">
      <c r="A112" s="383"/>
      <c r="B112" s="384"/>
      <c r="C112" s="364"/>
      <c r="D112" s="383"/>
      <c r="E112" s="383"/>
      <c r="F112" s="365"/>
      <c r="G112" s="365"/>
      <c r="H112" s="365"/>
      <c r="I112" s="365"/>
      <c r="J112" s="365"/>
    </row>
    <row r="113" spans="1:10" ht="16.5">
      <c r="A113" s="383"/>
      <c r="B113" s="384"/>
      <c r="C113" s="364"/>
      <c r="D113" s="383"/>
      <c r="E113" s="383"/>
      <c r="F113" s="365"/>
      <c r="G113" s="365"/>
      <c r="H113" s="365"/>
      <c r="I113" s="365"/>
      <c r="J113" s="365"/>
    </row>
    <row r="114" spans="1:10" ht="16.5">
      <c r="A114" s="383"/>
      <c r="B114" s="384"/>
      <c r="C114" s="364"/>
      <c r="D114" s="383"/>
      <c r="E114" s="383"/>
      <c r="F114" s="365"/>
      <c r="G114" s="365"/>
      <c r="H114" s="365"/>
      <c r="I114" s="365"/>
      <c r="J114" s="365"/>
    </row>
    <row r="115" spans="1:10" ht="16.5">
      <c r="A115" s="383"/>
      <c r="B115" s="384"/>
      <c r="C115" s="364"/>
      <c r="D115" s="383"/>
      <c r="E115" s="383"/>
      <c r="F115" s="365"/>
      <c r="G115" s="365"/>
      <c r="H115" s="365"/>
      <c r="I115" s="365"/>
      <c r="J115" s="365"/>
    </row>
    <row r="116" spans="1:10" ht="16.5">
      <c r="A116" s="383"/>
      <c r="B116" s="384"/>
      <c r="C116" s="364"/>
      <c r="D116" s="383"/>
      <c r="E116" s="383"/>
      <c r="F116" s="365"/>
      <c r="G116" s="365"/>
      <c r="H116" s="365"/>
      <c r="I116" s="365"/>
      <c r="J116" s="365"/>
    </row>
    <row r="117" spans="1:10" ht="16.5">
      <c r="A117" s="383"/>
      <c r="B117" s="384"/>
      <c r="C117" s="364"/>
      <c r="D117" s="383"/>
      <c r="E117" s="383"/>
      <c r="F117" s="365"/>
      <c r="G117" s="365"/>
      <c r="H117" s="365"/>
      <c r="I117" s="365"/>
      <c r="J117" s="365"/>
    </row>
    <row r="118" spans="1:10" ht="16.5">
      <c r="A118" s="383"/>
      <c r="B118" s="384"/>
      <c r="C118" s="364"/>
      <c r="D118" s="383"/>
      <c r="E118" s="383"/>
      <c r="F118" s="365"/>
      <c r="G118" s="365"/>
      <c r="H118" s="365"/>
      <c r="I118" s="365"/>
      <c r="J118" s="365"/>
    </row>
    <row r="119" spans="1:10" ht="16.5">
      <c r="A119" s="383"/>
      <c r="B119" s="384"/>
      <c r="C119" s="364"/>
      <c r="D119" s="383"/>
      <c r="E119" s="383"/>
      <c r="F119" s="365"/>
      <c r="G119" s="365"/>
      <c r="H119" s="365"/>
      <c r="I119" s="365"/>
      <c r="J119" s="365"/>
    </row>
    <row r="120" spans="1:10" ht="16.5">
      <c r="A120" s="383"/>
      <c r="B120" s="384"/>
      <c r="C120" s="364"/>
      <c r="D120" s="383"/>
      <c r="E120" s="383"/>
      <c r="F120" s="365"/>
      <c r="G120" s="365"/>
      <c r="H120" s="365"/>
      <c r="I120" s="365"/>
      <c r="J120" s="365"/>
    </row>
    <row r="121" spans="1:10" ht="16.5">
      <c r="A121" s="383"/>
      <c r="B121" s="384"/>
      <c r="C121" s="364"/>
      <c r="D121" s="383"/>
      <c r="E121" s="383"/>
      <c r="F121" s="365"/>
      <c r="G121" s="365"/>
      <c r="H121" s="365"/>
      <c r="I121" s="365"/>
      <c r="J121" s="365"/>
    </row>
    <row r="122" spans="1:10" ht="16.5">
      <c r="A122" s="383"/>
      <c r="B122" s="384"/>
      <c r="C122" s="364"/>
      <c r="D122" s="383"/>
      <c r="E122" s="383"/>
      <c r="F122" s="365"/>
      <c r="G122" s="365"/>
      <c r="H122" s="365"/>
      <c r="I122" s="365"/>
      <c r="J122" s="365"/>
    </row>
    <row r="123" spans="1:10" ht="16.5">
      <c r="A123" s="383"/>
      <c r="B123" s="384"/>
      <c r="C123" s="364"/>
      <c r="D123" s="383"/>
      <c r="E123" s="383"/>
      <c r="F123" s="365"/>
      <c r="G123" s="365"/>
      <c r="H123" s="365"/>
      <c r="I123" s="365"/>
      <c r="J123" s="365"/>
    </row>
    <row r="124" spans="1:10" ht="16.5">
      <c r="A124" s="383"/>
      <c r="B124" s="384"/>
      <c r="C124" s="364"/>
      <c r="D124" s="383"/>
      <c r="E124" s="383"/>
      <c r="F124" s="365"/>
      <c r="G124" s="365"/>
      <c r="H124" s="365"/>
      <c r="I124" s="365"/>
      <c r="J124" s="365"/>
    </row>
    <row r="125" spans="1:10" ht="16.5">
      <c r="A125" s="383"/>
      <c r="B125" s="384"/>
      <c r="C125" s="364"/>
      <c r="D125" s="383"/>
      <c r="E125" s="383"/>
      <c r="F125" s="365"/>
      <c r="G125" s="365"/>
      <c r="H125" s="365"/>
      <c r="I125" s="365"/>
      <c r="J125" s="365"/>
    </row>
    <row r="126" spans="1:10" ht="16.5">
      <c r="A126" s="383"/>
      <c r="B126" s="384"/>
      <c r="C126" s="364"/>
      <c r="D126" s="383"/>
      <c r="E126" s="383"/>
      <c r="F126" s="365"/>
      <c r="G126" s="365"/>
      <c r="H126" s="365"/>
      <c r="I126" s="365"/>
      <c r="J126" s="365"/>
    </row>
    <row r="127" spans="1:10" ht="16.5">
      <c r="A127" s="383"/>
      <c r="B127" s="384"/>
      <c r="C127" s="364"/>
      <c r="D127" s="383"/>
      <c r="E127" s="383"/>
      <c r="F127" s="365"/>
      <c r="G127" s="365"/>
      <c r="H127" s="365"/>
      <c r="I127" s="365"/>
      <c r="J127" s="365"/>
    </row>
    <row r="128" spans="1:10" ht="16.5">
      <c r="A128" s="383"/>
      <c r="B128" s="384"/>
      <c r="C128" s="364"/>
      <c r="D128" s="383"/>
      <c r="E128" s="383"/>
      <c r="F128" s="365"/>
      <c r="G128" s="365"/>
      <c r="H128" s="365"/>
      <c r="I128" s="365"/>
      <c r="J128" s="365"/>
    </row>
    <row r="129" spans="1:10" ht="16.5">
      <c r="A129" s="383"/>
      <c r="B129" s="384"/>
      <c r="C129" s="364"/>
      <c r="D129" s="383"/>
      <c r="E129" s="383"/>
      <c r="F129" s="365"/>
      <c r="G129" s="365"/>
      <c r="H129" s="365"/>
      <c r="I129" s="365"/>
      <c r="J129" s="365"/>
    </row>
    <row r="130" spans="1:10" ht="16.5">
      <c r="A130" s="383"/>
      <c r="B130" s="384"/>
      <c r="C130" s="364"/>
      <c r="D130" s="383"/>
      <c r="E130" s="383"/>
      <c r="F130" s="365"/>
      <c r="G130" s="365"/>
      <c r="H130" s="365"/>
      <c r="I130" s="365"/>
      <c r="J130" s="365"/>
    </row>
    <row r="131" spans="1:10" ht="16.5">
      <c r="A131" s="383"/>
      <c r="B131" s="384"/>
      <c r="C131" s="364"/>
      <c r="D131" s="383"/>
      <c r="E131" s="383"/>
      <c r="F131" s="365"/>
      <c r="G131" s="365"/>
      <c r="H131" s="365"/>
      <c r="I131" s="365"/>
      <c r="J131" s="365"/>
    </row>
    <row r="132" spans="1:10" ht="16.5">
      <c r="A132" s="383"/>
      <c r="B132" s="384"/>
      <c r="C132" s="364"/>
      <c r="D132" s="383"/>
      <c r="E132" s="383"/>
      <c r="F132" s="365"/>
      <c r="G132" s="365"/>
      <c r="H132" s="365"/>
      <c r="I132" s="365"/>
      <c r="J132" s="365"/>
    </row>
    <row r="133" spans="1:10" ht="16.5">
      <c r="A133" s="383"/>
      <c r="B133" s="384"/>
      <c r="C133" s="364"/>
      <c r="D133" s="383"/>
      <c r="E133" s="383"/>
      <c r="F133" s="365"/>
      <c r="G133" s="365"/>
      <c r="H133" s="365"/>
      <c r="I133" s="365"/>
      <c r="J133" s="365"/>
    </row>
    <row r="134" spans="1:10" ht="16.5">
      <c r="A134" s="383"/>
      <c r="B134" s="384"/>
      <c r="C134" s="364"/>
      <c r="D134" s="383"/>
      <c r="E134" s="383"/>
      <c r="F134" s="365"/>
      <c r="G134" s="365"/>
      <c r="H134" s="365"/>
      <c r="I134" s="365"/>
      <c r="J134" s="365"/>
    </row>
    <row r="135" spans="1:10" ht="16.5">
      <c r="A135" s="383"/>
      <c r="B135" s="384"/>
      <c r="C135" s="364"/>
      <c r="D135" s="383"/>
      <c r="E135" s="383"/>
      <c r="F135" s="365"/>
      <c r="G135" s="365"/>
      <c r="H135" s="365"/>
      <c r="I135" s="365"/>
      <c r="J135" s="365"/>
    </row>
    <row r="136" spans="1:10" ht="16.5">
      <c r="A136" s="383"/>
      <c r="B136" s="384"/>
      <c r="C136" s="364"/>
      <c r="D136" s="383"/>
      <c r="E136" s="383"/>
      <c r="F136" s="365"/>
      <c r="G136" s="365"/>
      <c r="H136" s="365"/>
      <c r="I136" s="365"/>
      <c r="J136" s="365"/>
    </row>
    <row r="137" spans="1:10" ht="16.5">
      <c r="A137" s="383"/>
      <c r="B137" s="384"/>
      <c r="C137" s="364"/>
      <c r="D137" s="383"/>
      <c r="E137" s="383"/>
      <c r="F137" s="365"/>
      <c r="G137" s="365"/>
      <c r="H137" s="365"/>
      <c r="I137" s="365"/>
      <c r="J137" s="365"/>
    </row>
    <row r="138" spans="1:10" ht="16.5">
      <c r="A138" s="383"/>
      <c r="B138" s="384"/>
      <c r="C138" s="364"/>
      <c r="D138" s="383"/>
      <c r="E138" s="383"/>
      <c r="F138" s="365"/>
      <c r="G138" s="365"/>
      <c r="H138" s="365"/>
      <c r="I138" s="365"/>
      <c r="J138" s="365"/>
    </row>
    <row r="139" spans="1:10" ht="16.5">
      <c r="A139" s="383"/>
      <c r="B139" s="384"/>
      <c r="C139" s="364"/>
      <c r="D139" s="383"/>
      <c r="E139" s="383"/>
      <c r="F139" s="365"/>
      <c r="G139" s="365"/>
      <c r="H139" s="365"/>
      <c r="I139" s="365"/>
      <c r="J139" s="365"/>
    </row>
    <row r="140" spans="1:10" ht="16.5">
      <c r="A140" s="383"/>
      <c r="B140" s="384"/>
      <c r="C140" s="364"/>
      <c r="D140" s="383"/>
      <c r="E140" s="383"/>
      <c r="F140" s="365"/>
      <c r="G140" s="365"/>
      <c r="H140" s="365"/>
      <c r="I140" s="365"/>
      <c r="J140" s="365"/>
    </row>
    <row r="141" spans="1:10" ht="16.5">
      <c r="A141" s="383"/>
      <c r="B141" s="384"/>
      <c r="C141" s="364"/>
      <c r="D141" s="383"/>
      <c r="E141" s="383"/>
      <c r="F141" s="365"/>
      <c r="G141" s="365"/>
      <c r="H141" s="365"/>
      <c r="I141" s="365"/>
      <c r="J141" s="365"/>
    </row>
    <row r="142" spans="1:10" ht="16.5">
      <c r="A142" s="383"/>
      <c r="B142" s="384"/>
      <c r="C142" s="364"/>
      <c r="D142" s="383"/>
      <c r="E142" s="383"/>
      <c r="F142" s="365"/>
      <c r="G142" s="365"/>
      <c r="H142" s="365"/>
      <c r="I142" s="365"/>
      <c r="J142" s="365"/>
    </row>
    <row r="143" spans="1:10" ht="16.5">
      <c r="A143" s="383"/>
      <c r="B143" s="384"/>
      <c r="C143" s="364"/>
      <c r="D143" s="383"/>
      <c r="E143" s="383"/>
      <c r="F143" s="365"/>
      <c r="G143" s="365"/>
      <c r="H143" s="365"/>
      <c r="I143" s="365"/>
      <c r="J143" s="365"/>
    </row>
    <row r="144" spans="1:10" ht="16.5">
      <c r="A144" s="383"/>
      <c r="B144" s="384"/>
      <c r="C144" s="364"/>
      <c r="D144" s="383"/>
      <c r="E144" s="383"/>
      <c r="F144" s="365"/>
      <c r="G144" s="365"/>
      <c r="H144" s="365"/>
      <c r="I144" s="365"/>
      <c r="J144" s="365"/>
    </row>
    <row r="145" spans="1:10" ht="16.5">
      <c r="A145" s="383"/>
      <c r="B145" s="384"/>
      <c r="C145" s="364"/>
      <c r="D145" s="383"/>
      <c r="E145" s="383"/>
      <c r="F145" s="365"/>
      <c r="G145" s="365"/>
      <c r="H145" s="365"/>
      <c r="I145" s="365"/>
      <c r="J145" s="365"/>
    </row>
    <row r="146" spans="1:10" ht="16.5">
      <c r="A146" s="383"/>
      <c r="B146" s="384"/>
      <c r="C146" s="364"/>
      <c r="D146" s="383"/>
      <c r="E146" s="383"/>
      <c r="F146" s="365"/>
      <c r="G146" s="365"/>
      <c r="H146" s="365"/>
      <c r="I146" s="365"/>
      <c r="J146" s="365"/>
    </row>
    <row r="147" spans="1:10" ht="16.5">
      <c r="A147" s="383"/>
      <c r="B147" s="384"/>
      <c r="C147" s="364"/>
      <c r="D147" s="383"/>
      <c r="E147" s="383"/>
      <c r="F147" s="365"/>
      <c r="G147" s="365"/>
      <c r="H147" s="365"/>
      <c r="I147" s="365"/>
      <c r="J147" s="365"/>
    </row>
    <row r="148" spans="1:10" ht="16.5">
      <c r="A148" s="383"/>
      <c r="B148" s="384"/>
      <c r="C148" s="364"/>
      <c r="D148" s="383"/>
      <c r="E148" s="383"/>
      <c r="F148" s="365"/>
      <c r="G148" s="365"/>
      <c r="H148" s="365"/>
      <c r="I148" s="365"/>
      <c r="J148" s="365"/>
    </row>
    <row r="149" spans="1:10" ht="16.5">
      <c r="A149" s="383"/>
      <c r="B149" s="384"/>
      <c r="C149" s="364"/>
      <c r="D149" s="383"/>
      <c r="E149" s="383"/>
      <c r="F149" s="365"/>
      <c r="G149" s="365"/>
      <c r="H149" s="365"/>
      <c r="I149" s="365"/>
      <c r="J149" s="365"/>
    </row>
    <row r="150" spans="1:10" ht="16.5">
      <c r="A150" s="383"/>
      <c r="B150" s="384"/>
      <c r="C150" s="364"/>
      <c r="D150" s="383"/>
      <c r="E150" s="383"/>
      <c r="F150" s="365"/>
      <c r="G150" s="365"/>
      <c r="H150" s="365"/>
      <c r="I150" s="365"/>
      <c r="J150" s="365"/>
    </row>
    <row r="151" spans="1:10" ht="16.5">
      <c r="A151" s="383"/>
      <c r="B151" s="384"/>
      <c r="C151" s="364"/>
      <c r="D151" s="383"/>
      <c r="E151" s="383"/>
      <c r="F151" s="365"/>
      <c r="G151" s="365"/>
      <c r="H151" s="365"/>
      <c r="I151" s="365"/>
      <c r="J151" s="365"/>
    </row>
    <row r="152" spans="1:10" ht="16.5">
      <c r="A152" s="383"/>
      <c r="B152" s="384"/>
      <c r="C152" s="364"/>
      <c r="D152" s="383"/>
      <c r="E152" s="383"/>
      <c r="F152" s="365"/>
      <c r="G152" s="365"/>
      <c r="H152" s="365"/>
      <c r="I152" s="365"/>
      <c r="J152" s="365"/>
    </row>
    <row r="153" spans="1:10" ht="16.5">
      <c r="A153" s="383"/>
      <c r="B153" s="384"/>
      <c r="C153" s="364"/>
      <c r="D153" s="383"/>
      <c r="E153" s="383"/>
      <c r="F153" s="365"/>
      <c r="G153" s="365"/>
      <c r="H153" s="365"/>
      <c r="I153" s="365"/>
      <c r="J153" s="365"/>
    </row>
    <row r="154" spans="1:10" ht="16.5">
      <c r="A154" s="383"/>
      <c r="B154" s="384"/>
      <c r="C154" s="364"/>
      <c r="D154" s="383"/>
      <c r="E154" s="383"/>
      <c r="F154" s="365"/>
      <c r="G154" s="365"/>
      <c r="H154" s="365"/>
      <c r="I154" s="365"/>
      <c r="J154" s="365"/>
    </row>
    <row r="155" spans="1:10" ht="16.5">
      <c r="A155" s="383"/>
      <c r="B155" s="384"/>
      <c r="C155" s="364"/>
      <c r="D155" s="383"/>
      <c r="E155" s="383"/>
      <c r="F155" s="365"/>
      <c r="G155" s="365"/>
      <c r="H155" s="365"/>
      <c r="I155" s="365"/>
      <c r="J155" s="365"/>
    </row>
    <row r="156" spans="1:10" ht="16.5">
      <c r="A156" s="383"/>
      <c r="B156" s="384"/>
      <c r="C156" s="364"/>
      <c r="D156" s="383"/>
      <c r="E156" s="383"/>
      <c r="F156" s="365"/>
      <c r="G156" s="365"/>
      <c r="H156" s="365"/>
      <c r="I156" s="365"/>
      <c r="J156" s="365"/>
    </row>
    <row r="157" spans="1:10" ht="16.5">
      <c r="A157" s="383"/>
      <c r="B157" s="384"/>
      <c r="C157" s="364"/>
      <c r="D157" s="383"/>
      <c r="E157" s="383"/>
      <c r="F157" s="365"/>
      <c r="G157" s="365"/>
      <c r="H157" s="365"/>
      <c r="I157" s="365"/>
      <c r="J157" s="365"/>
    </row>
    <row r="158" spans="1:10" ht="16.5">
      <c r="A158" s="383"/>
      <c r="B158" s="384"/>
      <c r="C158" s="364"/>
      <c r="D158" s="383"/>
      <c r="E158" s="383"/>
      <c r="F158" s="365"/>
      <c r="G158" s="365"/>
      <c r="H158" s="365"/>
      <c r="I158" s="365"/>
      <c r="J158" s="365"/>
    </row>
    <row r="159" spans="1:10" ht="16.5">
      <c r="A159" s="383"/>
      <c r="B159" s="384"/>
      <c r="C159" s="364"/>
      <c r="D159" s="383"/>
      <c r="E159" s="383"/>
      <c r="F159" s="365"/>
      <c r="G159" s="365"/>
      <c r="H159" s="365"/>
      <c r="I159" s="365"/>
      <c r="J159" s="365"/>
    </row>
    <row r="160" spans="1:10" ht="16.5">
      <c r="A160" s="383"/>
      <c r="B160" s="384"/>
      <c r="C160" s="364"/>
      <c r="D160" s="383"/>
      <c r="E160" s="383"/>
      <c r="F160" s="365"/>
      <c r="G160" s="365"/>
      <c r="H160" s="365"/>
      <c r="I160" s="365"/>
      <c r="J160" s="365"/>
    </row>
    <row r="161" spans="1:10" ht="16.5">
      <c r="A161" s="383"/>
      <c r="B161" s="384"/>
      <c r="C161" s="364"/>
      <c r="D161" s="383"/>
      <c r="E161" s="383"/>
      <c r="F161" s="365"/>
      <c r="G161" s="365"/>
      <c r="H161" s="365"/>
      <c r="I161" s="365"/>
      <c r="J161" s="365"/>
    </row>
    <row r="162" spans="1:10" ht="16.5">
      <c r="A162" s="383"/>
      <c r="B162" s="384"/>
      <c r="C162" s="364"/>
      <c r="D162" s="383"/>
      <c r="E162" s="383"/>
      <c r="F162" s="365"/>
      <c r="G162" s="365"/>
      <c r="H162" s="365"/>
      <c r="I162" s="365"/>
      <c r="J162" s="365"/>
    </row>
    <row r="163" spans="1:10" ht="16.5">
      <c r="A163" s="383"/>
      <c r="B163" s="384"/>
      <c r="C163" s="364"/>
      <c r="D163" s="383"/>
      <c r="E163" s="383"/>
      <c r="F163" s="365"/>
      <c r="G163" s="365"/>
      <c r="H163" s="365"/>
      <c r="I163" s="365"/>
      <c r="J163" s="365"/>
    </row>
    <row r="164" spans="1:10" ht="16.5">
      <c r="A164" s="383"/>
      <c r="B164" s="384"/>
      <c r="C164" s="364"/>
      <c r="D164" s="383"/>
      <c r="E164" s="383"/>
      <c r="F164" s="365"/>
      <c r="G164" s="365"/>
      <c r="H164" s="365"/>
      <c r="I164" s="365"/>
      <c r="J164" s="365"/>
    </row>
    <row r="165" spans="1:10" ht="16.5">
      <c r="A165" s="383"/>
      <c r="B165" s="384"/>
      <c r="C165" s="364"/>
      <c r="D165" s="383"/>
      <c r="E165" s="383"/>
      <c r="F165" s="365"/>
      <c r="G165" s="365"/>
      <c r="H165" s="365"/>
      <c r="I165" s="365"/>
      <c r="J165" s="365"/>
    </row>
    <row r="166" spans="1:10" ht="16.5">
      <c r="A166" s="383"/>
      <c r="B166" s="384"/>
      <c r="C166" s="364"/>
      <c r="D166" s="383"/>
      <c r="E166" s="383"/>
      <c r="F166" s="365"/>
      <c r="G166" s="365"/>
      <c r="H166" s="365"/>
      <c r="I166" s="365"/>
      <c r="J166" s="365"/>
    </row>
    <row r="167" spans="1:10" ht="16.5">
      <c r="A167" s="383"/>
      <c r="B167" s="384"/>
      <c r="C167" s="364"/>
      <c r="D167" s="383"/>
      <c r="E167" s="383"/>
      <c r="F167" s="365"/>
      <c r="G167" s="365"/>
      <c r="H167" s="365"/>
      <c r="I167" s="365"/>
      <c r="J167" s="365"/>
    </row>
    <row r="168" spans="1:10" ht="16.5">
      <c r="A168" s="383"/>
      <c r="B168" s="384"/>
      <c r="C168" s="364"/>
      <c r="D168" s="383"/>
      <c r="E168" s="383"/>
      <c r="F168" s="365"/>
      <c r="G168" s="365"/>
      <c r="H168" s="365"/>
      <c r="I168" s="365"/>
      <c r="J168" s="365"/>
    </row>
    <row r="169" spans="1:10" ht="16.5">
      <c r="A169" s="383"/>
      <c r="B169" s="384"/>
      <c r="C169" s="364"/>
      <c r="D169" s="383"/>
      <c r="E169" s="383"/>
      <c r="F169" s="365"/>
      <c r="G169" s="365"/>
      <c r="H169" s="365"/>
      <c r="I169" s="365"/>
      <c r="J169" s="365"/>
    </row>
    <row r="170" spans="1:10" ht="16.5">
      <c r="A170" s="383"/>
      <c r="B170" s="384"/>
      <c r="C170" s="364"/>
      <c r="D170" s="383"/>
      <c r="E170" s="383"/>
      <c r="F170" s="365"/>
      <c r="G170" s="365"/>
      <c r="H170" s="365"/>
      <c r="I170" s="365"/>
      <c r="J170" s="365"/>
    </row>
    <row r="171" spans="1:10" ht="16.5">
      <c r="A171" s="383"/>
      <c r="B171" s="384"/>
      <c r="C171" s="364"/>
      <c r="D171" s="383"/>
      <c r="E171" s="383"/>
      <c r="F171" s="365"/>
      <c r="G171" s="365"/>
      <c r="H171" s="365"/>
      <c r="I171" s="365"/>
      <c r="J171" s="365"/>
    </row>
    <row r="172" spans="1:10" ht="16.5">
      <c r="A172" s="383"/>
      <c r="B172" s="384"/>
      <c r="C172" s="364"/>
      <c r="D172" s="383"/>
      <c r="E172" s="383"/>
      <c r="F172" s="365"/>
      <c r="G172" s="365"/>
      <c r="H172" s="365"/>
      <c r="I172" s="365"/>
      <c r="J172" s="365"/>
    </row>
    <row r="173" spans="1:10" ht="16.5">
      <c r="A173" s="383"/>
      <c r="B173" s="384"/>
      <c r="C173" s="364"/>
      <c r="D173" s="383"/>
      <c r="E173" s="383"/>
      <c r="F173" s="365"/>
      <c r="G173" s="365"/>
      <c r="H173" s="365"/>
      <c r="I173" s="365"/>
      <c r="J173" s="365"/>
    </row>
    <row r="174" spans="1:10" ht="16.5">
      <c r="A174" s="383"/>
      <c r="B174" s="384"/>
      <c r="C174" s="364"/>
      <c r="D174" s="383"/>
      <c r="E174" s="383"/>
      <c r="F174" s="365"/>
      <c r="G174" s="365"/>
      <c r="H174" s="365"/>
      <c r="I174" s="365"/>
      <c r="J174" s="365"/>
    </row>
    <row r="175" spans="1:10" ht="16.5">
      <c r="A175" s="383"/>
      <c r="B175" s="384"/>
      <c r="C175" s="364"/>
      <c r="D175" s="383"/>
      <c r="E175" s="383"/>
      <c r="F175" s="365"/>
      <c r="G175" s="365"/>
      <c r="H175" s="365"/>
      <c r="I175" s="365"/>
      <c r="J175" s="365"/>
    </row>
    <row r="176" spans="1:10" ht="16.5">
      <c r="A176" s="383"/>
      <c r="B176" s="384"/>
      <c r="C176" s="364"/>
      <c r="D176" s="383"/>
      <c r="E176" s="383"/>
      <c r="F176" s="365"/>
      <c r="G176" s="365"/>
      <c r="H176" s="365"/>
      <c r="I176" s="365"/>
      <c r="J176" s="365"/>
    </row>
    <row r="177" spans="1:10" ht="16.5">
      <c r="A177" s="383"/>
      <c r="B177" s="384"/>
      <c r="C177" s="364"/>
      <c r="D177" s="383"/>
      <c r="E177" s="383"/>
      <c r="F177" s="365"/>
      <c r="G177" s="365"/>
      <c r="H177" s="365"/>
      <c r="I177" s="365"/>
      <c r="J177" s="365"/>
    </row>
    <row r="178" spans="1:10" ht="16.5">
      <c r="A178" s="383"/>
      <c r="B178" s="384"/>
      <c r="C178" s="364"/>
      <c r="D178" s="383"/>
      <c r="E178" s="383"/>
      <c r="F178" s="365"/>
      <c r="G178" s="365"/>
      <c r="H178" s="365"/>
      <c r="I178" s="365"/>
      <c r="J178" s="365"/>
    </row>
    <row r="179" spans="1:10" ht="16.5">
      <c r="A179" s="383"/>
      <c r="B179" s="384"/>
      <c r="C179" s="364"/>
      <c r="D179" s="383"/>
      <c r="E179" s="383"/>
      <c r="F179" s="365"/>
      <c r="G179" s="365"/>
      <c r="H179" s="365"/>
      <c r="I179" s="365"/>
      <c r="J179" s="365"/>
    </row>
    <row r="180" spans="1:10" ht="16.5">
      <c r="A180" s="383"/>
      <c r="B180" s="384"/>
      <c r="C180" s="364"/>
      <c r="D180" s="383"/>
      <c r="E180" s="383"/>
      <c r="F180" s="365"/>
      <c r="G180" s="365"/>
      <c r="H180" s="365"/>
      <c r="I180" s="365"/>
      <c r="J180" s="365"/>
    </row>
    <row r="181" spans="1:10" ht="16.5">
      <c r="A181" s="383"/>
      <c r="B181" s="384"/>
      <c r="C181" s="364"/>
      <c r="D181" s="383"/>
      <c r="E181" s="383"/>
      <c r="F181" s="365"/>
      <c r="G181" s="365"/>
      <c r="H181" s="365"/>
      <c r="I181" s="365"/>
      <c r="J181" s="365"/>
    </row>
    <row r="182" spans="1:10" ht="16.5">
      <c r="A182" s="383"/>
      <c r="B182" s="384"/>
      <c r="C182" s="364"/>
      <c r="D182" s="383"/>
      <c r="E182" s="383"/>
      <c r="F182" s="365"/>
      <c r="G182" s="365"/>
      <c r="H182" s="365"/>
      <c r="I182" s="365"/>
      <c r="J182" s="365"/>
    </row>
    <row r="183" spans="1:10" ht="16.5">
      <c r="A183" s="383"/>
      <c r="B183" s="384"/>
      <c r="C183" s="364"/>
      <c r="D183" s="383"/>
      <c r="E183" s="383"/>
      <c r="F183" s="365"/>
      <c r="G183" s="365"/>
      <c r="H183" s="365"/>
      <c r="I183" s="365"/>
      <c r="J183" s="365"/>
    </row>
    <row r="184" spans="1:10" ht="16.5">
      <c r="A184" s="383"/>
      <c r="B184" s="384"/>
      <c r="C184" s="364"/>
      <c r="D184" s="383"/>
      <c r="E184" s="383"/>
      <c r="F184" s="365"/>
      <c r="G184" s="365"/>
      <c r="H184" s="365"/>
      <c r="I184" s="365"/>
      <c r="J184" s="365"/>
    </row>
    <row r="185" spans="1:10" ht="16.5">
      <c r="A185" s="383"/>
      <c r="B185" s="384"/>
      <c r="C185" s="364"/>
      <c r="D185" s="383"/>
      <c r="E185" s="383"/>
      <c r="F185" s="365"/>
      <c r="G185" s="365"/>
      <c r="H185" s="365"/>
      <c r="I185" s="365"/>
      <c r="J185" s="365"/>
    </row>
    <row r="186" spans="1:10" ht="16.5">
      <c r="A186" s="383"/>
      <c r="B186" s="384"/>
      <c r="C186" s="364"/>
      <c r="D186" s="383"/>
      <c r="E186" s="383"/>
      <c r="F186" s="365"/>
      <c r="G186" s="365"/>
      <c r="H186" s="365"/>
      <c r="I186" s="365"/>
      <c r="J186" s="365"/>
    </row>
    <row r="187" spans="1:10" ht="16.5">
      <c r="A187" s="383"/>
      <c r="B187" s="384"/>
      <c r="C187" s="364"/>
      <c r="D187" s="383"/>
      <c r="E187" s="383"/>
      <c r="F187" s="365"/>
      <c r="G187" s="365"/>
      <c r="H187" s="365"/>
      <c r="I187" s="365"/>
      <c r="J187" s="365"/>
    </row>
    <row r="188" spans="1:10" ht="16.5">
      <c r="A188" s="383"/>
      <c r="B188" s="384"/>
      <c r="C188" s="364"/>
      <c r="D188" s="383"/>
      <c r="E188" s="383"/>
      <c r="F188" s="365"/>
      <c r="G188" s="365"/>
      <c r="H188" s="365"/>
      <c r="I188" s="365"/>
      <c r="J188" s="365"/>
    </row>
    <row r="189" spans="1:10" ht="16.5">
      <c r="A189" s="383"/>
      <c r="B189" s="384"/>
      <c r="C189" s="364"/>
      <c r="D189" s="383"/>
      <c r="E189" s="383"/>
      <c r="F189" s="365"/>
      <c r="G189" s="365"/>
      <c r="H189" s="365"/>
      <c r="I189" s="365"/>
      <c r="J189" s="365"/>
    </row>
    <row r="190" spans="1:10" ht="16.5">
      <c r="A190" s="383"/>
      <c r="B190" s="384"/>
      <c r="C190" s="364"/>
      <c r="D190" s="383"/>
      <c r="E190" s="383"/>
      <c r="F190" s="365"/>
      <c r="G190" s="365"/>
      <c r="H190" s="365"/>
      <c r="I190" s="365"/>
      <c r="J190" s="365"/>
    </row>
    <row r="191" spans="1:10" ht="16.5">
      <c r="A191" s="383"/>
      <c r="B191" s="384"/>
      <c r="C191" s="364"/>
      <c r="D191" s="383"/>
      <c r="E191" s="383"/>
      <c r="F191" s="365"/>
      <c r="G191" s="365"/>
      <c r="H191" s="365"/>
      <c r="I191" s="365"/>
      <c r="J191" s="365"/>
    </row>
    <row r="192" spans="1:10" ht="16.5">
      <c r="A192" s="383"/>
      <c r="B192" s="384"/>
      <c r="C192" s="364"/>
      <c r="D192" s="383"/>
      <c r="E192" s="383"/>
      <c r="F192" s="365"/>
      <c r="G192" s="365"/>
      <c r="H192" s="365"/>
      <c r="I192" s="365"/>
      <c r="J192" s="365"/>
    </row>
    <row r="193" spans="1:10" ht="16.5">
      <c r="A193" s="383"/>
      <c r="B193" s="384"/>
      <c r="C193" s="364"/>
      <c r="D193" s="383"/>
      <c r="E193" s="383"/>
      <c r="F193" s="365"/>
      <c r="G193" s="365"/>
      <c r="H193" s="365"/>
      <c r="I193" s="365"/>
      <c r="J193" s="365"/>
    </row>
    <row r="194" spans="1:10" ht="16.5">
      <c r="A194" s="383"/>
      <c r="B194" s="384"/>
      <c r="C194" s="364"/>
      <c r="D194" s="383"/>
      <c r="E194" s="383"/>
      <c r="F194" s="365"/>
      <c r="G194" s="365"/>
      <c r="H194" s="365"/>
      <c r="I194" s="365"/>
      <c r="J194" s="365"/>
    </row>
    <row r="195" spans="1:10" ht="16.5">
      <c r="A195" s="383"/>
      <c r="B195" s="384"/>
      <c r="C195" s="364"/>
      <c r="D195" s="383"/>
      <c r="E195" s="383"/>
      <c r="F195" s="365"/>
      <c r="G195" s="365"/>
      <c r="H195" s="365"/>
      <c r="I195" s="365"/>
      <c r="J195" s="365"/>
    </row>
    <row r="196" spans="1:10" ht="16.5">
      <c r="A196" s="383"/>
      <c r="B196" s="384"/>
      <c r="C196" s="364"/>
      <c r="D196" s="383"/>
      <c r="E196" s="383"/>
      <c r="F196" s="365"/>
      <c r="G196" s="365"/>
      <c r="H196" s="365"/>
      <c r="I196" s="365"/>
      <c r="J196" s="365"/>
    </row>
    <row r="197" spans="1:10" ht="16.5">
      <c r="A197" s="383"/>
      <c r="B197" s="384"/>
      <c r="C197" s="364"/>
      <c r="D197" s="383"/>
      <c r="E197" s="383"/>
      <c r="F197" s="365"/>
      <c r="G197" s="365"/>
      <c r="H197" s="365"/>
      <c r="I197" s="365"/>
      <c r="J197" s="365"/>
    </row>
    <row r="198" spans="1:10" ht="16.5">
      <c r="A198" s="383"/>
      <c r="B198" s="384"/>
      <c r="C198" s="364"/>
      <c r="D198" s="383"/>
      <c r="E198" s="383"/>
      <c r="F198" s="365"/>
      <c r="G198" s="365"/>
      <c r="H198" s="365"/>
      <c r="I198" s="365"/>
      <c r="J198" s="365"/>
    </row>
    <row r="199" spans="1:10" ht="16.5">
      <c r="A199" s="383"/>
      <c r="B199" s="384"/>
      <c r="C199" s="364"/>
      <c r="D199" s="383"/>
      <c r="E199" s="383"/>
      <c r="F199" s="365"/>
      <c r="G199" s="365"/>
      <c r="H199" s="365"/>
      <c r="I199" s="365"/>
      <c r="J199" s="365"/>
    </row>
    <row r="200" spans="1:10" ht="16.5">
      <c r="A200" s="383"/>
      <c r="B200" s="384"/>
      <c r="C200" s="364"/>
      <c r="D200" s="383"/>
      <c r="E200" s="383"/>
      <c r="F200" s="365"/>
      <c r="G200" s="365"/>
      <c r="H200" s="365"/>
      <c r="I200" s="365"/>
      <c r="J200" s="365"/>
    </row>
    <row r="201" spans="1:10" ht="16.5">
      <c r="A201" s="383"/>
      <c r="B201" s="384"/>
      <c r="C201" s="364"/>
      <c r="D201" s="383"/>
      <c r="E201" s="383"/>
      <c r="F201" s="365"/>
      <c r="G201" s="365"/>
      <c r="H201" s="365"/>
      <c r="I201" s="365"/>
      <c r="J201" s="365"/>
    </row>
    <row r="202" spans="1:10" ht="16.5">
      <c r="A202" s="383"/>
      <c r="B202" s="384"/>
      <c r="C202" s="364"/>
      <c r="D202" s="383"/>
      <c r="E202" s="383"/>
      <c r="F202" s="365"/>
      <c r="G202" s="365"/>
      <c r="H202" s="365"/>
      <c r="I202" s="365"/>
      <c r="J202" s="365"/>
    </row>
    <row r="203" spans="1:10" ht="16.5">
      <c r="A203" s="383"/>
      <c r="B203" s="384"/>
      <c r="C203" s="364"/>
      <c r="D203" s="383"/>
      <c r="E203" s="383"/>
      <c r="F203" s="365"/>
      <c r="G203" s="365"/>
      <c r="H203" s="365"/>
      <c r="I203" s="365"/>
      <c r="J203" s="365"/>
    </row>
    <row r="204" spans="1:10" ht="16.5">
      <c r="A204" s="383"/>
      <c r="B204" s="384"/>
      <c r="C204" s="364"/>
      <c r="D204" s="383"/>
      <c r="E204" s="383"/>
      <c r="F204" s="365"/>
      <c r="G204" s="365"/>
      <c r="H204" s="365"/>
      <c r="I204" s="365"/>
      <c r="J204" s="365"/>
    </row>
    <row r="205" spans="1:10" ht="16.5">
      <c r="A205" s="383"/>
      <c r="B205" s="384"/>
      <c r="C205" s="364"/>
      <c r="D205" s="383"/>
      <c r="E205" s="383"/>
      <c r="F205" s="365"/>
      <c r="G205" s="365"/>
      <c r="H205" s="365"/>
      <c r="I205" s="365"/>
      <c r="J205" s="365"/>
    </row>
    <row r="206" spans="1:10" ht="16.5">
      <c r="A206" s="383"/>
      <c r="B206" s="384"/>
      <c r="C206" s="364"/>
      <c r="D206" s="383"/>
      <c r="E206" s="383"/>
      <c r="F206" s="365"/>
      <c r="G206" s="365"/>
      <c r="H206" s="365"/>
      <c r="I206" s="365"/>
      <c r="J206" s="365"/>
    </row>
    <row r="207" spans="1:10" ht="16.5">
      <c r="A207" s="383"/>
      <c r="B207" s="384"/>
      <c r="C207" s="364"/>
      <c r="D207" s="383"/>
      <c r="E207" s="383"/>
      <c r="F207" s="365"/>
      <c r="G207" s="365"/>
      <c r="H207" s="365"/>
      <c r="I207" s="365"/>
      <c r="J207" s="365"/>
    </row>
    <row r="208" spans="1:10" ht="16.5">
      <c r="A208" s="383"/>
      <c r="B208" s="384"/>
      <c r="C208" s="364"/>
      <c r="D208" s="383"/>
      <c r="E208" s="383"/>
      <c r="F208" s="365"/>
      <c r="G208" s="365"/>
      <c r="H208" s="365"/>
      <c r="I208" s="365"/>
      <c r="J208" s="365"/>
    </row>
    <row r="209" spans="1:10" ht="16.5">
      <c r="A209" s="383"/>
      <c r="B209" s="384"/>
      <c r="C209" s="364"/>
      <c r="D209" s="383"/>
      <c r="E209" s="383"/>
      <c r="F209" s="365"/>
      <c r="G209" s="365"/>
      <c r="H209" s="365"/>
      <c r="I209" s="365"/>
      <c r="J209" s="365"/>
    </row>
    <row r="210" spans="1:10" ht="16.5">
      <c r="A210" s="383"/>
      <c r="B210" s="384"/>
      <c r="C210" s="364"/>
      <c r="D210" s="383"/>
      <c r="E210" s="383"/>
      <c r="F210" s="365"/>
      <c r="G210" s="365"/>
      <c r="H210" s="365"/>
      <c r="I210" s="365"/>
      <c r="J210" s="365"/>
    </row>
    <row r="211" spans="1:10" ht="16.5">
      <c r="A211" s="383"/>
      <c r="B211" s="384"/>
      <c r="C211" s="364"/>
      <c r="D211" s="383"/>
      <c r="E211" s="383"/>
      <c r="F211" s="365"/>
      <c r="G211" s="365"/>
      <c r="H211" s="365"/>
      <c r="I211" s="365"/>
      <c r="J211" s="365"/>
    </row>
    <row r="212" spans="1:10" ht="16.5">
      <c r="A212" s="383"/>
      <c r="B212" s="384"/>
      <c r="C212" s="364"/>
      <c r="D212" s="383"/>
      <c r="E212" s="383"/>
      <c r="F212" s="365"/>
      <c r="G212" s="365"/>
      <c r="H212" s="365"/>
      <c r="I212" s="365"/>
      <c r="J212" s="365"/>
    </row>
    <row r="213" spans="1:10" ht="16.5">
      <c r="A213" s="383"/>
      <c r="B213" s="384"/>
      <c r="C213" s="364"/>
      <c r="D213" s="383"/>
      <c r="E213" s="383"/>
      <c r="F213" s="365"/>
      <c r="G213" s="365"/>
      <c r="H213" s="365"/>
      <c r="I213" s="365"/>
      <c r="J213" s="365"/>
    </row>
    <row r="214" spans="1:10" ht="16.5">
      <c r="A214" s="383"/>
      <c r="B214" s="384"/>
      <c r="C214" s="364"/>
      <c r="D214" s="383"/>
      <c r="E214" s="383"/>
      <c r="F214" s="365"/>
      <c r="G214" s="365"/>
      <c r="H214" s="365"/>
      <c r="I214" s="365"/>
      <c r="J214" s="365"/>
    </row>
    <row r="215" spans="1:10" ht="16.5">
      <c r="A215" s="383"/>
      <c r="B215" s="384"/>
      <c r="C215" s="364"/>
      <c r="D215" s="383"/>
      <c r="E215" s="383"/>
      <c r="F215" s="365"/>
      <c r="G215" s="365"/>
      <c r="H215" s="365"/>
      <c r="I215" s="365"/>
      <c r="J215" s="365"/>
    </row>
    <row r="216" spans="1:10" ht="16.5">
      <c r="A216" s="383"/>
      <c r="B216" s="384"/>
      <c r="C216" s="364"/>
      <c r="D216" s="383"/>
      <c r="E216" s="383"/>
      <c r="F216" s="365"/>
      <c r="G216" s="365"/>
      <c r="H216" s="365"/>
      <c r="I216" s="365"/>
      <c r="J216" s="365"/>
    </row>
    <row r="217" spans="1:10" ht="16.5">
      <c r="A217" s="383"/>
      <c r="B217" s="384"/>
      <c r="C217" s="364"/>
      <c r="D217" s="383"/>
      <c r="E217" s="383"/>
      <c r="F217" s="365"/>
      <c r="G217" s="365"/>
      <c r="H217" s="365"/>
      <c r="I217" s="365"/>
      <c r="J217" s="365"/>
    </row>
    <row r="218" spans="1:10" ht="16.5">
      <c r="A218" s="383"/>
      <c r="B218" s="384"/>
      <c r="C218" s="364"/>
      <c r="D218" s="383"/>
      <c r="E218" s="383"/>
      <c r="F218" s="365"/>
      <c r="G218" s="365"/>
      <c r="H218" s="365"/>
      <c r="I218" s="365"/>
      <c r="J218" s="365"/>
    </row>
    <row r="219" spans="1:10" ht="16.5">
      <c r="A219" s="383"/>
      <c r="B219" s="384"/>
      <c r="C219" s="364"/>
      <c r="D219" s="383"/>
      <c r="E219" s="383"/>
      <c r="F219" s="365"/>
      <c r="G219" s="365"/>
      <c r="H219" s="365"/>
      <c r="I219" s="365"/>
      <c r="J219" s="365"/>
    </row>
    <row r="220" spans="1:10" ht="16.5">
      <c r="A220" s="383"/>
      <c r="B220" s="384"/>
      <c r="C220" s="364"/>
      <c r="D220" s="383"/>
      <c r="E220" s="383"/>
      <c r="F220" s="365"/>
      <c r="G220" s="365"/>
      <c r="H220" s="365"/>
      <c r="I220" s="365"/>
      <c r="J220" s="365"/>
    </row>
    <row r="221" spans="1:10" ht="16.5">
      <c r="A221" s="383"/>
      <c r="B221" s="384"/>
      <c r="C221" s="364"/>
      <c r="D221" s="383"/>
      <c r="E221" s="383"/>
      <c r="F221" s="365"/>
      <c r="G221" s="365"/>
      <c r="H221" s="365"/>
      <c r="I221" s="365"/>
      <c r="J221" s="365"/>
    </row>
    <row r="222" spans="1:10" ht="16.5">
      <c r="A222" s="383"/>
      <c r="B222" s="384"/>
      <c r="C222" s="364"/>
      <c r="D222" s="383"/>
      <c r="E222" s="383"/>
      <c r="F222" s="365"/>
      <c r="G222" s="365"/>
      <c r="H222" s="365"/>
      <c r="I222" s="365"/>
      <c r="J222" s="365"/>
    </row>
    <row r="223" spans="1:10" ht="16.5">
      <c r="A223" s="383"/>
      <c r="B223" s="384"/>
      <c r="C223" s="364"/>
      <c r="D223" s="383"/>
      <c r="E223" s="383"/>
      <c r="F223" s="365"/>
      <c r="G223" s="365"/>
      <c r="H223" s="365"/>
      <c r="I223" s="365"/>
      <c r="J223" s="365"/>
    </row>
    <row r="224" spans="1:10" ht="16.5">
      <c r="A224" s="383"/>
      <c r="B224" s="384"/>
      <c r="C224" s="364"/>
      <c r="D224" s="383"/>
      <c r="E224" s="383"/>
      <c r="F224" s="365"/>
      <c r="G224" s="365"/>
      <c r="H224" s="365"/>
      <c r="I224" s="365"/>
      <c r="J224" s="365"/>
    </row>
    <row r="225" spans="1:10" ht="16.5">
      <c r="A225" s="383"/>
      <c r="B225" s="384"/>
      <c r="C225" s="364"/>
      <c r="D225" s="383"/>
      <c r="E225" s="383"/>
      <c r="F225" s="365"/>
      <c r="G225" s="365"/>
      <c r="H225" s="365"/>
      <c r="I225" s="365"/>
      <c r="J225" s="365"/>
    </row>
    <row r="226" spans="1:10" ht="16.5">
      <c r="A226" s="383"/>
      <c r="B226" s="384"/>
      <c r="C226" s="364"/>
      <c r="D226" s="383"/>
      <c r="E226" s="383"/>
      <c r="F226" s="365"/>
      <c r="G226" s="365"/>
      <c r="H226" s="365"/>
      <c r="I226" s="365"/>
      <c r="J226" s="365"/>
    </row>
    <row r="227" spans="1:10" ht="16.5">
      <c r="A227" s="383"/>
      <c r="B227" s="384"/>
      <c r="C227" s="364"/>
      <c r="D227" s="383"/>
      <c r="E227" s="383"/>
      <c r="F227" s="365"/>
      <c r="G227" s="365"/>
      <c r="H227" s="365"/>
      <c r="I227" s="365"/>
      <c r="J227" s="365"/>
    </row>
    <row r="228" spans="1:10" ht="16.5">
      <c r="A228" s="383"/>
      <c r="B228" s="384"/>
      <c r="C228" s="364"/>
      <c r="D228" s="383"/>
      <c r="E228" s="383"/>
      <c r="F228" s="365"/>
      <c r="G228" s="365"/>
      <c r="H228" s="365"/>
      <c r="I228" s="365"/>
      <c r="J228" s="365"/>
    </row>
    <row r="229" spans="1:10" ht="16.5">
      <c r="A229" s="383"/>
      <c r="B229" s="384"/>
      <c r="C229" s="364"/>
      <c r="D229" s="383"/>
      <c r="E229" s="383"/>
      <c r="F229" s="365"/>
      <c r="G229" s="365"/>
      <c r="H229" s="365"/>
      <c r="I229" s="365"/>
      <c r="J229" s="365"/>
    </row>
    <row r="230" spans="1:10" ht="16.5">
      <c r="A230" s="383"/>
      <c r="B230" s="384"/>
      <c r="C230" s="364"/>
      <c r="D230" s="383"/>
      <c r="E230" s="383"/>
      <c r="F230" s="365"/>
      <c r="G230" s="365"/>
      <c r="H230" s="365"/>
      <c r="I230" s="365"/>
      <c r="J230" s="365"/>
    </row>
    <row r="231" spans="1:10" ht="16.5">
      <c r="A231" s="383"/>
      <c r="B231" s="384"/>
      <c r="C231" s="364"/>
      <c r="D231" s="383"/>
      <c r="E231" s="383"/>
      <c r="F231" s="365"/>
      <c r="G231" s="365"/>
      <c r="H231" s="365"/>
      <c r="I231" s="365"/>
      <c r="J231" s="365"/>
    </row>
    <row r="232" spans="1:10" ht="16.5">
      <c r="A232" s="383"/>
      <c r="B232" s="384"/>
      <c r="C232" s="364"/>
      <c r="D232" s="383"/>
      <c r="E232" s="383"/>
      <c r="F232" s="365"/>
      <c r="G232" s="365"/>
      <c r="H232" s="365"/>
      <c r="I232" s="365"/>
      <c r="J232" s="365"/>
    </row>
    <row r="233" spans="1:10" ht="16.5">
      <c r="A233" s="383"/>
      <c r="B233" s="384"/>
      <c r="C233" s="364"/>
      <c r="D233" s="383"/>
      <c r="E233" s="383"/>
      <c r="F233" s="365"/>
      <c r="G233" s="365"/>
      <c r="H233" s="365"/>
      <c r="I233" s="365"/>
      <c r="J233" s="365"/>
    </row>
    <row r="234" spans="1:10" ht="16.5">
      <c r="A234" s="383"/>
      <c r="B234" s="384"/>
      <c r="C234" s="364"/>
      <c r="D234" s="383"/>
      <c r="E234" s="383"/>
      <c r="F234" s="365"/>
      <c r="G234" s="365"/>
      <c r="H234" s="365"/>
      <c r="I234" s="365"/>
      <c r="J234" s="365"/>
    </row>
    <row r="235" spans="1:10" ht="16.5">
      <c r="A235" s="383"/>
      <c r="B235" s="384"/>
      <c r="C235" s="364"/>
      <c r="D235" s="383"/>
      <c r="E235" s="383"/>
      <c r="F235" s="365"/>
      <c r="G235" s="365"/>
      <c r="H235" s="365"/>
      <c r="I235" s="365"/>
      <c r="J235" s="365"/>
    </row>
    <row r="236" spans="1:10" ht="16.5">
      <c r="A236" s="383"/>
      <c r="B236" s="384"/>
      <c r="C236" s="364"/>
      <c r="D236" s="383"/>
      <c r="E236" s="383"/>
      <c r="F236" s="365"/>
      <c r="G236" s="365"/>
      <c r="H236" s="365"/>
      <c r="I236" s="365"/>
      <c r="J236" s="365"/>
    </row>
    <row r="237" spans="1:10" ht="16.5">
      <c r="A237" s="383"/>
      <c r="B237" s="384"/>
      <c r="C237" s="364"/>
      <c r="D237" s="383"/>
      <c r="E237" s="383"/>
      <c r="F237" s="365"/>
      <c r="G237" s="365"/>
      <c r="H237" s="365"/>
      <c r="I237" s="365"/>
      <c r="J237" s="365"/>
    </row>
    <row r="238" spans="1:10" ht="16.5">
      <c r="A238" s="383"/>
      <c r="B238" s="384"/>
      <c r="C238" s="364"/>
      <c r="D238" s="383"/>
      <c r="E238" s="383"/>
      <c r="F238" s="365"/>
      <c r="G238" s="365"/>
      <c r="H238" s="365"/>
      <c r="I238" s="365"/>
      <c r="J238" s="365"/>
    </row>
    <row r="239" spans="1:10" ht="16.5">
      <c r="A239" s="383"/>
      <c r="B239" s="384"/>
      <c r="C239" s="364"/>
      <c r="D239" s="383"/>
      <c r="E239" s="383"/>
      <c r="F239" s="365"/>
      <c r="G239" s="365"/>
      <c r="H239" s="365"/>
      <c r="I239" s="365"/>
      <c r="J239" s="365"/>
    </row>
    <row r="240" spans="1:10" ht="16.5">
      <c r="A240" s="383"/>
      <c r="B240" s="384"/>
      <c r="C240" s="364"/>
      <c r="D240" s="383"/>
      <c r="E240" s="383"/>
      <c r="F240" s="365"/>
      <c r="G240" s="365"/>
      <c r="H240" s="365"/>
      <c r="I240" s="365"/>
      <c r="J240" s="365"/>
    </row>
    <row r="241" spans="1:10" ht="16.5">
      <c r="A241" s="383"/>
      <c r="B241" s="384"/>
      <c r="C241" s="364"/>
      <c r="D241" s="383"/>
      <c r="E241" s="383"/>
      <c r="F241" s="365"/>
      <c r="G241" s="365"/>
      <c r="H241" s="365"/>
      <c r="I241" s="365"/>
      <c r="J241" s="365"/>
    </row>
    <row r="242" spans="1:10" ht="16.5">
      <c r="A242" s="383"/>
      <c r="B242" s="384"/>
      <c r="C242" s="364"/>
      <c r="D242" s="383"/>
      <c r="E242" s="383"/>
      <c r="F242" s="365"/>
      <c r="G242" s="365"/>
      <c r="H242" s="365"/>
      <c r="I242" s="365"/>
      <c r="J242" s="365"/>
    </row>
    <row r="243" spans="1:10" ht="16.5">
      <c r="A243" s="383"/>
      <c r="B243" s="384"/>
      <c r="C243" s="364"/>
      <c r="D243" s="383"/>
      <c r="E243" s="383"/>
      <c r="F243" s="365"/>
      <c r="G243" s="365"/>
      <c r="H243" s="365"/>
      <c r="I243" s="365"/>
      <c r="J243" s="365"/>
    </row>
    <row r="244" spans="1:10" ht="16.5">
      <c r="A244" s="383"/>
      <c r="B244" s="384"/>
      <c r="C244" s="364"/>
      <c r="D244" s="383"/>
      <c r="E244" s="383"/>
      <c r="F244" s="365"/>
      <c r="G244" s="365"/>
      <c r="H244" s="365"/>
      <c r="I244" s="365"/>
      <c r="J244" s="365"/>
    </row>
    <row r="245" spans="1:10" ht="16.5">
      <c r="A245" s="383"/>
      <c r="B245" s="384"/>
      <c r="C245" s="364"/>
      <c r="D245" s="383"/>
      <c r="E245" s="383"/>
      <c r="F245" s="365"/>
      <c r="G245" s="365"/>
      <c r="H245" s="365"/>
      <c r="I245" s="365"/>
      <c r="J245" s="365"/>
    </row>
    <row r="246" spans="1:10" ht="16.5">
      <c r="A246" s="383"/>
      <c r="B246" s="384"/>
      <c r="C246" s="364"/>
      <c r="D246" s="383"/>
      <c r="E246" s="383"/>
      <c r="F246" s="365"/>
      <c r="G246" s="365"/>
      <c r="H246" s="365"/>
      <c r="I246" s="365"/>
      <c r="J246" s="365"/>
    </row>
    <row r="247" spans="1:10" ht="16.5">
      <c r="A247" s="383"/>
      <c r="B247" s="384"/>
      <c r="C247" s="364"/>
      <c r="D247" s="383"/>
      <c r="E247" s="383"/>
      <c r="F247" s="365"/>
      <c r="G247" s="365"/>
      <c r="H247" s="365"/>
      <c r="I247" s="365"/>
      <c r="J247" s="365"/>
    </row>
    <row r="248" spans="1:10" ht="16.5">
      <c r="A248" s="383"/>
      <c r="B248" s="384"/>
      <c r="C248" s="364"/>
      <c r="D248" s="383"/>
      <c r="E248" s="383"/>
      <c r="F248" s="365"/>
      <c r="G248" s="365"/>
      <c r="H248" s="365"/>
      <c r="I248" s="365"/>
      <c r="J248" s="365"/>
    </row>
    <row r="249" spans="1:10" ht="16.5">
      <c r="A249" s="383"/>
      <c r="B249" s="384"/>
      <c r="C249" s="364"/>
      <c r="D249" s="383"/>
      <c r="E249" s="383"/>
      <c r="F249" s="365"/>
      <c r="G249" s="365"/>
      <c r="H249" s="365"/>
      <c r="I249" s="365"/>
      <c r="J249" s="365"/>
    </row>
    <row r="250" spans="1:10" ht="16.5">
      <c r="A250" s="383"/>
      <c r="B250" s="384"/>
      <c r="C250" s="364"/>
      <c r="D250" s="383"/>
      <c r="E250" s="383"/>
      <c r="F250" s="365"/>
      <c r="G250" s="365"/>
      <c r="H250" s="365"/>
      <c r="I250" s="365"/>
      <c r="J250" s="365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4"/>
  <sheetViews>
    <sheetView workbookViewId="0"/>
  </sheetViews>
  <sheetFormatPr defaultRowHeight="15"/>
  <sheetData>
    <row r="1" spans="1:10" ht="56.25">
      <c r="B1" s="507" t="s">
        <v>413</v>
      </c>
      <c r="C1" s="517"/>
      <c r="D1" s="517"/>
      <c r="E1" s="517"/>
      <c r="G1" s="1069" t="s">
        <v>608</v>
      </c>
      <c r="H1" s="1069"/>
      <c r="I1" s="1156" t="s">
        <v>613</v>
      </c>
      <c r="J1" s="1156"/>
    </row>
    <row r="2" spans="1:10" ht="19.5">
      <c r="A2" s="360"/>
      <c r="B2" s="1157" t="s">
        <v>436</v>
      </c>
      <c r="C2" s="1157"/>
      <c r="D2" s="1157"/>
      <c r="E2" s="1157"/>
      <c r="F2" s="1157"/>
      <c r="G2" s="1157"/>
      <c r="H2" s="1157"/>
      <c r="I2" s="1157"/>
      <c r="J2" s="1157"/>
    </row>
    <row r="3" spans="1:10" ht="16.5">
      <c r="A3" s="1063" t="s">
        <v>414</v>
      </c>
      <c r="B3" s="1063"/>
      <c r="C3" s="1063"/>
      <c r="D3" s="1063"/>
      <c r="E3" s="1063"/>
      <c r="F3" s="1063"/>
      <c r="G3" s="1063"/>
      <c r="H3" s="1063"/>
      <c r="I3" s="1063"/>
      <c r="J3" s="1063"/>
    </row>
    <row r="4" spans="1:10" ht="16.5">
      <c r="A4" s="383"/>
      <c r="B4" s="384"/>
      <c r="C4" s="364"/>
      <c r="D4" s="383"/>
      <c r="E4" s="383"/>
      <c r="F4" s="383"/>
      <c r="G4" s="365"/>
      <c r="H4" s="365"/>
      <c r="I4" s="365"/>
      <c r="J4" s="383"/>
    </row>
    <row r="5" spans="1:10" ht="99">
      <c r="A5" s="1067" t="s">
        <v>0</v>
      </c>
      <c r="B5" s="1067" t="s">
        <v>287</v>
      </c>
      <c r="C5" s="1067" t="s">
        <v>184</v>
      </c>
      <c r="D5" s="1049" t="s">
        <v>611</v>
      </c>
      <c r="E5" s="1049" t="s">
        <v>602</v>
      </c>
      <c r="F5" s="1056" t="s">
        <v>610</v>
      </c>
      <c r="G5" s="1057"/>
      <c r="H5" s="1057"/>
      <c r="I5" s="1057"/>
      <c r="J5" s="1058"/>
    </row>
    <row r="6" spans="1:10" ht="33">
      <c r="A6" s="1067"/>
      <c r="B6" s="1067"/>
      <c r="C6" s="1067"/>
      <c r="D6" s="1049"/>
      <c r="E6" s="1049"/>
      <c r="F6" s="332" t="s">
        <v>603</v>
      </c>
      <c r="G6" s="332" t="s">
        <v>604</v>
      </c>
      <c r="H6" s="332" t="s">
        <v>605</v>
      </c>
      <c r="I6" s="332" t="s">
        <v>606</v>
      </c>
      <c r="J6" s="332" t="s">
        <v>607</v>
      </c>
    </row>
    <row r="7" spans="1:10" ht="31.5">
      <c r="A7" s="601" t="s">
        <v>101</v>
      </c>
      <c r="B7" s="600" t="s">
        <v>415</v>
      </c>
      <c r="C7" s="601" t="s">
        <v>416</v>
      </c>
      <c r="D7" s="602"/>
      <c r="E7" s="602"/>
      <c r="F7" s="485"/>
      <c r="G7" s="485"/>
      <c r="H7" s="485"/>
      <c r="I7" s="485"/>
      <c r="J7" s="485"/>
    </row>
    <row r="8" spans="1:10" ht="78.75">
      <c r="A8" s="601">
        <v>1</v>
      </c>
      <c r="B8" s="600" t="s">
        <v>417</v>
      </c>
      <c r="C8" s="603" t="s">
        <v>416</v>
      </c>
      <c r="D8" s="602"/>
      <c r="E8" s="602"/>
      <c r="F8" s="485"/>
      <c r="G8" s="485"/>
      <c r="H8" s="485"/>
      <c r="I8" s="485"/>
      <c r="J8" s="485"/>
    </row>
    <row r="9" spans="1:10" ht="110.25">
      <c r="A9" s="601"/>
      <c r="B9" s="489" t="s">
        <v>418</v>
      </c>
      <c r="C9" s="484" t="s">
        <v>416</v>
      </c>
      <c r="D9" s="602"/>
      <c r="E9" s="602"/>
      <c r="F9" s="486"/>
      <c r="G9" s="486"/>
      <c r="H9" s="486"/>
      <c r="I9" s="486"/>
      <c r="J9" s="486"/>
    </row>
    <row r="10" spans="1:10" ht="110.25">
      <c r="A10" s="742"/>
      <c r="B10" s="604" t="s">
        <v>419</v>
      </c>
      <c r="C10" s="605" t="s">
        <v>416</v>
      </c>
      <c r="D10" s="602"/>
      <c r="E10" s="602"/>
      <c r="F10" s="606"/>
      <c r="G10" s="606"/>
      <c r="H10" s="606"/>
      <c r="I10" s="606"/>
      <c r="J10" s="606"/>
    </row>
    <row r="11" spans="1:10" ht="63">
      <c r="A11" s="601" t="s">
        <v>420</v>
      </c>
      <c r="B11" s="600" t="s">
        <v>421</v>
      </c>
      <c r="C11" s="601"/>
      <c r="D11" s="485"/>
      <c r="E11" s="485"/>
      <c r="F11" s="485"/>
      <c r="G11" s="485"/>
      <c r="H11" s="485"/>
      <c r="I11" s="485"/>
      <c r="J11" s="485"/>
    </row>
    <row r="12" spans="1:10" ht="63">
      <c r="A12" s="603"/>
      <c r="B12" s="489" t="s">
        <v>422</v>
      </c>
      <c r="C12" s="603" t="s">
        <v>423</v>
      </c>
      <c r="D12" s="486"/>
      <c r="E12" s="486"/>
      <c r="F12" s="486"/>
      <c r="G12" s="486"/>
      <c r="H12" s="486"/>
      <c r="I12" s="486"/>
      <c r="J12" s="486"/>
    </row>
    <row r="13" spans="1:10" ht="31.5">
      <c r="A13" s="603"/>
      <c r="B13" s="489" t="s">
        <v>424</v>
      </c>
      <c r="C13" s="603" t="s">
        <v>416</v>
      </c>
      <c r="D13" s="607"/>
      <c r="E13" s="607"/>
      <c r="F13" s="486"/>
      <c r="G13" s="486"/>
      <c r="H13" s="486"/>
      <c r="I13" s="486"/>
      <c r="J13" s="486"/>
    </row>
    <row r="14" spans="1:10" ht="31.5">
      <c r="A14" s="603"/>
      <c r="B14" s="489" t="s">
        <v>425</v>
      </c>
      <c r="C14" s="603" t="s">
        <v>416</v>
      </c>
      <c r="D14" s="486"/>
      <c r="E14" s="486"/>
      <c r="F14" s="486"/>
      <c r="G14" s="486"/>
      <c r="H14" s="486"/>
      <c r="I14" s="486"/>
      <c r="J14" s="486"/>
    </row>
    <row r="15" spans="1:10" ht="31.5">
      <c r="A15" s="743"/>
      <c r="B15" s="489" t="s">
        <v>426</v>
      </c>
      <c r="C15" s="603" t="s">
        <v>416</v>
      </c>
      <c r="D15" s="486"/>
      <c r="E15" s="486"/>
      <c r="F15" s="486"/>
      <c r="G15" s="486"/>
      <c r="H15" s="486"/>
      <c r="I15" s="486"/>
      <c r="J15" s="486"/>
    </row>
    <row r="16" spans="1:10" ht="31.5">
      <c r="A16" s="487" t="s">
        <v>409</v>
      </c>
      <c r="B16" s="488" t="s">
        <v>427</v>
      </c>
      <c r="C16" s="608" t="s">
        <v>301</v>
      </c>
      <c r="D16" s="609"/>
      <c r="E16" s="609"/>
      <c r="F16" s="610"/>
      <c r="G16" s="610"/>
      <c r="H16" s="610"/>
      <c r="I16" s="610"/>
      <c r="J16" s="610"/>
    </row>
    <row r="17" spans="1:10" ht="31.5">
      <c r="A17" s="601" t="s">
        <v>102</v>
      </c>
      <c r="B17" s="600" t="s">
        <v>428</v>
      </c>
      <c r="C17" s="601"/>
      <c r="D17" s="611"/>
      <c r="E17" s="611"/>
      <c r="F17" s="485"/>
      <c r="G17" s="485"/>
      <c r="H17" s="485"/>
      <c r="I17" s="485"/>
      <c r="J17" s="485"/>
    </row>
    <row r="18" spans="1:10" ht="78.75">
      <c r="A18" s="601" t="s">
        <v>400</v>
      </c>
      <c r="B18" s="600" t="s">
        <v>429</v>
      </c>
      <c r="C18" s="603" t="s">
        <v>416</v>
      </c>
      <c r="D18" s="602"/>
      <c r="E18" s="602"/>
      <c r="F18" s="485"/>
      <c r="G18" s="485"/>
      <c r="H18" s="485"/>
      <c r="I18" s="485"/>
      <c r="J18" s="485"/>
    </row>
    <row r="19" spans="1:10" ht="47.25">
      <c r="A19" s="603"/>
      <c r="B19" s="489" t="s">
        <v>430</v>
      </c>
      <c r="C19" s="603" t="s">
        <v>416</v>
      </c>
      <c r="D19" s="602"/>
      <c r="E19" s="602"/>
      <c r="F19" s="486"/>
      <c r="G19" s="486"/>
      <c r="H19" s="486"/>
      <c r="I19" s="486"/>
      <c r="J19" s="486"/>
    </row>
    <row r="20" spans="1:10" ht="63">
      <c r="A20" s="612"/>
      <c r="B20" s="604" t="s">
        <v>431</v>
      </c>
      <c r="C20" s="612" t="s">
        <v>416</v>
      </c>
      <c r="D20" s="606"/>
      <c r="E20" s="606"/>
      <c r="F20" s="606"/>
      <c r="G20" s="606"/>
      <c r="H20" s="606"/>
      <c r="I20" s="606"/>
      <c r="J20" s="606"/>
    </row>
    <row r="21" spans="1:10" ht="63">
      <c r="A21" s="601" t="s">
        <v>403</v>
      </c>
      <c r="B21" s="600" t="s">
        <v>432</v>
      </c>
      <c r="C21" s="601"/>
      <c r="D21" s="485"/>
      <c r="E21" s="485"/>
      <c r="F21" s="485"/>
      <c r="G21" s="485"/>
      <c r="H21" s="485"/>
      <c r="I21" s="485"/>
      <c r="J21" s="485"/>
    </row>
    <row r="22" spans="1:10" ht="78.75">
      <c r="A22" s="603"/>
      <c r="B22" s="489" t="s">
        <v>433</v>
      </c>
      <c r="C22" s="603" t="s">
        <v>416</v>
      </c>
      <c r="D22" s="613"/>
      <c r="E22" s="613"/>
      <c r="F22" s="485"/>
      <c r="G22" s="485"/>
      <c r="H22" s="485"/>
      <c r="I22" s="485"/>
      <c r="J22" s="485"/>
    </row>
    <row r="23" spans="1:10" ht="31.5">
      <c r="A23" s="603"/>
      <c r="B23" s="489" t="s">
        <v>425</v>
      </c>
      <c r="C23" s="603" t="s">
        <v>416</v>
      </c>
      <c r="D23" s="613"/>
      <c r="E23" s="613"/>
      <c r="F23" s="486"/>
      <c r="G23" s="486"/>
      <c r="H23" s="486"/>
      <c r="I23" s="486"/>
      <c r="J23" s="486"/>
    </row>
    <row r="24" spans="1:10" ht="47.25">
      <c r="A24" s="603"/>
      <c r="B24" s="489" t="s">
        <v>520</v>
      </c>
      <c r="C24" s="603" t="s">
        <v>416</v>
      </c>
      <c r="D24" s="613"/>
      <c r="E24" s="613"/>
      <c r="F24" s="486"/>
      <c r="G24" s="486"/>
      <c r="H24" s="486"/>
      <c r="I24" s="486"/>
      <c r="J24" s="486"/>
    </row>
    <row r="25" spans="1:10" ht="31.5">
      <c r="A25" s="487" t="s">
        <v>409</v>
      </c>
      <c r="B25" s="488" t="s">
        <v>427</v>
      </c>
      <c r="C25" s="608" t="s">
        <v>301</v>
      </c>
      <c r="D25" s="611"/>
      <c r="E25" s="611"/>
      <c r="F25" s="610"/>
      <c r="G25" s="610"/>
      <c r="H25" s="610"/>
      <c r="I25" s="610"/>
      <c r="J25" s="610"/>
    </row>
    <row r="26" spans="1:10" ht="31.5">
      <c r="A26" s="487" t="s">
        <v>115</v>
      </c>
      <c r="B26" s="488" t="s">
        <v>434</v>
      </c>
      <c r="C26" s="486" t="s">
        <v>302</v>
      </c>
      <c r="D26" s="611"/>
      <c r="E26" s="611"/>
      <c r="F26" s="485"/>
      <c r="G26" s="485"/>
      <c r="H26" s="485"/>
      <c r="I26" s="485"/>
      <c r="J26" s="485"/>
    </row>
    <row r="27" spans="1:10" ht="94.5">
      <c r="A27" s="614"/>
      <c r="B27" s="615" t="s">
        <v>435</v>
      </c>
      <c r="C27" s="608" t="s">
        <v>301</v>
      </c>
      <c r="D27" s="602"/>
      <c r="E27" s="602"/>
      <c r="F27" s="616"/>
      <c r="G27" s="616"/>
      <c r="H27" s="616"/>
      <c r="I27" s="616"/>
      <c r="J27" s="616"/>
    </row>
    <row r="28" spans="1:10" ht="16.5">
      <c r="A28" s="383"/>
      <c r="B28" s="384"/>
      <c r="C28" s="364"/>
      <c r="D28" s="383"/>
      <c r="E28" s="383"/>
      <c r="F28" s="383"/>
      <c r="G28" s="365"/>
      <c r="H28" s="365"/>
      <c r="I28" s="365"/>
      <c r="J28" s="383"/>
    </row>
    <row r="29" spans="1:10" ht="16.5">
      <c r="A29" s="383"/>
      <c r="B29" s="384"/>
      <c r="C29" s="364"/>
      <c r="D29" s="383"/>
      <c r="E29" s="383"/>
      <c r="F29" s="383"/>
      <c r="G29" s="365"/>
      <c r="H29" s="365"/>
      <c r="I29" s="365"/>
      <c r="J29" s="383"/>
    </row>
    <row r="30" spans="1:10" ht="16.5">
      <c r="A30" s="383"/>
      <c r="B30" s="384"/>
      <c r="C30" s="364"/>
      <c r="D30" s="383"/>
      <c r="E30" s="383"/>
      <c r="F30" s="383"/>
      <c r="G30" s="365"/>
      <c r="H30" s="365"/>
      <c r="I30" s="365"/>
      <c r="J30" s="383"/>
    </row>
    <row r="31" spans="1:10" ht="16.5">
      <c r="A31" s="383"/>
      <c r="B31" s="384"/>
      <c r="C31" s="364"/>
      <c r="D31" s="383"/>
      <c r="E31" s="383"/>
      <c r="F31" s="383"/>
      <c r="G31" s="365"/>
      <c r="H31" s="365"/>
      <c r="I31" s="365"/>
      <c r="J31" s="383"/>
    </row>
    <row r="32" spans="1:10" ht="16.5">
      <c r="A32" s="383"/>
      <c r="B32" s="384"/>
      <c r="C32" s="364"/>
      <c r="D32" s="383"/>
      <c r="E32" s="383"/>
      <c r="F32" s="383"/>
      <c r="G32" s="365"/>
      <c r="H32" s="365"/>
      <c r="I32" s="365"/>
      <c r="J32" s="383"/>
    </row>
    <row r="33" spans="1:10" ht="16.5">
      <c r="A33" s="383"/>
      <c r="B33" s="384"/>
      <c r="C33" s="364"/>
      <c r="D33" s="383"/>
      <c r="E33" s="383"/>
      <c r="F33" s="383"/>
      <c r="G33" s="365"/>
      <c r="H33" s="365"/>
      <c r="I33" s="365"/>
      <c r="J33" s="383"/>
    </row>
    <row r="34" spans="1:10" ht="16.5">
      <c r="A34" s="383"/>
      <c r="B34" s="384"/>
      <c r="C34" s="364"/>
      <c r="D34" s="383"/>
      <c r="E34" s="383"/>
      <c r="F34" s="383"/>
      <c r="G34" s="365"/>
      <c r="H34" s="365"/>
      <c r="I34" s="365"/>
      <c r="J34" s="383"/>
    </row>
    <row r="35" spans="1:10" ht="16.5">
      <c r="A35" s="383"/>
      <c r="B35" s="384"/>
      <c r="C35" s="364"/>
      <c r="D35" s="383"/>
      <c r="E35" s="383"/>
      <c r="F35" s="383"/>
      <c r="G35" s="365"/>
      <c r="H35" s="365"/>
      <c r="I35" s="365"/>
      <c r="J35" s="383"/>
    </row>
    <row r="36" spans="1:10" ht="16.5">
      <c r="A36" s="383"/>
      <c r="B36" s="384"/>
      <c r="C36" s="364"/>
      <c r="D36" s="383"/>
      <c r="E36" s="383"/>
      <c r="F36" s="383"/>
      <c r="G36" s="365"/>
      <c r="H36" s="365"/>
      <c r="I36" s="365"/>
      <c r="J36" s="383"/>
    </row>
    <row r="37" spans="1:10" ht="16.5">
      <c r="A37" s="383"/>
      <c r="B37" s="384"/>
      <c r="C37" s="364"/>
      <c r="D37" s="383"/>
      <c r="E37" s="383"/>
      <c r="F37" s="383"/>
      <c r="G37" s="365"/>
      <c r="H37" s="365"/>
      <c r="I37" s="365"/>
      <c r="J37" s="383"/>
    </row>
    <row r="38" spans="1:10" ht="16.5">
      <c r="A38" s="383"/>
      <c r="B38" s="384"/>
      <c r="C38" s="364"/>
      <c r="D38" s="383"/>
      <c r="E38" s="383"/>
      <c r="F38" s="383"/>
      <c r="G38" s="365"/>
      <c r="H38" s="365"/>
      <c r="I38" s="365"/>
      <c r="J38" s="383"/>
    </row>
    <row r="39" spans="1:10" ht="16.5">
      <c r="A39" s="383"/>
      <c r="B39" s="384"/>
      <c r="C39" s="364"/>
      <c r="D39" s="383"/>
      <c r="E39" s="383"/>
      <c r="F39" s="383"/>
      <c r="G39" s="365"/>
      <c r="H39" s="365"/>
      <c r="I39" s="365"/>
      <c r="J39" s="383"/>
    </row>
    <row r="40" spans="1:10" ht="16.5">
      <c r="A40" s="383"/>
      <c r="B40" s="384"/>
      <c r="C40" s="364"/>
      <c r="D40" s="383"/>
      <c r="E40" s="383"/>
      <c r="F40" s="383"/>
      <c r="G40" s="365"/>
      <c r="H40" s="365"/>
      <c r="I40" s="365"/>
      <c r="J40" s="383"/>
    </row>
    <row r="41" spans="1:10" ht="16.5">
      <c r="A41" s="383"/>
      <c r="B41" s="384"/>
      <c r="C41" s="364"/>
      <c r="D41" s="383"/>
      <c r="E41" s="383"/>
      <c r="F41" s="383"/>
      <c r="G41" s="365"/>
      <c r="H41" s="365"/>
      <c r="I41" s="365"/>
      <c r="J41" s="383"/>
    </row>
    <row r="42" spans="1:10" ht="16.5">
      <c r="A42" s="383"/>
      <c r="B42" s="384"/>
      <c r="C42" s="364"/>
      <c r="D42" s="383"/>
      <c r="E42" s="383"/>
      <c r="F42" s="383"/>
      <c r="G42" s="365"/>
      <c r="H42" s="365"/>
      <c r="I42" s="365"/>
      <c r="J42" s="383"/>
    </row>
    <row r="43" spans="1:10" ht="16.5">
      <c r="A43" s="383"/>
      <c r="B43" s="384"/>
      <c r="C43" s="364"/>
      <c r="D43" s="383"/>
      <c r="E43" s="383"/>
      <c r="F43" s="383"/>
      <c r="G43" s="365"/>
      <c r="H43" s="365"/>
      <c r="I43" s="365"/>
      <c r="J43" s="383"/>
    </row>
    <row r="44" spans="1:10" ht="16.5">
      <c r="A44" s="383"/>
      <c r="B44" s="384"/>
      <c r="C44" s="364"/>
      <c r="D44" s="383"/>
      <c r="E44" s="383"/>
      <c r="F44" s="383"/>
      <c r="G44" s="365"/>
      <c r="H44" s="365"/>
      <c r="I44" s="365"/>
      <c r="J44" s="383"/>
    </row>
    <row r="45" spans="1:10" ht="16.5">
      <c r="A45" s="383"/>
      <c r="B45" s="384"/>
      <c r="C45" s="364"/>
      <c r="D45" s="383"/>
      <c r="E45" s="383"/>
      <c r="F45" s="383"/>
      <c r="G45" s="365"/>
      <c r="H45" s="365"/>
      <c r="I45" s="365"/>
      <c r="J45" s="383"/>
    </row>
    <row r="46" spans="1:10" ht="16.5">
      <c r="A46" s="383"/>
      <c r="B46" s="384"/>
      <c r="C46" s="364"/>
      <c r="D46" s="383"/>
      <c r="E46" s="383"/>
      <c r="F46" s="383"/>
      <c r="G46" s="365"/>
      <c r="H46" s="365"/>
      <c r="I46" s="365"/>
      <c r="J46" s="383"/>
    </row>
    <row r="47" spans="1:10" ht="16.5">
      <c r="A47" s="383"/>
      <c r="B47" s="384"/>
      <c r="C47" s="364"/>
      <c r="D47" s="383"/>
      <c r="E47" s="383"/>
      <c r="F47" s="383"/>
      <c r="G47" s="365"/>
      <c r="H47" s="365"/>
      <c r="I47" s="365"/>
      <c r="J47" s="383"/>
    </row>
    <row r="48" spans="1:10" ht="16.5">
      <c r="A48" s="383"/>
      <c r="B48" s="384"/>
      <c r="C48" s="364"/>
      <c r="D48" s="383"/>
      <c r="E48" s="383"/>
      <c r="F48" s="383"/>
      <c r="G48" s="365"/>
      <c r="H48" s="365"/>
      <c r="I48" s="365"/>
      <c r="J48" s="383"/>
    </row>
    <row r="49" spans="1:10" ht="16.5">
      <c r="A49" s="383"/>
      <c r="B49" s="384"/>
      <c r="C49" s="364"/>
      <c r="D49" s="383"/>
      <c r="E49" s="383"/>
      <c r="F49" s="383"/>
      <c r="G49" s="365"/>
      <c r="H49" s="365"/>
      <c r="I49" s="365"/>
      <c r="J49" s="383"/>
    </row>
    <row r="50" spans="1:10" ht="16.5">
      <c r="A50" s="383"/>
      <c r="B50" s="384"/>
      <c r="C50" s="364"/>
      <c r="D50" s="383"/>
      <c r="E50" s="383"/>
      <c r="F50" s="383"/>
      <c r="G50" s="365"/>
      <c r="H50" s="365"/>
      <c r="I50" s="365"/>
      <c r="J50" s="383"/>
    </row>
    <row r="51" spans="1:10" ht="16.5">
      <c r="A51" s="383"/>
      <c r="B51" s="384"/>
      <c r="C51" s="364"/>
      <c r="D51" s="383"/>
      <c r="E51" s="383"/>
      <c r="F51" s="383"/>
      <c r="G51" s="365"/>
      <c r="H51" s="365"/>
      <c r="I51" s="365"/>
      <c r="J51" s="383"/>
    </row>
    <row r="52" spans="1:10" ht="16.5">
      <c r="A52" s="383"/>
      <c r="B52" s="384"/>
      <c r="C52" s="364"/>
      <c r="D52" s="383"/>
      <c r="E52" s="383"/>
      <c r="F52" s="383"/>
      <c r="G52" s="365"/>
      <c r="H52" s="365"/>
      <c r="I52" s="365"/>
      <c r="J52" s="383"/>
    </row>
    <row r="53" spans="1:10" ht="16.5">
      <c r="A53" s="383"/>
      <c r="B53" s="384"/>
      <c r="C53" s="364"/>
      <c r="D53" s="383"/>
      <c r="E53" s="383"/>
      <c r="F53" s="383"/>
      <c r="G53" s="365"/>
      <c r="H53" s="365"/>
      <c r="I53" s="365"/>
      <c r="J53" s="383"/>
    </row>
    <row r="54" spans="1:10" ht="16.5">
      <c r="A54" s="383"/>
      <c r="B54" s="384"/>
      <c r="C54" s="364"/>
      <c r="D54" s="383"/>
      <c r="E54" s="383"/>
      <c r="F54" s="383"/>
      <c r="G54" s="365"/>
      <c r="H54" s="365"/>
      <c r="I54" s="365"/>
      <c r="J54" s="383"/>
    </row>
    <row r="55" spans="1:10" ht="16.5">
      <c r="A55" s="383"/>
      <c r="B55" s="384"/>
      <c r="C55" s="364"/>
      <c r="D55" s="383"/>
      <c r="E55" s="383"/>
      <c r="F55" s="383"/>
      <c r="G55" s="365"/>
      <c r="H55" s="365"/>
      <c r="I55" s="365"/>
      <c r="J55" s="383"/>
    </row>
    <row r="56" spans="1:10" ht="16.5">
      <c r="A56" s="383"/>
      <c r="B56" s="384"/>
      <c r="C56" s="364"/>
      <c r="D56" s="383"/>
      <c r="E56" s="383"/>
      <c r="F56" s="383"/>
      <c r="G56" s="365"/>
      <c r="H56" s="365"/>
      <c r="I56" s="365"/>
      <c r="J56" s="383"/>
    </row>
    <row r="57" spans="1:10" ht="16.5">
      <c r="A57" s="383"/>
      <c r="B57" s="384"/>
      <c r="C57" s="364"/>
      <c r="D57" s="383"/>
      <c r="E57" s="383"/>
      <c r="F57" s="383"/>
      <c r="G57" s="365"/>
      <c r="H57" s="365"/>
      <c r="I57" s="365"/>
      <c r="J57" s="383"/>
    </row>
    <row r="58" spans="1:10" ht="16.5">
      <c r="A58" s="383"/>
      <c r="B58" s="384"/>
      <c r="C58" s="364"/>
      <c r="D58" s="383"/>
      <c r="E58" s="383"/>
      <c r="F58" s="383"/>
      <c r="G58" s="365"/>
      <c r="H58" s="365"/>
      <c r="I58" s="365"/>
      <c r="J58" s="383"/>
    </row>
    <row r="59" spans="1:10" ht="16.5">
      <c r="A59" s="383"/>
      <c r="B59" s="384"/>
      <c r="C59" s="364"/>
      <c r="D59" s="383"/>
      <c r="E59" s="383"/>
      <c r="F59" s="383"/>
      <c r="G59" s="365"/>
      <c r="H59" s="365"/>
      <c r="I59" s="365"/>
      <c r="J59" s="383"/>
    </row>
    <row r="60" spans="1:10" ht="16.5">
      <c r="A60" s="383"/>
      <c r="B60" s="384"/>
      <c r="C60" s="364"/>
      <c r="D60" s="383"/>
      <c r="E60" s="383"/>
      <c r="F60" s="383"/>
      <c r="G60" s="365"/>
      <c r="H60" s="365"/>
      <c r="I60" s="365"/>
      <c r="J60" s="383"/>
    </row>
    <row r="61" spans="1:10" ht="16.5">
      <c r="A61" s="383"/>
      <c r="B61" s="384"/>
      <c r="C61" s="364"/>
      <c r="D61" s="383"/>
      <c r="E61" s="383"/>
      <c r="F61" s="383"/>
      <c r="G61" s="365"/>
      <c r="H61" s="365"/>
      <c r="I61" s="365"/>
      <c r="J61" s="383"/>
    </row>
    <row r="62" spans="1:10" ht="16.5">
      <c r="A62" s="383"/>
      <c r="B62" s="384"/>
      <c r="C62" s="364"/>
      <c r="D62" s="383"/>
      <c r="E62" s="383"/>
      <c r="F62" s="383"/>
      <c r="G62" s="365"/>
      <c r="H62" s="365"/>
      <c r="I62" s="365"/>
      <c r="J62" s="383"/>
    </row>
    <row r="63" spans="1:10" ht="16.5">
      <c r="A63" s="383"/>
      <c r="B63" s="384"/>
      <c r="C63" s="364"/>
      <c r="D63" s="383"/>
      <c r="E63" s="383"/>
      <c r="F63" s="383"/>
      <c r="G63" s="365"/>
      <c r="H63" s="365"/>
      <c r="I63" s="365"/>
      <c r="J63" s="383"/>
    </row>
    <row r="64" spans="1:10" ht="16.5">
      <c r="A64" s="383"/>
      <c r="B64" s="384"/>
      <c r="C64" s="364"/>
      <c r="D64" s="383"/>
      <c r="E64" s="383"/>
      <c r="F64" s="383"/>
      <c r="G64" s="365"/>
      <c r="H64" s="365"/>
      <c r="I64" s="365"/>
      <c r="J64" s="383"/>
    </row>
    <row r="65" spans="1:10" ht="16.5">
      <c r="A65" s="383"/>
      <c r="B65" s="384"/>
      <c r="C65" s="364"/>
      <c r="D65" s="383"/>
      <c r="E65" s="383"/>
      <c r="F65" s="383"/>
      <c r="G65" s="365"/>
      <c r="H65" s="365"/>
      <c r="I65" s="365"/>
      <c r="J65" s="383"/>
    </row>
    <row r="66" spans="1:10" ht="16.5">
      <c r="A66" s="383"/>
      <c r="B66" s="384"/>
      <c r="C66" s="364"/>
      <c r="D66" s="383"/>
      <c r="E66" s="383"/>
      <c r="F66" s="383"/>
      <c r="G66" s="365"/>
      <c r="H66" s="365"/>
      <c r="I66" s="365"/>
      <c r="J66" s="383"/>
    </row>
    <row r="67" spans="1:10" ht="16.5">
      <c r="A67" s="383"/>
      <c r="B67" s="384"/>
      <c r="C67" s="364"/>
      <c r="D67" s="383"/>
      <c r="E67" s="383"/>
      <c r="F67" s="383"/>
      <c r="G67" s="365"/>
      <c r="H67" s="365"/>
      <c r="I67" s="365"/>
      <c r="J67" s="383"/>
    </row>
    <row r="68" spans="1:10" ht="16.5">
      <c r="A68" s="383"/>
      <c r="B68" s="384"/>
      <c r="C68" s="364"/>
      <c r="D68" s="383"/>
      <c r="E68" s="383"/>
      <c r="F68" s="383"/>
      <c r="G68" s="365"/>
      <c r="H68" s="365"/>
      <c r="I68" s="365"/>
      <c r="J68" s="383"/>
    </row>
    <row r="69" spans="1:10" ht="16.5">
      <c r="A69" s="383"/>
      <c r="B69" s="384"/>
      <c r="C69" s="364"/>
      <c r="D69" s="383"/>
      <c r="E69" s="383"/>
      <c r="F69" s="383"/>
      <c r="G69" s="365"/>
      <c r="H69" s="365"/>
      <c r="I69" s="365"/>
      <c r="J69" s="383"/>
    </row>
    <row r="70" spans="1:10" ht="16.5">
      <c r="A70" s="383"/>
      <c r="B70" s="384"/>
      <c r="C70" s="364"/>
      <c r="D70" s="383"/>
      <c r="E70" s="383"/>
      <c r="F70" s="383"/>
      <c r="G70" s="365"/>
      <c r="H70" s="365"/>
      <c r="I70" s="365"/>
      <c r="J70" s="383"/>
    </row>
    <row r="71" spans="1:10" ht="16.5">
      <c r="A71" s="383"/>
      <c r="B71" s="384"/>
      <c r="C71" s="364"/>
      <c r="D71" s="383"/>
      <c r="E71" s="383"/>
      <c r="F71" s="383"/>
      <c r="G71" s="365"/>
      <c r="H71" s="365"/>
      <c r="I71" s="365"/>
      <c r="J71" s="383"/>
    </row>
    <row r="72" spans="1:10" ht="16.5">
      <c r="A72" s="383"/>
      <c r="B72" s="384"/>
      <c r="C72" s="364"/>
      <c r="D72" s="383"/>
      <c r="E72" s="383"/>
      <c r="F72" s="383"/>
      <c r="G72" s="365"/>
      <c r="H72" s="365"/>
      <c r="I72" s="365"/>
      <c r="J72" s="383"/>
    </row>
    <row r="73" spans="1:10" ht="16.5">
      <c r="A73" s="383"/>
      <c r="B73" s="384"/>
      <c r="C73" s="364"/>
      <c r="D73" s="383"/>
      <c r="E73" s="383"/>
      <c r="F73" s="383"/>
      <c r="G73" s="365"/>
      <c r="H73" s="365"/>
      <c r="I73" s="365"/>
      <c r="J73" s="383"/>
    </row>
    <row r="74" spans="1:10" ht="16.5">
      <c r="A74" s="383"/>
      <c r="B74" s="384"/>
      <c r="C74" s="364"/>
      <c r="D74" s="383"/>
      <c r="E74" s="383"/>
      <c r="F74" s="383"/>
      <c r="G74" s="365"/>
      <c r="H74" s="365"/>
      <c r="I74" s="365"/>
      <c r="J74" s="383"/>
    </row>
    <row r="75" spans="1:10" ht="16.5">
      <c r="A75" s="383"/>
      <c r="B75" s="384"/>
      <c r="C75" s="364"/>
      <c r="D75" s="383"/>
      <c r="E75" s="383"/>
      <c r="F75" s="383"/>
      <c r="G75" s="365"/>
      <c r="H75" s="365"/>
      <c r="I75" s="365"/>
      <c r="J75" s="383"/>
    </row>
    <row r="76" spans="1:10" ht="16.5">
      <c r="A76" s="383"/>
      <c r="B76" s="384"/>
      <c r="C76" s="364"/>
      <c r="D76" s="383"/>
      <c r="E76" s="383"/>
      <c r="F76" s="383"/>
      <c r="G76" s="365"/>
      <c r="H76" s="365"/>
      <c r="I76" s="365"/>
      <c r="J76" s="383"/>
    </row>
    <row r="77" spans="1:10" ht="16.5">
      <c r="A77" s="383"/>
      <c r="B77" s="384"/>
      <c r="C77" s="364"/>
      <c r="D77" s="383"/>
      <c r="E77" s="383"/>
      <c r="F77" s="383"/>
      <c r="G77" s="365"/>
      <c r="H77" s="365"/>
      <c r="I77" s="365"/>
      <c r="J77" s="383"/>
    </row>
    <row r="78" spans="1:10" ht="16.5">
      <c r="A78" s="383"/>
      <c r="B78" s="384"/>
      <c r="C78" s="364"/>
      <c r="D78" s="383"/>
      <c r="E78" s="383"/>
      <c r="F78" s="383"/>
      <c r="G78" s="365"/>
      <c r="H78" s="365"/>
      <c r="I78" s="365"/>
      <c r="J78" s="383"/>
    </row>
    <row r="79" spans="1:10" ht="16.5">
      <c r="A79" s="383"/>
      <c r="B79" s="384"/>
      <c r="C79" s="364"/>
      <c r="D79" s="383"/>
      <c r="E79" s="383"/>
      <c r="F79" s="383"/>
      <c r="G79" s="365"/>
      <c r="H79" s="365"/>
      <c r="I79" s="365"/>
      <c r="J79" s="383"/>
    </row>
    <row r="80" spans="1:10" ht="16.5">
      <c r="A80" s="383"/>
      <c r="B80" s="384"/>
      <c r="C80" s="364"/>
      <c r="D80" s="383"/>
      <c r="E80" s="383"/>
      <c r="F80" s="383"/>
      <c r="G80" s="365"/>
      <c r="H80" s="365"/>
      <c r="I80" s="365"/>
      <c r="J80" s="383"/>
    </row>
    <row r="81" spans="1:10" ht="16.5">
      <c r="A81" s="383"/>
      <c r="B81" s="384"/>
      <c r="C81" s="364"/>
      <c r="D81" s="383"/>
      <c r="E81" s="383"/>
      <c r="F81" s="383"/>
      <c r="G81" s="365"/>
      <c r="H81" s="365"/>
      <c r="I81" s="365"/>
      <c r="J81" s="383"/>
    </row>
    <row r="82" spans="1:10" ht="16.5">
      <c r="A82" s="383"/>
      <c r="B82" s="384"/>
      <c r="C82" s="364"/>
      <c r="D82" s="383"/>
      <c r="E82" s="383"/>
      <c r="F82" s="383"/>
      <c r="G82" s="365"/>
      <c r="H82" s="365"/>
      <c r="I82" s="365"/>
      <c r="J82" s="383"/>
    </row>
    <row r="83" spans="1:10" ht="16.5">
      <c r="A83" s="383"/>
      <c r="B83" s="384"/>
      <c r="C83" s="364"/>
      <c r="D83" s="383"/>
      <c r="E83" s="383"/>
      <c r="F83" s="383"/>
      <c r="G83" s="365"/>
      <c r="H83" s="365"/>
      <c r="I83" s="365"/>
      <c r="J83" s="383"/>
    </row>
    <row r="84" spans="1:10" ht="16.5">
      <c r="A84" s="383"/>
      <c r="B84" s="384"/>
      <c r="C84" s="364"/>
      <c r="D84" s="383"/>
      <c r="E84" s="383"/>
      <c r="F84" s="383"/>
      <c r="G84" s="365"/>
      <c r="H84" s="365"/>
      <c r="I84" s="365"/>
      <c r="J84" s="383"/>
    </row>
    <row r="85" spans="1:10" ht="16.5">
      <c r="A85" s="383"/>
      <c r="B85" s="384"/>
      <c r="C85" s="364"/>
      <c r="D85" s="383"/>
      <c r="E85" s="383"/>
      <c r="F85" s="383"/>
      <c r="G85" s="365"/>
      <c r="H85" s="365"/>
      <c r="I85" s="365"/>
      <c r="J85" s="383"/>
    </row>
    <row r="86" spans="1:10" ht="16.5">
      <c r="A86" s="383"/>
      <c r="B86" s="384"/>
      <c r="C86" s="364"/>
      <c r="D86" s="383"/>
      <c r="E86" s="383"/>
      <c r="F86" s="383"/>
      <c r="G86" s="365"/>
      <c r="H86" s="365"/>
      <c r="I86" s="365"/>
      <c r="J86" s="383"/>
    </row>
    <row r="87" spans="1:10" ht="16.5">
      <c r="A87" s="383"/>
      <c r="B87" s="384"/>
      <c r="C87" s="364"/>
      <c r="D87" s="383"/>
      <c r="E87" s="383"/>
      <c r="F87" s="383"/>
      <c r="G87" s="365"/>
      <c r="H87" s="365"/>
      <c r="I87" s="365"/>
      <c r="J87" s="383"/>
    </row>
    <row r="88" spans="1:10" ht="16.5">
      <c r="A88" s="383"/>
      <c r="B88" s="384"/>
      <c r="C88" s="364"/>
      <c r="D88" s="383"/>
      <c r="E88" s="383"/>
      <c r="F88" s="383"/>
      <c r="G88" s="365"/>
      <c r="H88" s="365"/>
      <c r="I88" s="365"/>
      <c r="J88" s="383"/>
    </row>
    <row r="89" spans="1:10" ht="16.5">
      <c r="A89" s="383"/>
      <c r="B89" s="384"/>
      <c r="C89" s="364"/>
      <c r="D89" s="383"/>
      <c r="E89" s="383"/>
      <c r="F89" s="383"/>
      <c r="G89" s="365"/>
      <c r="H89" s="365"/>
      <c r="I89" s="365"/>
      <c r="J89" s="383"/>
    </row>
    <row r="90" spans="1:10" ht="16.5">
      <c r="A90" s="383"/>
      <c r="B90" s="384"/>
      <c r="C90" s="364"/>
      <c r="D90" s="383"/>
      <c r="E90" s="383"/>
      <c r="F90" s="383"/>
      <c r="G90" s="365"/>
      <c r="H90" s="365"/>
      <c r="I90" s="365"/>
      <c r="J90" s="383"/>
    </row>
    <row r="91" spans="1:10" ht="16.5">
      <c r="A91" s="383"/>
      <c r="B91" s="384"/>
      <c r="C91" s="364"/>
      <c r="D91" s="383"/>
      <c r="E91" s="383"/>
      <c r="F91" s="383"/>
      <c r="G91" s="365"/>
      <c r="H91" s="365"/>
      <c r="I91" s="365"/>
      <c r="J91" s="383"/>
    </row>
    <row r="92" spans="1:10" ht="16.5">
      <c r="A92" s="383"/>
      <c r="B92" s="384"/>
      <c r="C92" s="364"/>
      <c r="D92" s="383"/>
      <c r="E92" s="383"/>
      <c r="F92" s="383"/>
      <c r="G92" s="365"/>
      <c r="H92" s="365"/>
      <c r="I92" s="365"/>
      <c r="J92" s="383"/>
    </row>
    <row r="93" spans="1:10" ht="16.5">
      <c r="A93" s="383"/>
      <c r="B93" s="384"/>
      <c r="C93" s="364"/>
      <c r="D93" s="383"/>
      <c r="E93" s="383"/>
      <c r="F93" s="383"/>
      <c r="G93" s="365"/>
      <c r="H93" s="365"/>
      <c r="I93" s="365"/>
      <c r="J93" s="383"/>
    </row>
    <row r="94" spans="1:10" ht="16.5">
      <c r="A94" s="383"/>
      <c r="B94" s="384"/>
      <c r="C94" s="364"/>
      <c r="D94" s="383"/>
      <c r="E94" s="383"/>
      <c r="F94" s="383"/>
      <c r="G94" s="365"/>
      <c r="H94" s="365"/>
      <c r="I94" s="365"/>
      <c r="J94" s="383"/>
    </row>
    <row r="95" spans="1:10" ht="16.5">
      <c r="A95" s="383"/>
      <c r="B95" s="384"/>
      <c r="C95" s="364"/>
      <c r="D95" s="383"/>
      <c r="E95" s="383"/>
      <c r="F95" s="383"/>
      <c r="G95" s="365"/>
      <c r="H95" s="365"/>
      <c r="I95" s="365"/>
      <c r="J95" s="383"/>
    </row>
    <row r="96" spans="1:10" ht="16.5">
      <c r="A96" s="383"/>
      <c r="B96" s="384"/>
      <c r="C96" s="364"/>
      <c r="D96" s="383"/>
      <c r="E96" s="383"/>
      <c r="F96" s="383"/>
      <c r="G96" s="365"/>
      <c r="H96" s="365"/>
      <c r="I96" s="365"/>
      <c r="J96" s="383"/>
    </row>
    <row r="97" spans="1:10" ht="16.5">
      <c r="A97" s="383"/>
      <c r="B97" s="384"/>
      <c r="C97" s="364"/>
      <c r="D97" s="383"/>
      <c r="E97" s="383"/>
      <c r="F97" s="383"/>
      <c r="G97" s="365"/>
      <c r="H97" s="365"/>
      <c r="I97" s="365"/>
      <c r="J97" s="383"/>
    </row>
    <row r="98" spans="1:10" ht="16.5">
      <c r="A98" s="383"/>
      <c r="B98" s="384"/>
      <c r="C98" s="364"/>
      <c r="D98" s="383"/>
      <c r="E98" s="383"/>
      <c r="F98" s="383"/>
      <c r="G98" s="365"/>
      <c r="H98" s="365"/>
      <c r="I98" s="365"/>
      <c r="J98" s="383"/>
    </row>
    <row r="99" spans="1:10" ht="16.5">
      <c r="A99" s="383"/>
      <c r="B99" s="384"/>
      <c r="C99" s="364"/>
      <c r="D99" s="383"/>
      <c r="E99" s="383"/>
      <c r="F99" s="383"/>
      <c r="G99" s="365"/>
      <c r="H99" s="365"/>
      <c r="I99" s="365"/>
      <c r="J99" s="383"/>
    </row>
    <row r="100" spans="1:10" ht="16.5">
      <c r="A100" s="383"/>
      <c r="B100" s="384"/>
      <c r="C100" s="364"/>
      <c r="D100" s="383"/>
      <c r="E100" s="383"/>
      <c r="F100" s="383"/>
      <c r="G100" s="365"/>
      <c r="H100" s="365"/>
      <c r="I100" s="365"/>
      <c r="J100" s="383"/>
    </row>
    <row r="101" spans="1:10" ht="16.5">
      <c r="A101" s="383"/>
      <c r="B101" s="384"/>
      <c r="C101" s="364"/>
      <c r="D101" s="383"/>
      <c r="E101" s="383"/>
      <c r="F101" s="383"/>
      <c r="G101" s="365"/>
      <c r="H101" s="365"/>
      <c r="I101" s="365"/>
      <c r="J101" s="383"/>
    </row>
    <row r="102" spans="1:10" ht="16.5">
      <c r="A102" s="383"/>
      <c r="B102" s="384"/>
      <c r="C102" s="364"/>
      <c r="D102" s="383"/>
      <c r="E102" s="383"/>
      <c r="F102" s="383"/>
      <c r="G102" s="365"/>
      <c r="H102" s="365"/>
      <c r="I102" s="365"/>
      <c r="J102" s="383"/>
    </row>
    <row r="103" spans="1:10" ht="16.5">
      <c r="A103" s="383"/>
      <c r="B103" s="384"/>
      <c r="C103" s="364"/>
      <c r="D103" s="383"/>
      <c r="E103" s="383"/>
      <c r="F103" s="383"/>
      <c r="G103" s="365"/>
      <c r="H103" s="365"/>
      <c r="I103" s="365"/>
      <c r="J103" s="383"/>
    </row>
    <row r="104" spans="1:10" ht="16.5">
      <c r="A104" s="383"/>
      <c r="B104" s="384"/>
      <c r="C104" s="364"/>
      <c r="D104" s="383"/>
      <c r="E104" s="383"/>
      <c r="F104" s="383"/>
      <c r="G104" s="365"/>
      <c r="H104" s="365"/>
      <c r="I104" s="365"/>
      <c r="J104" s="383"/>
    </row>
    <row r="105" spans="1:10" ht="16.5">
      <c r="A105" s="383"/>
      <c r="B105" s="384"/>
      <c r="C105" s="364"/>
      <c r="D105" s="383"/>
      <c r="E105" s="383"/>
      <c r="F105" s="383"/>
      <c r="G105" s="365"/>
      <c r="H105" s="365"/>
      <c r="I105" s="365"/>
      <c r="J105" s="383"/>
    </row>
    <row r="106" spans="1:10" ht="16.5">
      <c r="A106" s="383"/>
      <c r="B106" s="384"/>
      <c r="C106" s="364"/>
      <c r="D106" s="383"/>
      <c r="E106" s="383"/>
      <c r="F106" s="383"/>
      <c r="G106" s="365"/>
      <c r="H106" s="365"/>
      <c r="I106" s="365"/>
      <c r="J106" s="383"/>
    </row>
    <row r="107" spans="1:10" ht="16.5">
      <c r="A107" s="383"/>
      <c r="B107" s="384"/>
      <c r="C107" s="364"/>
      <c r="D107" s="383"/>
      <c r="E107" s="383"/>
      <c r="F107" s="383"/>
      <c r="G107" s="365"/>
      <c r="H107" s="365"/>
      <c r="I107" s="365"/>
      <c r="J107" s="383"/>
    </row>
    <row r="108" spans="1:10" ht="16.5">
      <c r="A108" s="383"/>
      <c r="B108" s="384"/>
      <c r="C108" s="364"/>
      <c r="D108" s="383"/>
      <c r="E108" s="383"/>
      <c r="F108" s="383"/>
      <c r="G108" s="365"/>
      <c r="H108" s="365"/>
      <c r="I108" s="365"/>
      <c r="J108" s="383"/>
    </row>
    <row r="109" spans="1:10" ht="16.5">
      <c r="A109" s="383"/>
      <c r="B109" s="384"/>
      <c r="C109" s="364"/>
      <c r="D109" s="383"/>
      <c r="E109" s="383"/>
      <c r="F109" s="383"/>
      <c r="G109" s="365"/>
      <c r="H109" s="365"/>
      <c r="I109" s="365"/>
      <c r="J109" s="383"/>
    </row>
    <row r="110" spans="1:10" ht="16.5">
      <c r="A110" s="383"/>
      <c r="B110" s="384"/>
      <c r="C110" s="364"/>
      <c r="D110" s="383"/>
      <c r="E110" s="383"/>
      <c r="F110" s="383"/>
      <c r="G110" s="365"/>
      <c r="H110" s="365"/>
      <c r="I110" s="365"/>
      <c r="J110" s="383"/>
    </row>
    <row r="111" spans="1:10" ht="16.5">
      <c r="A111" s="383"/>
      <c r="B111" s="384"/>
      <c r="C111" s="364"/>
      <c r="D111" s="383"/>
      <c r="E111" s="383"/>
      <c r="F111" s="383"/>
      <c r="G111" s="365"/>
      <c r="H111" s="365"/>
      <c r="I111" s="365"/>
      <c r="J111" s="383"/>
    </row>
    <row r="112" spans="1:10" ht="16.5">
      <c r="A112" s="383"/>
      <c r="B112" s="384"/>
      <c r="C112" s="364"/>
      <c r="D112" s="383"/>
      <c r="E112" s="383"/>
      <c r="F112" s="383"/>
      <c r="G112" s="365"/>
      <c r="H112" s="365"/>
      <c r="I112" s="365"/>
      <c r="J112" s="383"/>
    </row>
    <row r="113" spans="1:10" ht="16.5">
      <c r="A113" s="383"/>
      <c r="B113" s="384"/>
      <c r="C113" s="364"/>
      <c r="D113" s="383"/>
      <c r="E113" s="383"/>
      <c r="F113" s="383"/>
      <c r="G113" s="365"/>
      <c r="H113" s="365"/>
      <c r="I113" s="365"/>
      <c r="J113" s="383"/>
    </row>
    <row r="114" spans="1:10" ht="16.5">
      <c r="A114" s="383"/>
      <c r="B114" s="384"/>
      <c r="C114" s="364"/>
      <c r="D114" s="383"/>
      <c r="E114" s="383"/>
      <c r="F114" s="383"/>
      <c r="G114" s="365"/>
      <c r="H114" s="365"/>
      <c r="I114" s="365"/>
      <c r="J114" s="383"/>
    </row>
    <row r="115" spans="1:10" ht="16.5">
      <c r="A115" s="383"/>
      <c r="B115" s="384"/>
      <c r="C115" s="364"/>
      <c r="D115" s="383"/>
      <c r="E115" s="383"/>
      <c r="F115" s="383"/>
      <c r="G115" s="365"/>
      <c r="H115" s="365"/>
      <c r="I115" s="365"/>
      <c r="J115" s="383"/>
    </row>
    <row r="116" spans="1:10" ht="16.5">
      <c r="A116" s="383"/>
      <c r="B116" s="384"/>
      <c r="C116" s="364"/>
      <c r="D116" s="383"/>
      <c r="E116" s="383"/>
      <c r="F116" s="383"/>
      <c r="G116" s="365"/>
      <c r="H116" s="365"/>
      <c r="I116" s="365"/>
      <c r="J116" s="383"/>
    </row>
    <row r="117" spans="1:10" ht="16.5">
      <c r="A117" s="383"/>
      <c r="B117" s="384"/>
      <c r="C117" s="364"/>
      <c r="D117" s="383"/>
      <c r="E117" s="383"/>
      <c r="F117" s="383"/>
      <c r="G117" s="365"/>
      <c r="H117" s="365"/>
      <c r="I117" s="365"/>
      <c r="J117" s="383"/>
    </row>
    <row r="118" spans="1:10" ht="16.5">
      <c r="A118" s="383"/>
      <c r="B118" s="384"/>
      <c r="C118" s="364"/>
      <c r="D118" s="383"/>
      <c r="E118" s="383"/>
      <c r="F118" s="383"/>
      <c r="G118" s="365"/>
      <c r="H118" s="365"/>
      <c r="I118" s="365"/>
      <c r="J118" s="383"/>
    </row>
    <row r="119" spans="1:10" ht="16.5">
      <c r="A119" s="383"/>
      <c r="B119" s="384"/>
      <c r="C119" s="364"/>
      <c r="D119" s="383"/>
      <c r="E119" s="383"/>
      <c r="F119" s="383"/>
      <c r="G119" s="365"/>
      <c r="H119" s="365"/>
      <c r="I119" s="365"/>
      <c r="J119" s="383"/>
    </row>
    <row r="120" spans="1:10" ht="16.5">
      <c r="A120" s="383"/>
      <c r="B120" s="384"/>
      <c r="C120" s="364"/>
      <c r="D120" s="383"/>
      <c r="E120" s="383"/>
      <c r="F120" s="383"/>
      <c r="G120" s="365"/>
      <c r="H120" s="365"/>
      <c r="I120" s="365"/>
      <c r="J120" s="383"/>
    </row>
    <row r="121" spans="1:10" ht="16.5">
      <c r="A121" s="383"/>
      <c r="B121" s="384"/>
      <c r="C121" s="364"/>
      <c r="D121" s="383"/>
      <c r="E121" s="383"/>
      <c r="F121" s="383"/>
      <c r="G121" s="365"/>
      <c r="H121" s="365"/>
      <c r="I121" s="365"/>
      <c r="J121" s="383"/>
    </row>
    <row r="122" spans="1:10" ht="16.5">
      <c r="A122" s="383"/>
      <c r="B122" s="384"/>
      <c r="C122" s="364"/>
      <c r="D122" s="383"/>
      <c r="E122" s="383"/>
      <c r="F122" s="383"/>
      <c r="G122" s="365"/>
      <c r="H122" s="365"/>
      <c r="I122" s="365"/>
      <c r="J122" s="383"/>
    </row>
    <row r="123" spans="1:10" ht="16.5">
      <c r="A123" s="383"/>
      <c r="B123" s="384"/>
      <c r="C123" s="364"/>
      <c r="D123" s="383"/>
      <c r="E123" s="383"/>
      <c r="F123" s="383"/>
      <c r="G123" s="365"/>
      <c r="H123" s="365"/>
      <c r="I123" s="365"/>
      <c r="J123" s="383"/>
    </row>
    <row r="124" spans="1:10" ht="16.5">
      <c r="A124" s="383"/>
      <c r="B124" s="384"/>
      <c r="C124" s="364"/>
      <c r="D124" s="383"/>
      <c r="E124" s="383"/>
      <c r="F124" s="383"/>
      <c r="G124" s="365"/>
      <c r="H124" s="365"/>
      <c r="I124" s="365"/>
      <c r="J124" s="383"/>
    </row>
    <row r="125" spans="1:10" ht="16.5">
      <c r="A125" s="383"/>
      <c r="B125" s="384"/>
      <c r="C125" s="364"/>
      <c r="D125" s="383"/>
      <c r="E125" s="383"/>
      <c r="F125" s="383"/>
      <c r="G125" s="365"/>
      <c r="H125" s="365"/>
      <c r="I125" s="365"/>
      <c r="J125" s="383"/>
    </row>
    <row r="126" spans="1:10" ht="16.5">
      <c r="A126" s="383"/>
      <c r="B126" s="384"/>
      <c r="C126" s="364"/>
      <c r="D126" s="383"/>
      <c r="E126" s="383"/>
      <c r="F126" s="383"/>
      <c r="G126" s="365"/>
      <c r="H126" s="365"/>
      <c r="I126" s="365"/>
      <c r="J126" s="383"/>
    </row>
    <row r="127" spans="1:10" ht="16.5">
      <c r="A127" s="383"/>
      <c r="B127" s="384"/>
      <c r="C127" s="364"/>
      <c r="D127" s="383"/>
      <c r="E127" s="383"/>
      <c r="F127" s="383"/>
      <c r="G127" s="365"/>
      <c r="H127" s="365"/>
      <c r="I127" s="365"/>
      <c r="J127" s="383"/>
    </row>
    <row r="128" spans="1:10" ht="16.5">
      <c r="A128" s="383"/>
      <c r="B128" s="384"/>
      <c r="C128" s="364"/>
      <c r="D128" s="383"/>
      <c r="E128" s="383"/>
      <c r="F128" s="383"/>
      <c r="G128" s="365"/>
      <c r="H128" s="365"/>
      <c r="I128" s="365"/>
      <c r="J128" s="383"/>
    </row>
    <row r="129" spans="1:10" ht="16.5">
      <c r="A129" s="383"/>
      <c r="B129" s="384"/>
      <c r="C129" s="364"/>
      <c r="D129" s="383"/>
      <c r="E129" s="383"/>
      <c r="F129" s="383"/>
      <c r="G129" s="365"/>
      <c r="H129" s="365"/>
      <c r="I129" s="365"/>
      <c r="J129" s="383"/>
    </row>
    <row r="130" spans="1:10" ht="16.5">
      <c r="A130" s="383"/>
      <c r="B130" s="384"/>
      <c r="C130" s="364"/>
      <c r="D130" s="383"/>
      <c r="E130" s="383"/>
      <c r="F130" s="383"/>
      <c r="G130" s="365"/>
      <c r="H130" s="365"/>
      <c r="I130" s="365"/>
      <c r="J130" s="383"/>
    </row>
    <row r="131" spans="1:10" ht="16.5">
      <c r="A131" s="383"/>
      <c r="B131" s="384"/>
      <c r="C131" s="364"/>
      <c r="D131" s="383"/>
      <c r="E131" s="383"/>
      <c r="F131" s="383"/>
      <c r="G131" s="365"/>
      <c r="H131" s="365"/>
      <c r="I131" s="365"/>
      <c r="J131" s="383"/>
    </row>
    <row r="132" spans="1:10" ht="16.5">
      <c r="A132" s="383"/>
      <c r="B132" s="384"/>
      <c r="C132" s="364"/>
      <c r="D132" s="383"/>
      <c r="E132" s="383"/>
      <c r="F132" s="383"/>
      <c r="G132" s="365"/>
      <c r="H132" s="365"/>
      <c r="I132" s="365"/>
      <c r="J132" s="383"/>
    </row>
    <row r="133" spans="1:10" ht="16.5">
      <c r="A133" s="383"/>
      <c r="B133" s="384"/>
      <c r="C133" s="364"/>
      <c r="D133" s="383"/>
      <c r="E133" s="383"/>
      <c r="F133" s="383"/>
      <c r="G133" s="365"/>
      <c r="H133" s="365"/>
      <c r="I133" s="365"/>
      <c r="J133" s="383"/>
    </row>
    <row r="134" spans="1:10" ht="16.5">
      <c r="A134" s="383"/>
      <c r="B134" s="384"/>
      <c r="C134" s="364"/>
      <c r="D134" s="383"/>
      <c r="E134" s="383"/>
      <c r="F134" s="383"/>
      <c r="G134" s="365"/>
      <c r="H134" s="365"/>
      <c r="I134" s="365"/>
      <c r="J134" s="383"/>
    </row>
    <row r="135" spans="1:10" ht="16.5">
      <c r="A135" s="383"/>
      <c r="B135" s="384"/>
      <c r="C135" s="364"/>
      <c r="D135" s="383"/>
      <c r="E135" s="383"/>
      <c r="F135" s="383"/>
      <c r="G135" s="365"/>
      <c r="H135" s="365"/>
      <c r="I135" s="365"/>
      <c r="J135" s="383"/>
    </row>
    <row r="136" spans="1:10" ht="16.5">
      <c r="A136" s="383"/>
      <c r="B136" s="384"/>
      <c r="C136" s="364"/>
      <c r="D136" s="383"/>
      <c r="E136" s="383"/>
      <c r="F136" s="383"/>
      <c r="G136" s="365"/>
      <c r="H136" s="365"/>
      <c r="I136" s="365"/>
      <c r="J136" s="383"/>
    </row>
    <row r="137" spans="1:10" ht="16.5">
      <c r="A137" s="383"/>
      <c r="B137" s="384"/>
      <c r="C137" s="364"/>
      <c r="D137" s="383"/>
      <c r="E137" s="383"/>
      <c r="F137" s="383"/>
      <c r="G137" s="365"/>
      <c r="H137" s="365"/>
      <c r="I137" s="365"/>
      <c r="J137" s="383"/>
    </row>
    <row r="138" spans="1:10" ht="16.5">
      <c r="A138" s="383"/>
      <c r="B138" s="384"/>
      <c r="C138" s="364"/>
      <c r="D138" s="383"/>
      <c r="E138" s="383"/>
      <c r="F138" s="383"/>
      <c r="G138" s="365"/>
      <c r="H138" s="365"/>
      <c r="I138" s="365"/>
      <c r="J138" s="383"/>
    </row>
    <row r="139" spans="1:10" ht="16.5">
      <c r="A139" s="383"/>
      <c r="B139" s="384"/>
      <c r="C139" s="364"/>
      <c r="D139" s="383"/>
      <c r="E139" s="383"/>
      <c r="F139" s="383"/>
      <c r="G139" s="365"/>
      <c r="H139" s="365"/>
      <c r="I139" s="365"/>
      <c r="J139" s="383"/>
    </row>
    <row r="140" spans="1:10" ht="16.5">
      <c r="A140" s="383"/>
      <c r="B140" s="384"/>
      <c r="C140" s="364"/>
      <c r="D140" s="383"/>
      <c r="E140" s="383"/>
      <c r="F140" s="383"/>
      <c r="G140" s="365"/>
      <c r="H140" s="365"/>
      <c r="I140" s="365"/>
      <c r="J140" s="383"/>
    </row>
    <row r="141" spans="1:10" ht="16.5">
      <c r="A141" s="383"/>
      <c r="B141" s="384"/>
      <c r="C141" s="364"/>
      <c r="D141" s="383"/>
      <c r="E141" s="383"/>
      <c r="F141" s="383"/>
      <c r="G141" s="365"/>
      <c r="H141" s="365"/>
      <c r="I141" s="365"/>
      <c r="J141" s="383"/>
    </row>
    <row r="142" spans="1:10" ht="16.5">
      <c r="A142" s="383"/>
      <c r="B142" s="384"/>
      <c r="C142" s="364"/>
      <c r="D142" s="383"/>
      <c r="E142" s="383"/>
      <c r="F142" s="383"/>
      <c r="G142" s="365"/>
      <c r="H142" s="365"/>
      <c r="I142" s="365"/>
      <c r="J142" s="383"/>
    </row>
    <row r="143" spans="1:10" ht="16.5">
      <c r="A143" s="383"/>
      <c r="B143" s="384"/>
      <c r="C143" s="364"/>
      <c r="D143" s="383"/>
      <c r="E143" s="383"/>
      <c r="F143" s="383"/>
      <c r="G143" s="365"/>
      <c r="H143" s="365"/>
      <c r="I143" s="365"/>
      <c r="J143" s="383"/>
    </row>
    <row r="144" spans="1:10" ht="16.5">
      <c r="A144" s="383"/>
      <c r="B144" s="384"/>
      <c r="C144" s="364"/>
      <c r="D144" s="383"/>
      <c r="E144" s="383"/>
      <c r="F144" s="383"/>
      <c r="G144" s="365"/>
      <c r="H144" s="365"/>
      <c r="I144" s="365"/>
      <c r="J144" s="383"/>
    </row>
    <row r="145" spans="1:10" ht="16.5">
      <c r="A145" s="383"/>
      <c r="B145" s="384"/>
      <c r="C145" s="364"/>
      <c r="D145" s="383"/>
      <c r="E145" s="383"/>
      <c r="F145" s="383"/>
      <c r="G145" s="365"/>
      <c r="H145" s="365"/>
      <c r="I145" s="365"/>
      <c r="J145" s="383"/>
    </row>
    <row r="146" spans="1:10" ht="16.5">
      <c r="A146" s="383"/>
      <c r="B146" s="384"/>
      <c r="C146" s="364"/>
      <c r="D146" s="383"/>
      <c r="E146" s="383"/>
      <c r="F146" s="383"/>
      <c r="G146" s="365"/>
      <c r="H146" s="365"/>
      <c r="I146" s="365"/>
      <c r="J146" s="383"/>
    </row>
    <row r="147" spans="1:10" ht="16.5">
      <c r="A147" s="383"/>
      <c r="B147" s="384"/>
      <c r="C147" s="364"/>
      <c r="D147" s="383"/>
      <c r="E147" s="383"/>
      <c r="F147" s="383"/>
      <c r="G147" s="365"/>
      <c r="H147" s="365"/>
      <c r="I147" s="365"/>
      <c r="J147" s="383"/>
    </row>
    <row r="148" spans="1:10" ht="16.5">
      <c r="A148" s="383"/>
      <c r="B148" s="384"/>
      <c r="C148" s="364"/>
      <c r="D148" s="383"/>
      <c r="E148" s="383"/>
      <c r="F148" s="383"/>
      <c r="G148" s="365"/>
      <c r="H148" s="365"/>
      <c r="I148" s="365"/>
      <c r="J148" s="383"/>
    </row>
    <row r="149" spans="1:10" ht="16.5">
      <c r="A149" s="383"/>
      <c r="B149" s="384"/>
      <c r="C149" s="364"/>
      <c r="D149" s="383"/>
      <c r="E149" s="383"/>
      <c r="F149" s="383"/>
      <c r="G149" s="365"/>
      <c r="H149" s="365"/>
      <c r="I149" s="365"/>
      <c r="J149" s="383"/>
    </row>
    <row r="150" spans="1:10" ht="16.5">
      <c r="A150" s="383"/>
      <c r="B150" s="384"/>
      <c r="C150" s="364"/>
      <c r="D150" s="383"/>
      <c r="E150" s="383"/>
      <c r="F150" s="383"/>
      <c r="G150" s="365"/>
      <c r="H150" s="365"/>
      <c r="I150" s="365"/>
      <c r="J150" s="383"/>
    </row>
    <row r="151" spans="1:10" ht="16.5">
      <c r="A151" s="383"/>
      <c r="B151" s="384"/>
      <c r="C151" s="364"/>
      <c r="D151" s="383"/>
      <c r="E151" s="383"/>
      <c r="F151" s="383"/>
      <c r="G151" s="365"/>
      <c r="H151" s="365"/>
      <c r="I151" s="365"/>
      <c r="J151" s="383"/>
    </row>
    <row r="152" spans="1:10" ht="16.5">
      <c r="A152" s="383"/>
      <c r="B152" s="384"/>
      <c r="C152" s="364"/>
      <c r="D152" s="383"/>
      <c r="E152" s="383"/>
      <c r="F152" s="383"/>
      <c r="G152" s="365"/>
      <c r="H152" s="365"/>
      <c r="I152" s="365"/>
      <c r="J152" s="383"/>
    </row>
    <row r="153" spans="1:10" ht="16.5">
      <c r="A153" s="383"/>
      <c r="B153" s="384"/>
      <c r="C153" s="364"/>
      <c r="D153" s="383"/>
      <c r="E153" s="383"/>
      <c r="F153" s="383"/>
      <c r="G153" s="365"/>
      <c r="H153" s="365"/>
      <c r="I153" s="365"/>
      <c r="J153" s="383"/>
    </row>
    <row r="154" spans="1:10" ht="16.5">
      <c r="A154" s="383"/>
      <c r="B154" s="384"/>
      <c r="C154" s="364"/>
      <c r="D154" s="383"/>
      <c r="E154" s="383"/>
      <c r="F154" s="383"/>
      <c r="G154" s="365"/>
      <c r="H154" s="365"/>
      <c r="I154" s="365"/>
      <c r="J154" s="383"/>
    </row>
    <row r="155" spans="1:10" ht="16.5">
      <c r="A155" s="383"/>
      <c r="B155" s="384"/>
      <c r="C155" s="364"/>
      <c r="D155" s="383"/>
      <c r="E155" s="383"/>
      <c r="F155" s="383"/>
      <c r="G155" s="365"/>
      <c r="H155" s="365"/>
      <c r="I155" s="365"/>
      <c r="J155" s="383"/>
    </row>
    <row r="156" spans="1:10" ht="16.5">
      <c r="A156" s="383"/>
      <c r="B156" s="384"/>
      <c r="C156" s="364"/>
      <c r="D156" s="383"/>
      <c r="E156" s="383"/>
      <c r="F156" s="383"/>
      <c r="G156" s="365"/>
      <c r="H156" s="365"/>
      <c r="I156" s="365"/>
      <c r="J156" s="383"/>
    </row>
    <row r="157" spans="1:10" ht="16.5">
      <c r="A157" s="383"/>
      <c r="B157" s="384"/>
      <c r="C157" s="364"/>
      <c r="D157" s="383"/>
      <c r="E157" s="383"/>
      <c r="F157" s="383"/>
      <c r="G157" s="365"/>
      <c r="H157" s="365"/>
      <c r="I157" s="365"/>
      <c r="J157" s="383"/>
    </row>
    <row r="158" spans="1:10" ht="16.5">
      <c r="A158" s="383"/>
      <c r="B158" s="384"/>
      <c r="C158" s="364"/>
      <c r="D158" s="383"/>
      <c r="E158" s="383"/>
      <c r="F158" s="383"/>
      <c r="G158" s="365"/>
      <c r="H158" s="365"/>
      <c r="I158" s="365"/>
      <c r="J158" s="383"/>
    </row>
    <row r="159" spans="1:10" ht="16.5">
      <c r="A159" s="383"/>
      <c r="B159" s="384"/>
      <c r="C159" s="364"/>
      <c r="D159" s="383"/>
      <c r="E159" s="383"/>
      <c r="F159" s="383"/>
      <c r="G159" s="365"/>
      <c r="H159" s="365"/>
      <c r="I159" s="365"/>
      <c r="J159" s="383"/>
    </row>
    <row r="160" spans="1:10" ht="16.5">
      <c r="A160" s="383"/>
      <c r="B160" s="384"/>
      <c r="C160" s="364"/>
      <c r="D160" s="383"/>
      <c r="E160" s="383"/>
      <c r="F160" s="383"/>
      <c r="G160" s="365"/>
      <c r="H160" s="365"/>
      <c r="I160" s="365"/>
      <c r="J160" s="383"/>
    </row>
    <row r="161" spans="1:10" ht="16.5">
      <c r="A161" s="383"/>
      <c r="B161" s="384"/>
      <c r="C161" s="364"/>
      <c r="D161" s="383"/>
      <c r="E161" s="383"/>
      <c r="F161" s="383"/>
      <c r="G161" s="365"/>
      <c r="H161" s="365"/>
      <c r="I161" s="365"/>
      <c r="J161" s="383"/>
    </row>
    <row r="162" spans="1:10" ht="16.5">
      <c r="A162" s="383"/>
      <c r="B162" s="384"/>
      <c r="C162" s="364"/>
      <c r="D162" s="383"/>
      <c r="E162" s="383"/>
      <c r="F162" s="383"/>
      <c r="G162" s="365"/>
      <c r="H162" s="365"/>
      <c r="I162" s="365"/>
      <c r="J162" s="383"/>
    </row>
    <row r="163" spans="1:10" ht="16.5">
      <c r="A163" s="383"/>
      <c r="B163" s="384"/>
      <c r="C163" s="364"/>
      <c r="D163" s="383"/>
      <c r="E163" s="383"/>
      <c r="F163" s="383"/>
      <c r="G163" s="365"/>
      <c r="H163" s="365"/>
      <c r="I163" s="365"/>
      <c r="J163" s="383"/>
    </row>
    <row r="164" spans="1:10" ht="16.5">
      <c r="A164" s="383"/>
      <c r="B164" s="384"/>
      <c r="C164" s="364"/>
      <c r="D164" s="383"/>
      <c r="E164" s="383"/>
      <c r="F164" s="383"/>
      <c r="G164" s="365"/>
      <c r="H164" s="365"/>
      <c r="I164" s="365"/>
      <c r="J164" s="383"/>
    </row>
    <row r="165" spans="1:10" ht="16.5">
      <c r="A165" s="383"/>
      <c r="B165" s="384"/>
      <c r="C165" s="364"/>
      <c r="D165" s="383"/>
      <c r="E165" s="383"/>
      <c r="F165" s="383"/>
      <c r="G165" s="365"/>
      <c r="H165" s="365"/>
      <c r="I165" s="365"/>
      <c r="J165" s="383"/>
    </row>
    <row r="166" spans="1:10" ht="16.5">
      <c r="A166" s="383"/>
      <c r="B166" s="384"/>
      <c r="C166" s="364"/>
      <c r="D166" s="383"/>
      <c r="E166" s="383"/>
      <c r="F166" s="383"/>
      <c r="G166" s="365"/>
      <c r="H166" s="365"/>
      <c r="I166" s="365"/>
      <c r="J166" s="383"/>
    </row>
    <row r="167" spans="1:10" ht="16.5">
      <c r="A167" s="383"/>
      <c r="B167" s="384"/>
      <c r="C167" s="364"/>
      <c r="D167" s="383"/>
      <c r="E167" s="383"/>
      <c r="F167" s="383"/>
      <c r="G167" s="365"/>
      <c r="H167" s="365"/>
      <c r="I167" s="365"/>
      <c r="J167" s="383"/>
    </row>
    <row r="168" spans="1:10" ht="16.5">
      <c r="A168" s="383"/>
      <c r="B168" s="384"/>
      <c r="C168" s="364"/>
      <c r="D168" s="383"/>
      <c r="E168" s="383"/>
      <c r="F168" s="383"/>
      <c r="G168" s="365"/>
      <c r="H168" s="365"/>
      <c r="I168" s="365"/>
      <c r="J168" s="383"/>
    </row>
    <row r="169" spans="1:10" ht="16.5">
      <c r="A169" s="383"/>
      <c r="B169" s="384"/>
      <c r="C169" s="364"/>
      <c r="D169" s="383"/>
      <c r="E169" s="383"/>
      <c r="F169" s="383"/>
      <c r="G169" s="365"/>
      <c r="H169" s="365"/>
      <c r="I169" s="365"/>
      <c r="J169" s="383"/>
    </row>
    <row r="170" spans="1:10" ht="16.5">
      <c r="A170" s="383"/>
      <c r="B170" s="384"/>
      <c r="C170" s="364"/>
      <c r="D170" s="383"/>
      <c r="E170" s="383"/>
      <c r="F170" s="383"/>
      <c r="G170" s="365"/>
      <c r="H170" s="365"/>
      <c r="I170" s="365"/>
      <c r="J170" s="383"/>
    </row>
    <row r="171" spans="1:10" ht="16.5">
      <c r="A171" s="383"/>
      <c r="B171" s="384"/>
      <c r="C171" s="364"/>
      <c r="D171" s="383"/>
      <c r="E171" s="383"/>
      <c r="F171" s="383"/>
      <c r="G171" s="365"/>
      <c r="H171" s="365"/>
      <c r="I171" s="365"/>
      <c r="J171" s="383"/>
    </row>
    <row r="172" spans="1:10" ht="16.5">
      <c r="A172" s="383"/>
      <c r="B172" s="384"/>
      <c r="C172" s="364"/>
      <c r="D172" s="383"/>
      <c r="E172" s="383"/>
      <c r="F172" s="383"/>
      <c r="G172" s="365"/>
      <c r="H172" s="365"/>
      <c r="I172" s="365"/>
      <c r="J172" s="383"/>
    </row>
    <row r="173" spans="1:10" ht="16.5">
      <c r="A173" s="383"/>
      <c r="B173" s="384"/>
      <c r="C173" s="364"/>
      <c r="D173" s="383"/>
      <c r="E173" s="383"/>
      <c r="F173" s="383"/>
      <c r="G173" s="365"/>
      <c r="H173" s="365"/>
      <c r="I173" s="365"/>
      <c r="J173" s="383"/>
    </row>
    <row r="174" spans="1:10" ht="16.5">
      <c r="A174" s="383"/>
      <c r="B174" s="384"/>
      <c r="C174" s="364"/>
      <c r="D174" s="383"/>
      <c r="E174" s="383"/>
      <c r="F174" s="383"/>
      <c r="G174" s="365"/>
      <c r="H174" s="365"/>
      <c r="I174" s="365"/>
      <c r="J174" s="383"/>
    </row>
    <row r="175" spans="1:10" ht="16.5">
      <c r="A175" s="383"/>
      <c r="B175" s="384"/>
      <c r="C175" s="364"/>
      <c r="D175" s="383"/>
      <c r="E175" s="383"/>
      <c r="F175" s="383"/>
      <c r="G175" s="365"/>
      <c r="H175" s="365"/>
      <c r="I175" s="365"/>
      <c r="J175" s="383"/>
    </row>
    <row r="176" spans="1:10" ht="16.5">
      <c r="A176" s="383"/>
      <c r="B176" s="384"/>
      <c r="C176" s="364"/>
      <c r="D176" s="383"/>
      <c r="E176" s="383"/>
      <c r="F176" s="383"/>
      <c r="G176" s="365"/>
      <c r="H176" s="365"/>
      <c r="I176" s="365"/>
      <c r="J176" s="383"/>
    </row>
    <row r="177" spans="1:10" ht="16.5">
      <c r="A177" s="383"/>
      <c r="B177" s="384"/>
      <c r="C177" s="364"/>
      <c r="D177" s="383"/>
      <c r="E177" s="383"/>
      <c r="F177" s="383"/>
      <c r="G177" s="365"/>
      <c r="H177" s="365"/>
      <c r="I177" s="365"/>
      <c r="J177" s="383"/>
    </row>
    <row r="178" spans="1:10" ht="16.5">
      <c r="A178" s="383"/>
      <c r="B178" s="384"/>
      <c r="C178" s="364"/>
      <c r="D178" s="383"/>
      <c r="E178" s="383"/>
      <c r="F178" s="383"/>
      <c r="G178" s="365"/>
      <c r="H178" s="365"/>
      <c r="I178" s="365"/>
      <c r="J178" s="383"/>
    </row>
    <row r="179" spans="1:10" ht="16.5">
      <c r="A179" s="383"/>
      <c r="B179" s="384"/>
      <c r="C179" s="364"/>
      <c r="D179" s="383"/>
      <c r="E179" s="383"/>
      <c r="F179" s="383"/>
      <c r="G179" s="365"/>
      <c r="H179" s="365"/>
      <c r="I179" s="365"/>
      <c r="J179" s="383"/>
    </row>
    <row r="180" spans="1:10" ht="16.5">
      <c r="A180" s="383"/>
      <c r="B180" s="384"/>
      <c r="C180" s="364"/>
      <c r="D180" s="383"/>
      <c r="E180" s="383"/>
      <c r="F180" s="383"/>
      <c r="G180" s="365"/>
      <c r="H180" s="365"/>
      <c r="I180" s="365"/>
      <c r="J180" s="383"/>
    </row>
    <row r="181" spans="1:10" ht="16.5">
      <c r="A181" s="383"/>
      <c r="B181" s="384"/>
      <c r="C181" s="364"/>
      <c r="D181" s="383"/>
      <c r="E181" s="383"/>
      <c r="F181" s="383"/>
      <c r="G181" s="365"/>
      <c r="H181" s="365"/>
      <c r="I181" s="365"/>
      <c r="J181" s="383"/>
    </row>
    <row r="182" spans="1:10" ht="16.5">
      <c r="A182" s="383"/>
      <c r="B182" s="384"/>
      <c r="C182" s="364"/>
      <c r="D182" s="383"/>
      <c r="E182" s="383"/>
      <c r="F182" s="383"/>
      <c r="G182" s="365"/>
      <c r="H182" s="365"/>
      <c r="I182" s="365"/>
      <c r="J182" s="383"/>
    </row>
    <row r="183" spans="1:10" ht="16.5">
      <c r="A183" s="383"/>
      <c r="B183" s="384"/>
      <c r="C183" s="364"/>
      <c r="D183" s="383"/>
      <c r="E183" s="383"/>
      <c r="F183" s="383"/>
      <c r="G183" s="365"/>
      <c r="H183" s="365"/>
      <c r="I183" s="365"/>
      <c r="J183" s="383"/>
    </row>
    <row r="184" spans="1:10" ht="16.5">
      <c r="A184" s="383"/>
      <c r="B184" s="384"/>
      <c r="C184" s="364"/>
      <c r="D184" s="383"/>
      <c r="E184" s="383"/>
      <c r="F184" s="383"/>
      <c r="G184" s="365"/>
      <c r="H184" s="365"/>
      <c r="I184" s="365"/>
      <c r="J184" s="383"/>
    </row>
    <row r="185" spans="1:10" ht="16.5">
      <c r="A185" s="383"/>
      <c r="B185" s="384"/>
      <c r="C185" s="364"/>
      <c r="D185" s="383"/>
      <c r="E185" s="383"/>
      <c r="F185" s="383"/>
      <c r="G185" s="365"/>
      <c r="H185" s="365"/>
      <c r="I185" s="365"/>
      <c r="J185" s="383"/>
    </row>
    <row r="186" spans="1:10" ht="16.5">
      <c r="A186" s="383"/>
      <c r="B186" s="384"/>
      <c r="C186" s="364"/>
      <c r="D186" s="383"/>
      <c r="E186" s="383"/>
      <c r="F186" s="383"/>
      <c r="G186" s="365"/>
      <c r="H186" s="365"/>
      <c r="I186" s="365"/>
      <c r="J186" s="383"/>
    </row>
    <row r="187" spans="1:10" ht="16.5">
      <c r="A187" s="383"/>
      <c r="B187" s="384"/>
      <c r="C187" s="364"/>
      <c r="D187" s="383"/>
      <c r="E187" s="383"/>
      <c r="F187" s="383"/>
      <c r="G187" s="365"/>
      <c r="H187" s="365"/>
      <c r="I187" s="365"/>
      <c r="J187" s="383"/>
    </row>
    <row r="188" spans="1:10" ht="16.5">
      <c r="A188" s="383"/>
      <c r="B188" s="384"/>
      <c r="C188" s="364"/>
      <c r="D188" s="383"/>
      <c r="E188" s="383"/>
      <c r="F188" s="383"/>
      <c r="G188" s="365"/>
      <c r="H188" s="365"/>
      <c r="I188" s="365"/>
      <c r="J188" s="383"/>
    </row>
    <row r="189" spans="1:10" ht="16.5">
      <c r="A189" s="383"/>
      <c r="B189" s="384"/>
      <c r="C189" s="364"/>
      <c r="D189" s="383"/>
      <c r="E189" s="383"/>
      <c r="F189" s="383"/>
      <c r="G189" s="365"/>
      <c r="H189" s="365"/>
      <c r="I189" s="365"/>
      <c r="J189" s="383"/>
    </row>
    <row r="190" spans="1:10" ht="16.5">
      <c r="A190" s="383"/>
      <c r="B190" s="384"/>
      <c r="C190" s="364"/>
      <c r="D190" s="383"/>
      <c r="E190" s="383"/>
      <c r="F190" s="383"/>
      <c r="G190" s="365"/>
      <c r="H190" s="365"/>
      <c r="I190" s="365"/>
      <c r="J190" s="383"/>
    </row>
    <row r="191" spans="1:10" ht="16.5">
      <c r="A191" s="383"/>
      <c r="B191" s="384"/>
      <c r="C191" s="364"/>
      <c r="D191" s="383"/>
      <c r="E191" s="383"/>
      <c r="F191" s="383"/>
      <c r="G191" s="365"/>
      <c r="H191" s="365"/>
      <c r="I191" s="365"/>
      <c r="J191" s="383"/>
    </row>
    <row r="192" spans="1:10" ht="16.5">
      <c r="A192" s="383"/>
      <c r="B192" s="384"/>
      <c r="C192" s="364"/>
      <c r="D192" s="383"/>
      <c r="E192" s="383"/>
      <c r="F192" s="383"/>
      <c r="G192" s="365"/>
      <c r="H192" s="365"/>
      <c r="I192" s="365"/>
      <c r="J192" s="383"/>
    </row>
    <row r="193" spans="1:10" ht="16.5">
      <c r="A193" s="383"/>
      <c r="B193" s="384"/>
      <c r="C193" s="364"/>
      <c r="D193" s="383"/>
      <c r="E193" s="383"/>
      <c r="F193" s="383"/>
      <c r="G193" s="365"/>
      <c r="H193" s="365"/>
      <c r="I193" s="365"/>
      <c r="J193" s="383"/>
    </row>
    <row r="194" spans="1:10" ht="16.5">
      <c r="A194" s="383"/>
      <c r="B194" s="384"/>
      <c r="C194" s="364"/>
      <c r="D194" s="383"/>
      <c r="E194" s="383"/>
      <c r="F194" s="383"/>
      <c r="G194" s="365"/>
      <c r="H194" s="365"/>
      <c r="I194" s="365"/>
      <c r="J194" s="383"/>
    </row>
    <row r="195" spans="1:10" ht="16.5">
      <c r="A195" s="383"/>
      <c r="B195" s="384"/>
      <c r="C195" s="364"/>
      <c r="D195" s="383"/>
      <c r="E195" s="383"/>
      <c r="F195" s="383"/>
      <c r="G195" s="365"/>
      <c r="H195" s="365"/>
      <c r="I195" s="365"/>
      <c r="J195" s="383"/>
    </row>
    <row r="196" spans="1:10" ht="16.5">
      <c r="A196" s="383"/>
      <c r="B196" s="384"/>
      <c r="C196" s="364"/>
      <c r="D196" s="383"/>
      <c r="E196" s="383"/>
      <c r="F196" s="383"/>
      <c r="G196" s="365"/>
      <c r="H196" s="365"/>
      <c r="I196" s="365"/>
      <c r="J196" s="383"/>
    </row>
    <row r="197" spans="1:10" ht="16.5">
      <c r="A197" s="383"/>
      <c r="B197" s="384"/>
      <c r="C197" s="364"/>
      <c r="D197" s="383"/>
      <c r="E197" s="383"/>
      <c r="F197" s="383"/>
      <c r="G197" s="365"/>
      <c r="H197" s="365"/>
      <c r="I197" s="365"/>
      <c r="J197" s="383"/>
    </row>
    <row r="198" spans="1:10" ht="16.5">
      <c r="A198" s="383"/>
      <c r="B198" s="384"/>
      <c r="C198" s="364"/>
      <c r="D198" s="383"/>
      <c r="E198" s="383"/>
      <c r="F198" s="383"/>
      <c r="G198" s="365"/>
      <c r="H198" s="365"/>
      <c r="I198" s="365"/>
      <c r="J198" s="383"/>
    </row>
    <row r="199" spans="1:10" ht="16.5">
      <c r="A199" s="383"/>
      <c r="B199" s="384"/>
      <c r="C199" s="364"/>
      <c r="D199" s="383"/>
      <c r="E199" s="383"/>
      <c r="F199" s="383"/>
      <c r="G199" s="365"/>
      <c r="H199" s="365"/>
      <c r="I199" s="365"/>
      <c r="J199" s="383"/>
    </row>
    <row r="200" spans="1:10" ht="16.5">
      <c r="A200" s="383"/>
      <c r="B200" s="384"/>
      <c r="C200" s="364"/>
      <c r="D200" s="383"/>
      <c r="E200" s="383"/>
      <c r="F200" s="383"/>
      <c r="G200" s="365"/>
      <c r="H200" s="365"/>
      <c r="I200" s="365"/>
      <c r="J200" s="383"/>
    </row>
    <row r="201" spans="1:10" ht="16.5">
      <c r="A201" s="383"/>
      <c r="B201" s="384"/>
      <c r="C201" s="364"/>
      <c r="D201" s="383"/>
      <c r="E201" s="383"/>
      <c r="F201" s="383"/>
      <c r="G201" s="365"/>
      <c r="H201" s="365"/>
      <c r="I201" s="365"/>
      <c r="J201" s="383"/>
    </row>
    <row r="202" spans="1:10" ht="16.5">
      <c r="A202" s="383"/>
      <c r="B202" s="384"/>
      <c r="C202" s="364"/>
      <c r="D202" s="383"/>
      <c r="E202" s="383"/>
      <c r="F202" s="383"/>
      <c r="G202" s="365"/>
      <c r="H202" s="365"/>
      <c r="I202" s="365"/>
      <c r="J202" s="383"/>
    </row>
    <row r="203" spans="1:10" ht="16.5">
      <c r="A203" s="383"/>
      <c r="B203" s="384"/>
      <c r="C203" s="364"/>
      <c r="D203" s="383"/>
      <c r="E203" s="383"/>
      <c r="F203" s="383"/>
      <c r="G203" s="365"/>
      <c r="H203" s="365"/>
      <c r="I203" s="365"/>
      <c r="J203" s="383"/>
    </row>
    <row r="204" spans="1:10" ht="16.5">
      <c r="A204" s="383"/>
      <c r="B204" s="384"/>
      <c r="C204" s="364"/>
      <c r="D204" s="383"/>
      <c r="E204" s="383"/>
      <c r="F204" s="383"/>
      <c r="G204" s="365"/>
      <c r="H204" s="365"/>
      <c r="I204" s="365"/>
      <c r="J204" s="383"/>
    </row>
    <row r="205" spans="1:10" ht="16.5">
      <c r="A205" s="383"/>
      <c r="B205" s="384"/>
      <c r="C205" s="364"/>
      <c r="D205" s="383"/>
      <c r="E205" s="383"/>
      <c r="F205" s="383"/>
      <c r="G205" s="365"/>
      <c r="H205" s="365"/>
      <c r="I205" s="365"/>
      <c r="J205" s="383"/>
    </row>
    <row r="206" spans="1:10" ht="16.5">
      <c r="A206" s="383"/>
      <c r="B206" s="384"/>
      <c r="C206" s="364"/>
      <c r="D206" s="383"/>
      <c r="E206" s="383"/>
      <c r="F206" s="383"/>
      <c r="G206" s="365"/>
      <c r="H206" s="365"/>
      <c r="I206" s="365"/>
      <c r="J206" s="383"/>
    </row>
    <row r="207" spans="1:10" ht="16.5">
      <c r="A207" s="383"/>
      <c r="B207" s="384"/>
      <c r="C207" s="364"/>
      <c r="D207" s="383"/>
      <c r="E207" s="383"/>
      <c r="F207" s="383"/>
      <c r="G207" s="365"/>
      <c r="H207" s="365"/>
      <c r="I207" s="365"/>
      <c r="J207" s="383"/>
    </row>
    <row r="208" spans="1:10" ht="16.5">
      <c r="A208" s="383"/>
      <c r="B208" s="384"/>
      <c r="C208" s="364"/>
      <c r="D208" s="383"/>
      <c r="E208" s="383"/>
      <c r="F208" s="383"/>
      <c r="G208" s="365"/>
      <c r="H208" s="365"/>
      <c r="I208" s="365"/>
      <c r="J208" s="383"/>
    </row>
    <row r="209" spans="1:10" ht="16.5">
      <c r="A209" s="383"/>
      <c r="B209" s="384"/>
      <c r="C209" s="364"/>
      <c r="D209" s="383"/>
      <c r="E209" s="383"/>
      <c r="F209" s="383"/>
      <c r="G209" s="365"/>
      <c r="H209" s="365"/>
      <c r="I209" s="365"/>
      <c r="J209" s="383"/>
    </row>
    <row r="210" spans="1:10" ht="16.5">
      <c r="A210" s="383"/>
      <c r="B210" s="384"/>
      <c r="C210" s="364"/>
      <c r="D210" s="383"/>
      <c r="E210" s="383"/>
      <c r="F210" s="383"/>
      <c r="G210" s="365"/>
      <c r="H210" s="365"/>
      <c r="I210" s="365"/>
      <c r="J210" s="383"/>
    </row>
    <row r="211" spans="1:10" ht="16.5">
      <c r="A211" s="383"/>
      <c r="B211" s="384"/>
      <c r="C211" s="364"/>
      <c r="D211" s="383"/>
      <c r="E211" s="383"/>
      <c r="F211" s="383"/>
      <c r="G211" s="365"/>
      <c r="H211" s="365"/>
      <c r="I211" s="365"/>
      <c r="J211" s="383"/>
    </row>
    <row r="212" spans="1:10" ht="16.5">
      <c r="A212" s="383"/>
      <c r="B212" s="384"/>
      <c r="C212" s="364"/>
      <c r="D212" s="383"/>
      <c r="E212" s="383"/>
      <c r="F212" s="383"/>
      <c r="G212" s="365"/>
      <c r="H212" s="365"/>
      <c r="I212" s="365"/>
      <c r="J212" s="383"/>
    </row>
    <row r="213" spans="1:10" ht="16.5">
      <c r="A213" s="383"/>
      <c r="B213" s="384"/>
      <c r="C213" s="364"/>
      <c r="D213" s="383"/>
      <c r="E213" s="383"/>
      <c r="F213" s="383"/>
      <c r="G213" s="365"/>
      <c r="H213" s="365"/>
      <c r="I213" s="365"/>
      <c r="J213" s="383"/>
    </row>
    <row r="214" spans="1:10" ht="16.5">
      <c r="A214" s="383"/>
      <c r="B214" s="384"/>
      <c r="C214" s="364"/>
      <c r="D214" s="383"/>
      <c r="E214" s="383"/>
      <c r="F214" s="383"/>
      <c r="G214" s="365"/>
      <c r="H214" s="365"/>
      <c r="I214" s="365"/>
      <c r="J214" s="383"/>
    </row>
    <row r="215" spans="1:10" ht="16.5">
      <c r="A215" s="383"/>
      <c r="B215" s="384"/>
      <c r="C215" s="364"/>
      <c r="D215" s="383"/>
      <c r="E215" s="383"/>
      <c r="F215" s="383"/>
      <c r="G215" s="365"/>
      <c r="H215" s="365"/>
      <c r="I215" s="365"/>
      <c r="J215" s="383"/>
    </row>
    <row r="216" spans="1:10" ht="16.5">
      <c r="A216" s="383"/>
      <c r="B216" s="384"/>
      <c r="C216" s="364"/>
      <c r="D216" s="383"/>
      <c r="E216" s="383"/>
      <c r="F216" s="383"/>
      <c r="G216" s="365"/>
      <c r="H216" s="365"/>
      <c r="I216" s="365"/>
      <c r="J216" s="383"/>
    </row>
    <row r="217" spans="1:10" ht="16.5">
      <c r="A217" s="383"/>
      <c r="B217" s="384"/>
      <c r="C217" s="364"/>
      <c r="D217" s="383"/>
      <c r="E217" s="383"/>
      <c r="F217" s="383"/>
      <c r="G217" s="365"/>
      <c r="H217" s="365"/>
      <c r="I217" s="365"/>
      <c r="J217" s="383"/>
    </row>
    <row r="218" spans="1:10" ht="16.5">
      <c r="A218" s="383"/>
      <c r="B218" s="384"/>
      <c r="C218" s="364"/>
      <c r="D218" s="383"/>
      <c r="E218" s="383"/>
      <c r="F218" s="383"/>
      <c r="G218" s="365"/>
      <c r="H218" s="365"/>
      <c r="I218" s="365"/>
      <c r="J218" s="383"/>
    </row>
    <row r="219" spans="1:10" ht="16.5">
      <c r="A219" s="383"/>
      <c r="B219" s="384"/>
      <c r="C219" s="364"/>
      <c r="D219" s="383"/>
      <c r="E219" s="383"/>
      <c r="F219" s="383"/>
      <c r="G219" s="365"/>
      <c r="H219" s="365"/>
      <c r="I219" s="365"/>
      <c r="J219" s="383"/>
    </row>
    <row r="220" spans="1:10" ht="16.5">
      <c r="A220" s="383"/>
      <c r="B220" s="384"/>
      <c r="C220" s="364"/>
      <c r="D220" s="383"/>
      <c r="E220" s="383"/>
      <c r="F220" s="383"/>
      <c r="G220" s="365"/>
      <c r="H220" s="365"/>
      <c r="I220" s="365"/>
      <c r="J220" s="383"/>
    </row>
    <row r="221" spans="1:10" ht="16.5">
      <c r="A221" s="383"/>
      <c r="B221" s="384"/>
      <c r="C221" s="364"/>
      <c r="D221" s="383"/>
      <c r="E221" s="383"/>
      <c r="F221" s="383"/>
      <c r="G221" s="365"/>
      <c r="H221" s="365"/>
      <c r="I221" s="365"/>
      <c r="J221" s="383"/>
    </row>
    <row r="222" spans="1:10" ht="16.5">
      <c r="A222" s="383"/>
      <c r="B222" s="384"/>
      <c r="C222" s="364"/>
      <c r="D222" s="383"/>
      <c r="E222" s="383"/>
      <c r="F222" s="383"/>
      <c r="G222" s="365"/>
      <c r="H222" s="365"/>
      <c r="I222" s="365"/>
      <c r="J222" s="383"/>
    </row>
    <row r="223" spans="1:10" ht="16.5">
      <c r="A223" s="383"/>
      <c r="B223" s="384"/>
      <c r="C223" s="364"/>
      <c r="D223" s="383"/>
      <c r="E223" s="383"/>
      <c r="F223" s="383"/>
      <c r="G223" s="365"/>
      <c r="H223" s="365"/>
      <c r="I223" s="365"/>
      <c r="J223" s="383"/>
    </row>
    <row r="224" spans="1:10" ht="16.5">
      <c r="A224" s="383"/>
      <c r="B224" s="384"/>
      <c r="C224" s="364"/>
      <c r="D224" s="383"/>
      <c r="E224" s="383"/>
      <c r="F224" s="383"/>
      <c r="G224" s="365"/>
      <c r="H224" s="365"/>
      <c r="I224" s="365"/>
      <c r="J224" s="383"/>
    </row>
    <row r="225" spans="1:10" ht="16.5">
      <c r="A225" s="383"/>
      <c r="B225" s="384"/>
      <c r="C225" s="364"/>
      <c r="D225" s="383"/>
      <c r="E225" s="383"/>
      <c r="F225" s="383"/>
      <c r="G225" s="365"/>
      <c r="H225" s="365"/>
      <c r="I225" s="365"/>
      <c r="J225" s="383"/>
    </row>
    <row r="226" spans="1:10" ht="16.5">
      <c r="A226" s="383"/>
      <c r="B226" s="384"/>
      <c r="C226" s="364"/>
      <c r="D226" s="383"/>
      <c r="E226" s="383"/>
      <c r="F226" s="383"/>
      <c r="G226" s="365"/>
      <c r="H226" s="365"/>
      <c r="I226" s="365"/>
      <c r="J226" s="383"/>
    </row>
    <row r="227" spans="1:10" ht="16.5">
      <c r="A227" s="383"/>
      <c r="B227" s="384"/>
      <c r="C227" s="364"/>
      <c r="D227" s="383"/>
      <c r="E227" s="383"/>
      <c r="F227" s="383"/>
      <c r="G227" s="365"/>
      <c r="H227" s="365"/>
      <c r="I227" s="365"/>
      <c r="J227" s="383"/>
    </row>
    <row r="228" spans="1:10" ht="16.5">
      <c r="A228" s="383"/>
      <c r="B228" s="384"/>
      <c r="C228" s="364"/>
      <c r="D228" s="383"/>
      <c r="E228" s="383"/>
      <c r="F228" s="383"/>
      <c r="G228" s="365"/>
      <c r="H228" s="365"/>
      <c r="I228" s="365"/>
      <c r="J228" s="383"/>
    </row>
    <row r="229" spans="1:10" ht="16.5">
      <c r="A229" s="383"/>
      <c r="B229" s="384"/>
      <c r="C229" s="364"/>
      <c r="D229" s="383"/>
      <c r="E229" s="383"/>
      <c r="F229" s="383"/>
      <c r="G229" s="365"/>
      <c r="H229" s="365"/>
      <c r="I229" s="365"/>
      <c r="J229" s="383"/>
    </row>
    <row r="230" spans="1:10" ht="16.5">
      <c r="A230" s="383"/>
      <c r="B230" s="384"/>
      <c r="C230" s="364"/>
      <c r="D230" s="383"/>
      <c r="E230" s="383"/>
      <c r="F230" s="383"/>
      <c r="G230" s="365"/>
      <c r="H230" s="365"/>
      <c r="I230" s="365"/>
      <c r="J230" s="383"/>
    </row>
    <row r="231" spans="1:10" ht="16.5">
      <c r="A231" s="383"/>
      <c r="B231" s="384"/>
      <c r="C231" s="364"/>
      <c r="D231" s="383"/>
      <c r="E231" s="383"/>
      <c r="F231" s="383"/>
      <c r="G231" s="365"/>
      <c r="H231" s="365"/>
      <c r="I231" s="365"/>
      <c r="J231" s="383"/>
    </row>
    <row r="232" spans="1:10" ht="16.5">
      <c r="A232" s="383"/>
      <c r="B232" s="384"/>
      <c r="C232" s="364"/>
      <c r="D232" s="383"/>
      <c r="E232" s="383"/>
      <c r="F232" s="383"/>
      <c r="G232" s="365"/>
      <c r="H232" s="365"/>
      <c r="I232" s="365"/>
      <c r="J232" s="383"/>
    </row>
    <row r="233" spans="1:10" ht="16.5">
      <c r="A233" s="383"/>
      <c r="B233" s="384"/>
      <c r="C233" s="364"/>
      <c r="D233" s="383"/>
      <c r="E233" s="383"/>
      <c r="F233" s="383"/>
      <c r="G233" s="365"/>
      <c r="H233" s="365"/>
      <c r="I233" s="365"/>
      <c r="J233" s="383"/>
    </row>
    <row r="234" spans="1:10" ht="16.5">
      <c r="A234" s="383"/>
      <c r="B234" s="384"/>
      <c r="C234" s="364"/>
      <c r="D234" s="383"/>
      <c r="E234" s="383"/>
      <c r="F234" s="383"/>
      <c r="G234" s="365"/>
      <c r="H234" s="365"/>
      <c r="I234" s="365"/>
      <c r="J234" s="383"/>
    </row>
    <row r="235" spans="1:10" ht="16.5">
      <c r="A235" s="383"/>
      <c r="B235" s="384"/>
      <c r="C235" s="364"/>
      <c r="D235" s="383"/>
      <c r="E235" s="383"/>
      <c r="F235" s="383"/>
      <c r="G235" s="365"/>
      <c r="H235" s="365"/>
      <c r="I235" s="365"/>
      <c r="J235" s="383"/>
    </row>
    <row r="236" spans="1:10" ht="16.5">
      <c r="A236" s="383"/>
      <c r="B236" s="384"/>
      <c r="C236" s="364"/>
      <c r="D236" s="383"/>
      <c r="E236" s="383"/>
      <c r="F236" s="383"/>
      <c r="G236" s="365"/>
      <c r="H236" s="365"/>
      <c r="I236" s="365"/>
      <c r="J236" s="383"/>
    </row>
    <row r="237" spans="1:10" ht="16.5">
      <c r="A237" s="383"/>
      <c r="B237" s="384"/>
      <c r="C237" s="364"/>
      <c r="D237" s="383"/>
      <c r="E237" s="383"/>
      <c r="F237" s="383"/>
      <c r="G237" s="365"/>
      <c r="H237" s="365"/>
      <c r="I237" s="365"/>
      <c r="J237" s="383"/>
    </row>
    <row r="238" spans="1:10" ht="16.5">
      <c r="A238" s="383"/>
      <c r="B238" s="384"/>
      <c r="C238" s="364"/>
      <c r="D238" s="383"/>
      <c r="E238" s="383"/>
      <c r="F238" s="383"/>
      <c r="G238" s="365"/>
      <c r="H238" s="365"/>
      <c r="I238" s="365"/>
      <c r="J238" s="383"/>
    </row>
    <row r="239" spans="1:10" ht="16.5">
      <c r="A239" s="383"/>
      <c r="B239" s="384"/>
      <c r="C239" s="364"/>
      <c r="D239" s="383"/>
      <c r="E239" s="383"/>
      <c r="F239" s="383"/>
      <c r="G239" s="365"/>
      <c r="H239" s="365"/>
      <c r="I239" s="365"/>
      <c r="J239" s="383"/>
    </row>
    <row r="240" spans="1:10" ht="16.5">
      <c r="A240" s="383"/>
      <c r="B240" s="384"/>
      <c r="C240" s="364"/>
      <c r="D240" s="383"/>
      <c r="E240" s="383"/>
      <c r="F240" s="383"/>
      <c r="G240" s="365"/>
      <c r="H240" s="365"/>
      <c r="I240" s="365"/>
      <c r="J240" s="383"/>
    </row>
    <row r="241" spans="1:10" ht="16.5">
      <c r="A241" s="383"/>
      <c r="B241" s="384"/>
      <c r="C241" s="364"/>
      <c r="D241" s="383"/>
      <c r="E241" s="383"/>
      <c r="F241" s="383"/>
      <c r="G241" s="365"/>
      <c r="H241" s="365"/>
      <c r="I241" s="365"/>
      <c r="J241" s="383"/>
    </row>
    <row r="242" spans="1:10" ht="16.5">
      <c r="A242" s="383"/>
      <c r="B242" s="384"/>
      <c r="C242" s="364"/>
      <c r="D242" s="383"/>
      <c r="E242" s="383"/>
      <c r="F242" s="383"/>
      <c r="G242" s="365"/>
      <c r="H242" s="365"/>
      <c r="I242" s="365"/>
      <c r="J242" s="383"/>
    </row>
    <row r="243" spans="1:10" ht="16.5">
      <c r="A243" s="383"/>
      <c r="B243" s="384"/>
      <c r="C243" s="364"/>
      <c r="D243" s="383"/>
      <c r="E243" s="383"/>
      <c r="F243" s="383"/>
      <c r="G243" s="365"/>
      <c r="H243" s="365"/>
      <c r="I243" s="365"/>
      <c r="J243" s="383"/>
    </row>
    <row r="244" spans="1:10" ht="16.5">
      <c r="A244" s="383"/>
      <c r="B244" s="384"/>
      <c r="C244" s="364"/>
      <c r="D244" s="383"/>
      <c r="E244" s="383"/>
      <c r="F244" s="383"/>
      <c r="G244" s="365"/>
      <c r="H244" s="365"/>
      <c r="I244" s="365"/>
      <c r="J244" s="383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1"/>
  <sheetViews>
    <sheetView workbookViewId="0"/>
  </sheetViews>
  <sheetFormatPr defaultRowHeight="15"/>
  <sheetData>
    <row r="1" spans="1:21" ht="37.5">
      <c r="A1" s="360"/>
      <c r="B1" s="507" t="s">
        <v>819</v>
      </c>
      <c r="G1" s="1158"/>
      <c r="H1" s="1158"/>
      <c r="I1" s="1048"/>
      <c r="J1" s="1048"/>
    </row>
    <row r="2" spans="1:21" ht="16.5">
      <c r="A2" s="1063" t="s">
        <v>715</v>
      </c>
      <c r="B2" s="1063"/>
      <c r="C2" s="1063"/>
      <c r="D2" s="1063"/>
      <c r="E2" s="1063"/>
      <c r="F2" s="1063"/>
      <c r="G2" s="1063"/>
      <c r="H2" s="1063"/>
      <c r="I2" s="1063"/>
      <c r="J2" s="1063"/>
    </row>
    <row r="3" spans="1:21" ht="16.5">
      <c r="A3" s="1060" t="s">
        <v>816</v>
      </c>
      <c r="B3" s="1060"/>
      <c r="C3" s="1060"/>
      <c r="D3" s="1060"/>
      <c r="E3" s="1060"/>
      <c r="F3" s="1060"/>
      <c r="G3" s="1060"/>
      <c r="H3" s="1060"/>
      <c r="I3" s="1060"/>
      <c r="J3" s="1060"/>
    </row>
    <row r="4" spans="1:21" ht="16.5">
      <c r="A4" s="383"/>
      <c r="B4" s="384"/>
      <c r="C4" s="364"/>
      <c r="D4" s="364"/>
      <c r="E4" s="364"/>
      <c r="F4" s="365"/>
      <c r="G4" s="365"/>
      <c r="H4" s="365"/>
      <c r="I4" s="365"/>
      <c r="J4" s="365"/>
    </row>
    <row r="5" spans="1:21" ht="99">
      <c r="A5" s="1053" t="s">
        <v>0</v>
      </c>
      <c r="B5" s="1053" t="s">
        <v>287</v>
      </c>
      <c r="C5" s="1053" t="s">
        <v>184</v>
      </c>
      <c r="D5" s="1049" t="s">
        <v>611</v>
      </c>
      <c r="E5" s="1049" t="s">
        <v>602</v>
      </c>
      <c r="F5" s="1056" t="s">
        <v>769</v>
      </c>
      <c r="G5" s="1057"/>
      <c r="H5" s="1057"/>
      <c r="I5" s="1057"/>
      <c r="J5" s="1058"/>
    </row>
    <row r="6" spans="1:21" ht="66">
      <c r="A6" s="1054"/>
      <c r="B6" s="1054"/>
      <c r="C6" s="1054"/>
      <c r="D6" s="1049"/>
      <c r="E6" s="1049"/>
      <c r="F6" s="332" t="s">
        <v>770</v>
      </c>
      <c r="G6" s="332" t="s">
        <v>771</v>
      </c>
      <c r="H6" s="332" t="s">
        <v>772</v>
      </c>
      <c r="I6" s="332" t="s">
        <v>773</v>
      </c>
      <c r="J6" s="332" t="s">
        <v>774</v>
      </c>
    </row>
    <row r="7" spans="1:21" ht="33">
      <c r="A7" s="368" t="s">
        <v>101</v>
      </c>
      <c r="B7" s="369" t="s">
        <v>437</v>
      </c>
      <c r="C7" s="366"/>
      <c r="D7" s="539"/>
      <c r="E7" s="539"/>
      <c r="F7" s="540"/>
      <c r="G7" s="540"/>
      <c r="H7" s="540"/>
      <c r="I7" s="518"/>
      <c r="J7" s="518"/>
    </row>
    <row r="8" spans="1:21" ht="66">
      <c r="A8" s="368">
        <v>1</v>
      </c>
      <c r="B8" s="375" t="s">
        <v>438</v>
      </c>
      <c r="C8" s="366"/>
      <c r="D8" s="539"/>
      <c r="E8" s="539"/>
      <c r="F8" s="966"/>
      <c r="G8" s="684"/>
      <c r="H8" s="684"/>
      <c r="I8" s="684"/>
      <c r="J8" s="684"/>
      <c r="L8" s="394"/>
      <c r="M8" s="392"/>
      <c r="O8" s="394"/>
      <c r="P8" s="392"/>
      <c r="R8" s="394"/>
      <c r="S8" s="392"/>
      <c r="U8" s="394"/>
    </row>
    <row r="9" spans="1:21" ht="99">
      <c r="A9" s="931" t="s">
        <v>284</v>
      </c>
      <c r="B9" s="377" t="s">
        <v>786</v>
      </c>
      <c r="C9" s="370" t="s">
        <v>440</v>
      </c>
      <c r="D9" s="982">
        <v>5722</v>
      </c>
      <c r="E9" s="982">
        <f>J9</f>
        <v>6199</v>
      </c>
      <c r="F9" s="982">
        <v>5512</v>
      </c>
      <c r="G9" s="982">
        <v>5439</v>
      </c>
      <c r="H9" s="982">
        <v>5431</v>
      </c>
      <c r="I9" s="982">
        <v>5628</v>
      </c>
      <c r="J9" s="982">
        <v>6199</v>
      </c>
      <c r="K9" s="365"/>
      <c r="L9" s="676"/>
      <c r="M9" s="677"/>
      <c r="O9" s="676"/>
      <c r="P9" s="677"/>
      <c r="R9" s="676"/>
      <c r="S9" s="677"/>
      <c r="U9" s="676"/>
    </row>
    <row r="10" spans="1:21" ht="66">
      <c r="A10" s="931" t="s">
        <v>284</v>
      </c>
      <c r="B10" s="455" t="s">
        <v>787</v>
      </c>
      <c r="C10" s="370" t="s">
        <v>440</v>
      </c>
      <c r="D10" s="871">
        <v>4921</v>
      </c>
      <c r="E10" s="871">
        <f>J10</f>
        <v>4075</v>
      </c>
      <c r="F10" s="871">
        <v>4601</v>
      </c>
      <c r="G10" s="871">
        <v>4217</v>
      </c>
      <c r="H10" s="871">
        <v>3967</v>
      </c>
      <c r="I10" s="871">
        <v>3929</v>
      </c>
      <c r="J10" s="871">
        <v>4075</v>
      </c>
      <c r="K10" s="393"/>
      <c r="L10" s="680"/>
      <c r="M10" s="681"/>
      <c r="O10" s="680"/>
      <c r="P10" s="681"/>
      <c r="R10" s="680"/>
      <c r="S10" s="681"/>
      <c r="U10" s="680"/>
    </row>
    <row r="11" spans="1:21" ht="165">
      <c r="A11" s="931" t="s">
        <v>284</v>
      </c>
      <c r="B11" s="969" t="s">
        <v>788</v>
      </c>
      <c r="C11" s="370" t="s">
        <v>5</v>
      </c>
      <c r="D11" s="932">
        <v>21.1</v>
      </c>
      <c r="E11" s="932">
        <f>J11</f>
        <v>27.2</v>
      </c>
      <c r="F11" s="932">
        <v>23.2</v>
      </c>
      <c r="G11" s="932">
        <f>F11+1</f>
        <v>24.2</v>
      </c>
      <c r="H11" s="932">
        <f>G11+1</f>
        <v>25.2</v>
      </c>
      <c r="I11" s="932">
        <f>H11+1</f>
        <v>26.2</v>
      </c>
      <c r="J11" s="932">
        <f>I11+1</f>
        <v>27.2</v>
      </c>
      <c r="K11" s="393" t="s">
        <v>692</v>
      </c>
      <c r="L11" s="847"/>
      <c r="M11" s="848"/>
      <c r="O11" s="847"/>
      <c r="P11" s="848"/>
      <c r="R11" s="847"/>
      <c r="S11" s="848"/>
      <c r="U11" s="847"/>
    </row>
    <row r="12" spans="1:21" ht="99">
      <c r="A12" s="931" t="s">
        <v>284</v>
      </c>
      <c r="B12" s="969" t="s">
        <v>789</v>
      </c>
      <c r="C12" s="370" t="s">
        <v>5</v>
      </c>
      <c r="D12" s="932">
        <v>99.8</v>
      </c>
      <c r="E12" s="933">
        <f>F12</f>
        <v>99.98</v>
      </c>
      <c r="F12" s="933">
        <v>99.98</v>
      </c>
      <c r="G12" s="933">
        <v>99.98</v>
      </c>
      <c r="H12" s="933">
        <v>99.98</v>
      </c>
      <c r="I12" s="933">
        <v>99.98</v>
      </c>
      <c r="J12" s="933">
        <v>99.98</v>
      </c>
      <c r="K12" s="393"/>
      <c r="L12" s="847"/>
      <c r="M12" s="848"/>
      <c r="O12" s="847"/>
      <c r="P12" s="848"/>
      <c r="R12" s="847"/>
      <c r="S12" s="848"/>
      <c r="U12" s="847"/>
    </row>
    <row r="13" spans="1:21" ht="99">
      <c r="A13" s="931" t="s">
        <v>284</v>
      </c>
      <c r="B13" s="969" t="s">
        <v>790</v>
      </c>
      <c r="C13" s="370" t="s">
        <v>5</v>
      </c>
      <c r="D13" s="932">
        <v>99.8</v>
      </c>
      <c r="E13" s="932">
        <f>J13</f>
        <v>99.8</v>
      </c>
      <c r="F13" s="871">
        <v>99</v>
      </c>
      <c r="G13" s="932">
        <v>99.8</v>
      </c>
      <c r="H13" s="932">
        <v>99.8</v>
      </c>
      <c r="I13" s="932">
        <v>99.8</v>
      </c>
      <c r="J13" s="932">
        <v>99.8</v>
      </c>
      <c r="K13" s="393"/>
      <c r="L13" s="847"/>
      <c r="M13" s="848"/>
      <c r="O13" s="847"/>
      <c r="P13" s="848"/>
      <c r="R13" s="847"/>
      <c r="S13" s="848"/>
      <c r="U13" s="847"/>
    </row>
    <row r="14" spans="1:21" ht="66">
      <c r="A14" s="368">
        <v>2</v>
      </c>
      <c r="B14" s="369" t="s">
        <v>441</v>
      </c>
      <c r="C14" s="370"/>
      <c r="D14" s="682"/>
      <c r="E14" s="683"/>
      <c r="F14" s="683"/>
      <c r="G14" s="683"/>
      <c r="H14" s="683"/>
      <c r="I14" s="683"/>
      <c r="J14" s="683"/>
      <c r="K14" s="393"/>
    </row>
    <row r="15" spans="1:21" ht="49.5">
      <c r="A15" s="931" t="s">
        <v>284</v>
      </c>
      <c r="B15" s="461" t="s">
        <v>791</v>
      </c>
      <c r="C15" s="370" t="s">
        <v>440</v>
      </c>
      <c r="D15" s="982">
        <v>7867</v>
      </c>
      <c r="E15" s="982">
        <f>J15</f>
        <v>7580</v>
      </c>
      <c r="F15" s="982">
        <v>8230</v>
      </c>
      <c r="G15" s="982">
        <v>8442</v>
      </c>
      <c r="H15" s="982">
        <v>8313</v>
      </c>
      <c r="I15" s="982">
        <v>8026</v>
      </c>
      <c r="J15" s="982">
        <v>7580</v>
      </c>
      <c r="K15" s="365"/>
    </row>
    <row r="16" spans="1:21" ht="82.5">
      <c r="A16" s="931" t="s">
        <v>284</v>
      </c>
      <c r="B16" s="969" t="s">
        <v>792</v>
      </c>
      <c r="C16" s="370" t="s">
        <v>5</v>
      </c>
      <c r="D16" s="871">
        <v>100</v>
      </c>
      <c r="E16" s="871">
        <v>100</v>
      </c>
      <c r="F16" s="871">
        <v>100</v>
      </c>
      <c r="G16" s="871">
        <v>100</v>
      </c>
      <c r="H16" s="871">
        <v>100</v>
      </c>
      <c r="I16" s="871">
        <v>100</v>
      </c>
      <c r="J16" s="871">
        <v>100</v>
      </c>
      <c r="K16" s="393" t="s">
        <v>692</v>
      </c>
    </row>
    <row r="17" spans="1:21" ht="99">
      <c r="A17" s="931" t="s">
        <v>284</v>
      </c>
      <c r="B17" s="969" t="s">
        <v>793</v>
      </c>
      <c r="C17" s="370" t="s">
        <v>5</v>
      </c>
      <c r="D17" s="932">
        <v>99.9</v>
      </c>
      <c r="E17" s="932">
        <v>99.9</v>
      </c>
      <c r="F17" s="932">
        <v>99.9</v>
      </c>
      <c r="G17" s="932">
        <v>99.9</v>
      </c>
      <c r="H17" s="932">
        <v>99.9</v>
      </c>
      <c r="I17" s="932">
        <v>99.9</v>
      </c>
      <c r="J17" s="932">
        <v>99.9</v>
      </c>
      <c r="K17" s="365"/>
    </row>
    <row r="18" spans="1:21" ht="115.5">
      <c r="A18" s="931" t="s">
        <v>284</v>
      </c>
      <c r="B18" s="969" t="s">
        <v>794</v>
      </c>
      <c r="C18" s="370" t="s">
        <v>5</v>
      </c>
      <c r="D18" s="932">
        <v>99.7</v>
      </c>
      <c r="E18" s="932">
        <f>F18</f>
        <v>99.8</v>
      </c>
      <c r="F18" s="932">
        <v>99.8</v>
      </c>
      <c r="G18" s="932">
        <v>99.8</v>
      </c>
      <c r="H18" s="932">
        <v>99.8</v>
      </c>
      <c r="I18" s="932">
        <v>99.8</v>
      </c>
      <c r="J18" s="932">
        <v>99.8</v>
      </c>
      <c r="K18" s="365"/>
    </row>
    <row r="19" spans="1:21" ht="82.5">
      <c r="A19" s="368">
        <v>3</v>
      </c>
      <c r="B19" s="375" t="s">
        <v>443</v>
      </c>
      <c r="C19" s="370"/>
      <c r="D19" s="682"/>
      <c r="E19" s="683"/>
      <c r="F19" s="683"/>
      <c r="G19" s="683"/>
      <c r="H19" s="683"/>
      <c r="I19" s="683"/>
      <c r="J19" s="683"/>
      <c r="K19" s="393"/>
      <c r="L19" s="680"/>
      <c r="M19" s="681"/>
      <c r="O19" s="680"/>
      <c r="P19" s="681"/>
      <c r="R19" s="680"/>
      <c r="S19" s="681"/>
      <c r="U19" s="680"/>
    </row>
    <row r="20" spans="1:21" ht="82.5">
      <c r="A20" s="931" t="s">
        <v>284</v>
      </c>
      <c r="B20" s="461" t="s">
        <v>795</v>
      </c>
      <c r="C20" s="370" t="s">
        <v>440</v>
      </c>
      <c r="D20" s="982">
        <v>5521</v>
      </c>
      <c r="E20" s="982">
        <f>J20</f>
        <v>7868</v>
      </c>
      <c r="F20" s="982">
        <v>5360</v>
      </c>
      <c r="G20" s="982">
        <v>6200</v>
      </c>
      <c r="H20" s="982">
        <v>6850</v>
      </c>
      <c r="I20" s="982">
        <v>7320</v>
      </c>
      <c r="J20" s="982">
        <v>7868</v>
      </c>
      <c r="K20" s="365"/>
    </row>
    <row r="21" spans="1:21" ht="99">
      <c r="A21" s="931" t="s">
        <v>284</v>
      </c>
      <c r="B21" s="969" t="s">
        <v>796</v>
      </c>
      <c r="C21" s="722" t="s">
        <v>5</v>
      </c>
      <c r="D21" s="932">
        <v>94.7</v>
      </c>
      <c r="E21" s="932">
        <f>F21</f>
        <v>96.9</v>
      </c>
      <c r="F21" s="932">
        <v>96.9</v>
      </c>
      <c r="G21" s="932">
        <v>96.9</v>
      </c>
      <c r="H21" s="932">
        <v>96.9</v>
      </c>
      <c r="I21" s="932">
        <v>96.9</v>
      </c>
      <c r="J21" s="932">
        <v>96.9</v>
      </c>
      <c r="K21" s="365" t="str">
        <f>K16</f>
        <v>Đề nghị phòng giáo dục nhập bổ sung số liệu</v>
      </c>
    </row>
    <row r="22" spans="1:21" ht="82.5">
      <c r="A22" s="931" t="s">
        <v>284</v>
      </c>
      <c r="B22" s="969" t="s">
        <v>797</v>
      </c>
      <c r="C22" s="722" t="s">
        <v>5</v>
      </c>
      <c r="D22" s="932">
        <v>99.8</v>
      </c>
      <c r="E22" s="871">
        <f>F22</f>
        <v>100</v>
      </c>
      <c r="F22" s="871">
        <v>100</v>
      </c>
      <c r="G22" s="871">
        <v>100</v>
      </c>
      <c r="H22" s="871">
        <v>100</v>
      </c>
      <c r="I22" s="871">
        <v>100</v>
      </c>
      <c r="J22" s="871">
        <v>100</v>
      </c>
      <c r="K22" s="365"/>
    </row>
    <row r="23" spans="1:21" ht="99">
      <c r="A23" s="368">
        <v>4</v>
      </c>
      <c r="B23" s="369" t="s">
        <v>445</v>
      </c>
      <c r="C23" s="370"/>
      <c r="D23" s="682"/>
      <c r="E23" s="683"/>
      <c r="F23" s="683"/>
      <c r="G23" s="683"/>
      <c r="H23" s="683"/>
      <c r="I23" s="683"/>
      <c r="J23" s="683"/>
      <c r="K23" s="393"/>
    </row>
    <row r="24" spans="1:21" ht="82.5">
      <c r="A24" s="931" t="s">
        <v>284</v>
      </c>
      <c r="B24" s="461" t="s">
        <v>798</v>
      </c>
      <c r="C24" s="370" t="s">
        <v>440</v>
      </c>
      <c r="D24" s="982">
        <v>1378</v>
      </c>
      <c r="E24" s="982">
        <f>J24</f>
        <v>1900</v>
      </c>
      <c r="F24" s="982">
        <v>1700</v>
      </c>
      <c r="G24" s="982">
        <v>1730</v>
      </c>
      <c r="H24" s="982">
        <v>1800</v>
      </c>
      <c r="I24" s="982">
        <v>1850</v>
      </c>
      <c r="J24" s="982">
        <v>1900</v>
      </c>
      <c r="K24" s="365"/>
    </row>
    <row r="25" spans="1:21" ht="82.5">
      <c r="A25" s="931" t="s">
        <v>284</v>
      </c>
      <c r="B25" s="969" t="s">
        <v>799</v>
      </c>
      <c r="C25" s="722" t="s">
        <v>5</v>
      </c>
      <c r="D25" s="871">
        <v>52</v>
      </c>
      <c r="E25" s="871">
        <v>58</v>
      </c>
      <c r="F25" s="871">
        <v>54</v>
      </c>
      <c r="G25" s="871">
        <v>55</v>
      </c>
      <c r="H25" s="871">
        <v>56</v>
      </c>
      <c r="I25" s="871">
        <v>57</v>
      </c>
      <c r="J25" s="871">
        <v>58</v>
      </c>
      <c r="K25" s="365" t="str">
        <f>K21</f>
        <v>Đề nghị phòng giáo dục nhập bổ sung số liệu</v>
      </c>
    </row>
    <row r="26" spans="1:21" ht="148.5">
      <c r="A26" s="931" t="s">
        <v>284</v>
      </c>
      <c r="B26" s="969" t="s">
        <v>800</v>
      </c>
      <c r="C26" s="722" t="s">
        <v>5</v>
      </c>
      <c r="D26" s="871">
        <v>53</v>
      </c>
      <c r="E26" s="871">
        <f>J26</f>
        <v>58</v>
      </c>
      <c r="F26" s="871">
        <v>57</v>
      </c>
      <c r="G26" s="871">
        <v>57</v>
      </c>
      <c r="H26" s="871">
        <v>57</v>
      </c>
      <c r="I26" s="871">
        <v>57</v>
      </c>
      <c r="J26" s="871">
        <v>58</v>
      </c>
      <c r="K26" s="365"/>
    </row>
    <row r="27" spans="1:21" ht="66">
      <c r="A27" s="931" t="s">
        <v>284</v>
      </c>
      <c r="B27" s="969" t="s">
        <v>801</v>
      </c>
      <c r="C27" s="722" t="s">
        <v>5</v>
      </c>
      <c r="D27" s="932">
        <v>98.86</v>
      </c>
      <c r="E27" s="871">
        <v>100</v>
      </c>
      <c r="F27" s="871">
        <v>99</v>
      </c>
      <c r="G27" s="871">
        <v>99</v>
      </c>
      <c r="H27" s="871">
        <v>99</v>
      </c>
      <c r="I27" s="871">
        <v>99</v>
      </c>
      <c r="J27" s="871">
        <v>100</v>
      </c>
      <c r="K27" s="365"/>
    </row>
    <row r="28" spans="1:21" ht="33">
      <c r="A28" s="971">
        <v>5</v>
      </c>
      <c r="B28" s="972" t="s">
        <v>637</v>
      </c>
      <c r="C28" s="370"/>
      <c r="D28" s="973"/>
      <c r="E28" s="684"/>
      <c r="F28" s="684"/>
      <c r="G28" s="684"/>
      <c r="H28" s="684"/>
      <c r="I28" s="684"/>
      <c r="J28" s="684"/>
      <c r="K28" s="365"/>
    </row>
    <row r="29" spans="1:21" ht="66">
      <c r="A29" s="971" t="s">
        <v>638</v>
      </c>
      <c r="B29" s="972" t="s">
        <v>639</v>
      </c>
      <c r="C29" s="370"/>
      <c r="D29" s="982">
        <v>14</v>
      </c>
      <c r="E29" s="982">
        <v>14</v>
      </c>
      <c r="F29" s="982">
        <v>14</v>
      </c>
      <c r="G29" s="982">
        <v>14</v>
      </c>
      <c r="H29" s="982">
        <v>14</v>
      </c>
      <c r="I29" s="982">
        <v>14</v>
      </c>
      <c r="J29" s="982">
        <v>14</v>
      </c>
      <c r="K29" s="365"/>
    </row>
    <row r="30" spans="1:21" ht="16.5">
      <c r="A30" s="971"/>
      <c r="B30" s="972" t="s">
        <v>640</v>
      </c>
      <c r="C30" s="370"/>
      <c r="D30" s="973"/>
      <c r="E30" s="974"/>
      <c r="F30" s="966"/>
      <c r="G30" s="974"/>
      <c r="H30" s="974"/>
      <c r="I30" s="974"/>
      <c r="J30" s="974"/>
      <c r="K30" s="365"/>
    </row>
    <row r="31" spans="1:21" ht="82.5">
      <c r="A31" s="931" t="s">
        <v>284</v>
      </c>
      <c r="B31" s="976" t="s">
        <v>802</v>
      </c>
      <c r="C31" s="370" t="s">
        <v>641</v>
      </c>
      <c r="D31" s="871">
        <v>4</v>
      </c>
      <c r="E31" s="871">
        <f>J31</f>
        <v>5</v>
      </c>
      <c r="F31" s="871">
        <v>4</v>
      </c>
      <c r="G31" s="871">
        <v>5</v>
      </c>
      <c r="H31" s="871">
        <v>5</v>
      </c>
      <c r="I31" s="871">
        <v>5</v>
      </c>
      <c r="J31" s="871">
        <v>5</v>
      </c>
      <c r="K31" s="365"/>
    </row>
    <row r="32" spans="1:21" ht="115.5">
      <c r="A32" s="931" t="s">
        <v>284</v>
      </c>
      <c r="B32" s="976" t="s">
        <v>803</v>
      </c>
      <c r="C32" s="722" t="s">
        <v>5</v>
      </c>
      <c r="D32" s="933">
        <f>D31/D29*100</f>
        <v>28.571428571428569</v>
      </c>
      <c r="E32" s="933">
        <f>J32</f>
        <v>35.714285714285715</v>
      </c>
      <c r="F32" s="933">
        <f>F31/F29*100</f>
        <v>28.571428571428569</v>
      </c>
      <c r="G32" s="933">
        <f>G31/G29*100</f>
        <v>35.714285714285715</v>
      </c>
      <c r="H32" s="933">
        <f>H31/H29*100</f>
        <v>35.714285714285715</v>
      </c>
      <c r="I32" s="933">
        <f>I31/I29*100</f>
        <v>35.714285714285715</v>
      </c>
      <c r="J32" s="933">
        <f>J31/J29*100</f>
        <v>35.714285714285715</v>
      </c>
      <c r="K32" s="365"/>
    </row>
    <row r="33" spans="1:14" ht="132">
      <c r="A33" s="931" t="s">
        <v>284</v>
      </c>
      <c r="B33" s="977" t="s">
        <v>804</v>
      </c>
      <c r="C33" s="370" t="s">
        <v>641</v>
      </c>
      <c r="D33" s="871">
        <v>4</v>
      </c>
      <c r="E33" s="871">
        <f>J33</f>
        <v>5</v>
      </c>
      <c r="F33" s="871">
        <v>4</v>
      </c>
      <c r="G33" s="871">
        <v>5</v>
      </c>
      <c r="H33" s="871">
        <v>5</v>
      </c>
      <c r="I33" s="871">
        <v>5</v>
      </c>
      <c r="J33" s="871">
        <v>5</v>
      </c>
      <c r="K33" s="365"/>
    </row>
    <row r="34" spans="1:14" ht="148.5">
      <c r="A34" s="931" t="s">
        <v>284</v>
      </c>
      <c r="B34" s="978" t="s">
        <v>642</v>
      </c>
      <c r="C34" s="722" t="s">
        <v>5</v>
      </c>
      <c r="D34" s="871">
        <f>D33/D29*100</f>
        <v>28.571428571428569</v>
      </c>
      <c r="E34" s="871">
        <f>J34</f>
        <v>35.714285714285715</v>
      </c>
      <c r="F34" s="871">
        <f>F33/F29*100</f>
        <v>28.571428571428569</v>
      </c>
      <c r="G34" s="871">
        <f>G33/G29*100</f>
        <v>35.714285714285715</v>
      </c>
      <c r="H34" s="871">
        <f>H33/H29*100</f>
        <v>35.714285714285715</v>
      </c>
      <c r="I34" s="871">
        <f>I33/I29*100</f>
        <v>35.714285714285715</v>
      </c>
      <c r="J34" s="871">
        <f>J33/J29*100</f>
        <v>35.714285714285715</v>
      </c>
      <c r="K34" s="365"/>
    </row>
    <row r="35" spans="1:14" ht="66">
      <c r="A35" s="971" t="s">
        <v>643</v>
      </c>
      <c r="B35" s="972" t="s">
        <v>644</v>
      </c>
      <c r="C35" s="370"/>
      <c r="D35" s="982">
        <v>27</v>
      </c>
      <c r="E35" s="982">
        <v>27</v>
      </c>
      <c r="F35" s="982">
        <v>27</v>
      </c>
      <c r="G35" s="982">
        <v>27</v>
      </c>
      <c r="H35" s="982">
        <v>27</v>
      </c>
      <c r="I35" s="982">
        <v>27</v>
      </c>
      <c r="J35" s="982">
        <v>27</v>
      </c>
      <c r="K35" s="365"/>
    </row>
    <row r="36" spans="1:14" ht="33">
      <c r="A36" s="971"/>
      <c r="B36" s="976" t="s">
        <v>645</v>
      </c>
      <c r="C36" s="370"/>
      <c r="D36" s="973"/>
      <c r="E36" s="684"/>
      <c r="F36" s="684"/>
      <c r="G36" s="684"/>
      <c r="H36" s="684"/>
      <c r="I36" s="684"/>
      <c r="J36" s="684"/>
      <c r="K36" s="365"/>
    </row>
    <row r="37" spans="1:14" ht="99">
      <c r="A37" s="931" t="s">
        <v>284</v>
      </c>
      <c r="B37" s="976" t="s">
        <v>805</v>
      </c>
      <c r="C37" s="370" t="s">
        <v>641</v>
      </c>
      <c r="D37" s="871">
        <v>13</v>
      </c>
      <c r="E37" s="871">
        <v>16</v>
      </c>
      <c r="F37" s="871">
        <v>13</v>
      </c>
      <c r="G37" s="871">
        <v>15</v>
      </c>
      <c r="H37" s="871">
        <v>16</v>
      </c>
      <c r="I37" s="871">
        <v>16</v>
      </c>
      <c r="J37" s="871">
        <v>16</v>
      </c>
      <c r="K37" s="365"/>
      <c r="M37" s="849"/>
    </row>
    <row r="38" spans="1:14" ht="132">
      <c r="A38" s="931" t="s">
        <v>284</v>
      </c>
      <c r="B38" s="979" t="s">
        <v>806</v>
      </c>
      <c r="C38" s="722" t="s">
        <v>5</v>
      </c>
      <c r="D38" s="932">
        <f>D37/D35*100</f>
        <v>48.148148148148145</v>
      </c>
      <c r="E38" s="932">
        <f>J38</f>
        <v>59.259259259259252</v>
      </c>
      <c r="F38" s="932">
        <f>F37/F35*100</f>
        <v>48.148148148148145</v>
      </c>
      <c r="G38" s="932">
        <f>G37/G35*100</f>
        <v>55.555555555555557</v>
      </c>
      <c r="H38" s="932">
        <f>H37/H35*100</f>
        <v>59.259259259259252</v>
      </c>
      <c r="I38" s="932">
        <f>I37/I35*100</f>
        <v>59.259259259259252</v>
      </c>
      <c r="J38" s="932">
        <f>J37/J35*100</f>
        <v>59.259259259259252</v>
      </c>
      <c r="K38" s="365"/>
    </row>
    <row r="39" spans="1:14" ht="132">
      <c r="A39" s="931" t="s">
        <v>284</v>
      </c>
      <c r="B39" s="977" t="s">
        <v>804</v>
      </c>
      <c r="C39" s="370" t="s">
        <v>641</v>
      </c>
      <c r="D39" s="871">
        <f>7+3</f>
        <v>10</v>
      </c>
      <c r="E39" s="871">
        <f>J39</f>
        <v>16</v>
      </c>
      <c r="F39" s="871">
        <v>10</v>
      </c>
      <c r="G39" s="871">
        <v>12</v>
      </c>
      <c r="H39" s="871">
        <v>16</v>
      </c>
      <c r="I39" s="871">
        <v>16</v>
      </c>
      <c r="J39" s="871">
        <v>16</v>
      </c>
      <c r="K39" s="365"/>
    </row>
    <row r="40" spans="1:14" ht="148.5">
      <c r="A40" s="931" t="s">
        <v>284</v>
      </c>
      <c r="B40" s="977" t="s">
        <v>642</v>
      </c>
      <c r="C40" s="722" t="s">
        <v>5</v>
      </c>
      <c r="D40" s="871">
        <f>D39/D35*100</f>
        <v>37.037037037037038</v>
      </c>
      <c r="E40" s="932">
        <f>J40</f>
        <v>59.259259259259252</v>
      </c>
      <c r="F40" s="871">
        <f>F39/F35*100</f>
        <v>37.037037037037038</v>
      </c>
      <c r="G40" s="932">
        <f>G39/G35*100</f>
        <v>44.444444444444443</v>
      </c>
      <c r="H40" s="932">
        <f>H39/H35*100</f>
        <v>59.259259259259252</v>
      </c>
      <c r="I40" s="932">
        <f>I39/I35*100</f>
        <v>59.259259259259252</v>
      </c>
      <c r="J40" s="932">
        <f>J39/J35*100</f>
        <v>59.259259259259252</v>
      </c>
      <c r="K40" s="365"/>
      <c r="N40" s="849"/>
    </row>
    <row r="41" spans="1:14" ht="264">
      <c r="A41" s="975">
        <v>6</v>
      </c>
      <c r="B41" s="979" t="s">
        <v>646</v>
      </c>
      <c r="C41" s="722" t="s">
        <v>5</v>
      </c>
      <c r="D41" s="370"/>
      <c r="E41" s="980"/>
      <c r="F41" s="980"/>
      <c r="G41" s="980"/>
      <c r="H41" s="980"/>
      <c r="I41" s="980"/>
      <c r="J41" s="980"/>
      <c r="K41" s="365"/>
      <c r="N41" s="849"/>
    </row>
    <row r="42" spans="1:14" ht="33">
      <c r="A42" s="368" t="s">
        <v>102</v>
      </c>
      <c r="B42" s="369" t="s">
        <v>447</v>
      </c>
      <c r="C42" s="366"/>
      <c r="D42" s="528"/>
      <c r="E42" s="528"/>
      <c r="F42" s="528"/>
      <c r="G42" s="528"/>
      <c r="H42" s="528"/>
      <c r="I42" s="528"/>
      <c r="J42" s="528"/>
      <c r="K42" s="463"/>
    </row>
    <row r="43" spans="1:14" ht="66">
      <c r="A43" s="368">
        <v>1</v>
      </c>
      <c r="B43" s="369" t="s">
        <v>448</v>
      </c>
      <c r="C43" s="366"/>
      <c r="D43" s="685"/>
      <c r="E43" s="685"/>
      <c r="F43" s="686"/>
      <c r="G43" s="686"/>
      <c r="H43" s="686"/>
      <c r="I43" s="686"/>
      <c r="J43" s="686"/>
      <c r="K43" s="374"/>
    </row>
    <row r="44" spans="1:14" ht="115.5">
      <c r="A44" s="368"/>
      <c r="B44" s="377" t="s">
        <v>449</v>
      </c>
      <c r="C44" s="370" t="s">
        <v>450</v>
      </c>
      <c r="D44" s="682"/>
      <c r="E44" s="682"/>
      <c r="F44" s="575"/>
      <c r="G44" s="575"/>
      <c r="H44" s="575"/>
      <c r="I44" s="575"/>
      <c r="J44" s="575"/>
      <c r="K44" s="374"/>
    </row>
    <row r="45" spans="1:14" ht="82.5">
      <c r="A45" s="368"/>
      <c r="B45" s="377" t="s">
        <v>647</v>
      </c>
      <c r="C45" s="370" t="s">
        <v>450</v>
      </c>
      <c r="D45" s="682"/>
      <c r="E45" s="682"/>
      <c r="F45" s="575"/>
      <c r="G45" s="575"/>
      <c r="H45" s="575"/>
      <c r="I45" s="575"/>
      <c r="J45" s="575"/>
      <c r="K45" s="374"/>
    </row>
    <row r="46" spans="1:14" ht="82.5">
      <c r="A46" s="368"/>
      <c r="B46" s="377" t="s">
        <v>648</v>
      </c>
      <c r="C46" s="370" t="s">
        <v>450</v>
      </c>
      <c r="D46" s="682"/>
      <c r="E46" s="682"/>
      <c r="F46" s="575"/>
      <c r="G46" s="575"/>
      <c r="H46" s="575"/>
      <c r="I46" s="575"/>
      <c r="J46" s="575"/>
      <c r="K46" s="374"/>
    </row>
    <row r="47" spans="1:14" ht="82.5">
      <c r="A47" s="368"/>
      <c r="B47" s="377" t="s">
        <v>649</v>
      </c>
      <c r="C47" s="370" t="s">
        <v>450</v>
      </c>
      <c r="D47" s="682"/>
      <c r="E47" s="682"/>
      <c r="F47" s="575"/>
      <c r="G47" s="575"/>
      <c r="H47" s="575"/>
      <c r="I47" s="575"/>
      <c r="J47" s="575"/>
      <c r="K47" s="374"/>
    </row>
    <row r="48" spans="1:14" ht="148.5">
      <c r="A48" s="368"/>
      <c r="B48" s="818" t="s">
        <v>451</v>
      </c>
      <c r="C48" s="456" t="s">
        <v>452</v>
      </c>
      <c r="D48" s="542"/>
      <c r="E48" s="542"/>
      <c r="F48" s="688"/>
      <c r="G48" s="688"/>
      <c r="H48" s="688"/>
      <c r="I48" s="688"/>
      <c r="J48" s="688"/>
      <c r="K48" s="374"/>
    </row>
    <row r="49" spans="1:11" ht="82.5">
      <c r="A49" s="368"/>
      <c r="B49" s="377" t="s">
        <v>647</v>
      </c>
      <c r="C49" s="456" t="s">
        <v>452</v>
      </c>
      <c r="D49" s="682"/>
      <c r="E49" s="682"/>
      <c r="F49" s="575"/>
      <c r="G49" s="575"/>
      <c r="H49" s="575"/>
      <c r="I49" s="575"/>
      <c r="J49" s="575"/>
      <c r="K49" s="374"/>
    </row>
    <row r="50" spans="1:11" ht="82.5">
      <c r="A50" s="368"/>
      <c r="B50" s="377" t="s">
        <v>648</v>
      </c>
      <c r="C50" s="456" t="s">
        <v>452</v>
      </c>
      <c r="D50" s="682"/>
      <c r="E50" s="682"/>
      <c r="F50" s="575"/>
      <c r="G50" s="575"/>
      <c r="H50" s="575"/>
      <c r="I50" s="575"/>
      <c r="J50" s="575"/>
      <c r="K50" s="374"/>
    </row>
    <row r="51" spans="1:11" ht="82.5">
      <c r="A51" s="368"/>
      <c r="B51" s="377" t="s">
        <v>649</v>
      </c>
      <c r="C51" s="456" t="s">
        <v>452</v>
      </c>
      <c r="D51" s="682"/>
      <c r="E51" s="682"/>
      <c r="F51" s="575"/>
      <c r="G51" s="575"/>
      <c r="H51" s="575"/>
      <c r="I51" s="575"/>
      <c r="J51" s="575"/>
      <c r="K51" s="374"/>
    </row>
    <row r="52" spans="1:11" ht="99">
      <c r="A52" s="368">
        <v>2</v>
      </c>
      <c r="B52" s="369" t="s">
        <v>453</v>
      </c>
      <c r="C52" s="366"/>
      <c r="D52" s="685"/>
      <c r="E52" s="685"/>
      <c r="F52" s="690"/>
      <c r="G52" s="690"/>
      <c r="H52" s="690"/>
      <c r="I52" s="981"/>
      <c r="J52" s="981"/>
      <c r="K52" s="374"/>
    </row>
    <row r="53" spans="1:11" ht="99">
      <c r="A53" s="376"/>
      <c r="B53" s="461" t="s">
        <v>454</v>
      </c>
      <c r="C53" s="370" t="s">
        <v>450</v>
      </c>
      <c r="D53" s="637"/>
      <c r="E53" s="637"/>
      <c r="F53" s="691"/>
      <c r="G53" s="691"/>
      <c r="H53" s="691"/>
      <c r="I53" s="691"/>
      <c r="J53" s="691"/>
      <c r="K53" s="360"/>
    </row>
    <row r="54" spans="1:11" ht="82.5">
      <c r="A54" s="368"/>
      <c r="B54" s="377" t="s">
        <v>647</v>
      </c>
      <c r="C54" s="370" t="s">
        <v>450</v>
      </c>
      <c r="D54" s="682"/>
      <c r="E54" s="682"/>
      <c r="F54" s="575"/>
      <c r="G54" s="575"/>
      <c r="H54" s="575"/>
      <c r="I54" s="575"/>
      <c r="J54" s="575"/>
      <c r="K54" s="374"/>
    </row>
    <row r="55" spans="1:11" ht="82.5">
      <c r="A55" s="368"/>
      <c r="B55" s="377" t="s">
        <v>648</v>
      </c>
      <c r="C55" s="370" t="s">
        <v>450</v>
      </c>
      <c r="D55" s="682"/>
      <c r="E55" s="682"/>
      <c r="F55" s="575"/>
      <c r="G55" s="575"/>
      <c r="H55" s="575"/>
      <c r="I55" s="575"/>
      <c r="J55" s="575"/>
      <c r="K55" s="374"/>
    </row>
    <row r="56" spans="1:11" ht="82.5">
      <c r="A56" s="368"/>
      <c r="B56" s="377" t="s">
        <v>649</v>
      </c>
      <c r="C56" s="370" t="s">
        <v>450</v>
      </c>
      <c r="D56" s="682"/>
      <c r="E56" s="682"/>
      <c r="F56" s="575"/>
      <c r="G56" s="575"/>
      <c r="H56" s="575"/>
      <c r="I56" s="575"/>
      <c r="J56" s="575"/>
      <c r="K56" s="374"/>
    </row>
    <row r="57" spans="1:11" ht="132">
      <c r="A57" s="814"/>
      <c r="B57" s="818" t="s">
        <v>73</v>
      </c>
      <c r="C57" s="456" t="s">
        <v>301</v>
      </c>
      <c r="D57" s="542"/>
      <c r="E57" s="542"/>
      <c r="F57" s="529"/>
      <c r="G57" s="529"/>
      <c r="H57" s="529"/>
      <c r="I57" s="529"/>
      <c r="J57" s="529"/>
      <c r="K57" s="693"/>
    </row>
    <row r="58" spans="1:11" ht="82.5">
      <c r="A58" s="368"/>
      <c r="B58" s="377" t="s">
        <v>647</v>
      </c>
      <c r="C58" s="456" t="s">
        <v>301</v>
      </c>
      <c r="D58" s="682"/>
      <c r="E58" s="682"/>
      <c r="F58" s="575"/>
      <c r="G58" s="575"/>
      <c r="H58" s="575"/>
      <c r="I58" s="575"/>
      <c r="J58" s="575"/>
      <c r="K58" s="374"/>
    </row>
    <row r="59" spans="1:11" ht="82.5">
      <c r="A59" s="368"/>
      <c r="B59" s="377" t="s">
        <v>648</v>
      </c>
      <c r="C59" s="456" t="s">
        <v>301</v>
      </c>
      <c r="D59" s="682"/>
      <c r="E59" s="682"/>
      <c r="F59" s="575"/>
      <c r="G59" s="575"/>
      <c r="H59" s="575"/>
      <c r="I59" s="575"/>
      <c r="J59" s="575"/>
      <c r="K59" s="374"/>
    </row>
    <row r="60" spans="1:11" ht="82.5">
      <c r="A60" s="368"/>
      <c r="B60" s="377" t="s">
        <v>649</v>
      </c>
      <c r="C60" s="456" t="s">
        <v>301</v>
      </c>
      <c r="D60" s="682"/>
      <c r="E60" s="682"/>
      <c r="F60" s="575"/>
      <c r="G60" s="575"/>
      <c r="H60" s="575"/>
      <c r="I60" s="575"/>
      <c r="J60" s="575"/>
      <c r="K60" s="374"/>
    </row>
    <row r="61" spans="1:11" ht="115.5">
      <c r="A61" s="376"/>
      <c r="B61" s="461" t="s">
        <v>455</v>
      </c>
      <c r="C61" s="456" t="str">
        <f>C44</f>
        <v xml:space="preserve"> Người </v>
      </c>
      <c r="D61" s="530"/>
      <c r="E61" s="637"/>
      <c r="F61" s="636"/>
      <c r="G61" s="636"/>
      <c r="H61" s="637"/>
      <c r="I61" s="637"/>
      <c r="J61" s="637"/>
      <c r="K61" s="360"/>
    </row>
    <row r="62" spans="1:11" ht="82.5">
      <c r="A62" s="368"/>
      <c r="B62" s="377" t="s">
        <v>647</v>
      </c>
      <c r="C62" s="370" t="s">
        <v>450</v>
      </c>
      <c r="D62" s="682"/>
      <c r="E62" s="682"/>
      <c r="F62" s="575"/>
      <c r="G62" s="575"/>
      <c r="H62" s="575"/>
      <c r="I62" s="575"/>
      <c r="J62" s="575"/>
      <c r="K62" s="374"/>
    </row>
    <row r="63" spans="1:11" ht="82.5">
      <c r="A63" s="368"/>
      <c r="B63" s="377" t="s">
        <v>648</v>
      </c>
      <c r="C63" s="370" t="s">
        <v>450</v>
      </c>
      <c r="D63" s="682"/>
      <c r="E63" s="682"/>
      <c r="F63" s="575"/>
      <c r="G63" s="575"/>
      <c r="H63" s="575"/>
      <c r="I63" s="575"/>
      <c r="J63" s="575"/>
      <c r="K63" s="374"/>
    </row>
    <row r="64" spans="1:11" ht="82.5">
      <c r="A64" s="368"/>
      <c r="B64" s="377" t="s">
        <v>649</v>
      </c>
      <c r="C64" s="370" t="s">
        <v>450</v>
      </c>
      <c r="D64" s="682"/>
      <c r="E64" s="682"/>
      <c r="F64" s="575"/>
      <c r="G64" s="575"/>
      <c r="H64" s="575"/>
      <c r="I64" s="575"/>
      <c r="J64" s="575"/>
      <c r="K64" s="374"/>
    </row>
    <row r="65" spans="1:13" ht="148.5">
      <c r="A65" s="814"/>
      <c r="B65" s="818" t="s">
        <v>456</v>
      </c>
      <c r="C65" s="456" t="s">
        <v>301</v>
      </c>
      <c r="D65" s="542"/>
      <c r="E65" s="542"/>
      <c r="F65" s="543"/>
      <c r="G65" s="543"/>
      <c r="H65" s="543"/>
      <c r="I65" s="543"/>
      <c r="J65" s="543"/>
      <c r="K65" s="693"/>
    </row>
    <row r="66" spans="1:13" ht="82.5">
      <c r="A66" s="368"/>
      <c r="B66" s="377" t="s">
        <v>647</v>
      </c>
      <c r="C66" s="456" t="s">
        <v>301</v>
      </c>
      <c r="D66" s="682"/>
      <c r="E66" s="682"/>
      <c r="F66" s="575"/>
      <c r="G66" s="575"/>
      <c r="H66" s="575"/>
      <c r="I66" s="575"/>
      <c r="J66" s="575"/>
      <c r="K66" s="374"/>
    </row>
    <row r="67" spans="1:13" ht="82.5">
      <c r="A67" s="368"/>
      <c r="B67" s="377" t="s">
        <v>648</v>
      </c>
      <c r="C67" s="456" t="s">
        <v>301</v>
      </c>
      <c r="D67" s="682"/>
      <c r="E67" s="682"/>
      <c r="F67" s="575"/>
      <c r="G67" s="575"/>
      <c r="H67" s="575"/>
      <c r="I67" s="575"/>
      <c r="J67" s="575"/>
      <c r="K67" s="374"/>
    </row>
    <row r="68" spans="1:13" ht="82.5">
      <c r="A68" s="368"/>
      <c r="B68" s="377" t="s">
        <v>649</v>
      </c>
      <c r="C68" s="456" t="s">
        <v>301</v>
      </c>
      <c r="D68" s="682"/>
      <c r="E68" s="682"/>
      <c r="F68" s="575"/>
      <c r="G68" s="575"/>
      <c r="H68" s="575"/>
      <c r="I68" s="575"/>
      <c r="J68" s="575"/>
      <c r="K68" s="374"/>
    </row>
    <row r="69" spans="1:13" ht="99">
      <c r="A69" s="957" t="s">
        <v>284</v>
      </c>
      <c r="B69" s="377" t="s">
        <v>807</v>
      </c>
      <c r="C69" s="370" t="s">
        <v>650</v>
      </c>
      <c r="D69" s="871">
        <v>1469</v>
      </c>
      <c r="E69" s="871">
        <f>SUM(F69:J69)</f>
        <v>4350</v>
      </c>
      <c r="F69" s="871">
        <v>700</v>
      </c>
      <c r="G69" s="871">
        <v>850</v>
      </c>
      <c r="H69" s="871">
        <v>900</v>
      </c>
      <c r="I69" s="871">
        <v>950</v>
      </c>
      <c r="J69" s="871">
        <v>950</v>
      </c>
      <c r="K69" s="374"/>
    </row>
    <row r="70" spans="1:13" ht="181.5">
      <c r="A70" s="376"/>
      <c r="B70" s="381" t="s">
        <v>651</v>
      </c>
      <c r="C70" s="456" t="s">
        <v>301</v>
      </c>
      <c r="D70" s="870" t="s">
        <v>652</v>
      </c>
      <c r="E70" s="904"/>
      <c r="F70" s="873"/>
      <c r="G70" s="873"/>
      <c r="H70" s="873"/>
      <c r="I70" s="873"/>
      <c r="J70" s="873"/>
      <c r="K70" s="374" t="s">
        <v>693</v>
      </c>
    </row>
    <row r="71" spans="1:13" ht="82.5">
      <c r="A71" s="368" t="s">
        <v>115</v>
      </c>
      <c r="B71" s="369" t="s">
        <v>653</v>
      </c>
      <c r="C71" s="366"/>
      <c r="D71" s="370"/>
      <c r="E71" s="370"/>
      <c r="F71" s="370"/>
      <c r="G71" s="372"/>
      <c r="H71" s="372"/>
      <c r="I71" s="372"/>
      <c r="J71" s="372"/>
      <c r="K71" s="374"/>
    </row>
    <row r="72" spans="1:13" ht="16.5">
      <c r="A72" s="376">
        <v>1</v>
      </c>
      <c r="B72" s="381" t="s">
        <v>633</v>
      </c>
      <c r="C72" s="370"/>
      <c r="D72" s="370"/>
      <c r="E72" s="370"/>
      <c r="F72" s="370"/>
      <c r="G72" s="372"/>
      <c r="H72" s="372"/>
      <c r="I72" s="372"/>
      <c r="J72" s="372"/>
      <c r="K72" s="360"/>
      <c r="L72" s="671"/>
      <c r="M72" s="671"/>
    </row>
    <row r="73" spans="1:13" ht="33">
      <c r="A73" s="376">
        <v>2</v>
      </c>
      <c r="B73" s="381" t="s">
        <v>654</v>
      </c>
      <c r="C73" s="370"/>
      <c r="D73" s="370"/>
      <c r="E73" s="370"/>
      <c r="F73" s="370"/>
      <c r="G73" s="372"/>
      <c r="H73" s="372"/>
      <c r="I73" s="372"/>
      <c r="J73" s="372"/>
      <c r="K73" s="360"/>
    </row>
    <row r="74" spans="1:13" ht="16.5">
      <c r="A74" s="383"/>
      <c r="B74" s="384"/>
      <c r="C74" s="364"/>
      <c r="D74" s="364"/>
      <c r="E74" s="364"/>
      <c r="F74" s="365"/>
      <c r="G74" s="365"/>
      <c r="H74" s="365"/>
      <c r="I74" s="365"/>
      <c r="J74" s="365"/>
    </row>
    <row r="75" spans="1:13" ht="15.75">
      <c r="A75" s="694"/>
      <c r="B75" s="1159" t="s">
        <v>656</v>
      </c>
      <c r="C75" s="1159"/>
      <c r="D75" s="1159"/>
      <c r="E75" s="1159"/>
      <c r="F75" s="1159"/>
      <c r="G75" s="1159"/>
      <c r="H75" s="1159"/>
      <c r="I75" s="1159"/>
      <c r="J75" s="1159"/>
      <c r="K75" s="693"/>
      <c r="L75" s="693"/>
      <c r="M75" s="693"/>
    </row>
    <row r="76" spans="1:13" ht="16.5">
      <c r="A76" s="383"/>
      <c r="B76" s="384"/>
      <c r="C76" s="364"/>
      <c r="D76" s="364"/>
      <c r="E76" s="364"/>
      <c r="F76" s="365"/>
      <c r="G76" s="365"/>
      <c r="H76" s="365"/>
      <c r="I76" s="365"/>
      <c r="J76" s="365"/>
    </row>
    <row r="77" spans="1:13" ht="16.5">
      <c r="A77" s="383"/>
      <c r="B77" s="384"/>
      <c r="C77" s="364"/>
      <c r="D77" s="364"/>
      <c r="E77" s="364"/>
      <c r="F77" s="365"/>
      <c r="G77" s="365"/>
      <c r="H77" s="365"/>
      <c r="I77" s="365"/>
      <c r="J77" s="365"/>
    </row>
    <row r="78" spans="1:13" ht="16.5">
      <c r="A78" s="383"/>
      <c r="B78" s="384"/>
      <c r="C78" s="364"/>
      <c r="D78" s="364"/>
      <c r="E78" s="364"/>
      <c r="F78" s="365"/>
      <c r="G78" s="365"/>
      <c r="H78" s="365"/>
      <c r="I78" s="365"/>
      <c r="J78" s="365"/>
    </row>
    <row r="79" spans="1:13" ht="16.5">
      <c r="A79" s="383"/>
      <c r="B79" s="384"/>
      <c r="C79" s="364"/>
      <c r="D79" s="364"/>
      <c r="E79" s="364"/>
      <c r="F79" s="365"/>
      <c r="G79" s="365"/>
      <c r="H79" s="365"/>
      <c r="I79" s="365"/>
      <c r="J79" s="365"/>
    </row>
    <row r="80" spans="1:13" ht="16.5">
      <c r="A80" s="383"/>
      <c r="B80" s="384"/>
      <c r="C80" s="364"/>
      <c r="D80" s="364"/>
      <c r="E80" s="364"/>
      <c r="F80" s="365"/>
      <c r="G80" s="365"/>
      <c r="H80" s="365"/>
      <c r="I80" s="365"/>
      <c r="J80" s="365"/>
    </row>
    <row r="81" spans="1:10" ht="16.5">
      <c r="A81" s="383"/>
      <c r="B81" s="384"/>
      <c r="C81" s="364"/>
      <c r="D81" s="364"/>
      <c r="E81" s="364"/>
      <c r="F81" s="365"/>
      <c r="G81" s="365"/>
      <c r="H81" s="365"/>
      <c r="I81" s="365"/>
      <c r="J81" s="365"/>
    </row>
    <row r="82" spans="1:10" ht="16.5">
      <c r="A82" s="383"/>
      <c r="B82" s="384"/>
      <c r="C82" s="364"/>
      <c r="D82" s="364"/>
      <c r="E82" s="364"/>
      <c r="F82" s="365"/>
      <c r="G82" s="365"/>
      <c r="H82" s="365"/>
      <c r="I82" s="365"/>
      <c r="J82" s="365"/>
    </row>
    <row r="83" spans="1:10" ht="16.5">
      <c r="A83" s="383"/>
      <c r="B83" s="384"/>
      <c r="C83" s="364"/>
      <c r="D83" s="364"/>
      <c r="E83" s="364"/>
      <c r="F83" s="365"/>
      <c r="G83" s="365"/>
      <c r="H83" s="365"/>
      <c r="I83" s="365"/>
      <c r="J83" s="365"/>
    </row>
    <row r="84" spans="1:10" ht="16.5">
      <c r="A84" s="383"/>
      <c r="B84" s="384"/>
      <c r="C84" s="364"/>
      <c r="D84" s="364"/>
      <c r="E84" s="364"/>
      <c r="F84" s="365"/>
      <c r="G84" s="365"/>
      <c r="H84" s="365"/>
      <c r="I84" s="365"/>
      <c r="J84" s="365"/>
    </row>
    <row r="85" spans="1:10" ht="16.5">
      <c r="A85" s="383"/>
      <c r="B85" s="384"/>
      <c r="C85" s="364"/>
      <c r="D85" s="364"/>
      <c r="E85" s="364"/>
      <c r="F85" s="365"/>
      <c r="G85" s="365"/>
      <c r="H85" s="365"/>
      <c r="I85" s="365"/>
      <c r="J85" s="365"/>
    </row>
    <row r="86" spans="1:10" ht="16.5">
      <c r="A86" s="383"/>
      <c r="B86" s="384"/>
      <c r="C86" s="364"/>
      <c r="D86" s="364"/>
      <c r="E86" s="364"/>
      <c r="F86" s="365"/>
      <c r="G86" s="365"/>
      <c r="H86" s="365"/>
      <c r="I86" s="365"/>
      <c r="J86" s="365"/>
    </row>
    <row r="87" spans="1:10" ht="16.5">
      <c r="A87" s="383"/>
      <c r="B87" s="384"/>
      <c r="C87" s="364"/>
      <c r="D87" s="364"/>
      <c r="E87" s="364"/>
      <c r="F87" s="365"/>
      <c r="G87" s="365"/>
      <c r="H87" s="365"/>
      <c r="I87" s="365"/>
      <c r="J87" s="365"/>
    </row>
    <row r="88" spans="1:10" ht="16.5">
      <c r="A88" s="383"/>
      <c r="B88" s="384"/>
      <c r="C88" s="364"/>
      <c r="D88" s="364"/>
      <c r="E88" s="364"/>
      <c r="F88" s="365"/>
      <c r="G88" s="365"/>
      <c r="H88" s="365"/>
      <c r="I88" s="365"/>
      <c r="J88" s="365"/>
    </row>
    <row r="89" spans="1:10" ht="16.5">
      <c r="A89" s="383"/>
      <c r="B89" s="384"/>
      <c r="C89" s="364"/>
      <c r="D89" s="364"/>
      <c r="E89" s="364"/>
      <c r="F89" s="365"/>
      <c r="G89" s="365"/>
      <c r="H89" s="365"/>
      <c r="I89" s="365"/>
      <c r="J89" s="365"/>
    </row>
    <row r="90" spans="1:10" ht="16.5">
      <c r="A90" s="383"/>
      <c r="B90" s="384"/>
      <c r="C90" s="364"/>
      <c r="D90" s="364"/>
      <c r="E90" s="364"/>
      <c r="F90" s="365"/>
      <c r="G90" s="365"/>
      <c r="H90" s="365"/>
      <c r="I90" s="365"/>
      <c r="J90" s="365"/>
    </row>
    <row r="91" spans="1:10" ht="16.5">
      <c r="A91" s="383"/>
      <c r="B91" s="384"/>
      <c r="C91" s="364"/>
      <c r="D91" s="364"/>
      <c r="E91" s="364"/>
      <c r="F91" s="365"/>
      <c r="G91" s="365"/>
      <c r="H91" s="365"/>
      <c r="I91" s="365"/>
      <c r="J91" s="365"/>
    </row>
    <row r="92" spans="1:10" ht="16.5">
      <c r="A92" s="383"/>
      <c r="B92" s="384"/>
      <c r="C92" s="364"/>
      <c r="D92" s="364"/>
      <c r="E92" s="364"/>
      <c r="F92" s="365"/>
      <c r="G92" s="365"/>
      <c r="H92" s="365"/>
      <c r="I92" s="365"/>
      <c r="J92" s="365"/>
    </row>
    <row r="93" spans="1:10" ht="16.5">
      <c r="A93" s="383"/>
      <c r="B93" s="384"/>
      <c r="C93" s="364"/>
      <c r="D93" s="364"/>
      <c r="E93" s="364"/>
      <c r="F93" s="365"/>
      <c r="G93" s="365"/>
      <c r="H93" s="365"/>
      <c r="I93" s="365"/>
      <c r="J93" s="365"/>
    </row>
    <row r="94" spans="1:10" ht="16.5">
      <c r="A94" s="383"/>
      <c r="B94" s="384"/>
      <c r="C94" s="364"/>
      <c r="D94" s="364"/>
      <c r="E94" s="364"/>
      <c r="F94" s="365"/>
      <c r="G94" s="365"/>
      <c r="H94" s="365"/>
      <c r="I94" s="365"/>
      <c r="J94" s="365"/>
    </row>
    <row r="95" spans="1:10" ht="16.5">
      <c r="A95" s="383"/>
      <c r="B95" s="384"/>
      <c r="C95" s="364"/>
      <c r="D95" s="364"/>
      <c r="E95" s="364"/>
      <c r="F95" s="365"/>
      <c r="G95" s="365"/>
      <c r="H95" s="365"/>
      <c r="I95" s="365"/>
      <c r="J95" s="365"/>
    </row>
    <row r="96" spans="1:10" ht="16.5">
      <c r="A96" s="383"/>
      <c r="B96" s="384"/>
      <c r="C96" s="364"/>
      <c r="D96" s="364"/>
      <c r="E96" s="364"/>
      <c r="F96" s="365"/>
      <c r="G96" s="365"/>
      <c r="H96" s="365"/>
      <c r="I96" s="365"/>
      <c r="J96" s="365"/>
    </row>
    <row r="97" spans="1:10" ht="16.5">
      <c r="A97" s="383"/>
      <c r="B97" s="384"/>
      <c r="C97" s="364"/>
      <c r="D97" s="364"/>
      <c r="E97" s="364"/>
      <c r="F97" s="365"/>
      <c r="G97" s="365"/>
      <c r="H97" s="365"/>
      <c r="I97" s="365"/>
      <c r="J97" s="365"/>
    </row>
    <row r="98" spans="1:10" ht="16.5">
      <c r="A98" s="383"/>
      <c r="B98" s="384"/>
      <c r="C98" s="364"/>
      <c r="D98" s="364"/>
      <c r="E98" s="364"/>
      <c r="F98" s="365"/>
      <c r="G98" s="365"/>
      <c r="H98" s="365"/>
      <c r="I98" s="365"/>
      <c r="J98" s="365"/>
    </row>
    <row r="99" spans="1:10" ht="16.5">
      <c r="A99" s="383"/>
      <c r="B99" s="384"/>
      <c r="C99" s="364"/>
      <c r="D99" s="364"/>
      <c r="E99" s="364"/>
      <c r="F99" s="365"/>
      <c r="G99" s="365"/>
      <c r="H99" s="365"/>
      <c r="I99" s="365"/>
      <c r="J99" s="365"/>
    </row>
    <row r="100" spans="1:10" ht="16.5">
      <c r="A100" s="383"/>
      <c r="B100" s="384"/>
      <c r="C100" s="364"/>
      <c r="D100" s="364"/>
      <c r="E100" s="364"/>
      <c r="F100" s="365"/>
      <c r="G100" s="365"/>
      <c r="H100" s="365"/>
      <c r="I100" s="365"/>
      <c r="J100" s="365"/>
    </row>
    <row r="101" spans="1:10" ht="16.5">
      <c r="A101" s="383"/>
      <c r="B101" s="384"/>
      <c r="C101" s="364"/>
      <c r="D101" s="364"/>
      <c r="E101" s="364"/>
      <c r="F101" s="365"/>
      <c r="G101" s="365"/>
      <c r="H101" s="365"/>
      <c r="I101" s="365"/>
      <c r="J101" s="365"/>
    </row>
    <row r="102" spans="1:10" ht="16.5">
      <c r="A102" s="383"/>
      <c r="B102" s="384"/>
      <c r="C102" s="364"/>
      <c r="D102" s="364"/>
      <c r="E102" s="364"/>
      <c r="F102" s="365"/>
      <c r="G102" s="365"/>
      <c r="H102" s="365"/>
      <c r="I102" s="365"/>
      <c r="J102" s="365"/>
    </row>
    <row r="103" spans="1:10" ht="16.5">
      <c r="A103" s="383"/>
      <c r="B103" s="384"/>
      <c r="C103" s="364"/>
      <c r="D103" s="364"/>
      <c r="E103" s="364"/>
      <c r="F103" s="365"/>
      <c r="G103" s="365"/>
      <c r="H103" s="365"/>
      <c r="I103" s="365"/>
      <c r="J103" s="365"/>
    </row>
    <row r="104" spans="1:10" ht="16.5">
      <c r="A104" s="383"/>
      <c r="B104" s="384"/>
      <c r="C104" s="364"/>
      <c r="D104" s="364"/>
      <c r="E104" s="364"/>
      <c r="F104" s="365"/>
      <c r="G104" s="365"/>
      <c r="H104" s="365"/>
      <c r="I104" s="365"/>
      <c r="J104" s="365"/>
    </row>
    <row r="105" spans="1:10" ht="16.5">
      <c r="A105" s="383"/>
      <c r="B105" s="384"/>
      <c r="C105" s="364"/>
      <c r="D105" s="364"/>
      <c r="E105" s="364"/>
      <c r="F105" s="365"/>
      <c r="G105" s="365"/>
      <c r="H105" s="365"/>
      <c r="I105" s="365"/>
      <c r="J105" s="365"/>
    </row>
    <row r="106" spans="1:10" ht="16.5">
      <c r="A106" s="383"/>
      <c r="B106" s="384"/>
      <c r="C106" s="364"/>
      <c r="D106" s="364"/>
      <c r="E106" s="364"/>
      <c r="F106" s="365"/>
      <c r="G106" s="365"/>
      <c r="H106" s="365"/>
      <c r="I106" s="365"/>
      <c r="J106" s="365"/>
    </row>
    <row r="107" spans="1:10" ht="16.5">
      <c r="A107" s="383"/>
      <c r="B107" s="384"/>
      <c r="C107" s="364"/>
      <c r="D107" s="364"/>
      <c r="E107" s="364"/>
      <c r="F107" s="365"/>
      <c r="G107" s="365"/>
      <c r="H107" s="365"/>
      <c r="I107" s="365"/>
      <c r="J107" s="365"/>
    </row>
    <row r="108" spans="1:10" ht="16.5">
      <c r="A108" s="383"/>
      <c r="B108" s="384"/>
      <c r="C108" s="364"/>
      <c r="D108" s="364"/>
      <c r="E108" s="364"/>
      <c r="F108" s="365"/>
      <c r="G108" s="365"/>
      <c r="H108" s="365"/>
      <c r="I108" s="365"/>
      <c r="J108" s="365"/>
    </row>
    <row r="109" spans="1:10" ht="16.5">
      <c r="A109" s="383"/>
      <c r="B109" s="384"/>
      <c r="C109" s="364"/>
      <c r="D109" s="364"/>
      <c r="E109" s="364"/>
      <c r="F109" s="365"/>
      <c r="G109" s="365"/>
      <c r="H109" s="365"/>
      <c r="I109" s="365"/>
      <c r="J109" s="365"/>
    </row>
    <row r="110" spans="1:10" ht="16.5">
      <c r="A110" s="383"/>
      <c r="B110" s="384"/>
      <c r="C110" s="364"/>
      <c r="D110" s="364"/>
      <c r="E110" s="364"/>
      <c r="F110" s="365"/>
      <c r="G110" s="365"/>
      <c r="H110" s="365"/>
      <c r="I110" s="365"/>
      <c r="J110" s="365"/>
    </row>
    <row r="111" spans="1:10" ht="16.5">
      <c r="A111" s="383"/>
      <c r="B111" s="384"/>
      <c r="C111" s="364"/>
      <c r="D111" s="364"/>
      <c r="E111" s="364"/>
      <c r="F111" s="365"/>
      <c r="G111" s="365"/>
      <c r="H111" s="365"/>
      <c r="I111" s="365"/>
      <c r="J111" s="365"/>
    </row>
    <row r="112" spans="1:10" ht="16.5">
      <c r="A112" s="383"/>
      <c r="B112" s="384"/>
      <c r="C112" s="364"/>
      <c r="D112" s="364"/>
      <c r="E112" s="364"/>
      <c r="F112" s="365"/>
      <c r="G112" s="365"/>
      <c r="H112" s="365"/>
      <c r="I112" s="365"/>
      <c r="J112" s="365"/>
    </row>
    <row r="113" spans="1:10" ht="16.5">
      <c r="A113" s="383"/>
      <c r="B113" s="384"/>
      <c r="C113" s="364"/>
      <c r="D113" s="364"/>
      <c r="E113" s="364"/>
      <c r="F113" s="365"/>
      <c r="G113" s="365"/>
      <c r="H113" s="365"/>
      <c r="I113" s="365"/>
      <c r="J113" s="365"/>
    </row>
    <row r="114" spans="1:10" ht="16.5">
      <c r="A114" s="383"/>
      <c r="B114" s="384"/>
      <c r="C114" s="364"/>
      <c r="D114" s="364"/>
      <c r="E114" s="364"/>
      <c r="F114" s="365"/>
      <c r="G114" s="365"/>
      <c r="H114" s="365"/>
      <c r="I114" s="365"/>
      <c r="J114" s="365"/>
    </row>
    <row r="115" spans="1:10" ht="16.5">
      <c r="A115" s="383"/>
      <c r="B115" s="384"/>
      <c r="C115" s="364"/>
      <c r="D115" s="364"/>
      <c r="E115" s="364"/>
      <c r="F115" s="365"/>
      <c r="G115" s="365"/>
      <c r="H115" s="365"/>
      <c r="I115" s="365"/>
      <c r="J115" s="365"/>
    </row>
    <row r="116" spans="1:10" ht="16.5">
      <c r="A116" s="383"/>
      <c r="B116" s="384"/>
      <c r="C116" s="364"/>
      <c r="D116" s="364"/>
      <c r="E116" s="364"/>
      <c r="F116" s="365"/>
      <c r="G116" s="365"/>
      <c r="H116" s="365"/>
      <c r="I116" s="365"/>
      <c r="J116" s="365"/>
    </row>
    <row r="117" spans="1:10" ht="16.5">
      <c r="A117" s="383"/>
      <c r="B117" s="384"/>
      <c r="C117" s="364"/>
      <c r="D117" s="364"/>
      <c r="E117" s="364"/>
      <c r="F117" s="365"/>
      <c r="G117" s="365"/>
      <c r="H117" s="365"/>
      <c r="I117" s="365"/>
      <c r="J117" s="365"/>
    </row>
    <row r="118" spans="1:10" ht="16.5">
      <c r="A118" s="383"/>
      <c r="B118" s="384"/>
      <c r="C118" s="364"/>
      <c r="D118" s="364"/>
      <c r="E118" s="364"/>
      <c r="F118" s="365"/>
      <c r="G118" s="365"/>
      <c r="H118" s="365"/>
      <c r="I118" s="365"/>
      <c r="J118" s="365"/>
    </row>
    <row r="119" spans="1:10" ht="16.5">
      <c r="A119" s="383"/>
      <c r="B119" s="384"/>
      <c r="C119" s="364"/>
      <c r="D119" s="364"/>
      <c r="E119" s="364"/>
      <c r="F119" s="365"/>
      <c r="G119" s="365"/>
      <c r="H119" s="365"/>
      <c r="I119" s="365"/>
      <c r="J119" s="365"/>
    </row>
    <row r="120" spans="1:10" ht="16.5">
      <c r="A120" s="383"/>
      <c r="B120" s="384"/>
      <c r="C120" s="364"/>
      <c r="D120" s="364"/>
      <c r="E120" s="364"/>
      <c r="F120" s="365"/>
      <c r="G120" s="365"/>
      <c r="H120" s="365"/>
      <c r="I120" s="365"/>
      <c r="J120" s="365"/>
    </row>
    <row r="121" spans="1:10" ht="16.5">
      <c r="A121" s="383"/>
      <c r="B121" s="384"/>
      <c r="C121" s="364"/>
      <c r="D121" s="364"/>
      <c r="E121" s="364"/>
      <c r="F121" s="365"/>
      <c r="G121" s="365"/>
      <c r="H121" s="365"/>
      <c r="I121" s="365"/>
      <c r="J121" s="365"/>
    </row>
    <row r="122" spans="1:10" ht="16.5">
      <c r="A122" s="383"/>
      <c r="B122" s="384"/>
      <c r="C122" s="364"/>
      <c r="D122" s="364"/>
      <c r="E122" s="364"/>
      <c r="F122" s="365"/>
      <c r="G122" s="365"/>
      <c r="H122" s="365"/>
      <c r="I122" s="365"/>
      <c r="J122" s="365"/>
    </row>
    <row r="123" spans="1:10" ht="16.5">
      <c r="A123" s="383"/>
      <c r="B123" s="384"/>
      <c r="C123" s="364"/>
      <c r="D123" s="364"/>
      <c r="E123" s="364"/>
      <c r="F123" s="365"/>
      <c r="G123" s="365"/>
      <c r="H123" s="365"/>
      <c r="I123" s="365"/>
      <c r="J123" s="365"/>
    </row>
    <row r="124" spans="1:10" ht="16.5">
      <c r="A124" s="383"/>
      <c r="B124" s="384"/>
      <c r="C124" s="364"/>
      <c r="D124" s="364"/>
      <c r="E124" s="364"/>
      <c r="F124" s="365"/>
      <c r="G124" s="365"/>
      <c r="H124" s="365"/>
      <c r="I124" s="365"/>
      <c r="J124" s="365"/>
    </row>
    <row r="125" spans="1:10" ht="16.5">
      <c r="A125" s="383"/>
      <c r="B125" s="384"/>
      <c r="C125" s="364"/>
      <c r="D125" s="364"/>
      <c r="E125" s="364"/>
      <c r="F125" s="365"/>
      <c r="G125" s="365"/>
      <c r="H125" s="365"/>
      <c r="I125" s="365"/>
      <c r="J125" s="365"/>
    </row>
    <row r="126" spans="1:10" ht="16.5">
      <c r="A126" s="383"/>
      <c r="B126" s="384"/>
      <c r="C126" s="364"/>
      <c r="D126" s="364"/>
      <c r="E126" s="364"/>
      <c r="F126" s="365"/>
      <c r="G126" s="365"/>
      <c r="H126" s="365"/>
      <c r="I126" s="365"/>
      <c r="J126" s="365"/>
    </row>
    <row r="127" spans="1:10" ht="16.5">
      <c r="A127" s="383"/>
      <c r="B127" s="384"/>
      <c r="C127" s="364"/>
      <c r="D127" s="364"/>
      <c r="E127" s="364"/>
      <c r="F127" s="365"/>
      <c r="G127" s="365"/>
      <c r="H127" s="365"/>
      <c r="I127" s="365"/>
      <c r="J127" s="365"/>
    </row>
    <row r="128" spans="1:10" ht="16.5">
      <c r="A128" s="383"/>
      <c r="B128" s="384"/>
      <c r="C128" s="364"/>
      <c r="D128" s="364"/>
      <c r="E128" s="364"/>
      <c r="F128" s="365"/>
      <c r="G128" s="365"/>
      <c r="H128" s="365"/>
      <c r="I128" s="365"/>
      <c r="J128" s="365"/>
    </row>
    <row r="129" spans="1:10" ht="16.5">
      <c r="A129" s="383"/>
      <c r="B129" s="384"/>
      <c r="C129" s="364"/>
      <c r="D129" s="364"/>
      <c r="E129" s="364"/>
      <c r="F129" s="365"/>
      <c r="G129" s="365"/>
      <c r="H129" s="365"/>
      <c r="I129" s="365"/>
      <c r="J129" s="365"/>
    </row>
    <row r="130" spans="1:10" ht="16.5">
      <c r="A130" s="383"/>
      <c r="B130" s="384"/>
      <c r="C130" s="364"/>
      <c r="D130" s="364"/>
      <c r="E130" s="364"/>
      <c r="F130" s="365"/>
      <c r="G130" s="365"/>
      <c r="H130" s="365"/>
      <c r="I130" s="365"/>
      <c r="J130" s="365"/>
    </row>
    <row r="131" spans="1:10" ht="16.5">
      <c r="A131" s="383"/>
      <c r="B131" s="384"/>
      <c r="C131" s="364"/>
      <c r="D131" s="364"/>
      <c r="E131" s="364"/>
      <c r="F131" s="365"/>
      <c r="G131" s="365"/>
      <c r="H131" s="365"/>
      <c r="I131" s="365"/>
      <c r="J131" s="365"/>
    </row>
    <row r="132" spans="1:10" ht="16.5">
      <c r="A132" s="383"/>
      <c r="B132" s="384"/>
      <c r="C132" s="364"/>
      <c r="D132" s="364"/>
      <c r="E132" s="364"/>
      <c r="F132" s="365"/>
      <c r="G132" s="365"/>
      <c r="H132" s="365"/>
      <c r="I132" s="365"/>
      <c r="J132" s="365"/>
    </row>
    <row r="133" spans="1:10" ht="16.5">
      <c r="A133" s="383"/>
      <c r="B133" s="384"/>
      <c r="C133" s="364"/>
      <c r="D133" s="364"/>
      <c r="E133" s="364"/>
      <c r="F133" s="365"/>
      <c r="G133" s="365"/>
      <c r="H133" s="365"/>
      <c r="I133" s="365"/>
      <c r="J133" s="365"/>
    </row>
    <row r="134" spans="1:10" ht="16.5">
      <c r="A134" s="383"/>
      <c r="B134" s="384"/>
      <c r="C134" s="364"/>
      <c r="D134" s="364"/>
      <c r="E134" s="364"/>
      <c r="F134" s="365"/>
      <c r="G134" s="365"/>
      <c r="H134" s="365"/>
      <c r="I134" s="365"/>
      <c r="J134" s="365"/>
    </row>
    <row r="135" spans="1:10" ht="16.5">
      <c r="A135" s="383"/>
      <c r="B135" s="384"/>
      <c r="C135" s="364"/>
      <c r="D135" s="364"/>
      <c r="E135" s="364"/>
      <c r="F135" s="365"/>
      <c r="G135" s="365"/>
      <c r="H135" s="365"/>
      <c r="I135" s="365"/>
      <c r="J135" s="365"/>
    </row>
    <row r="136" spans="1:10" ht="16.5">
      <c r="A136" s="383"/>
      <c r="B136" s="384"/>
      <c r="C136" s="364"/>
      <c r="D136" s="364"/>
      <c r="E136" s="364"/>
      <c r="F136" s="365"/>
      <c r="G136" s="365"/>
      <c r="H136" s="365"/>
      <c r="I136" s="365"/>
      <c r="J136" s="365"/>
    </row>
    <row r="137" spans="1:10" ht="16.5">
      <c r="A137" s="383"/>
      <c r="B137" s="384"/>
      <c r="C137" s="364"/>
      <c r="D137" s="364"/>
      <c r="E137" s="364"/>
      <c r="F137" s="365"/>
      <c r="G137" s="365"/>
      <c r="H137" s="365"/>
      <c r="I137" s="365"/>
      <c r="J137" s="365"/>
    </row>
    <row r="138" spans="1:10" ht="16.5">
      <c r="A138" s="383"/>
      <c r="B138" s="384"/>
      <c r="C138" s="364"/>
      <c r="D138" s="364"/>
      <c r="E138" s="364"/>
      <c r="F138" s="365"/>
      <c r="G138" s="365"/>
      <c r="H138" s="365"/>
      <c r="I138" s="365"/>
      <c r="J138" s="365"/>
    </row>
    <row r="139" spans="1:10" ht="16.5">
      <c r="A139" s="383"/>
      <c r="B139" s="384"/>
      <c r="C139" s="364"/>
      <c r="D139" s="364"/>
      <c r="E139" s="364"/>
      <c r="F139" s="365"/>
      <c r="G139" s="365"/>
      <c r="H139" s="365"/>
      <c r="I139" s="365"/>
      <c r="J139" s="365"/>
    </row>
    <row r="140" spans="1:10" ht="16.5">
      <c r="A140" s="383"/>
      <c r="B140" s="384"/>
      <c r="C140" s="364"/>
      <c r="D140" s="364"/>
      <c r="E140" s="364"/>
      <c r="F140" s="365"/>
      <c r="G140" s="365"/>
      <c r="H140" s="365"/>
      <c r="I140" s="365"/>
      <c r="J140" s="365"/>
    </row>
    <row r="141" spans="1:10" ht="16.5">
      <c r="A141" s="383"/>
      <c r="B141" s="384"/>
      <c r="C141" s="364"/>
      <c r="D141" s="364"/>
      <c r="E141" s="364"/>
      <c r="F141" s="365"/>
      <c r="G141" s="365"/>
      <c r="H141" s="365"/>
      <c r="I141" s="365"/>
      <c r="J141" s="365"/>
    </row>
    <row r="142" spans="1:10" ht="16.5">
      <c r="A142" s="383"/>
      <c r="B142" s="384"/>
      <c r="C142" s="364"/>
      <c r="D142" s="364"/>
      <c r="E142" s="364"/>
      <c r="F142" s="365"/>
      <c r="G142" s="365"/>
      <c r="H142" s="365"/>
      <c r="I142" s="365"/>
      <c r="J142" s="365"/>
    </row>
    <row r="143" spans="1:10" ht="16.5">
      <c r="A143" s="383"/>
      <c r="B143" s="384"/>
      <c r="C143" s="364"/>
      <c r="D143" s="364"/>
      <c r="E143" s="364"/>
      <c r="F143" s="365"/>
      <c r="G143" s="365"/>
      <c r="H143" s="365"/>
      <c r="I143" s="365"/>
      <c r="J143" s="365"/>
    </row>
    <row r="144" spans="1:10" ht="16.5">
      <c r="A144" s="383"/>
      <c r="B144" s="384"/>
      <c r="C144" s="364"/>
      <c r="D144" s="364"/>
      <c r="E144" s="364"/>
      <c r="F144" s="365"/>
      <c r="G144" s="365"/>
      <c r="H144" s="365"/>
      <c r="I144" s="365"/>
      <c r="J144" s="365"/>
    </row>
    <row r="145" spans="1:10" ht="16.5">
      <c r="A145" s="383"/>
      <c r="B145" s="384"/>
      <c r="C145" s="364"/>
      <c r="D145" s="364"/>
      <c r="E145" s="364"/>
      <c r="F145" s="365"/>
      <c r="G145" s="365"/>
      <c r="H145" s="365"/>
      <c r="I145" s="365"/>
      <c r="J145" s="365"/>
    </row>
    <row r="146" spans="1:10" ht="16.5">
      <c r="A146" s="383"/>
      <c r="B146" s="384"/>
      <c r="C146" s="364"/>
      <c r="D146" s="364"/>
      <c r="E146" s="364"/>
      <c r="F146" s="365"/>
      <c r="G146" s="365"/>
      <c r="H146" s="365"/>
      <c r="I146" s="365"/>
      <c r="J146" s="365"/>
    </row>
    <row r="147" spans="1:10" ht="16.5">
      <c r="A147" s="383"/>
      <c r="B147" s="384"/>
      <c r="C147" s="364"/>
      <c r="D147" s="364"/>
      <c r="E147" s="364"/>
      <c r="F147" s="365"/>
      <c r="G147" s="365"/>
      <c r="H147" s="365"/>
      <c r="I147" s="365"/>
      <c r="J147" s="365"/>
    </row>
    <row r="148" spans="1:10" ht="16.5">
      <c r="A148" s="383"/>
      <c r="B148" s="384"/>
      <c r="C148" s="364"/>
      <c r="D148" s="364"/>
      <c r="E148" s="364"/>
      <c r="F148" s="365"/>
      <c r="G148" s="365"/>
      <c r="H148" s="365"/>
      <c r="I148" s="365"/>
      <c r="J148" s="365"/>
    </row>
    <row r="149" spans="1:10" ht="16.5">
      <c r="A149" s="383"/>
      <c r="B149" s="384"/>
      <c r="C149" s="364"/>
      <c r="D149" s="364"/>
      <c r="E149" s="364"/>
      <c r="F149" s="365"/>
      <c r="G149" s="365"/>
      <c r="H149" s="365"/>
      <c r="I149" s="365"/>
      <c r="J149" s="365"/>
    </row>
    <row r="150" spans="1:10" ht="16.5">
      <c r="A150" s="383"/>
      <c r="B150" s="384"/>
      <c r="C150" s="364"/>
      <c r="D150" s="364"/>
      <c r="E150" s="364"/>
      <c r="F150" s="365"/>
      <c r="G150" s="365"/>
      <c r="H150" s="365"/>
      <c r="I150" s="365"/>
      <c r="J150" s="365"/>
    </row>
    <row r="151" spans="1:10" ht="16.5">
      <c r="A151" s="383"/>
      <c r="B151" s="384"/>
      <c r="C151" s="364"/>
      <c r="D151" s="364"/>
      <c r="E151" s="364"/>
      <c r="F151" s="365"/>
      <c r="G151" s="365"/>
      <c r="H151" s="365"/>
      <c r="I151" s="365"/>
      <c r="J151" s="365"/>
    </row>
    <row r="152" spans="1:10" ht="16.5">
      <c r="A152" s="383"/>
      <c r="B152" s="384"/>
      <c r="C152" s="364"/>
      <c r="D152" s="364"/>
      <c r="E152" s="364"/>
      <c r="F152" s="365"/>
      <c r="G152" s="365"/>
      <c r="H152" s="365"/>
      <c r="I152" s="365"/>
      <c r="J152" s="365"/>
    </row>
    <row r="153" spans="1:10" ht="16.5">
      <c r="A153" s="383"/>
      <c r="B153" s="384"/>
      <c r="C153" s="364"/>
      <c r="D153" s="364"/>
      <c r="E153" s="364"/>
      <c r="F153" s="365"/>
      <c r="G153" s="365"/>
      <c r="H153" s="365"/>
      <c r="I153" s="365"/>
      <c r="J153" s="365"/>
    </row>
    <row r="154" spans="1:10" ht="16.5">
      <c r="A154" s="383"/>
      <c r="B154" s="384"/>
      <c r="C154" s="364"/>
      <c r="D154" s="364"/>
      <c r="E154" s="364"/>
      <c r="F154" s="365"/>
      <c r="G154" s="365"/>
      <c r="H154" s="365"/>
      <c r="I154" s="365"/>
      <c r="J154" s="365"/>
    </row>
    <row r="155" spans="1:10" ht="16.5">
      <c r="A155" s="383"/>
      <c r="B155" s="384"/>
      <c r="C155" s="364"/>
      <c r="D155" s="364"/>
      <c r="E155" s="364"/>
      <c r="F155" s="365"/>
      <c r="G155" s="365"/>
      <c r="H155" s="365"/>
      <c r="I155" s="365"/>
      <c r="J155" s="365"/>
    </row>
    <row r="156" spans="1:10" ht="16.5">
      <c r="A156" s="383"/>
      <c r="B156" s="384"/>
      <c r="C156" s="364"/>
      <c r="D156" s="364"/>
      <c r="E156" s="364"/>
      <c r="F156" s="365"/>
      <c r="G156" s="365"/>
      <c r="H156" s="365"/>
      <c r="I156" s="365"/>
      <c r="J156" s="365"/>
    </row>
    <row r="157" spans="1:10" ht="16.5">
      <c r="A157" s="383"/>
      <c r="B157" s="384"/>
      <c r="C157" s="364"/>
      <c r="D157" s="364"/>
      <c r="E157" s="364"/>
      <c r="F157" s="365"/>
      <c r="G157" s="365"/>
      <c r="H157" s="365"/>
      <c r="I157" s="365"/>
      <c r="J157" s="365"/>
    </row>
    <row r="158" spans="1:10" ht="16.5">
      <c r="A158" s="383"/>
      <c r="B158" s="384"/>
      <c r="C158" s="364"/>
      <c r="D158" s="364"/>
      <c r="E158" s="364"/>
      <c r="F158" s="365"/>
      <c r="G158" s="365"/>
      <c r="H158" s="365"/>
      <c r="I158" s="365"/>
      <c r="J158" s="365"/>
    </row>
    <row r="159" spans="1:10" ht="16.5">
      <c r="A159" s="383"/>
      <c r="B159" s="384"/>
      <c r="C159" s="364"/>
      <c r="D159" s="364"/>
      <c r="E159" s="364"/>
      <c r="F159" s="365"/>
      <c r="G159" s="365"/>
      <c r="H159" s="365"/>
      <c r="I159" s="365"/>
      <c r="J159" s="365"/>
    </row>
    <row r="160" spans="1:10" ht="16.5">
      <c r="A160" s="383"/>
      <c r="B160" s="384"/>
      <c r="C160" s="364"/>
      <c r="D160" s="364"/>
      <c r="E160" s="364"/>
      <c r="F160" s="365"/>
      <c r="G160" s="365"/>
      <c r="H160" s="365"/>
      <c r="I160" s="365"/>
      <c r="J160" s="365"/>
    </row>
    <row r="161" spans="1:10" ht="16.5">
      <c r="A161" s="383"/>
      <c r="B161" s="384"/>
      <c r="C161" s="364"/>
      <c r="D161" s="364"/>
      <c r="E161" s="364"/>
      <c r="F161" s="365"/>
      <c r="G161" s="365"/>
      <c r="H161" s="365"/>
      <c r="I161" s="365"/>
      <c r="J161" s="365"/>
    </row>
    <row r="162" spans="1:10" ht="16.5">
      <c r="A162" s="383"/>
      <c r="B162" s="384"/>
      <c r="C162" s="364"/>
      <c r="D162" s="364"/>
      <c r="E162" s="364"/>
      <c r="F162" s="365"/>
      <c r="G162" s="365"/>
      <c r="H162" s="365"/>
      <c r="I162" s="365"/>
      <c r="J162" s="365"/>
    </row>
    <row r="163" spans="1:10" ht="16.5">
      <c r="A163" s="383"/>
      <c r="B163" s="384"/>
      <c r="C163" s="364"/>
      <c r="D163" s="364"/>
      <c r="E163" s="364"/>
      <c r="F163" s="365"/>
      <c r="G163" s="365"/>
      <c r="H163" s="365"/>
      <c r="I163" s="365"/>
      <c r="J163" s="365"/>
    </row>
    <row r="164" spans="1:10" ht="16.5">
      <c r="A164" s="383"/>
      <c r="B164" s="384"/>
      <c r="C164" s="364"/>
      <c r="D164" s="364"/>
      <c r="E164" s="364"/>
      <c r="F164" s="365"/>
      <c r="G164" s="365"/>
      <c r="H164" s="365"/>
      <c r="I164" s="365"/>
      <c r="J164" s="365"/>
    </row>
    <row r="165" spans="1:10" ht="16.5">
      <c r="A165" s="383"/>
      <c r="B165" s="384"/>
      <c r="C165" s="364"/>
      <c r="D165" s="364"/>
      <c r="E165" s="364"/>
      <c r="F165" s="365"/>
      <c r="G165" s="365"/>
      <c r="H165" s="365"/>
      <c r="I165" s="365"/>
      <c r="J165" s="365"/>
    </row>
    <row r="166" spans="1:10" ht="16.5">
      <c r="A166" s="383"/>
      <c r="B166" s="384"/>
      <c r="C166" s="364"/>
      <c r="D166" s="364"/>
      <c r="E166" s="364"/>
      <c r="F166" s="365"/>
      <c r="G166" s="365"/>
      <c r="H166" s="365"/>
      <c r="I166" s="365"/>
      <c r="J166" s="365"/>
    </row>
    <row r="167" spans="1:10" ht="16.5">
      <c r="A167" s="383"/>
      <c r="B167" s="384"/>
      <c r="C167" s="364"/>
      <c r="D167" s="364"/>
      <c r="E167" s="364"/>
      <c r="F167" s="365"/>
      <c r="G167" s="365"/>
      <c r="H167" s="365"/>
      <c r="I167" s="365"/>
      <c r="J167" s="365"/>
    </row>
    <row r="168" spans="1:10" ht="16.5">
      <c r="A168" s="383"/>
      <c r="B168" s="384"/>
      <c r="C168" s="364"/>
      <c r="D168" s="364"/>
      <c r="E168" s="364"/>
      <c r="F168" s="365"/>
      <c r="G168" s="365"/>
      <c r="H168" s="365"/>
      <c r="I168" s="365"/>
      <c r="J168" s="365"/>
    </row>
    <row r="169" spans="1:10" ht="16.5">
      <c r="A169" s="383"/>
      <c r="B169" s="384"/>
      <c r="C169" s="364"/>
      <c r="D169" s="364"/>
      <c r="E169" s="364"/>
      <c r="F169" s="365"/>
      <c r="G169" s="365"/>
      <c r="H169" s="365"/>
      <c r="I169" s="365"/>
      <c r="J169" s="365"/>
    </row>
    <row r="170" spans="1:10" ht="16.5">
      <c r="A170" s="383"/>
      <c r="B170" s="384"/>
      <c r="C170" s="364"/>
      <c r="D170" s="364"/>
      <c r="E170" s="364"/>
      <c r="F170" s="365"/>
      <c r="G170" s="365"/>
      <c r="H170" s="365"/>
      <c r="I170" s="365"/>
      <c r="J170" s="365"/>
    </row>
    <row r="171" spans="1:10" ht="16.5">
      <c r="A171" s="383"/>
      <c r="B171" s="384"/>
      <c r="C171" s="364"/>
      <c r="D171" s="364"/>
      <c r="E171" s="364"/>
      <c r="F171" s="365"/>
      <c r="G171" s="365"/>
      <c r="H171" s="365"/>
      <c r="I171" s="365"/>
      <c r="J171" s="365"/>
    </row>
    <row r="172" spans="1:10" ht="16.5">
      <c r="A172" s="383"/>
      <c r="B172" s="384"/>
      <c r="C172" s="364"/>
      <c r="D172" s="364"/>
      <c r="E172" s="364"/>
      <c r="F172" s="365"/>
      <c r="G172" s="365"/>
      <c r="H172" s="365"/>
      <c r="I172" s="365"/>
      <c r="J172" s="365"/>
    </row>
    <row r="173" spans="1:10" ht="16.5">
      <c r="A173" s="383"/>
      <c r="B173" s="384"/>
      <c r="C173" s="364"/>
      <c r="D173" s="364"/>
      <c r="E173" s="364"/>
      <c r="F173" s="365"/>
      <c r="G173" s="365"/>
      <c r="H173" s="365"/>
      <c r="I173" s="365"/>
      <c r="J173" s="365"/>
    </row>
    <row r="174" spans="1:10" ht="16.5">
      <c r="A174" s="383"/>
      <c r="B174" s="384"/>
      <c r="C174" s="364"/>
      <c r="D174" s="364"/>
      <c r="E174" s="364"/>
      <c r="F174" s="365"/>
      <c r="G174" s="365"/>
      <c r="H174" s="365"/>
      <c r="I174" s="365"/>
      <c r="J174" s="365"/>
    </row>
    <row r="175" spans="1:10" ht="16.5">
      <c r="A175" s="383"/>
      <c r="B175" s="384"/>
      <c r="C175" s="364"/>
      <c r="D175" s="364"/>
      <c r="E175" s="364"/>
      <c r="F175" s="365"/>
      <c r="G175" s="365"/>
      <c r="H175" s="365"/>
      <c r="I175" s="365"/>
      <c r="J175" s="365"/>
    </row>
    <row r="176" spans="1:10" ht="16.5">
      <c r="A176" s="383"/>
      <c r="B176" s="384"/>
      <c r="C176" s="364"/>
      <c r="D176" s="364"/>
      <c r="E176" s="364"/>
      <c r="F176" s="365"/>
      <c r="G176" s="365"/>
      <c r="H176" s="365"/>
      <c r="I176" s="365"/>
      <c r="J176" s="365"/>
    </row>
    <row r="177" spans="1:10" ht="16.5">
      <c r="A177" s="383"/>
      <c r="B177" s="384"/>
      <c r="C177" s="364"/>
      <c r="D177" s="364"/>
      <c r="E177" s="364"/>
      <c r="F177" s="365"/>
      <c r="G177" s="365"/>
      <c r="H177" s="365"/>
      <c r="I177" s="365"/>
      <c r="J177" s="365"/>
    </row>
    <row r="178" spans="1:10" ht="16.5">
      <c r="A178" s="383"/>
      <c r="B178" s="384"/>
      <c r="C178" s="364"/>
      <c r="D178" s="364"/>
      <c r="E178" s="364"/>
      <c r="F178" s="365"/>
      <c r="G178" s="365"/>
      <c r="H178" s="365"/>
      <c r="I178" s="365"/>
      <c r="J178" s="365"/>
    </row>
    <row r="179" spans="1:10" ht="16.5">
      <c r="A179" s="383"/>
      <c r="B179" s="384"/>
      <c r="C179" s="364"/>
      <c r="D179" s="364"/>
      <c r="E179" s="364"/>
      <c r="F179" s="365"/>
      <c r="G179" s="365"/>
      <c r="H179" s="365"/>
      <c r="I179" s="365"/>
      <c r="J179" s="365"/>
    </row>
    <row r="180" spans="1:10" ht="16.5">
      <c r="A180" s="383"/>
      <c r="B180" s="384"/>
      <c r="C180" s="364"/>
      <c r="D180" s="364"/>
      <c r="E180" s="364"/>
      <c r="F180" s="365"/>
      <c r="G180" s="365"/>
      <c r="H180" s="365"/>
      <c r="I180" s="365"/>
      <c r="J180" s="365"/>
    </row>
    <row r="181" spans="1:10" ht="16.5">
      <c r="A181" s="383"/>
      <c r="B181" s="384"/>
      <c r="C181" s="364"/>
      <c r="D181" s="364"/>
      <c r="E181" s="364"/>
      <c r="F181" s="365"/>
      <c r="G181" s="365"/>
      <c r="H181" s="365"/>
      <c r="I181" s="365"/>
      <c r="J181" s="365"/>
    </row>
    <row r="182" spans="1:10" ht="16.5">
      <c r="A182" s="383"/>
      <c r="B182" s="384"/>
      <c r="C182" s="364"/>
      <c r="D182" s="364"/>
      <c r="E182" s="364"/>
      <c r="F182" s="365"/>
      <c r="G182" s="365"/>
      <c r="H182" s="365"/>
      <c r="I182" s="365"/>
      <c r="J182" s="365"/>
    </row>
    <row r="183" spans="1:10" ht="16.5">
      <c r="A183" s="383"/>
      <c r="B183" s="384"/>
      <c r="C183" s="364"/>
      <c r="D183" s="364"/>
      <c r="E183" s="364"/>
      <c r="F183" s="365"/>
      <c r="G183" s="365"/>
      <c r="H183" s="365"/>
      <c r="I183" s="365"/>
      <c r="J183" s="365"/>
    </row>
    <row r="184" spans="1:10" ht="16.5">
      <c r="A184" s="383"/>
      <c r="B184" s="384"/>
      <c r="C184" s="364"/>
      <c r="D184" s="364"/>
      <c r="E184" s="364"/>
      <c r="F184" s="365"/>
      <c r="G184" s="365"/>
      <c r="H184" s="365"/>
      <c r="I184" s="365"/>
      <c r="J184" s="365"/>
    </row>
    <row r="185" spans="1:10" ht="16.5">
      <c r="A185" s="383"/>
      <c r="B185" s="384"/>
      <c r="C185" s="364"/>
      <c r="D185" s="364"/>
      <c r="E185" s="364"/>
      <c r="F185" s="365"/>
      <c r="G185" s="365"/>
      <c r="H185" s="365"/>
      <c r="I185" s="365"/>
      <c r="J185" s="365"/>
    </row>
    <row r="186" spans="1:10" ht="16.5">
      <c r="A186" s="383"/>
      <c r="B186" s="384"/>
      <c r="C186" s="364"/>
      <c r="D186" s="364"/>
      <c r="E186" s="364"/>
      <c r="F186" s="365"/>
      <c r="G186" s="365"/>
      <c r="H186" s="365"/>
      <c r="I186" s="365"/>
      <c r="J186" s="365"/>
    </row>
    <row r="187" spans="1:10" ht="16.5">
      <c r="A187" s="383"/>
      <c r="B187" s="384"/>
      <c r="C187" s="364"/>
      <c r="D187" s="364"/>
      <c r="E187" s="364"/>
      <c r="F187" s="365"/>
      <c r="G187" s="365"/>
      <c r="H187" s="365"/>
      <c r="I187" s="365"/>
      <c r="J187" s="365"/>
    </row>
    <row r="188" spans="1:10" ht="16.5">
      <c r="A188" s="383"/>
      <c r="B188" s="384"/>
      <c r="C188" s="364"/>
      <c r="D188" s="364"/>
      <c r="E188" s="364"/>
      <c r="F188" s="365"/>
      <c r="G188" s="365"/>
      <c r="H188" s="365"/>
      <c r="I188" s="365"/>
      <c r="J188" s="365"/>
    </row>
    <row r="189" spans="1:10" ht="16.5">
      <c r="A189" s="383"/>
      <c r="B189" s="384"/>
      <c r="C189" s="364"/>
      <c r="D189" s="364"/>
      <c r="E189" s="364"/>
      <c r="F189" s="365"/>
      <c r="G189" s="365"/>
      <c r="H189" s="365"/>
      <c r="I189" s="365"/>
      <c r="J189" s="365"/>
    </row>
    <row r="190" spans="1:10" ht="16.5">
      <c r="A190" s="383"/>
      <c r="B190" s="384"/>
      <c r="C190" s="364"/>
      <c r="D190" s="364"/>
      <c r="E190" s="364"/>
      <c r="F190" s="365"/>
      <c r="G190" s="365"/>
      <c r="H190" s="365"/>
      <c r="I190" s="365"/>
      <c r="J190" s="365"/>
    </row>
    <row r="191" spans="1:10" ht="16.5">
      <c r="A191" s="383"/>
      <c r="B191" s="384"/>
      <c r="C191" s="364"/>
      <c r="D191" s="364"/>
      <c r="E191" s="364"/>
      <c r="F191" s="365"/>
      <c r="G191" s="365"/>
      <c r="H191" s="365"/>
      <c r="I191" s="365"/>
      <c r="J191" s="36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6"/>
  <sheetViews>
    <sheetView workbookViewId="0"/>
  </sheetViews>
  <sheetFormatPr defaultRowHeight="15"/>
  <sheetData>
    <row r="1" spans="1:11" ht="37.5">
      <c r="B1" s="507" t="s">
        <v>820</v>
      </c>
      <c r="C1" s="517"/>
      <c r="D1" s="517"/>
      <c r="E1" s="517"/>
      <c r="F1" s="1048"/>
      <c r="G1" s="1048"/>
      <c r="H1" s="1048"/>
      <c r="I1" s="1048"/>
      <c r="J1" s="1048"/>
    </row>
    <row r="2" spans="1:11" ht="165">
      <c r="A2" s="1051" t="s">
        <v>698</v>
      </c>
      <c r="B2" s="1051"/>
      <c r="C2" s="1051"/>
      <c r="D2" s="1051"/>
      <c r="E2" s="1051"/>
      <c r="F2" s="1051"/>
      <c r="G2" s="1051"/>
      <c r="H2" s="1051"/>
      <c r="I2" s="1051"/>
      <c r="J2" s="1051"/>
    </row>
    <row r="3" spans="1:11" ht="264">
      <c r="A3" s="1055" t="s">
        <v>816</v>
      </c>
      <c r="B3" s="1055"/>
      <c r="C3" s="1055"/>
      <c r="D3" s="1055"/>
      <c r="E3" s="1055"/>
      <c r="F3" s="1055"/>
      <c r="G3" s="1055"/>
      <c r="H3" s="1055"/>
      <c r="I3" s="1055"/>
      <c r="J3" s="1055"/>
    </row>
    <row r="4" spans="1:11" ht="16.5">
      <c r="A4" s="626"/>
      <c r="B4" s="626"/>
      <c r="C4" s="626"/>
      <c r="D4" s="626"/>
      <c r="E4" s="626"/>
      <c r="F4" s="626"/>
      <c r="G4" s="626"/>
      <c r="H4" s="626"/>
      <c r="I4" s="626"/>
      <c r="J4" s="626"/>
    </row>
    <row r="5" spans="1:11" ht="78.75">
      <c r="A5" s="1160" t="s">
        <v>0</v>
      </c>
      <c r="B5" s="1160" t="s">
        <v>287</v>
      </c>
      <c r="C5" s="1160" t="s">
        <v>184</v>
      </c>
      <c r="D5" s="1161" t="s">
        <v>611</v>
      </c>
      <c r="E5" s="1161" t="s">
        <v>602</v>
      </c>
      <c r="F5" s="1056" t="s">
        <v>769</v>
      </c>
      <c r="G5" s="1057"/>
      <c r="H5" s="1057"/>
      <c r="I5" s="1057"/>
      <c r="J5" s="1058"/>
    </row>
    <row r="6" spans="1:11" ht="66">
      <c r="A6" s="1160"/>
      <c r="B6" s="1160"/>
      <c r="C6" s="1160"/>
      <c r="D6" s="1161"/>
      <c r="E6" s="1161"/>
      <c r="F6" s="332" t="s">
        <v>770</v>
      </c>
      <c r="G6" s="332" t="s">
        <v>771</v>
      </c>
      <c r="H6" s="332" t="s">
        <v>772</v>
      </c>
      <c r="I6" s="332" t="s">
        <v>773</v>
      </c>
      <c r="J6" s="332" t="s">
        <v>774</v>
      </c>
    </row>
    <row r="7" spans="1:11" ht="31.5">
      <c r="A7" s="487" t="s">
        <v>3</v>
      </c>
      <c r="B7" s="488" t="s">
        <v>459</v>
      </c>
      <c r="C7" s="485"/>
      <c r="D7" s="744"/>
      <c r="E7" s="744"/>
      <c r="F7" s="745"/>
      <c r="G7" s="746"/>
      <c r="H7" s="746"/>
      <c r="I7" s="746"/>
      <c r="J7" s="746"/>
    </row>
    <row r="8" spans="1:11" ht="78.75">
      <c r="A8" s="484">
        <v>1</v>
      </c>
      <c r="B8" s="747" t="s">
        <v>460</v>
      </c>
      <c r="C8" s="486" t="s">
        <v>461</v>
      </c>
      <c r="D8" s="871">
        <v>59033</v>
      </c>
      <c r="E8" s="871">
        <f>J8</f>
        <v>63128</v>
      </c>
      <c r="F8" s="871">
        <f>'Biểu 1B'!F70</f>
        <v>59407</v>
      </c>
      <c r="G8" s="871">
        <f>'Biểu 1B'!G70</f>
        <v>60416</v>
      </c>
      <c r="H8" s="871">
        <f>'Biểu 1B'!H70</f>
        <v>61216</v>
      </c>
      <c r="I8" s="871">
        <f>'Biểu 1B'!I70</f>
        <v>62196</v>
      </c>
      <c r="J8" s="871">
        <f>'Biểu 1B'!J70</f>
        <v>63128</v>
      </c>
    </row>
    <row r="9" spans="1:11" ht="63">
      <c r="A9" s="614"/>
      <c r="B9" s="615" t="s">
        <v>462</v>
      </c>
      <c r="C9" s="608" t="str">
        <f>C8</f>
        <v>Người</v>
      </c>
      <c r="D9" s="871">
        <f>D8-7900</f>
        <v>51133</v>
      </c>
      <c r="E9" s="871">
        <f>J9</f>
        <v>53978</v>
      </c>
      <c r="F9" s="871">
        <f>F8-8014</f>
        <v>51393</v>
      </c>
      <c r="G9" s="871">
        <f>G8-8950</f>
        <v>51466</v>
      </c>
      <c r="H9" s="871">
        <f>H8-9000</f>
        <v>52216</v>
      </c>
      <c r="I9" s="871">
        <f>I8-9050</f>
        <v>53146</v>
      </c>
      <c r="J9" s="871">
        <f>J8-9150</f>
        <v>53978</v>
      </c>
    </row>
    <row r="10" spans="1:11" ht="63">
      <c r="A10" s="989">
        <v>2</v>
      </c>
      <c r="B10" s="748" t="s">
        <v>597</v>
      </c>
      <c r="C10" s="854" t="s">
        <v>598</v>
      </c>
      <c r="D10" s="871">
        <f>D8/684.15</f>
        <v>86.286633048308119</v>
      </c>
      <c r="E10" s="871">
        <f>J10</f>
        <v>92.272162537455245</v>
      </c>
      <c r="F10" s="871">
        <f>F8/684.15</f>
        <v>86.833296791639256</v>
      </c>
      <c r="G10" s="871">
        <f>G8/684.15</f>
        <v>88.308119564423009</v>
      </c>
      <c r="H10" s="871">
        <f>H8/684.15</f>
        <v>89.477453774756995</v>
      </c>
      <c r="I10" s="871">
        <f>I8/684.15</f>
        <v>90.90988818241614</v>
      </c>
      <c r="J10" s="871">
        <f>J8/684.15</f>
        <v>92.272162537455245</v>
      </c>
      <c r="K10" s="893" t="s">
        <v>694</v>
      </c>
    </row>
    <row r="11" spans="1:11" ht="63">
      <c r="A11" s="1011" t="s">
        <v>284</v>
      </c>
      <c r="B11" s="748" t="s">
        <v>763</v>
      </c>
      <c r="C11" s="749" t="s">
        <v>625</v>
      </c>
      <c r="D11" s="990">
        <v>0.66</v>
      </c>
      <c r="E11" s="990">
        <v>0.47</v>
      </c>
      <c r="F11" s="983">
        <v>0.41</v>
      </c>
      <c r="G11" s="983">
        <v>0.42</v>
      </c>
      <c r="H11" s="983">
        <v>0.44</v>
      </c>
      <c r="I11" s="983">
        <v>0.45</v>
      </c>
      <c r="J11" s="983">
        <v>0.47</v>
      </c>
    </row>
    <row r="12" spans="1:11" ht="78.75">
      <c r="A12" s="1011" t="s">
        <v>284</v>
      </c>
      <c r="B12" s="991" t="s">
        <v>764</v>
      </c>
      <c r="C12" s="854" t="s">
        <v>599</v>
      </c>
      <c r="D12" s="1013">
        <v>109.5</v>
      </c>
      <c r="E12" s="1013">
        <f>J12</f>
        <v>119</v>
      </c>
      <c r="F12" s="1013">
        <v>114</v>
      </c>
      <c r="G12" s="1013">
        <v>115</v>
      </c>
      <c r="H12" s="1013">
        <v>117</v>
      </c>
      <c r="I12" s="1013">
        <v>118</v>
      </c>
      <c r="J12" s="1013">
        <v>119</v>
      </c>
    </row>
    <row r="13" spans="1:11" ht="63">
      <c r="A13" s="1011" t="s">
        <v>284</v>
      </c>
      <c r="B13" s="984" t="s">
        <v>765</v>
      </c>
      <c r="C13" s="749" t="s">
        <v>625</v>
      </c>
      <c r="D13" s="993">
        <v>19.43</v>
      </c>
      <c r="E13" s="994">
        <v>15</v>
      </c>
      <c r="F13" s="926">
        <v>19</v>
      </c>
      <c r="G13" s="926">
        <v>17</v>
      </c>
      <c r="H13" s="926">
        <v>16.399999999999999</v>
      </c>
      <c r="I13" s="926">
        <v>15.8</v>
      </c>
      <c r="J13" s="926">
        <v>15</v>
      </c>
      <c r="K13" s="893" t="s">
        <v>704</v>
      </c>
    </row>
    <row r="14" spans="1:11" ht="47.25">
      <c r="A14" s="614"/>
      <c r="B14" s="984" t="s">
        <v>300</v>
      </c>
      <c r="C14" s="995" t="s">
        <v>70</v>
      </c>
      <c r="D14" s="996"/>
      <c r="E14" s="996"/>
      <c r="F14" s="992"/>
      <c r="G14" s="992"/>
      <c r="H14" s="992"/>
      <c r="I14" s="992"/>
      <c r="J14" s="992"/>
    </row>
    <row r="15" spans="1:11" ht="31.5">
      <c r="A15" s="487" t="s">
        <v>11</v>
      </c>
      <c r="B15" s="629" t="s">
        <v>463</v>
      </c>
      <c r="C15" s="485"/>
      <c r="D15" s="750"/>
      <c r="E15" s="750"/>
      <c r="F15" s="750"/>
      <c r="G15" s="750"/>
      <c r="H15" s="750"/>
      <c r="I15" s="750"/>
      <c r="J15" s="750"/>
    </row>
    <row r="16" spans="1:11" ht="78.75">
      <c r="A16" s="484">
        <v>1</v>
      </c>
      <c r="B16" s="630" t="s">
        <v>464</v>
      </c>
      <c r="C16" s="486" t="str">
        <f>C9</f>
        <v>Người</v>
      </c>
      <c r="D16" s="1023">
        <v>34196</v>
      </c>
      <c r="E16" s="871">
        <f>J16</f>
        <v>38287.132000000005</v>
      </c>
      <c r="F16" s="871">
        <v>35667</v>
      </c>
      <c r="G16" s="871">
        <v>36230</v>
      </c>
      <c r="H16" s="871">
        <v>36950</v>
      </c>
      <c r="I16" s="871">
        <v>37050</v>
      </c>
      <c r="J16" s="871">
        <f>J8*60.65%</f>
        <v>38287.132000000005</v>
      </c>
    </row>
    <row r="17" spans="1:11" ht="141.75">
      <c r="A17" s="484">
        <v>2</v>
      </c>
      <c r="B17" s="630" t="s">
        <v>465</v>
      </c>
      <c r="C17" s="486" t="str">
        <f>C16</f>
        <v>Người</v>
      </c>
      <c r="D17" s="1023">
        <v>32591</v>
      </c>
      <c r="E17" s="871">
        <f>J17</f>
        <v>37751.112152000002</v>
      </c>
      <c r="F17" s="871">
        <v>34208</v>
      </c>
      <c r="G17" s="871">
        <f>G16*98.6%</f>
        <v>35722.78</v>
      </c>
      <c r="H17" s="871">
        <f>H16*98.6%</f>
        <v>36432.699999999997</v>
      </c>
      <c r="I17" s="871">
        <f>I16*98.6%</f>
        <v>36531.300000000003</v>
      </c>
      <c r="J17" s="871">
        <f>J16*98.6%</f>
        <v>37751.112152000002</v>
      </c>
    </row>
    <row r="18" spans="1:11" ht="63">
      <c r="A18" s="484"/>
      <c r="B18" s="630" t="s">
        <v>466</v>
      </c>
      <c r="C18" s="486"/>
      <c r="D18" s="871">
        <f>SUM(D19:D21)</f>
        <v>100</v>
      </c>
      <c r="E18" s="871">
        <f t="shared" ref="E18:J18" si="0">SUM(E19:E21)</f>
        <v>100</v>
      </c>
      <c r="F18" s="871">
        <f t="shared" si="0"/>
        <v>100</v>
      </c>
      <c r="G18" s="871">
        <f t="shared" si="0"/>
        <v>100</v>
      </c>
      <c r="H18" s="871">
        <f t="shared" si="0"/>
        <v>100</v>
      </c>
      <c r="I18" s="871">
        <f t="shared" si="0"/>
        <v>100</v>
      </c>
      <c r="J18" s="871">
        <f t="shared" si="0"/>
        <v>100</v>
      </c>
    </row>
    <row r="19" spans="1:11" ht="63">
      <c r="A19" s="484"/>
      <c r="B19" s="748" t="s">
        <v>467</v>
      </c>
      <c r="C19" s="749" t="s">
        <v>301</v>
      </c>
      <c r="D19" s="932">
        <v>58.5</v>
      </c>
      <c r="E19" s="871">
        <f>J19</f>
        <v>54</v>
      </c>
      <c r="F19" s="932">
        <v>58.34</v>
      </c>
      <c r="G19" s="871">
        <v>58</v>
      </c>
      <c r="H19" s="871">
        <v>56</v>
      </c>
      <c r="I19" s="871">
        <v>55</v>
      </c>
      <c r="J19" s="871">
        <v>54</v>
      </c>
    </row>
    <row r="20" spans="1:11" ht="47.25">
      <c r="A20" s="484"/>
      <c r="B20" s="748" t="s">
        <v>43</v>
      </c>
      <c r="C20" s="749" t="s">
        <v>301</v>
      </c>
      <c r="D20" s="932">
        <v>27.9</v>
      </c>
      <c r="E20" s="932">
        <f>J20</f>
        <v>30.5</v>
      </c>
      <c r="F20" s="932">
        <v>29.38</v>
      </c>
      <c r="G20" s="932">
        <v>29.5</v>
      </c>
      <c r="H20" s="932">
        <v>29.7</v>
      </c>
      <c r="I20" s="932">
        <v>30</v>
      </c>
      <c r="J20" s="932">
        <v>30.5</v>
      </c>
    </row>
    <row r="21" spans="1:11" ht="16.5">
      <c r="A21" s="484"/>
      <c r="B21" s="748" t="s">
        <v>44</v>
      </c>
      <c r="C21" s="749" t="s">
        <v>301</v>
      </c>
      <c r="D21" s="932">
        <f>100-D19-D20</f>
        <v>13.600000000000001</v>
      </c>
      <c r="E21" s="932">
        <f>J21</f>
        <v>15.5</v>
      </c>
      <c r="F21" s="932">
        <f>100-F19-F20</f>
        <v>12.279999999999998</v>
      </c>
      <c r="G21" s="932">
        <f>100-G19-G20</f>
        <v>12.5</v>
      </c>
      <c r="H21" s="932">
        <f>100-H19-H20</f>
        <v>14.3</v>
      </c>
      <c r="I21" s="871">
        <f>100-I19-I20</f>
        <v>15</v>
      </c>
      <c r="J21" s="932">
        <f>100-J19-J20</f>
        <v>15.5</v>
      </c>
    </row>
    <row r="22" spans="1:11" ht="63">
      <c r="A22" s="484">
        <v>3</v>
      </c>
      <c r="B22" s="630" t="s">
        <v>468</v>
      </c>
      <c r="C22" s="486" t="s">
        <v>450</v>
      </c>
      <c r="D22" s="871">
        <v>3329</v>
      </c>
      <c r="E22" s="871">
        <f>SUM(F22:J22)</f>
        <v>3950</v>
      </c>
      <c r="F22" s="871">
        <v>700</v>
      </c>
      <c r="G22" s="871">
        <v>750</v>
      </c>
      <c r="H22" s="871">
        <v>800</v>
      </c>
      <c r="I22" s="871">
        <v>850</v>
      </c>
      <c r="J22" s="871">
        <v>850</v>
      </c>
    </row>
    <row r="23" spans="1:11" ht="31.5">
      <c r="A23" s="487" t="s">
        <v>15</v>
      </c>
      <c r="B23" s="629" t="s">
        <v>469</v>
      </c>
      <c r="C23" s="485"/>
      <c r="D23" s="750"/>
      <c r="E23" s="750"/>
      <c r="F23" s="751"/>
      <c r="G23" s="751"/>
      <c r="H23" s="751"/>
      <c r="I23" s="751"/>
      <c r="J23" s="751"/>
    </row>
    <row r="24" spans="1:11" ht="47.25">
      <c r="A24" s="484"/>
      <c r="B24" s="630" t="s">
        <v>470</v>
      </c>
      <c r="C24" s="486" t="s">
        <v>471</v>
      </c>
      <c r="D24" s="871">
        <v>2</v>
      </c>
      <c r="E24" s="871">
        <v>5</v>
      </c>
      <c r="F24" s="871">
        <v>2</v>
      </c>
      <c r="G24" s="871">
        <v>3</v>
      </c>
      <c r="H24" s="871">
        <v>3</v>
      </c>
      <c r="I24" s="871">
        <v>4</v>
      </c>
      <c r="J24" s="871">
        <v>5</v>
      </c>
      <c r="K24" s="374" t="s">
        <v>695</v>
      </c>
    </row>
    <row r="25" spans="1:11" ht="94.5">
      <c r="A25" s="487" t="s">
        <v>18</v>
      </c>
      <c r="B25" s="629" t="s">
        <v>808</v>
      </c>
      <c r="C25" s="485"/>
      <c r="D25" s="750"/>
      <c r="E25" s="750"/>
      <c r="F25" s="751"/>
      <c r="G25" s="751"/>
      <c r="H25" s="751"/>
      <c r="I25" s="751"/>
      <c r="J25" s="751"/>
    </row>
    <row r="26" spans="1:11" ht="157.5">
      <c r="A26" s="987">
        <v>1</v>
      </c>
      <c r="B26" s="988" t="s">
        <v>615</v>
      </c>
      <c r="C26" s="486" t="s">
        <v>630</v>
      </c>
      <c r="D26" s="871">
        <v>382</v>
      </c>
      <c r="E26" s="871">
        <f>J26</f>
        <v>500</v>
      </c>
      <c r="F26" s="871">
        <v>392</v>
      </c>
      <c r="G26" s="871">
        <v>420</v>
      </c>
      <c r="H26" s="871">
        <v>460</v>
      </c>
      <c r="I26" s="871">
        <v>480</v>
      </c>
      <c r="J26" s="871">
        <v>500</v>
      </c>
      <c r="K26" s="360" t="s">
        <v>697</v>
      </c>
    </row>
    <row r="27" spans="1:11" ht="110.25">
      <c r="A27" s="985">
        <v>2</v>
      </c>
      <c r="B27" s="986" t="s">
        <v>809</v>
      </c>
      <c r="C27" s="486" t="s">
        <v>630</v>
      </c>
      <c r="D27" s="871">
        <v>116</v>
      </c>
      <c r="E27" s="871">
        <v>150</v>
      </c>
      <c r="F27" s="871">
        <v>119</v>
      </c>
      <c r="G27" s="871">
        <v>125</v>
      </c>
      <c r="H27" s="871">
        <v>135</v>
      </c>
      <c r="I27" s="871">
        <v>140</v>
      </c>
      <c r="J27" s="871">
        <v>150</v>
      </c>
    </row>
    <row r="28" spans="1:11" ht="31.5">
      <c r="A28" s="997"/>
      <c r="B28" s="998" t="s">
        <v>616</v>
      </c>
      <c r="C28" s="608"/>
      <c r="D28" s="871"/>
      <c r="E28" s="871"/>
      <c r="F28" s="871"/>
      <c r="G28" s="871"/>
      <c r="H28" s="871"/>
      <c r="I28" s="871"/>
      <c r="J28" s="871"/>
    </row>
    <row r="29" spans="1:11" ht="189">
      <c r="A29" s="999"/>
      <c r="B29" s="1000" t="s">
        <v>617</v>
      </c>
      <c r="C29" s="486" t="s">
        <v>630</v>
      </c>
      <c r="D29" s="871">
        <v>19</v>
      </c>
      <c r="E29" s="871">
        <v>25</v>
      </c>
      <c r="F29" s="871">
        <v>22</v>
      </c>
      <c r="G29" s="871">
        <v>22</v>
      </c>
      <c r="H29" s="871">
        <v>23</v>
      </c>
      <c r="I29" s="871">
        <v>25</v>
      </c>
      <c r="J29" s="871">
        <v>25</v>
      </c>
    </row>
    <row r="30" spans="1:11" ht="220.5">
      <c r="A30" s="997"/>
      <c r="B30" s="1000" t="s">
        <v>618</v>
      </c>
      <c r="C30" s="486" t="s">
        <v>630</v>
      </c>
      <c r="D30" s="871">
        <v>41</v>
      </c>
      <c r="E30" s="871">
        <v>46</v>
      </c>
      <c r="F30" s="871">
        <v>41</v>
      </c>
      <c r="G30" s="871">
        <v>44</v>
      </c>
      <c r="H30" s="871">
        <v>46</v>
      </c>
      <c r="I30" s="871">
        <v>46</v>
      </c>
      <c r="J30" s="871">
        <v>46</v>
      </c>
    </row>
    <row r="31" spans="1:11" ht="157.5">
      <c r="A31" s="999"/>
      <c r="B31" s="998" t="s">
        <v>619</v>
      </c>
      <c r="C31" s="486" t="s">
        <v>630</v>
      </c>
      <c r="D31" s="871">
        <v>20740</v>
      </c>
      <c r="E31" s="871">
        <v>22940</v>
      </c>
      <c r="F31" s="871">
        <v>21120</v>
      </c>
      <c r="G31" s="871">
        <v>21700</v>
      </c>
      <c r="H31" s="871">
        <v>22020</v>
      </c>
      <c r="I31" s="871">
        <v>22500</v>
      </c>
      <c r="J31" s="871">
        <v>22940</v>
      </c>
    </row>
    <row r="32" spans="1:11" ht="78.75">
      <c r="A32" s="985">
        <v>3</v>
      </c>
      <c r="B32" s="986" t="s">
        <v>620</v>
      </c>
      <c r="C32" s="486" t="s">
        <v>626</v>
      </c>
      <c r="D32" s="1001"/>
      <c r="E32" s="1001"/>
      <c r="F32" s="1001"/>
      <c r="G32" s="1001"/>
      <c r="H32" s="1001"/>
      <c r="I32" s="1001"/>
      <c r="J32" s="1001"/>
    </row>
    <row r="33" spans="1:10" ht="94.5">
      <c r="A33" s="999"/>
      <c r="B33" s="998" t="s">
        <v>627</v>
      </c>
      <c r="C33" s="608" t="s">
        <v>5</v>
      </c>
      <c r="D33" s="1001"/>
      <c r="E33" s="1001"/>
      <c r="F33" s="1001"/>
      <c r="G33" s="1001"/>
      <c r="H33" s="1001"/>
      <c r="I33" s="1001"/>
      <c r="J33" s="1001"/>
    </row>
    <row r="34" spans="1:10" ht="204.75">
      <c r="A34" s="985">
        <v>4</v>
      </c>
      <c r="B34" s="988" t="s">
        <v>621</v>
      </c>
      <c r="C34" s="486" t="s">
        <v>461</v>
      </c>
      <c r="D34" s="871">
        <v>12</v>
      </c>
      <c r="E34" s="871">
        <v>18</v>
      </c>
      <c r="F34" s="871">
        <v>18</v>
      </c>
      <c r="G34" s="871">
        <v>18</v>
      </c>
      <c r="H34" s="871">
        <v>18</v>
      </c>
      <c r="I34" s="871">
        <v>18</v>
      </c>
      <c r="J34" s="871">
        <v>18</v>
      </c>
    </row>
    <row r="35" spans="1:10" ht="267.75">
      <c r="A35" s="985">
        <v>5</v>
      </c>
      <c r="B35" s="988" t="s">
        <v>622</v>
      </c>
      <c r="C35" s="486" t="s">
        <v>370</v>
      </c>
      <c r="D35" s="871">
        <v>8</v>
      </c>
      <c r="E35" s="871">
        <v>12</v>
      </c>
      <c r="F35" s="871">
        <v>12</v>
      </c>
      <c r="G35" s="871">
        <v>12</v>
      </c>
      <c r="H35" s="871">
        <v>12</v>
      </c>
      <c r="I35" s="871">
        <v>12</v>
      </c>
      <c r="J35" s="871">
        <v>12</v>
      </c>
    </row>
    <row r="36" spans="1:10" ht="126">
      <c r="A36" s="987">
        <v>6</v>
      </c>
      <c r="B36" s="988" t="s">
        <v>623</v>
      </c>
      <c r="C36" s="486" t="s">
        <v>370</v>
      </c>
      <c r="D36" s="871">
        <v>7</v>
      </c>
      <c r="E36" s="871">
        <v>10</v>
      </c>
      <c r="F36" s="871">
        <v>8</v>
      </c>
      <c r="G36" s="871">
        <v>8</v>
      </c>
      <c r="H36" s="871">
        <v>9</v>
      </c>
      <c r="I36" s="871">
        <v>9</v>
      </c>
      <c r="J36" s="871">
        <v>10</v>
      </c>
    </row>
    <row r="37" spans="1:10" ht="141.75">
      <c r="A37" s="999"/>
      <c r="B37" s="988" t="s">
        <v>624</v>
      </c>
      <c r="C37" s="608" t="s">
        <v>5</v>
      </c>
      <c r="D37" s="932">
        <f t="shared" ref="D37:J37" si="1">D36/12*100</f>
        <v>58.333333333333336</v>
      </c>
      <c r="E37" s="932">
        <f t="shared" si="1"/>
        <v>83.333333333333343</v>
      </c>
      <c r="F37" s="932">
        <f t="shared" si="1"/>
        <v>66.666666666666657</v>
      </c>
      <c r="G37" s="932">
        <f t="shared" si="1"/>
        <v>66.666666666666657</v>
      </c>
      <c r="H37" s="871">
        <f t="shared" si="1"/>
        <v>75</v>
      </c>
      <c r="I37" s="871">
        <f t="shared" si="1"/>
        <v>75</v>
      </c>
      <c r="J37" s="932">
        <f t="shared" si="1"/>
        <v>83.333333333333343</v>
      </c>
    </row>
    <row r="38" spans="1:10" ht="47.25">
      <c r="A38" s="487" t="s">
        <v>474</v>
      </c>
      <c r="B38" s="629" t="s">
        <v>475</v>
      </c>
      <c r="C38" s="485"/>
      <c r="D38" s="751"/>
      <c r="E38" s="751"/>
      <c r="F38" s="751"/>
      <c r="G38" s="751"/>
      <c r="H38" s="751"/>
      <c r="I38" s="751"/>
      <c r="J38" s="751"/>
    </row>
    <row r="39" spans="1:10" ht="141.75">
      <c r="A39" s="484">
        <v>1</v>
      </c>
      <c r="B39" s="747" t="s">
        <v>476</v>
      </c>
      <c r="C39" s="486" t="s">
        <v>477</v>
      </c>
      <c r="D39" s="932">
        <v>25.4</v>
      </c>
      <c r="E39" s="932">
        <f>J39</f>
        <v>28.513496388290456</v>
      </c>
      <c r="F39" s="932">
        <f>160*10000/F8</f>
        <v>26.932853030787619</v>
      </c>
      <c r="G39" s="932">
        <f>170*10000/G8</f>
        <v>28.13824152542373</v>
      </c>
      <c r="H39" s="932">
        <f>180*10000/H8</f>
        <v>29.404077365394667</v>
      </c>
      <c r="I39" s="932">
        <f>180*10000/I8</f>
        <v>28.940767895041482</v>
      </c>
      <c r="J39" s="932">
        <f>180*10000/J8</f>
        <v>28.513496388290456</v>
      </c>
    </row>
    <row r="40" spans="1:10" ht="78.75">
      <c r="A40" s="484"/>
      <c r="B40" s="752" t="s">
        <v>478</v>
      </c>
      <c r="C40" s="749" t="s">
        <v>477</v>
      </c>
      <c r="D40" s="932">
        <f t="shared" ref="D40:J40" si="2">D39</f>
        <v>25.4</v>
      </c>
      <c r="E40" s="932">
        <f t="shared" si="2"/>
        <v>28.513496388290456</v>
      </c>
      <c r="F40" s="932">
        <f t="shared" si="2"/>
        <v>26.932853030787619</v>
      </c>
      <c r="G40" s="932">
        <f t="shared" si="2"/>
        <v>28.13824152542373</v>
      </c>
      <c r="H40" s="932">
        <f t="shared" si="2"/>
        <v>29.404077365394667</v>
      </c>
      <c r="I40" s="932">
        <f t="shared" si="2"/>
        <v>28.940767895041482</v>
      </c>
      <c r="J40" s="932">
        <f t="shared" si="2"/>
        <v>28.513496388290456</v>
      </c>
    </row>
    <row r="41" spans="1:10" ht="63">
      <c r="A41" s="484"/>
      <c r="B41" s="752" t="s">
        <v>479</v>
      </c>
      <c r="C41" s="749" t="s">
        <v>477</v>
      </c>
      <c r="D41" s="932"/>
      <c r="E41" s="932"/>
      <c r="F41" s="932"/>
      <c r="G41" s="932"/>
      <c r="H41" s="932"/>
      <c r="I41" s="932"/>
      <c r="J41" s="932"/>
    </row>
    <row r="42" spans="1:10" ht="47.25">
      <c r="A42" s="484">
        <v>2</v>
      </c>
      <c r="B42" s="753" t="s">
        <v>480</v>
      </c>
      <c r="C42" s="486" t="s">
        <v>481</v>
      </c>
      <c r="D42" s="871">
        <f>'Biểu 1B'!D82</f>
        <v>10</v>
      </c>
      <c r="E42" s="932">
        <f>'Biểu 1B'!E82</f>
        <v>12.672665061462425</v>
      </c>
      <c r="F42" s="932">
        <f>'Biểu 1B'!F82</f>
        <v>10.436480549430202</v>
      </c>
      <c r="G42" s="932">
        <f>'Biểu 1B'!G82</f>
        <v>10.59322033898305</v>
      </c>
      <c r="H42" s="932">
        <f>'Biểu 1B'!H82</f>
        <v>11.108207004704653</v>
      </c>
      <c r="I42" s="932">
        <f>'Biểu 1B'!I82</f>
        <v>11.576307158016593</v>
      </c>
      <c r="J42" s="932">
        <f>'Biểu 1B'!J82</f>
        <v>12.672665061462425</v>
      </c>
    </row>
    <row r="43" spans="1:10" ht="94.5">
      <c r="A43" s="484">
        <v>3</v>
      </c>
      <c r="B43" s="754" t="s">
        <v>525</v>
      </c>
      <c r="C43" s="486" t="s">
        <v>526</v>
      </c>
      <c r="D43" s="992"/>
      <c r="E43" s="992"/>
      <c r="F43" s="992"/>
      <c r="G43" s="992"/>
      <c r="H43" s="992"/>
      <c r="I43" s="992"/>
      <c r="J43" s="992"/>
    </row>
    <row r="44" spans="1:10" ht="63">
      <c r="A44" s="484">
        <v>4</v>
      </c>
      <c r="B44" s="753" t="s">
        <v>482</v>
      </c>
      <c r="C44" s="486" t="s">
        <v>625</v>
      </c>
      <c r="D44" s="932">
        <v>37.700000000000003</v>
      </c>
      <c r="E44" s="932">
        <v>21.5</v>
      </c>
      <c r="F44" s="932">
        <v>21.5</v>
      </c>
      <c r="G44" s="932">
        <v>21.5</v>
      </c>
      <c r="H44" s="932">
        <v>21.5</v>
      </c>
      <c r="I44" s="932">
        <v>21.5</v>
      </c>
      <c r="J44" s="932">
        <v>21.5</v>
      </c>
    </row>
    <row r="45" spans="1:10" ht="78.75">
      <c r="A45" s="484">
        <v>5</v>
      </c>
      <c r="B45" s="753" t="s">
        <v>483</v>
      </c>
      <c r="C45" s="486" t="s">
        <v>625</v>
      </c>
      <c r="D45" s="932">
        <v>44.5</v>
      </c>
      <c r="E45" s="932">
        <f>J45</f>
        <v>31.3</v>
      </c>
      <c r="F45" s="932">
        <v>31.3</v>
      </c>
      <c r="G45" s="932">
        <v>31.3</v>
      </c>
      <c r="H45" s="932">
        <v>31.3</v>
      </c>
      <c r="I45" s="932">
        <v>31.3</v>
      </c>
      <c r="J45" s="932">
        <v>31.3</v>
      </c>
    </row>
    <row r="46" spans="1:10" ht="126">
      <c r="A46" s="484">
        <v>6</v>
      </c>
      <c r="B46" s="753" t="s">
        <v>484</v>
      </c>
      <c r="C46" s="486" t="s">
        <v>301</v>
      </c>
      <c r="D46" s="871">
        <v>17</v>
      </c>
      <c r="E46" s="932">
        <f>J46</f>
        <v>15.7</v>
      </c>
      <c r="F46" s="932">
        <v>16.8</v>
      </c>
      <c r="G46" s="932">
        <v>16.5</v>
      </c>
      <c r="H46" s="932">
        <v>16.2</v>
      </c>
      <c r="I46" s="871">
        <v>16</v>
      </c>
      <c r="J46" s="932">
        <v>15.7</v>
      </c>
    </row>
    <row r="47" spans="1:10" ht="157.5">
      <c r="A47" s="484">
        <v>7</v>
      </c>
      <c r="B47" s="753" t="s">
        <v>635</v>
      </c>
      <c r="C47" s="486" t="s">
        <v>301</v>
      </c>
      <c r="D47" s="932">
        <v>24.5</v>
      </c>
      <c r="E47" s="932">
        <f>J47</f>
        <v>24.5</v>
      </c>
      <c r="F47" s="932">
        <v>24.5</v>
      </c>
      <c r="G47" s="932">
        <v>24.5</v>
      </c>
      <c r="H47" s="932">
        <v>24.5</v>
      </c>
      <c r="I47" s="932">
        <v>24.5</v>
      </c>
      <c r="J47" s="932">
        <v>24.5</v>
      </c>
    </row>
    <row r="48" spans="1:10" ht="78.75">
      <c r="A48" s="484">
        <v>8</v>
      </c>
      <c r="B48" s="755" t="s">
        <v>527</v>
      </c>
      <c r="C48" s="486" t="s">
        <v>301</v>
      </c>
      <c r="D48" s="932">
        <f>10/12*100</f>
        <v>83.333333333333343</v>
      </c>
      <c r="E48" s="871">
        <v>100</v>
      </c>
      <c r="F48" s="932">
        <f>11/12*100</f>
        <v>91.666666666666657</v>
      </c>
      <c r="G48" s="871">
        <v>100</v>
      </c>
      <c r="H48" s="871">
        <v>100</v>
      </c>
      <c r="I48" s="871">
        <v>100</v>
      </c>
      <c r="J48" s="871">
        <v>100</v>
      </c>
    </row>
    <row r="49" spans="1:10" ht="94.5">
      <c r="A49" s="484">
        <v>9</v>
      </c>
      <c r="B49" s="630" t="s">
        <v>485</v>
      </c>
      <c r="C49" s="486" t="s">
        <v>301</v>
      </c>
      <c r="D49" s="871">
        <v>95</v>
      </c>
      <c r="E49" s="871">
        <v>95</v>
      </c>
      <c r="F49" s="871">
        <v>95</v>
      </c>
      <c r="G49" s="871">
        <v>95</v>
      </c>
      <c r="H49" s="871">
        <v>95</v>
      </c>
      <c r="I49" s="871">
        <v>95</v>
      </c>
      <c r="J49" s="871">
        <v>95</v>
      </c>
    </row>
    <row r="50" spans="1:10" ht="126">
      <c r="A50" s="484">
        <v>10</v>
      </c>
      <c r="B50" s="630" t="s">
        <v>723</v>
      </c>
      <c r="C50" s="486" t="s">
        <v>301</v>
      </c>
      <c r="D50" s="871">
        <v>100</v>
      </c>
      <c r="E50" s="871">
        <v>100</v>
      </c>
      <c r="F50" s="871">
        <v>100</v>
      </c>
      <c r="G50" s="871">
        <v>100</v>
      </c>
      <c r="H50" s="871">
        <v>100</v>
      </c>
      <c r="I50" s="871">
        <v>100</v>
      </c>
      <c r="J50" s="871">
        <v>100</v>
      </c>
    </row>
    <row r="51" spans="1:10" ht="78.75">
      <c r="A51" s="484">
        <v>11</v>
      </c>
      <c r="B51" s="630" t="s">
        <v>486</v>
      </c>
      <c r="C51" s="486" t="s">
        <v>301</v>
      </c>
      <c r="D51" s="871">
        <v>100</v>
      </c>
      <c r="E51" s="871">
        <v>100</v>
      </c>
      <c r="F51" s="871">
        <v>100</v>
      </c>
      <c r="G51" s="871">
        <v>100</v>
      </c>
      <c r="H51" s="871">
        <v>100</v>
      </c>
      <c r="I51" s="871">
        <v>100</v>
      </c>
      <c r="J51" s="871">
        <v>100</v>
      </c>
    </row>
    <row r="52" spans="1:10" ht="63">
      <c r="A52" s="487" t="s">
        <v>545</v>
      </c>
      <c r="B52" s="629" t="s">
        <v>614</v>
      </c>
      <c r="C52" s="485"/>
      <c r="D52" s="1002"/>
      <c r="E52" s="1002"/>
      <c r="F52" s="1003"/>
      <c r="G52" s="1004"/>
      <c r="H52" s="1004"/>
      <c r="I52" s="1004"/>
      <c r="J52" s="1005"/>
    </row>
    <row r="53" spans="1:10" ht="110.25">
      <c r="A53" s="487" t="s">
        <v>101</v>
      </c>
      <c r="B53" s="629" t="s">
        <v>567</v>
      </c>
      <c r="C53" s="995" t="s">
        <v>563</v>
      </c>
      <c r="D53" s="1002"/>
      <c r="E53" s="1002"/>
      <c r="F53" s="1003"/>
      <c r="G53" s="1004"/>
      <c r="H53" s="1004"/>
      <c r="I53" s="1004"/>
      <c r="J53" s="1005"/>
    </row>
    <row r="54" spans="1:10" ht="78.75">
      <c r="A54" s="1006">
        <v>1</v>
      </c>
      <c r="B54" s="1007" t="s">
        <v>564</v>
      </c>
      <c r="C54" s="995" t="s">
        <v>563</v>
      </c>
      <c r="D54" s="995"/>
      <c r="E54" s="995"/>
      <c r="F54" s="1008"/>
      <c r="G54" s="995"/>
      <c r="H54" s="995"/>
      <c r="I54" s="1008"/>
      <c r="J54" s="995"/>
    </row>
    <row r="55" spans="1:10" ht="47.25">
      <c r="A55" s="995">
        <v>2</v>
      </c>
      <c r="B55" s="1007" t="s">
        <v>373</v>
      </c>
      <c r="C55" s="995" t="s">
        <v>563</v>
      </c>
      <c r="D55" s="995"/>
      <c r="E55" s="995"/>
      <c r="F55" s="1008"/>
      <c r="G55" s="995"/>
      <c r="H55" s="995"/>
      <c r="I55" s="1008"/>
      <c r="J55" s="995"/>
    </row>
    <row r="56" spans="1:10" ht="47.25">
      <c r="A56" s="1006">
        <v>3</v>
      </c>
      <c r="B56" s="1007" t="s">
        <v>565</v>
      </c>
      <c r="C56" s="995" t="s">
        <v>563</v>
      </c>
      <c r="D56" s="995"/>
      <c r="E56" s="995"/>
      <c r="F56" s="1008"/>
      <c r="G56" s="995"/>
      <c r="H56" s="995"/>
      <c r="I56" s="1008"/>
      <c r="J56" s="995"/>
    </row>
    <row r="57" spans="1:10" ht="141.75">
      <c r="A57" s="1009" t="s">
        <v>102</v>
      </c>
      <c r="B57" s="1010" t="s">
        <v>725</v>
      </c>
      <c r="C57" s="1010"/>
      <c r="D57" s="1010"/>
      <c r="E57" s="1010"/>
      <c r="F57" s="1010"/>
      <c r="G57" s="1010"/>
      <c r="H57" s="1010"/>
      <c r="I57" s="1010"/>
      <c r="J57" s="1010"/>
    </row>
    <row r="58" spans="1:10" ht="78.75">
      <c r="A58" s="1006">
        <v>1</v>
      </c>
      <c r="B58" s="1007" t="s">
        <v>564</v>
      </c>
      <c r="C58" s="995" t="s">
        <v>5</v>
      </c>
      <c r="D58" s="995"/>
      <c r="E58" s="995"/>
      <c r="F58" s="1008"/>
      <c r="G58" s="995"/>
      <c r="H58" s="995"/>
      <c r="I58" s="1008"/>
      <c r="J58" s="995"/>
    </row>
    <row r="59" spans="1:10" ht="47.25">
      <c r="A59" s="995">
        <v>2</v>
      </c>
      <c r="B59" s="1007" t="s">
        <v>373</v>
      </c>
      <c r="C59" s="995" t="s">
        <v>5</v>
      </c>
      <c r="D59" s="995"/>
      <c r="E59" s="995"/>
      <c r="F59" s="1008"/>
      <c r="G59" s="995"/>
      <c r="H59" s="995"/>
      <c r="I59" s="1008"/>
      <c r="J59" s="995"/>
    </row>
    <row r="60" spans="1:10" ht="31.5">
      <c r="A60" s="1006">
        <v>3</v>
      </c>
      <c r="B60" s="1007" t="s">
        <v>565</v>
      </c>
      <c r="C60" s="995" t="s">
        <v>5</v>
      </c>
      <c r="D60" s="995"/>
      <c r="E60" s="995"/>
      <c r="F60" s="1008"/>
      <c r="G60" s="995"/>
      <c r="H60" s="995"/>
      <c r="I60" s="1008"/>
      <c r="J60" s="995"/>
    </row>
    <row r="61" spans="1:10" ht="16.5">
      <c r="A61" s="383"/>
      <c r="B61" s="384"/>
      <c r="C61" s="364"/>
      <c r="D61" s="364"/>
      <c r="E61" s="364"/>
      <c r="F61" s="365"/>
      <c r="G61" s="365"/>
      <c r="H61" s="365"/>
      <c r="I61" s="365"/>
      <c r="J61" s="365"/>
    </row>
    <row r="62" spans="1:10" ht="16.5">
      <c r="A62" s="383"/>
      <c r="B62" s="384"/>
      <c r="C62" s="364"/>
      <c r="D62" s="364"/>
      <c r="E62" s="364"/>
      <c r="F62" s="365"/>
      <c r="G62" s="365"/>
      <c r="H62" s="365"/>
      <c r="I62" s="365"/>
      <c r="J62" s="365"/>
    </row>
    <row r="63" spans="1:10" ht="16.5">
      <c r="A63" s="383"/>
      <c r="B63" s="384"/>
      <c r="C63" s="364"/>
      <c r="D63" s="364"/>
      <c r="E63" s="364"/>
      <c r="F63" s="365"/>
      <c r="G63" s="365"/>
      <c r="H63" s="365"/>
      <c r="I63" s="365"/>
      <c r="J63" s="365"/>
    </row>
    <row r="64" spans="1:10" ht="16.5">
      <c r="A64" s="383"/>
      <c r="B64" s="384"/>
      <c r="C64" s="364"/>
      <c r="D64" s="364"/>
      <c r="E64" s="364"/>
      <c r="F64" s="365"/>
      <c r="G64" s="365"/>
      <c r="H64" s="365"/>
      <c r="I64" s="365"/>
      <c r="J64" s="365"/>
    </row>
    <row r="65" spans="1:10" ht="16.5">
      <c r="A65" s="383"/>
      <c r="B65" s="384"/>
      <c r="C65" s="364"/>
      <c r="D65" s="364"/>
      <c r="E65" s="364"/>
      <c r="F65" s="365"/>
      <c r="G65" s="365"/>
      <c r="H65" s="365"/>
      <c r="I65" s="365"/>
      <c r="J65" s="365"/>
    </row>
    <row r="66" spans="1:10" ht="16.5">
      <c r="A66" s="383"/>
      <c r="B66" s="384"/>
      <c r="C66" s="364"/>
      <c r="D66" s="364"/>
      <c r="E66" s="364"/>
      <c r="F66" s="365"/>
      <c r="G66" s="365"/>
      <c r="H66" s="365"/>
      <c r="I66" s="365"/>
      <c r="J66" s="365"/>
    </row>
    <row r="67" spans="1:10" ht="16.5">
      <c r="A67" s="383"/>
      <c r="B67" s="384"/>
      <c r="C67" s="364"/>
      <c r="D67" s="364"/>
      <c r="E67" s="364"/>
      <c r="F67" s="365"/>
      <c r="G67" s="365"/>
      <c r="H67" s="365"/>
      <c r="I67" s="365"/>
      <c r="J67" s="365"/>
    </row>
    <row r="68" spans="1:10" ht="16.5">
      <c r="A68" s="383"/>
      <c r="B68" s="384"/>
      <c r="C68" s="364"/>
      <c r="D68" s="364"/>
      <c r="E68" s="364"/>
      <c r="F68" s="365"/>
      <c r="G68" s="365"/>
      <c r="H68" s="365"/>
      <c r="I68" s="365"/>
      <c r="J68" s="365"/>
    </row>
    <row r="69" spans="1:10" ht="16.5">
      <c r="A69" s="383"/>
      <c r="B69" s="384"/>
      <c r="C69" s="364"/>
      <c r="D69" s="364"/>
      <c r="E69" s="364"/>
      <c r="F69" s="365"/>
      <c r="G69" s="365"/>
      <c r="H69" s="365"/>
      <c r="I69" s="365"/>
      <c r="J69" s="365"/>
    </row>
    <row r="70" spans="1:10" ht="16.5">
      <c r="A70" s="383"/>
      <c r="B70" s="384"/>
      <c r="C70" s="364"/>
      <c r="D70" s="364"/>
      <c r="E70" s="364"/>
      <c r="F70" s="365"/>
      <c r="G70" s="365"/>
      <c r="H70" s="365"/>
      <c r="I70" s="365"/>
      <c r="J70" s="365"/>
    </row>
    <row r="71" spans="1:10" ht="16.5">
      <c r="A71" s="383"/>
      <c r="B71" s="384"/>
      <c r="C71" s="364"/>
      <c r="D71" s="364"/>
      <c r="E71" s="364"/>
      <c r="F71" s="365"/>
      <c r="G71" s="365"/>
      <c r="H71" s="365"/>
      <c r="I71" s="365"/>
      <c r="J71" s="365"/>
    </row>
    <row r="72" spans="1:10" ht="16.5">
      <c r="A72" s="383"/>
      <c r="B72" s="384"/>
      <c r="C72" s="364"/>
      <c r="D72" s="364"/>
      <c r="E72" s="364"/>
      <c r="F72" s="365"/>
      <c r="G72" s="365"/>
      <c r="H72" s="365"/>
      <c r="I72" s="365"/>
      <c r="J72" s="365"/>
    </row>
    <row r="73" spans="1:10" ht="16.5">
      <c r="A73" s="383"/>
      <c r="B73" s="384"/>
      <c r="C73" s="364"/>
      <c r="D73" s="364"/>
      <c r="E73" s="364"/>
      <c r="F73" s="365"/>
      <c r="G73" s="365"/>
      <c r="H73" s="365"/>
      <c r="I73" s="365"/>
      <c r="J73" s="365"/>
    </row>
    <row r="74" spans="1:10" ht="16.5">
      <c r="A74" s="383"/>
      <c r="B74" s="384"/>
      <c r="C74" s="364"/>
      <c r="D74" s="364"/>
      <c r="E74" s="364"/>
      <c r="F74" s="365"/>
      <c r="G74" s="365"/>
      <c r="H74" s="365"/>
      <c r="I74" s="365"/>
      <c r="J74" s="365"/>
    </row>
    <row r="75" spans="1:10" ht="16.5">
      <c r="A75" s="383"/>
      <c r="B75" s="384"/>
      <c r="C75" s="364"/>
      <c r="D75" s="364"/>
      <c r="E75" s="364"/>
      <c r="F75" s="365"/>
      <c r="G75" s="365"/>
      <c r="H75" s="365"/>
      <c r="I75" s="365"/>
      <c r="J75" s="365"/>
    </row>
    <row r="76" spans="1:10" ht="16.5">
      <c r="A76" s="383"/>
      <c r="B76" s="384"/>
      <c r="C76" s="364"/>
      <c r="D76" s="364"/>
      <c r="E76" s="364"/>
      <c r="F76" s="365"/>
      <c r="G76" s="365"/>
      <c r="H76" s="365"/>
      <c r="I76" s="365"/>
      <c r="J76" s="365"/>
    </row>
    <row r="77" spans="1:10" ht="16.5">
      <c r="A77" s="383"/>
      <c r="B77" s="384"/>
      <c r="C77" s="364"/>
      <c r="D77" s="364"/>
      <c r="E77" s="364"/>
      <c r="F77" s="365"/>
      <c r="G77" s="365"/>
      <c r="H77" s="365"/>
      <c r="I77" s="365"/>
      <c r="J77" s="365"/>
    </row>
    <row r="78" spans="1:10" ht="16.5">
      <c r="A78" s="383"/>
      <c r="B78" s="384"/>
      <c r="C78" s="364"/>
      <c r="D78" s="364"/>
      <c r="E78" s="364"/>
      <c r="F78" s="365"/>
      <c r="G78" s="365"/>
      <c r="H78" s="365"/>
      <c r="I78" s="365"/>
      <c r="J78" s="365"/>
    </row>
    <row r="79" spans="1:10" ht="16.5">
      <c r="A79" s="383"/>
      <c r="B79" s="384"/>
      <c r="C79" s="364"/>
      <c r="D79" s="364"/>
      <c r="E79" s="364"/>
      <c r="F79" s="365"/>
      <c r="G79" s="365"/>
      <c r="H79" s="365"/>
      <c r="I79" s="365"/>
      <c r="J79" s="365"/>
    </row>
    <row r="80" spans="1:10" ht="16.5">
      <c r="A80" s="383"/>
      <c r="B80" s="384"/>
      <c r="C80" s="364"/>
      <c r="D80" s="364"/>
      <c r="E80" s="364"/>
      <c r="F80" s="365"/>
      <c r="G80" s="365"/>
      <c r="H80" s="365"/>
      <c r="I80" s="365"/>
      <c r="J80" s="365"/>
    </row>
    <row r="81" spans="1:10" ht="16.5">
      <c r="A81" s="383"/>
      <c r="B81" s="384"/>
      <c r="C81" s="364"/>
      <c r="D81" s="364"/>
      <c r="E81" s="364"/>
      <c r="F81" s="365"/>
      <c r="G81" s="365"/>
      <c r="H81" s="365"/>
      <c r="I81" s="365"/>
      <c r="J81" s="365"/>
    </row>
    <row r="82" spans="1:10" ht="16.5">
      <c r="A82" s="383"/>
      <c r="B82" s="384"/>
      <c r="C82" s="364"/>
      <c r="D82" s="364"/>
      <c r="E82" s="364"/>
      <c r="F82" s="365"/>
      <c r="G82" s="365"/>
      <c r="H82" s="365"/>
      <c r="I82" s="365"/>
      <c r="J82" s="365"/>
    </row>
    <row r="83" spans="1:10" ht="16.5">
      <c r="A83" s="383"/>
      <c r="B83" s="384"/>
      <c r="C83" s="364"/>
      <c r="D83" s="364"/>
      <c r="E83" s="364"/>
      <c r="F83" s="365"/>
      <c r="G83" s="365"/>
      <c r="H83" s="365"/>
      <c r="I83" s="365"/>
      <c r="J83" s="365"/>
    </row>
    <row r="84" spans="1:10" ht="16.5">
      <c r="A84" s="383"/>
      <c r="B84" s="384"/>
      <c r="C84" s="364"/>
      <c r="D84" s="364"/>
      <c r="E84" s="364"/>
      <c r="F84" s="365"/>
      <c r="G84" s="365"/>
      <c r="H84" s="365"/>
      <c r="I84" s="365"/>
      <c r="J84" s="365"/>
    </row>
    <row r="85" spans="1:10" ht="16.5">
      <c r="A85" s="383"/>
      <c r="B85" s="384"/>
      <c r="C85" s="364"/>
      <c r="D85" s="364"/>
      <c r="E85" s="364"/>
      <c r="F85" s="365"/>
      <c r="G85" s="365"/>
      <c r="H85" s="365"/>
      <c r="I85" s="365"/>
      <c r="J85" s="365"/>
    </row>
    <row r="86" spans="1:10" ht="16.5">
      <c r="A86" s="383"/>
      <c r="B86" s="384"/>
      <c r="C86" s="364"/>
      <c r="D86" s="364"/>
      <c r="E86" s="364"/>
      <c r="F86" s="365"/>
      <c r="G86" s="365"/>
      <c r="H86" s="365"/>
      <c r="I86" s="365"/>
      <c r="J86" s="365"/>
    </row>
    <row r="87" spans="1:10" ht="16.5">
      <c r="A87" s="383"/>
      <c r="B87" s="384"/>
      <c r="C87" s="364"/>
      <c r="D87" s="364"/>
      <c r="E87" s="364"/>
      <c r="F87" s="365"/>
      <c r="G87" s="365"/>
      <c r="H87" s="365"/>
      <c r="I87" s="365"/>
      <c r="J87" s="365"/>
    </row>
    <row r="88" spans="1:10" ht="16.5">
      <c r="A88" s="383"/>
      <c r="B88" s="384"/>
      <c r="C88" s="364"/>
      <c r="D88" s="364"/>
      <c r="E88" s="364"/>
      <c r="F88" s="365"/>
      <c r="G88" s="365"/>
      <c r="H88" s="365"/>
      <c r="I88" s="365"/>
      <c r="J88" s="365"/>
    </row>
    <row r="89" spans="1:10" ht="16.5">
      <c r="A89" s="383"/>
      <c r="B89" s="384"/>
      <c r="C89" s="364"/>
      <c r="D89" s="364"/>
      <c r="E89" s="364"/>
      <c r="F89" s="365"/>
      <c r="G89" s="365"/>
      <c r="H89" s="365"/>
      <c r="I89" s="365"/>
      <c r="J89" s="365"/>
    </row>
    <row r="90" spans="1:10" ht="16.5">
      <c r="A90" s="383"/>
      <c r="B90" s="384"/>
      <c r="C90" s="364"/>
      <c r="D90" s="364"/>
      <c r="E90" s="364"/>
      <c r="F90" s="365"/>
      <c r="G90" s="365"/>
      <c r="H90" s="365"/>
      <c r="I90" s="365"/>
      <c r="J90" s="365"/>
    </row>
    <row r="91" spans="1:10" ht="16.5">
      <c r="A91" s="383"/>
      <c r="B91" s="384"/>
      <c r="C91" s="364"/>
      <c r="D91" s="364"/>
      <c r="E91" s="364"/>
      <c r="F91" s="365"/>
      <c r="G91" s="365"/>
      <c r="H91" s="365"/>
      <c r="I91" s="365"/>
      <c r="J91" s="365"/>
    </row>
    <row r="92" spans="1:10" ht="16.5">
      <c r="A92" s="383"/>
      <c r="B92" s="384"/>
      <c r="C92" s="364"/>
      <c r="D92" s="364"/>
      <c r="E92" s="364"/>
      <c r="F92" s="365"/>
      <c r="G92" s="365"/>
      <c r="H92" s="365"/>
      <c r="I92" s="365"/>
      <c r="J92" s="365"/>
    </row>
    <row r="93" spans="1:10" ht="16.5">
      <c r="A93" s="383"/>
      <c r="B93" s="384"/>
      <c r="C93" s="364"/>
      <c r="D93" s="364"/>
      <c r="E93" s="364"/>
      <c r="F93" s="365"/>
      <c r="G93" s="365"/>
      <c r="H93" s="365"/>
      <c r="I93" s="365"/>
      <c r="J93" s="365"/>
    </row>
    <row r="94" spans="1:10" ht="16.5">
      <c r="A94" s="383"/>
      <c r="B94" s="384"/>
      <c r="C94" s="364"/>
      <c r="D94" s="364"/>
      <c r="E94" s="364"/>
      <c r="F94" s="365"/>
      <c r="G94" s="365"/>
      <c r="H94" s="365"/>
      <c r="I94" s="365"/>
      <c r="J94" s="365"/>
    </row>
    <row r="95" spans="1:10" ht="16.5">
      <c r="A95" s="383"/>
      <c r="B95" s="384"/>
      <c r="C95" s="364"/>
      <c r="D95" s="364"/>
      <c r="E95" s="364"/>
      <c r="F95" s="365"/>
      <c r="G95" s="365"/>
      <c r="H95" s="365"/>
      <c r="I95" s="365"/>
      <c r="J95" s="365"/>
    </row>
    <row r="96" spans="1:10" ht="16.5">
      <c r="A96" s="383"/>
      <c r="B96" s="384"/>
      <c r="C96" s="364"/>
      <c r="D96" s="364"/>
      <c r="E96" s="364"/>
      <c r="F96" s="365"/>
      <c r="G96" s="365"/>
      <c r="H96" s="365"/>
      <c r="I96" s="365"/>
      <c r="J96" s="365"/>
    </row>
    <row r="97" spans="1:10" ht="16.5">
      <c r="A97" s="383"/>
      <c r="B97" s="384"/>
      <c r="C97" s="364"/>
      <c r="D97" s="364"/>
      <c r="E97" s="364"/>
      <c r="F97" s="365"/>
      <c r="G97" s="365"/>
      <c r="H97" s="365"/>
      <c r="I97" s="365"/>
      <c r="J97" s="365"/>
    </row>
    <row r="98" spans="1:10" ht="16.5">
      <c r="A98" s="383"/>
      <c r="B98" s="384"/>
      <c r="C98" s="364"/>
      <c r="D98" s="364"/>
      <c r="E98" s="364"/>
      <c r="F98" s="365"/>
      <c r="G98" s="365"/>
      <c r="H98" s="365"/>
      <c r="I98" s="365"/>
      <c r="J98" s="365"/>
    </row>
    <row r="99" spans="1:10" ht="16.5">
      <c r="A99" s="383"/>
      <c r="B99" s="384"/>
      <c r="C99" s="364"/>
      <c r="D99" s="364"/>
      <c r="E99" s="364"/>
      <c r="F99" s="365"/>
      <c r="G99" s="365"/>
      <c r="H99" s="365"/>
      <c r="I99" s="365"/>
      <c r="J99" s="365"/>
    </row>
    <row r="100" spans="1:10" ht="16.5">
      <c r="A100" s="383"/>
      <c r="B100" s="384"/>
      <c r="C100" s="364"/>
      <c r="D100" s="364"/>
      <c r="E100" s="364"/>
      <c r="F100" s="365"/>
      <c r="G100" s="365"/>
      <c r="H100" s="365"/>
      <c r="I100" s="365"/>
      <c r="J100" s="365"/>
    </row>
    <row r="101" spans="1:10" ht="16.5">
      <c r="A101" s="383"/>
      <c r="B101" s="384"/>
      <c r="C101" s="364"/>
      <c r="D101" s="364"/>
      <c r="E101" s="364"/>
      <c r="F101" s="365"/>
      <c r="G101" s="365"/>
      <c r="H101" s="365"/>
      <c r="I101" s="365"/>
      <c r="J101" s="365"/>
    </row>
    <row r="102" spans="1:10" ht="16.5">
      <c r="A102" s="383"/>
      <c r="B102" s="384"/>
      <c r="C102" s="364"/>
      <c r="D102" s="364"/>
      <c r="E102" s="364"/>
      <c r="F102" s="365"/>
      <c r="G102" s="365"/>
      <c r="H102" s="365"/>
      <c r="I102" s="365"/>
      <c r="J102" s="365"/>
    </row>
    <row r="103" spans="1:10" ht="16.5">
      <c r="A103" s="383"/>
      <c r="B103" s="384"/>
      <c r="C103" s="364"/>
      <c r="D103" s="364"/>
      <c r="E103" s="364"/>
      <c r="F103" s="365"/>
      <c r="G103" s="365"/>
      <c r="H103" s="365"/>
      <c r="I103" s="365"/>
      <c r="J103" s="365"/>
    </row>
    <row r="104" spans="1:10" ht="16.5">
      <c r="A104" s="383"/>
      <c r="B104" s="384"/>
      <c r="C104" s="364"/>
      <c r="D104" s="364"/>
      <c r="E104" s="364"/>
      <c r="F104" s="365"/>
      <c r="G104" s="365"/>
      <c r="H104" s="365"/>
      <c r="I104" s="365"/>
      <c r="J104" s="365"/>
    </row>
    <row r="105" spans="1:10" ht="16.5">
      <c r="A105" s="383"/>
      <c r="B105" s="384"/>
      <c r="C105" s="364"/>
      <c r="D105" s="364"/>
      <c r="E105" s="364"/>
      <c r="F105" s="365"/>
      <c r="G105" s="365"/>
      <c r="H105" s="365"/>
      <c r="I105" s="365"/>
      <c r="J105" s="365"/>
    </row>
    <row r="106" spans="1:10" ht="16.5">
      <c r="A106" s="383"/>
      <c r="B106" s="384"/>
      <c r="C106" s="364"/>
      <c r="D106" s="364"/>
      <c r="E106" s="364"/>
      <c r="F106" s="365"/>
      <c r="G106" s="365"/>
      <c r="H106" s="365"/>
      <c r="I106" s="365"/>
      <c r="J106" s="365"/>
    </row>
    <row r="107" spans="1:10" ht="16.5">
      <c r="A107" s="383"/>
      <c r="B107" s="384"/>
      <c r="C107" s="364"/>
      <c r="D107" s="364"/>
      <c r="E107" s="364"/>
      <c r="F107" s="365"/>
      <c r="G107" s="365"/>
      <c r="H107" s="365"/>
      <c r="I107" s="365"/>
      <c r="J107" s="365"/>
    </row>
    <row r="108" spans="1:10" ht="16.5">
      <c r="A108" s="383"/>
      <c r="B108" s="384"/>
      <c r="C108" s="364"/>
      <c r="D108" s="364"/>
      <c r="E108" s="364"/>
      <c r="F108" s="365"/>
      <c r="G108" s="365"/>
      <c r="H108" s="365"/>
      <c r="I108" s="365"/>
      <c r="J108" s="365"/>
    </row>
    <row r="109" spans="1:10" ht="16.5">
      <c r="A109" s="383"/>
      <c r="B109" s="384"/>
      <c r="C109" s="364"/>
      <c r="D109" s="364"/>
      <c r="E109" s="364"/>
      <c r="F109" s="365"/>
      <c r="G109" s="365"/>
      <c r="H109" s="365"/>
      <c r="I109" s="365"/>
      <c r="J109" s="365"/>
    </row>
    <row r="110" spans="1:10" ht="16.5">
      <c r="A110" s="383"/>
      <c r="B110" s="384"/>
      <c r="C110" s="364"/>
      <c r="D110" s="364"/>
      <c r="E110" s="364"/>
      <c r="F110" s="365"/>
      <c r="G110" s="365"/>
      <c r="H110" s="365"/>
      <c r="I110" s="365"/>
      <c r="J110" s="365"/>
    </row>
    <row r="111" spans="1:10" ht="16.5">
      <c r="A111" s="383"/>
      <c r="B111" s="384"/>
      <c r="C111" s="364"/>
      <c r="D111" s="364"/>
      <c r="E111" s="364"/>
      <c r="F111" s="365"/>
      <c r="G111" s="365"/>
      <c r="H111" s="365"/>
      <c r="I111" s="365"/>
      <c r="J111" s="365"/>
    </row>
    <row r="112" spans="1:10" ht="16.5">
      <c r="A112" s="383"/>
      <c r="B112" s="384"/>
      <c r="C112" s="364"/>
      <c r="D112" s="364"/>
      <c r="E112" s="364"/>
      <c r="F112" s="365"/>
      <c r="G112" s="365"/>
      <c r="H112" s="365"/>
      <c r="I112" s="365"/>
      <c r="J112" s="365"/>
    </row>
    <row r="113" spans="1:10" ht="16.5">
      <c r="A113" s="383"/>
      <c r="B113" s="384"/>
      <c r="C113" s="364"/>
      <c r="D113" s="364"/>
      <c r="E113" s="364"/>
      <c r="F113" s="365"/>
      <c r="G113" s="365"/>
      <c r="H113" s="365"/>
      <c r="I113" s="365"/>
      <c r="J113" s="365"/>
    </row>
    <row r="114" spans="1:10" ht="16.5">
      <c r="A114" s="383"/>
      <c r="B114" s="384"/>
      <c r="C114" s="364"/>
      <c r="D114" s="364"/>
      <c r="E114" s="364"/>
      <c r="F114" s="365"/>
      <c r="G114" s="365"/>
      <c r="H114" s="365"/>
      <c r="I114" s="365"/>
      <c r="J114" s="365"/>
    </row>
    <row r="115" spans="1:10" ht="16.5">
      <c r="A115" s="383"/>
      <c r="B115" s="384"/>
      <c r="C115" s="364"/>
      <c r="D115" s="364"/>
      <c r="E115" s="364"/>
      <c r="F115" s="365"/>
      <c r="G115" s="365"/>
      <c r="H115" s="365"/>
      <c r="I115" s="365"/>
      <c r="J115" s="365"/>
    </row>
    <row r="116" spans="1:10" ht="16.5">
      <c r="A116" s="383"/>
      <c r="B116" s="384"/>
      <c r="C116" s="364"/>
      <c r="D116" s="364"/>
      <c r="E116" s="364"/>
      <c r="F116" s="365"/>
      <c r="G116" s="365"/>
      <c r="H116" s="365"/>
      <c r="I116" s="365"/>
      <c r="J116" s="365"/>
    </row>
    <row r="117" spans="1:10" ht="16.5">
      <c r="A117" s="383"/>
      <c r="B117" s="384"/>
      <c r="C117" s="364"/>
      <c r="D117" s="364"/>
      <c r="E117" s="364"/>
      <c r="F117" s="365"/>
      <c r="G117" s="365"/>
      <c r="H117" s="365"/>
      <c r="I117" s="365"/>
      <c r="J117" s="365"/>
    </row>
    <row r="118" spans="1:10" ht="16.5">
      <c r="A118" s="383"/>
      <c r="B118" s="384"/>
      <c r="C118" s="364"/>
      <c r="D118" s="364"/>
      <c r="E118" s="364"/>
      <c r="F118" s="365"/>
      <c r="G118" s="365"/>
      <c r="H118" s="365"/>
      <c r="I118" s="365"/>
      <c r="J118" s="365"/>
    </row>
    <row r="119" spans="1:10" ht="16.5">
      <c r="A119" s="383"/>
      <c r="B119" s="384"/>
      <c r="C119" s="364"/>
      <c r="D119" s="364"/>
      <c r="E119" s="364"/>
      <c r="F119" s="365"/>
      <c r="G119" s="365"/>
      <c r="H119" s="365"/>
      <c r="I119" s="365"/>
      <c r="J119" s="365"/>
    </row>
    <row r="120" spans="1:10" ht="16.5">
      <c r="A120" s="383"/>
      <c r="B120" s="384"/>
      <c r="C120" s="364"/>
      <c r="D120" s="364"/>
      <c r="E120" s="364"/>
      <c r="F120" s="365"/>
      <c r="G120" s="365"/>
      <c r="H120" s="365"/>
      <c r="I120" s="365"/>
      <c r="J120" s="365"/>
    </row>
    <row r="121" spans="1:10" ht="16.5">
      <c r="A121" s="383"/>
      <c r="B121" s="384"/>
      <c r="C121" s="364"/>
      <c r="D121" s="364"/>
      <c r="E121" s="364"/>
      <c r="F121" s="365"/>
      <c r="G121" s="365"/>
      <c r="H121" s="365"/>
      <c r="I121" s="365"/>
      <c r="J121" s="365"/>
    </row>
    <row r="122" spans="1:10" ht="16.5">
      <c r="A122" s="383"/>
      <c r="B122" s="384"/>
      <c r="C122" s="364"/>
      <c r="D122" s="364"/>
      <c r="E122" s="364"/>
      <c r="F122" s="365"/>
      <c r="G122" s="365"/>
      <c r="H122" s="365"/>
      <c r="I122" s="365"/>
      <c r="J122" s="365"/>
    </row>
    <row r="123" spans="1:10" ht="16.5">
      <c r="A123" s="383"/>
      <c r="B123" s="384"/>
      <c r="C123" s="364"/>
      <c r="D123" s="364"/>
      <c r="E123" s="364"/>
      <c r="F123" s="365"/>
      <c r="G123" s="365"/>
      <c r="H123" s="365"/>
      <c r="I123" s="365"/>
      <c r="J123" s="365"/>
    </row>
    <row r="124" spans="1:10" ht="16.5">
      <c r="A124" s="383"/>
      <c r="B124" s="384"/>
      <c r="C124" s="364"/>
      <c r="D124" s="364"/>
      <c r="E124" s="364"/>
      <c r="F124" s="365"/>
      <c r="G124" s="365"/>
      <c r="H124" s="365"/>
      <c r="I124" s="365"/>
      <c r="J124" s="365"/>
    </row>
    <row r="125" spans="1:10" ht="16.5">
      <c r="A125" s="383"/>
      <c r="B125" s="384"/>
      <c r="C125" s="364"/>
      <c r="D125" s="364"/>
      <c r="E125" s="364"/>
      <c r="F125" s="365"/>
      <c r="G125" s="365"/>
      <c r="H125" s="365"/>
      <c r="I125" s="365"/>
      <c r="J125" s="365"/>
    </row>
    <row r="126" spans="1:10" ht="16.5">
      <c r="A126" s="383"/>
      <c r="B126" s="384"/>
      <c r="C126" s="364"/>
      <c r="D126" s="364"/>
      <c r="E126" s="364"/>
      <c r="F126" s="365"/>
      <c r="G126" s="365"/>
      <c r="H126" s="365"/>
      <c r="I126" s="365"/>
      <c r="J126" s="365"/>
    </row>
    <row r="127" spans="1:10" ht="16.5">
      <c r="A127" s="383"/>
      <c r="B127" s="384"/>
      <c r="C127" s="364"/>
      <c r="D127" s="364"/>
      <c r="E127" s="364"/>
      <c r="F127" s="365"/>
      <c r="G127" s="365"/>
      <c r="H127" s="365"/>
      <c r="I127" s="365"/>
      <c r="J127" s="365"/>
    </row>
    <row r="128" spans="1:10" ht="16.5">
      <c r="A128" s="383"/>
      <c r="B128" s="384"/>
      <c r="C128" s="364"/>
      <c r="D128" s="364"/>
      <c r="E128" s="364"/>
      <c r="F128" s="365"/>
      <c r="G128" s="365"/>
      <c r="H128" s="365"/>
      <c r="I128" s="365"/>
      <c r="J128" s="365"/>
    </row>
    <row r="129" spans="1:10" ht="16.5">
      <c r="A129" s="383"/>
      <c r="B129" s="384"/>
      <c r="C129" s="364"/>
      <c r="D129" s="364"/>
      <c r="E129" s="364"/>
      <c r="F129" s="365"/>
      <c r="G129" s="365"/>
      <c r="H129" s="365"/>
      <c r="I129" s="365"/>
      <c r="J129" s="365"/>
    </row>
    <row r="130" spans="1:10" ht="16.5">
      <c r="A130" s="383"/>
      <c r="B130" s="384"/>
      <c r="C130" s="364"/>
      <c r="D130" s="364"/>
      <c r="E130" s="364"/>
      <c r="F130" s="365"/>
      <c r="G130" s="365"/>
      <c r="H130" s="365"/>
      <c r="I130" s="365"/>
      <c r="J130" s="365"/>
    </row>
    <row r="131" spans="1:10" ht="16.5">
      <c r="A131" s="383"/>
      <c r="B131" s="384"/>
      <c r="C131" s="364"/>
      <c r="D131" s="364"/>
      <c r="E131" s="364"/>
      <c r="F131" s="365"/>
      <c r="G131" s="365"/>
      <c r="H131" s="365"/>
      <c r="I131" s="365"/>
      <c r="J131" s="365"/>
    </row>
    <row r="132" spans="1:10" ht="16.5">
      <c r="A132" s="383"/>
      <c r="B132" s="384"/>
      <c r="C132" s="364"/>
      <c r="D132" s="364"/>
      <c r="E132" s="364"/>
      <c r="F132" s="365"/>
      <c r="G132" s="365"/>
      <c r="H132" s="365"/>
      <c r="I132" s="365"/>
      <c r="J132" s="365"/>
    </row>
    <row r="133" spans="1:10" ht="16.5">
      <c r="A133" s="383"/>
      <c r="B133" s="384"/>
      <c r="C133" s="364"/>
      <c r="D133" s="364"/>
      <c r="E133" s="364"/>
      <c r="F133" s="365"/>
      <c r="G133" s="365"/>
      <c r="H133" s="365"/>
      <c r="I133" s="365"/>
      <c r="J133" s="365"/>
    </row>
    <row r="134" spans="1:10" ht="16.5">
      <c r="A134" s="383"/>
      <c r="B134" s="384"/>
      <c r="C134" s="364"/>
      <c r="D134" s="364"/>
      <c r="E134" s="364"/>
      <c r="F134" s="365"/>
      <c r="G134" s="365"/>
      <c r="H134" s="365"/>
      <c r="I134" s="365"/>
      <c r="J134" s="365"/>
    </row>
    <row r="135" spans="1:10" ht="16.5">
      <c r="A135" s="383"/>
      <c r="B135" s="384"/>
      <c r="C135" s="364"/>
      <c r="D135" s="364"/>
      <c r="E135" s="364"/>
      <c r="F135" s="365"/>
      <c r="G135" s="365"/>
      <c r="H135" s="365"/>
      <c r="I135" s="365"/>
      <c r="J135" s="365"/>
    </row>
    <row r="136" spans="1:10" ht="16.5">
      <c r="A136" s="383"/>
      <c r="B136" s="384"/>
      <c r="C136" s="364"/>
      <c r="D136" s="364"/>
      <c r="E136" s="364"/>
      <c r="F136" s="365"/>
      <c r="G136" s="365"/>
      <c r="H136" s="365"/>
      <c r="I136" s="365"/>
      <c r="J136" s="365"/>
    </row>
    <row r="137" spans="1:10" ht="16.5">
      <c r="A137" s="383"/>
      <c r="B137" s="384"/>
      <c r="C137" s="364"/>
      <c r="D137" s="364"/>
      <c r="E137" s="364"/>
      <c r="F137" s="365"/>
      <c r="G137" s="365"/>
      <c r="H137" s="365"/>
      <c r="I137" s="365"/>
      <c r="J137" s="365"/>
    </row>
    <row r="138" spans="1:10" ht="16.5">
      <c r="A138" s="383"/>
      <c r="B138" s="384"/>
      <c r="C138" s="364"/>
      <c r="D138" s="364"/>
      <c r="E138" s="364"/>
      <c r="F138" s="365"/>
      <c r="G138" s="365"/>
      <c r="H138" s="365"/>
      <c r="I138" s="365"/>
      <c r="J138" s="365"/>
    </row>
    <row r="139" spans="1:10" ht="16.5">
      <c r="A139" s="383"/>
      <c r="B139" s="384"/>
      <c r="C139" s="364"/>
      <c r="D139" s="364"/>
      <c r="E139" s="364"/>
      <c r="F139" s="365"/>
      <c r="G139" s="365"/>
      <c r="H139" s="365"/>
      <c r="I139" s="365"/>
      <c r="J139" s="365"/>
    </row>
    <row r="140" spans="1:10" ht="16.5">
      <c r="A140" s="383"/>
      <c r="B140" s="384"/>
      <c r="C140" s="364"/>
      <c r="D140" s="364"/>
      <c r="E140" s="364"/>
      <c r="F140" s="365"/>
      <c r="G140" s="365"/>
      <c r="H140" s="365"/>
      <c r="I140" s="365"/>
      <c r="J140" s="365"/>
    </row>
    <row r="141" spans="1:10" ht="16.5">
      <c r="A141" s="383"/>
      <c r="B141" s="384"/>
      <c r="C141" s="364"/>
      <c r="D141" s="364"/>
      <c r="E141" s="364"/>
      <c r="F141" s="365"/>
      <c r="G141" s="365"/>
      <c r="H141" s="365"/>
      <c r="I141" s="365"/>
      <c r="J141" s="365"/>
    </row>
    <row r="142" spans="1:10" ht="16.5">
      <c r="A142" s="383"/>
      <c r="B142" s="384"/>
      <c r="C142" s="364"/>
      <c r="D142" s="364"/>
      <c r="E142" s="364"/>
      <c r="F142" s="365"/>
      <c r="G142" s="365"/>
      <c r="H142" s="365"/>
      <c r="I142" s="365"/>
      <c r="J142" s="365"/>
    </row>
    <row r="143" spans="1:10" ht="16.5">
      <c r="A143" s="383"/>
      <c r="B143" s="384"/>
      <c r="C143" s="364"/>
      <c r="D143" s="364"/>
      <c r="E143" s="364"/>
      <c r="F143" s="365"/>
      <c r="G143" s="365"/>
      <c r="H143" s="365"/>
      <c r="I143" s="365"/>
      <c r="J143" s="365"/>
    </row>
    <row r="144" spans="1:10" ht="16.5">
      <c r="A144" s="383"/>
      <c r="B144" s="384"/>
      <c r="C144" s="364"/>
      <c r="D144" s="364"/>
      <c r="E144" s="364"/>
      <c r="F144" s="365"/>
      <c r="G144" s="365"/>
      <c r="H144" s="365"/>
      <c r="I144" s="365"/>
      <c r="J144" s="365"/>
    </row>
    <row r="145" spans="1:10" ht="16.5">
      <c r="A145" s="383"/>
      <c r="B145" s="384"/>
      <c r="C145" s="364"/>
      <c r="D145" s="364"/>
      <c r="E145" s="364"/>
      <c r="F145" s="365"/>
      <c r="G145" s="365"/>
      <c r="H145" s="365"/>
      <c r="I145" s="365"/>
      <c r="J145" s="365"/>
    </row>
    <row r="146" spans="1:10" ht="16.5">
      <c r="A146" s="383"/>
      <c r="B146" s="384"/>
      <c r="C146" s="364"/>
      <c r="D146" s="364"/>
      <c r="E146" s="364"/>
      <c r="F146" s="365"/>
      <c r="G146" s="365"/>
      <c r="H146" s="365"/>
      <c r="I146" s="365"/>
      <c r="J146" s="365"/>
    </row>
    <row r="147" spans="1:10" ht="16.5">
      <c r="A147" s="383"/>
      <c r="B147" s="384"/>
      <c r="C147" s="364"/>
      <c r="D147" s="364"/>
      <c r="E147" s="364"/>
      <c r="F147" s="365"/>
      <c r="G147" s="365"/>
      <c r="H147" s="365"/>
      <c r="I147" s="365"/>
      <c r="J147" s="365"/>
    </row>
    <row r="148" spans="1:10" ht="16.5">
      <c r="A148" s="383"/>
      <c r="B148" s="384"/>
      <c r="C148" s="364"/>
      <c r="D148" s="364"/>
      <c r="E148" s="364"/>
      <c r="F148" s="365"/>
      <c r="G148" s="365"/>
      <c r="H148" s="365"/>
      <c r="I148" s="365"/>
      <c r="J148" s="365"/>
    </row>
    <row r="149" spans="1:10" ht="16.5">
      <c r="A149" s="383"/>
      <c r="B149" s="384"/>
      <c r="C149" s="364"/>
      <c r="D149" s="364"/>
      <c r="E149" s="364"/>
      <c r="F149" s="365"/>
      <c r="G149" s="365"/>
      <c r="H149" s="365"/>
      <c r="I149" s="365"/>
      <c r="J149" s="365"/>
    </row>
    <row r="150" spans="1:10" ht="16.5">
      <c r="A150" s="383"/>
      <c r="B150" s="384"/>
      <c r="C150" s="364"/>
      <c r="D150" s="364"/>
      <c r="E150" s="364"/>
      <c r="F150" s="365"/>
      <c r="G150" s="365"/>
      <c r="H150" s="365"/>
      <c r="I150" s="365"/>
      <c r="J150" s="365"/>
    </row>
    <row r="151" spans="1:10" ht="16.5">
      <c r="A151" s="383"/>
      <c r="B151" s="384"/>
      <c r="C151" s="364"/>
      <c r="D151" s="364"/>
      <c r="E151" s="364"/>
      <c r="F151" s="365"/>
      <c r="G151" s="365"/>
      <c r="H151" s="365"/>
      <c r="I151" s="365"/>
      <c r="J151" s="365"/>
    </row>
    <row r="152" spans="1:10" ht="16.5">
      <c r="A152" s="383"/>
      <c r="B152" s="384"/>
      <c r="C152" s="364"/>
      <c r="D152" s="364"/>
      <c r="E152" s="364"/>
      <c r="F152" s="365"/>
      <c r="G152" s="365"/>
      <c r="H152" s="365"/>
      <c r="I152" s="365"/>
      <c r="J152" s="365"/>
    </row>
    <row r="153" spans="1:10" ht="16.5">
      <c r="A153" s="383"/>
      <c r="B153" s="384"/>
      <c r="C153" s="364"/>
      <c r="D153" s="364"/>
      <c r="E153" s="364"/>
      <c r="F153" s="365"/>
      <c r="G153" s="365"/>
      <c r="H153" s="365"/>
      <c r="I153" s="365"/>
      <c r="J153" s="365"/>
    </row>
    <row r="154" spans="1:10" ht="16.5">
      <c r="A154" s="383"/>
      <c r="B154" s="384"/>
      <c r="C154" s="364"/>
      <c r="D154" s="364"/>
      <c r="E154" s="364"/>
      <c r="F154" s="365"/>
      <c r="G154" s="365"/>
      <c r="H154" s="365"/>
      <c r="I154" s="365"/>
      <c r="J154" s="365"/>
    </row>
    <row r="155" spans="1:10" ht="16.5">
      <c r="A155" s="383"/>
      <c r="B155" s="384"/>
      <c r="C155" s="364"/>
      <c r="D155" s="364"/>
      <c r="E155" s="364"/>
      <c r="F155" s="365"/>
      <c r="G155" s="365"/>
      <c r="H155" s="365"/>
      <c r="I155" s="365"/>
      <c r="J155" s="365"/>
    </row>
    <row r="156" spans="1:10" ht="16.5">
      <c r="A156" s="383"/>
      <c r="B156" s="384"/>
      <c r="C156" s="364"/>
      <c r="D156" s="364"/>
      <c r="E156" s="364"/>
      <c r="F156" s="365"/>
      <c r="G156" s="365"/>
      <c r="H156" s="365"/>
      <c r="I156" s="365"/>
      <c r="J156" s="365"/>
    </row>
    <row r="157" spans="1:10" ht="16.5">
      <c r="A157" s="383"/>
      <c r="B157" s="384"/>
      <c r="C157" s="364"/>
      <c r="D157" s="364"/>
      <c r="E157" s="364"/>
      <c r="F157" s="365"/>
      <c r="G157" s="365"/>
      <c r="H157" s="365"/>
      <c r="I157" s="365"/>
      <c r="J157" s="365"/>
    </row>
    <row r="158" spans="1:10" ht="16.5">
      <c r="A158" s="383"/>
      <c r="B158" s="384"/>
      <c r="C158" s="364"/>
      <c r="D158" s="364"/>
      <c r="E158" s="364"/>
      <c r="F158" s="365"/>
      <c r="G158" s="365"/>
      <c r="H158" s="365"/>
      <c r="I158" s="365"/>
      <c r="J158" s="365"/>
    </row>
    <row r="159" spans="1:10" ht="16.5">
      <c r="A159" s="383"/>
      <c r="B159" s="384"/>
      <c r="C159" s="364"/>
      <c r="D159" s="364"/>
      <c r="E159" s="364"/>
      <c r="F159" s="365"/>
      <c r="G159" s="365"/>
      <c r="H159" s="365"/>
      <c r="I159" s="365"/>
      <c r="J159" s="365"/>
    </row>
    <row r="160" spans="1:10" ht="16.5">
      <c r="A160" s="383"/>
      <c r="B160" s="384"/>
      <c r="C160" s="364"/>
      <c r="D160" s="364"/>
      <c r="E160" s="364"/>
      <c r="F160" s="365"/>
      <c r="G160" s="365"/>
      <c r="H160" s="365"/>
      <c r="I160" s="365"/>
      <c r="J160" s="365"/>
    </row>
    <row r="161" spans="1:10" ht="16.5">
      <c r="A161" s="383"/>
      <c r="B161" s="384"/>
      <c r="C161" s="364"/>
      <c r="D161" s="364"/>
      <c r="E161" s="364"/>
      <c r="F161" s="365"/>
      <c r="G161" s="365"/>
      <c r="H161" s="365"/>
      <c r="I161" s="365"/>
      <c r="J161" s="365"/>
    </row>
    <row r="162" spans="1:10" ht="16.5">
      <c r="A162" s="383"/>
      <c r="B162" s="384"/>
      <c r="C162" s="364"/>
      <c r="D162" s="364"/>
      <c r="E162" s="364"/>
      <c r="F162" s="365"/>
      <c r="G162" s="365"/>
      <c r="H162" s="365"/>
      <c r="I162" s="365"/>
      <c r="J162" s="365"/>
    </row>
    <row r="163" spans="1:10" ht="16.5">
      <c r="A163" s="383"/>
      <c r="B163" s="384"/>
      <c r="C163" s="364"/>
      <c r="D163" s="364"/>
      <c r="E163" s="364"/>
      <c r="F163" s="365"/>
      <c r="G163" s="365"/>
      <c r="H163" s="365"/>
      <c r="I163" s="365"/>
      <c r="J163" s="365"/>
    </row>
    <row r="164" spans="1:10" ht="16.5">
      <c r="A164" s="383"/>
      <c r="B164" s="384"/>
      <c r="C164" s="364"/>
      <c r="D164" s="364"/>
      <c r="E164" s="364"/>
      <c r="F164" s="365"/>
      <c r="G164" s="365"/>
      <c r="H164" s="365"/>
      <c r="I164" s="365"/>
      <c r="J164" s="365"/>
    </row>
    <row r="165" spans="1:10" ht="16.5">
      <c r="A165" s="383"/>
      <c r="B165" s="384"/>
      <c r="C165" s="364"/>
      <c r="D165" s="364"/>
      <c r="E165" s="364"/>
      <c r="F165" s="365"/>
      <c r="G165" s="365"/>
      <c r="H165" s="365"/>
      <c r="I165" s="365"/>
      <c r="J165" s="365"/>
    </row>
    <row r="166" spans="1:10" ht="16.5">
      <c r="A166" s="383"/>
      <c r="B166" s="384"/>
      <c r="C166" s="364"/>
      <c r="D166" s="364"/>
      <c r="E166" s="364"/>
      <c r="F166" s="365"/>
      <c r="G166" s="365"/>
      <c r="H166" s="365"/>
      <c r="I166" s="365"/>
      <c r="J166" s="365"/>
    </row>
    <row r="167" spans="1:10" ht="16.5">
      <c r="A167" s="383"/>
      <c r="B167" s="384"/>
      <c r="C167" s="364"/>
      <c r="D167" s="364"/>
      <c r="E167" s="364"/>
      <c r="F167" s="365"/>
      <c r="G167" s="365"/>
      <c r="H167" s="365"/>
      <c r="I167" s="365"/>
      <c r="J167" s="365"/>
    </row>
    <row r="168" spans="1:10" ht="16.5">
      <c r="A168" s="383"/>
      <c r="B168" s="384"/>
      <c r="C168" s="364"/>
      <c r="D168" s="364"/>
      <c r="E168" s="364"/>
      <c r="F168" s="365"/>
      <c r="G168" s="365"/>
      <c r="H168" s="365"/>
      <c r="I168" s="365"/>
      <c r="J168" s="365"/>
    </row>
    <row r="169" spans="1:10" ht="16.5">
      <c r="A169" s="383"/>
      <c r="B169" s="384"/>
      <c r="C169" s="364"/>
      <c r="D169" s="364"/>
      <c r="E169" s="364"/>
      <c r="F169" s="365"/>
      <c r="G169" s="365"/>
      <c r="H169" s="365"/>
      <c r="I169" s="365"/>
      <c r="J169" s="365"/>
    </row>
    <row r="170" spans="1:10" ht="16.5">
      <c r="A170" s="383"/>
      <c r="B170" s="384"/>
      <c r="C170" s="364"/>
      <c r="D170" s="364"/>
      <c r="E170" s="364"/>
      <c r="F170" s="365"/>
      <c r="G170" s="365"/>
      <c r="H170" s="365"/>
      <c r="I170" s="365"/>
      <c r="J170" s="365"/>
    </row>
    <row r="171" spans="1:10" ht="16.5">
      <c r="A171" s="383"/>
      <c r="B171" s="384"/>
      <c r="C171" s="364"/>
      <c r="D171" s="364"/>
      <c r="E171" s="364"/>
      <c r="F171" s="365"/>
      <c r="G171" s="365"/>
      <c r="H171" s="365"/>
      <c r="I171" s="365"/>
      <c r="J171" s="365"/>
    </row>
    <row r="172" spans="1:10" ht="16.5">
      <c r="A172" s="383"/>
      <c r="B172" s="384"/>
      <c r="C172" s="364"/>
      <c r="D172" s="364"/>
      <c r="E172" s="364"/>
      <c r="F172" s="365"/>
      <c r="G172" s="365"/>
      <c r="H172" s="365"/>
      <c r="I172" s="365"/>
      <c r="J172" s="365"/>
    </row>
    <row r="173" spans="1:10" ht="16.5">
      <c r="A173" s="383"/>
      <c r="B173" s="384"/>
      <c r="C173" s="364"/>
      <c r="D173" s="364"/>
      <c r="E173" s="364"/>
      <c r="F173" s="365"/>
      <c r="G173" s="365"/>
      <c r="H173" s="365"/>
      <c r="I173" s="365"/>
      <c r="J173" s="365"/>
    </row>
    <row r="174" spans="1:10" ht="16.5">
      <c r="A174" s="383"/>
      <c r="B174" s="384"/>
      <c r="C174" s="364"/>
      <c r="D174" s="364"/>
      <c r="E174" s="364"/>
      <c r="F174" s="365"/>
      <c r="G174" s="365"/>
      <c r="H174" s="365"/>
      <c r="I174" s="365"/>
      <c r="J174" s="365"/>
    </row>
    <row r="175" spans="1:10" ht="16.5">
      <c r="A175" s="383"/>
      <c r="B175" s="384"/>
      <c r="C175" s="364"/>
      <c r="D175" s="364"/>
      <c r="E175" s="364"/>
      <c r="F175" s="365"/>
      <c r="G175" s="365"/>
      <c r="H175" s="365"/>
      <c r="I175" s="365"/>
      <c r="J175" s="365"/>
    </row>
    <row r="176" spans="1:10" ht="16.5">
      <c r="A176" s="383"/>
      <c r="B176" s="384"/>
      <c r="C176" s="364"/>
      <c r="D176" s="364"/>
      <c r="E176" s="364"/>
      <c r="F176" s="365"/>
      <c r="G176" s="365"/>
      <c r="H176" s="365"/>
      <c r="I176" s="365"/>
      <c r="J176" s="365"/>
    </row>
    <row r="177" spans="1:10" ht="16.5">
      <c r="A177" s="383"/>
      <c r="B177" s="384"/>
      <c r="C177" s="364"/>
      <c r="D177" s="364"/>
      <c r="E177" s="364"/>
      <c r="F177" s="365"/>
      <c r="G177" s="365"/>
      <c r="H177" s="365"/>
      <c r="I177" s="365"/>
      <c r="J177" s="365"/>
    </row>
    <row r="178" spans="1:10" ht="16.5">
      <c r="A178" s="383"/>
      <c r="B178" s="384"/>
      <c r="C178" s="364"/>
      <c r="D178" s="364"/>
      <c r="E178" s="364"/>
      <c r="F178" s="365"/>
      <c r="G178" s="365"/>
      <c r="H178" s="365"/>
      <c r="I178" s="365"/>
      <c r="J178" s="365"/>
    </row>
    <row r="179" spans="1:10" ht="16.5">
      <c r="A179" s="383"/>
      <c r="B179" s="384"/>
      <c r="C179" s="364"/>
      <c r="D179" s="364"/>
      <c r="E179" s="364"/>
      <c r="F179" s="365"/>
      <c r="G179" s="365"/>
      <c r="H179" s="365"/>
      <c r="I179" s="365"/>
      <c r="J179" s="365"/>
    </row>
    <row r="180" spans="1:10" ht="16.5">
      <c r="A180" s="383"/>
      <c r="B180" s="384"/>
      <c r="C180" s="364"/>
      <c r="D180" s="364"/>
      <c r="E180" s="364"/>
      <c r="F180" s="365"/>
      <c r="G180" s="365"/>
      <c r="H180" s="365"/>
      <c r="I180" s="365"/>
      <c r="J180" s="365"/>
    </row>
    <row r="181" spans="1:10" ht="16.5">
      <c r="A181" s="383"/>
      <c r="B181" s="384"/>
      <c r="C181" s="364"/>
      <c r="D181" s="364"/>
      <c r="E181" s="364"/>
      <c r="F181" s="365"/>
      <c r="G181" s="365"/>
      <c r="H181" s="365"/>
      <c r="I181" s="365"/>
      <c r="J181" s="365"/>
    </row>
    <row r="182" spans="1:10" ht="16.5">
      <c r="A182" s="383"/>
      <c r="B182" s="384"/>
      <c r="C182" s="364"/>
      <c r="D182" s="364"/>
      <c r="E182" s="364"/>
      <c r="F182" s="365"/>
      <c r="G182" s="365"/>
      <c r="H182" s="365"/>
      <c r="I182" s="365"/>
      <c r="J182" s="365"/>
    </row>
    <row r="183" spans="1:10" ht="16.5">
      <c r="A183" s="383"/>
      <c r="B183" s="384"/>
      <c r="C183" s="364"/>
      <c r="D183" s="364"/>
      <c r="E183" s="364"/>
      <c r="F183" s="365"/>
      <c r="G183" s="365"/>
      <c r="H183" s="365"/>
      <c r="I183" s="365"/>
      <c r="J183" s="365"/>
    </row>
    <row r="184" spans="1:10" ht="16.5">
      <c r="A184" s="383"/>
      <c r="B184" s="384"/>
      <c r="C184" s="364"/>
      <c r="D184" s="364"/>
      <c r="E184" s="364"/>
      <c r="F184" s="365"/>
      <c r="G184" s="365"/>
      <c r="H184" s="365"/>
      <c r="I184" s="365"/>
      <c r="J184" s="365"/>
    </row>
    <row r="185" spans="1:10" ht="16.5">
      <c r="A185" s="383"/>
      <c r="B185" s="384"/>
      <c r="C185" s="364"/>
      <c r="D185" s="364"/>
      <c r="E185" s="364"/>
      <c r="F185" s="365"/>
      <c r="G185" s="365"/>
      <c r="H185" s="365"/>
      <c r="I185" s="365"/>
      <c r="J185" s="365"/>
    </row>
    <row r="186" spans="1:10" ht="16.5">
      <c r="A186" s="383"/>
      <c r="B186" s="384"/>
      <c r="C186" s="364"/>
      <c r="D186" s="364"/>
      <c r="E186" s="364"/>
      <c r="F186" s="365"/>
      <c r="G186" s="365"/>
      <c r="H186" s="365"/>
      <c r="I186" s="365"/>
      <c r="J186" s="365"/>
    </row>
    <row r="187" spans="1:10" ht="16.5">
      <c r="A187" s="383"/>
      <c r="B187" s="384"/>
      <c r="C187" s="364"/>
      <c r="D187" s="364"/>
      <c r="E187" s="364"/>
      <c r="F187" s="365"/>
      <c r="G187" s="365"/>
      <c r="H187" s="365"/>
      <c r="I187" s="365"/>
      <c r="J187" s="365"/>
    </row>
    <row r="188" spans="1:10" ht="16.5">
      <c r="A188" s="383"/>
      <c r="B188" s="384"/>
      <c r="C188" s="364"/>
      <c r="D188" s="364"/>
      <c r="E188" s="364"/>
      <c r="F188" s="365"/>
      <c r="G188" s="365"/>
      <c r="H188" s="365"/>
      <c r="I188" s="365"/>
      <c r="J188" s="365"/>
    </row>
    <row r="189" spans="1:10" ht="16.5">
      <c r="A189" s="383"/>
      <c r="B189" s="384"/>
      <c r="C189" s="364"/>
      <c r="D189" s="364"/>
      <c r="E189" s="364"/>
      <c r="F189" s="365"/>
      <c r="G189" s="365"/>
      <c r="H189" s="365"/>
      <c r="I189" s="365"/>
      <c r="J189" s="365"/>
    </row>
    <row r="190" spans="1:10" ht="16.5">
      <c r="A190" s="383"/>
      <c r="B190" s="384"/>
      <c r="C190" s="364"/>
      <c r="D190" s="364"/>
      <c r="E190" s="364"/>
      <c r="F190" s="365"/>
      <c r="G190" s="365"/>
      <c r="H190" s="365"/>
      <c r="I190" s="365"/>
      <c r="J190" s="365"/>
    </row>
    <row r="191" spans="1:10" ht="16.5">
      <c r="A191" s="383"/>
      <c r="B191" s="384"/>
      <c r="C191" s="364"/>
      <c r="D191" s="364"/>
      <c r="E191" s="364"/>
      <c r="F191" s="365"/>
      <c r="G191" s="365"/>
      <c r="H191" s="365"/>
      <c r="I191" s="365"/>
      <c r="J191" s="365"/>
    </row>
    <row r="192" spans="1:10" ht="16.5">
      <c r="A192" s="383"/>
      <c r="B192" s="384"/>
      <c r="C192" s="364"/>
      <c r="D192" s="364"/>
      <c r="E192" s="364"/>
      <c r="F192" s="365"/>
      <c r="G192" s="365"/>
      <c r="H192" s="365"/>
      <c r="I192" s="365"/>
      <c r="J192" s="365"/>
    </row>
    <row r="193" spans="1:10" ht="16.5">
      <c r="A193" s="383"/>
      <c r="B193" s="384"/>
      <c r="C193" s="364"/>
      <c r="D193" s="364"/>
      <c r="E193" s="364"/>
      <c r="F193" s="365"/>
      <c r="G193" s="365"/>
      <c r="H193" s="365"/>
      <c r="I193" s="365"/>
      <c r="J193" s="365"/>
    </row>
    <row r="194" spans="1:10" ht="16.5">
      <c r="A194" s="383"/>
      <c r="B194" s="384"/>
      <c r="C194" s="364"/>
      <c r="D194" s="364"/>
      <c r="E194" s="364"/>
      <c r="F194" s="365"/>
      <c r="G194" s="365"/>
      <c r="H194" s="365"/>
      <c r="I194" s="365"/>
      <c r="J194" s="365"/>
    </row>
    <row r="195" spans="1:10" ht="16.5">
      <c r="A195" s="383"/>
      <c r="B195" s="384"/>
      <c r="C195" s="364"/>
      <c r="D195" s="364"/>
      <c r="E195" s="364"/>
      <c r="F195" s="365"/>
      <c r="G195" s="365"/>
      <c r="H195" s="365"/>
      <c r="I195" s="365"/>
      <c r="J195" s="365"/>
    </row>
    <row r="196" spans="1:10" ht="16.5">
      <c r="A196" s="383"/>
      <c r="B196" s="384"/>
      <c r="C196" s="364"/>
      <c r="D196" s="364"/>
      <c r="E196" s="364"/>
      <c r="F196" s="365"/>
      <c r="G196" s="365"/>
      <c r="H196" s="365"/>
      <c r="I196" s="365"/>
      <c r="J196" s="365"/>
    </row>
    <row r="197" spans="1:10" ht="16.5">
      <c r="A197" s="383"/>
      <c r="B197" s="384"/>
      <c r="C197" s="364"/>
      <c r="D197" s="364"/>
      <c r="E197" s="364"/>
      <c r="F197" s="365"/>
      <c r="G197" s="365"/>
      <c r="H197" s="365"/>
      <c r="I197" s="365"/>
      <c r="J197" s="365"/>
    </row>
    <row r="198" spans="1:10" ht="16.5">
      <c r="A198" s="383"/>
      <c r="B198" s="384"/>
      <c r="C198" s="364"/>
      <c r="D198" s="364"/>
      <c r="E198" s="364"/>
      <c r="F198" s="365"/>
      <c r="G198" s="365"/>
      <c r="H198" s="365"/>
      <c r="I198" s="365"/>
      <c r="J198" s="365"/>
    </row>
    <row r="199" spans="1:10" ht="16.5">
      <c r="A199" s="383"/>
      <c r="B199" s="384"/>
      <c r="C199" s="364"/>
      <c r="D199" s="364"/>
      <c r="E199" s="364"/>
      <c r="F199" s="365"/>
      <c r="G199" s="365"/>
      <c r="H199" s="365"/>
      <c r="I199" s="365"/>
      <c r="J199" s="365"/>
    </row>
    <row r="200" spans="1:10" ht="16.5">
      <c r="A200" s="383"/>
      <c r="B200" s="384"/>
      <c r="C200" s="364"/>
      <c r="D200" s="364"/>
      <c r="E200" s="364"/>
      <c r="F200" s="365"/>
      <c r="G200" s="365"/>
      <c r="H200" s="365"/>
      <c r="I200" s="365"/>
      <c r="J200" s="365"/>
    </row>
    <row r="201" spans="1:10" ht="16.5">
      <c r="A201" s="383"/>
      <c r="B201" s="384"/>
      <c r="C201" s="364"/>
      <c r="D201" s="364"/>
      <c r="E201" s="364"/>
      <c r="F201" s="365"/>
      <c r="G201" s="365"/>
      <c r="H201" s="365"/>
      <c r="I201" s="365"/>
      <c r="J201" s="365"/>
    </row>
    <row r="202" spans="1:10" ht="16.5">
      <c r="A202" s="383"/>
      <c r="B202" s="384"/>
      <c r="C202" s="364"/>
      <c r="D202" s="364"/>
      <c r="E202" s="364"/>
      <c r="F202" s="365"/>
      <c r="G202" s="365"/>
      <c r="H202" s="365"/>
      <c r="I202" s="365"/>
      <c r="J202" s="365"/>
    </row>
    <row r="203" spans="1:10" ht="16.5">
      <c r="A203" s="383"/>
      <c r="B203" s="384"/>
      <c r="C203" s="364"/>
      <c r="D203" s="364"/>
      <c r="E203" s="364"/>
      <c r="F203" s="365"/>
      <c r="G203" s="365"/>
      <c r="H203" s="365"/>
      <c r="I203" s="365"/>
      <c r="J203" s="365"/>
    </row>
    <row r="204" spans="1:10" ht="16.5">
      <c r="A204" s="383"/>
      <c r="B204" s="384"/>
      <c r="C204" s="364"/>
      <c r="D204" s="364"/>
      <c r="E204" s="364"/>
      <c r="F204" s="365"/>
      <c r="G204" s="365"/>
      <c r="H204" s="365"/>
      <c r="I204" s="365"/>
      <c r="J204" s="365"/>
    </row>
    <row r="205" spans="1:10" ht="16.5">
      <c r="A205" s="383"/>
      <c r="B205" s="384"/>
      <c r="C205" s="364"/>
      <c r="D205" s="364"/>
      <c r="E205" s="364"/>
      <c r="F205" s="365"/>
      <c r="G205" s="365"/>
      <c r="H205" s="365"/>
      <c r="I205" s="365"/>
      <c r="J205" s="365"/>
    </row>
    <row r="206" spans="1:10" ht="16.5">
      <c r="A206" s="383"/>
      <c r="B206" s="384"/>
      <c r="C206" s="364"/>
      <c r="D206" s="364"/>
      <c r="E206" s="364"/>
      <c r="F206" s="365"/>
      <c r="G206" s="365"/>
      <c r="H206" s="365"/>
      <c r="I206" s="365"/>
      <c r="J206" s="365"/>
    </row>
    <row r="207" spans="1:10" ht="16.5">
      <c r="A207" s="383"/>
      <c r="B207" s="384"/>
      <c r="C207" s="364"/>
      <c r="D207" s="364"/>
      <c r="E207" s="364"/>
      <c r="F207" s="365"/>
      <c r="G207" s="365"/>
      <c r="H207" s="365"/>
      <c r="I207" s="365"/>
      <c r="J207" s="365"/>
    </row>
    <row r="208" spans="1:10" ht="16.5">
      <c r="A208" s="383"/>
      <c r="B208" s="384"/>
      <c r="C208" s="364"/>
      <c r="D208" s="364"/>
      <c r="E208" s="364"/>
      <c r="F208" s="365"/>
      <c r="G208" s="365"/>
      <c r="H208" s="365"/>
      <c r="I208" s="365"/>
      <c r="J208" s="365"/>
    </row>
    <row r="209" spans="1:10" ht="16.5">
      <c r="A209" s="383"/>
      <c r="B209" s="384"/>
      <c r="C209" s="364"/>
      <c r="D209" s="364"/>
      <c r="E209" s="364"/>
      <c r="F209" s="365"/>
      <c r="G209" s="365"/>
      <c r="H209" s="365"/>
      <c r="I209" s="365"/>
      <c r="J209" s="365"/>
    </row>
    <row r="210" spans="1:10" ht="16.5">
      <c r="A210" s="383"/>
      <c r="B210" s="384"/>
      <c r="C210" s="364"/>
      <c r="D210" s="364"/>
      <c r="E210" s="364"/>
      <c r="F210" s="365"/>
      <c r="G210" s="365"/>
      <c r="H210" s="365"/>
      <c r="I210" s="365"/>
      <c r="J210" s="365"/>
    </row>
    <row r="211" spans="1:10" ht="16.5">
      <c r="A211" s="383"/>
      <c r="B211" s="384"/>
      <c r="C211" s="364"/>
      <c r="D211" s="364"/>
      <c r="E211" s="364"/>
      <c r="F211" s="365"/>
      <c r="G211" s="365"/>
      <c r="H211" s="365"/>
      <c r="I211" s="365"/>
      <c r="J211" s="365"/>
    </row>
    <row r="212" spans="1:10" ht="16.5">
      <c r="A212" s="383"/>
      <c r="B212" s="384"/>
      <c r="C212" s="364"/>
      <c r="D212" s="364"/>
      <c r="E212" s="364"/>
      <c r="F212" s="365"/>
      <c r="G212" s="365"/>
      <c r="H212" s="365"/>
      <c r="I212" s="365"/>
      <c r="J212" s="365"/>
    </row>
    <row r="213" spans="1:10" ht="16.5">
      <c r="A213" s="383"/>
      <c r="B213" s="384"/>
      <c r="C213" s="364"/>
      <c r="D213" s="364"/>
      <c r="E213" s="364"/>
      <c r="F213" s="365"/>
      <c r="G213" s="365"/>
      <c r="H213" s="365"/>
      <c r="I213" s="365"/>
      <c r="J213" s="365"/>
    </row>
    <row r="214" spans="1:10" ht="16.5">
      <c r="A214" s="383"/>
      <c r="B214" s="384"/>
      <c r="C214" s="364"/>
      <c r="D214" s="364"/>
      <c r="E214" s="364"/>
      <c r="F214" s="365"/>
      <c r="G214" s="365"/>
      <c r="H214" s="365"/>
      <c r="I214" s="365"/>
      <c r="J214" s="365"/>
    </row>
    <row r="215" spans="1:10" ht="16.5">
      <c r="A215" s="383"/>
      <c r="B215" s="384"/>
      <c r="C215" s="364"/>
      <c r="D215" s="364"/>
      <c r="E215" s="364"/>
      <c r="F215" s="365"/>
      <c r="G215" s="365"/>
      <c r="H215" s="365"/>
      <c r="I215" s="365"/>
      <c r="J215" s="365"/>
    </row>
    <row r="216" spans="1:10" ht="16.5">
      <c r="A216" s="383"/>
      <c r="B216" s="384"/>
      <c r="C216" s="364"/>
      <c r="D216" s="364"/>
      <c r="E216" s="364"/>
      <c r="F216" s="365"/>
      <c r="G216" s="365"/>
      <c r="H216" s="365"/>
      <c r="I216" s="365"/>
      <c r="J216" s="365"/>
    </row>
    <row r="217" spans="1:10" ht="16.5">
      <c r="A217" s="383"/>
      <c r="B217" s="384"/>
      <c r="C217" s="364"/>
      <c r="D217" s="364"/>
      <c r="E217" s="364"/>
      <c r="F217" s="365"/>
      <c r="G217" s="365"/>
      <c r="H217" s="365"/>
      <c r="I217" s="365"/>
      <c r="J217" s="365"/>
    </row>
    <row r="218" spans="1:10" ht="16.5">
      <c r="A218" s="383"/>
      <c r="B218" s="384"/>
      <c r="C218" s="364"/>
      <c r="D218" s="364"/>
      <c r="E218" s="364"/>
      <c r="F218" s="365"/>
      <c r="G218" s="365"/>
      <c r="H218" s="365"/>
      <c r="I218" s="365"/>
      <c r="J218" s="365"/>
    </row>
    <row r="219" spans="1:10" ht="16.5">
      <c r="A219" s="383"/>
      <c r="B219" s="384"/>
      <c r="C219" s="364"/>
      <c r="D219" s="364"/>
      <c r="E219" s="364"/>
      <c r="F219" s="365"/>
      <c r="G219" s="365"/>
      <c r="H219" s="365"/>
      <c r="I219" s="365"/>
      <c r="J219" s="365"/>
    </row>
    <row r="220" spans="1:10" ht="16.5">
      <c r="A220" s="383"/>
      <c r="B220" s="384"/>
      <c r="C220" s="364"/>
      <c r="D220" s="364"/>
      <c r="E220" s="364"/>
      <c r="F220" s="365"/>
      <c r="G220" s="365"/>
      <c r="H220" s="365"/>
      <c r="I220" s="365"/>
      <c r="J220" s="365"/>
    </row>
    <row r="221" spans="1:10" ht="16.5">
      <c r="A221" s="383"/>
      <c r="B221" s="384"/>
      <c r="C221" s="364"/>
      <c r="D221" s="364"/>
      <c r="E221" s="364"/>
      <c r="F221" s="365"/>
      <c r="G221" s="365"/>
      <c r="H221" s="365"/>
      <c r="I221" s="365"/>
      <c r="J221" s="365"/>
    </row>
    <row r="222" spans="1:10" ht="16.5">
      <c r="A222" s="383"/>
      <c r="B222" s="384"/>
      <c r="C222" s="364"/>
      <c r="D222" s="364"/>
      <c r="E222" s="364"/>
      <c r="F222" s="365"/>
      <c r="G222" s="365"/>
      <c r="H222" s="365"/>
      <c r="I222" s="365"/>
      <c r="J222" s="365"/>
    </row>
    <row r="223" spans="1:10" ht="16.5">
      <c r="A223" s="383"/>
      <c r="B223" s="384"/>
      <c r="C223" s="364"/>
      <c r="D223" s="364"/>
      <c r="E223" s="364"/>
      <c r="F223" s="365"/>
      <c r="G223" s="365"/>
      <c r="H223" s="365"/>
      <c r="I223" s="365"/>
      <c r="J223" s="365"/>
    </row>
    <row r="224" spans="1:10" ht="16.5">
      <c r="A224" s="383"/>
      <c r="B224" s="384"/>
      <c r="C224" s="364"/>
      <c r="D224" s="364"/>
      <c r="E224" s="364"/>
      <c r="F224" s="365"/>
      <c r="G224" s="365"/>
      <c r="H224" s="365"/>
      <c r="I224" s="365"/>
      <c r="J224" s="365"/>
    </row>
    <row r="225" spans="1:10" ht="16.5">
      <c r="A225" s="383"/>
      <c r="B225" s="384"/>
      <c r="C225" s="364"/>
      <c r="D225" s="364"/>
      <c r="E225" s="364"/>
      <c r="F225" s="365"/>
      <c r="G225" s="365"/>
      <c r="H225" s="365"/>
      <c r="I225" s="365"/>
      <c r="J225" s="365"/>
    </row>
    <row r="226" spans="1:10" ht="16.5">
      <c r="A226" s="383"/>
      <c r="B226" s="384"/>
      <c r="C226" s="364"/>
      <c r="D226" s="364"/>
      <c r="E226" s="364"/>
      <c r="F226" s="365"/>
      <c r="G226" s="365"/>
      <c r="H226" s="365"/>
      <c r="I226" s="365"/>
      <c r="J226" s="365"/>
    </row>
    <row r="227" spans="1:10" ht="16.5">
      <c r="A227" s="383"/>
      <c r="B227" s="384"/>
      <c r="C227" s="364"/>
      <c r="D227" s="364"/>
      <c r="E227" s="364"/>
      <c r="F227" s="365"/>
      <c r="G227" s="365"/>
      <c r="H227" s="365"/>
      <c r="I227" s="365"/>
      <c r="J227" s="365"/>
    </row>
    <row r="228" spans="1:10" ht="16.5">
      <c r="A228" s="383"/>
      <c r="B228" s="384"/>
      <c r="C228" s="364"/>
      <c r="D228" s="364"/>
      <c r="E228" s="364"/>
      <c r="F228" s="365"/>
      <c r="G228" s="365"/>
      <c r="H228" s="365"/>
      <c r="I228" s="365"/>
      <c r="J228" s="365"/>
    </row>
    <row r="229" spans="1:10" ht="16.5">
      <c r="A229" s="383"/>
      <c r="B229" s="384"/>
      <c r="C229" s="364"/>
      <c r="D229" s="364"/>
      <c r="E229" s="364"/>
      <c r="F229" s="365"/>
      <c r="G229" s="365"/>
      <c r="H229" s="365"/>
      <c r="I229" s="365"/>
      <c r="J229" s="365"/>
    </row>
    <row r="230" spans="1:10" ht="16.5">
      <c r="A230" s="383"/>
      <c r="B230" s="384"/>
      <c r="C230" s="364"/>
      <c r="D230" s="364"/>
      <c r="E230" s="364"/>
      <c r="F230" s="365"/>
      <c r="G230" s="365"/>
      <c r="H230" s="365"/>
      <c r="I230" s="365"/>
      <c r="J230" s="365"/>
    </row>
    <row r="231" spans="1:10" ht="16.5">
      <c r="A231" s="383"/>
      <c r="B231" s="384"/>
      <c r="C231" s="364"/>
      <c r="D231" s="364"/>
      <c r="E231" s="364"/>
      <c r="F231" s="365"/>
      <c r="G231" s="365"/>
      <c r="H231" s="365"/>
      <c r="I231" s="365"/>
      <c r="J231" s="365"/>
    </row>
    <row r="232" spans="1:10" ht="16.5">
      <c r="A232" s="383"/>
      <c r="B232" s="384"/>
      <c r="C232" s="364"/>
      <c r="D232" s="364"/>
      <c r="E232" s="364"/>
      <c r="F232" s="365"/>
      <c r="G232" s="365"/>
      <c r="H232" s="365"/>
      <c r="I232" s="365"/>
      <c r="J232" s="365"/>
    </row>
    <row r="233" spans="1:10" ht="16.5">
      <c r="A233" s="383"/>
      <c r="B233" s="384"/>
      <c r="C233" s="364"/>
      <c r="D233" s="364"/>
      <c r="E233" s="364"/>
      <c r="F233" s="365"/>
      <c r="G233" s="365"/>
      <c r="H233" s="365"/>
      <c r="I233" s="365"/>
      <c r="J233" s="365"/>
    </row>
    <row r="234" spans="1:10" ht="16.5">
      <c r="A234" s="383"/>
      <c r="B234" s="384"/>
      <c r="C234" s="364"/>
      <c r="D234" s="364"/>
      <c r="E234" s="364"/>
      <c r="F234" s="365"/>
      <c r="G234" s="365"/>
      <c r="H234" s="365"/>
      <c r="I234" s="365"/>
      <c r="J234" s="365"/>
    </row>
    <row r="235" spans="1:10" ht="16.5">
      <c r="A235" s="383"/>
      <c r="B235" s="384"/>
      <c r="C235" s="364"/>
      <c r="D235" s="364"/>
      <c r="E235" s="364"/>
      <c r="F235" s="365"/>
      <c r="G235" s="365"/>
      <c r="H235" s="365"/>
      <c r="I235" s="365"/>
      <c r="J235" s="365"/>
    </row>
    <row r="236" spans="1:10" ht="16.5">
      <c r="A236" s="383"/>
      <c r="B236" s="384"/>
      <c r="C236" s="364"/>
      <c r="D236" s="364"/>
      <c r="E236" s="364"/>
      <c r="F236" s="365"/>
      <c r="G236" s="365"/>
      <c r="H236" s="365"/>
      <c r="I236" s="365"/>
      <c r="J236" s="365"/>
    </row>
    <row r="237" spans="1:10" ht="16.5">
      <c r="A237" s="383"/>
      <c r="B237" s="384"/>
      <c r="C237" s="364"/>
      <c r="D237" s="364"/>
      <c r="E237" s="364"/>
      <c r="F237" s="365"/>
      <c r="G237" s="365"/>
      <c r="H237" s="365"/>
      <c r="I237" s="365"/>
      <c r="J237" s="365"/>
    </row>
    <row r="238" spans="1:10" ht="16.5">
      <c r="A238" s="383"/>
      <c r="B238" s="384"/>
      <c r="C238" s="364"/>
      <c r="D238" s="364"/>
      <c r="E238" s="364"/>
      <c r="F238" s="365"/>
      <c r="G238" s="365"/>
      <c r="H238" s="365"/>
      <c r="I238" s="365"/>
      <c r="J238" s="365"/>
    </row>
    <row r="239" spans="1:10" ht="16.5">
      <c r="A239" s="383"/>
      <c r="B239" s="384"/>
      <c r="C239" s="364"/>
      <c r="D239" s="364"/>
      <c r="E239" s="364"/>
      <c r="F239" s="365"/>
      <c r="G239" s="365"/>
      <c r="H239" s="365"/>
      <c r="I239" s="365"/>
      <c r="J239" s="365"/>
    </row>
    <row r="240" spans="1:10" ht="16.5">
      <c r="A240" s="383"/>
      <c r="B240" s="384"/>
      <c r="C240" s="364"/>
      <c r="D240" s="364"/>
      <c r="E240" s="364"/>
      <c r="F240" s="365"/>
      <c r="G240" s="365"/>
      <c r="H240" s="365"/>
      <c r="I240" s="365"/>
      <c r="J240" s="365"/>
    </row>
    <row r="241" spans="1:10" ht="16.5">
      <c r="A241" s="383"/>
      <c r="B241" s="384"/>
      <c r="C241" s="364"/>
      <c r="D241" s="364"/>
      <c r="E241" s="364"/>
      <c r="F241" s="365"/>
      <c r="G241" s="365"/>
      <c r="H241" s="365"/>
      <c r="I241" s="365"/>
      <c r="J241" s="365"/>
    </row>
    <row r="242" spans="1:10" ht="16.5">
      <c r="A242" s="383"/>
      <c r="B242" s="384"/>
      <c r="C242" s="364"/>
      <c r="D242" s="364"/>
      <c r="E242" s="364"/>
      <c r="F242" s="365"/>
      <c r="G242" s="365"/>
      <c r="H242" s="365"/>
      <c r="I242" s="365"/>
      <c r="J242" s="365"/>
    </row>
    <row r="243" spans="1:10" ht="16.5">
      <c r="A243" s="383"/>
      <c r="B243" s="384"/>
      <c r="C243" s="364"/>
      <c r="D243" s="364"/>
      <c r="E243" s="364"/>
      <c r="F243" s="365"/>
      <c r="G243" s="365"/>
      <c r="H243" s="365"/>
      <c r="I243" s="365"/>
      <c r="J243" s="365"/>
    </row>
    <row r="244" spans="1:10" ht="16.5">
      <c r="A244" s="383"/>
      <c r="B244" s="384"/>
      <c r="C244" s="364"/>
      <c r="D244" s="364"/>
      <c r="E244" s="364"/>
      <c r="F244" s="365"/>
      <c r="G244" s="365"/>
      <c r="H244" s="365"/>
      <c r="I244" s="365"/>
      <c r="J244" s="365"/>
    </row>
    <row r="245" spans="1:10" ht="16.5">
      <c r="A245" s="383"/>
      <c r="B245" s="384"/>
      <c r="C245" s="364"/>
      <c r="D245" s="364"/>
      <c r="E245" s="364"/>
      <c r="F245" s="365"/>
      <c r="G245" s="365"/>
      <c r="H245" s="365"/>
      <c r="I245" s="365"/>
      <c r="J245" s="365"/>
    </row>
    <row r="246" spans="1:10" ht="16.5">
      <c r="A246" s="383"/>
      <c r="B246" s="384"/>
      <c r="C246" s="364"/>
      <c r="D246" s="364"/>
      <c r="E246" s="364"/>
      <c r="F246" s="365"/>
      <c r="G246" s="365"/>
      <c r="H246" s="365"/>
      <c r="I246" s="365"/>
      <c r="J246" s="365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6"/>
  <sheetViews>
    <sheetView workbookViewId="0"/>
  </sheetViews>
  <sheetFormatPr defaultRowHeight="15"/>
  <sheetData>
    <row r="1" spans="1:21" ht="37.5">
      <c r="B1" s="509" t="s">
        <v>821</v>
      </c>
      <c r="C1" s="519"/>
      <c r="D1" s="519"/>
      <c r="E1" s="595"/>
      <c r="H1" s="1074"/>
      <c r="I1" s="1074"/>
      <c r="J1" s="550"/>
      <c r="K1" s="550"/>
    </row>
    <row r="2" spans="1:21" ht="132">
      <c r="A2" s="1077" t="s">
        <v>543</v>
      </c>
      <c r="B2" s="1078"/>
      <c r="C2" s="1078"/>
      <c r="D2" s="1078"/>
      <c r="E2" s="1078"/>
      <c r="F2" s="1078"/>
      <c r="G2" s="1078"/>
      <c r="H2" s="1078"/>
      <c r="I2" s="1078"/>
      <c r="J2" s="1078"/>
      <c r="K2" s="551"/>
    </row>
    <row r="3" spans="1:21" ht="16.5">
      <c r="A3" s="1036"/>
      <c r="B3" s="1162" t="s">
        <v>816</v>
      </c>
      <c r="C3" s="1162"/>
      <c r="D3" s="1162"/>
      <c r="E3" s="1162"/>
      <c r="F3" s="1162"/>
      <c r="G3" s="1162"/>
      <c r="H3" s="1162"/>
      <c r="I3" s="1162"/>
      <c r="J3" s="1162"/>
      <c r="K3" s="1037"/>
    </row>
    <row r="4" spans="1:21" ht="16.5">
      <c r="A4" s="1036"/>
      <c r="B4" s="1037"/>
      <c r="C4" s="1037"/>
      <c r="D4" s="1037"/>
      <c r="E4" s="1037"/>
      <c r="F4" s="1037"/>
      <c r="G4" s="1037"/>
      <c r="H4" s="1037"/>
      <c r="I4" s="1037"/>
      <c r="J4" s="1037"/>
      <c r="K4" s="1037"/>
    </row>
    <row r="5" spans="1:21" ht="99">
      <c r="A5" s="1079" t="s">
        <v>0</v>
      </c>
      <c r="B5" s="1079" t="s">
        <v>487</v>
      </c>
      <c r="C5" s="1079" t="s">
        <v>184</v>
      </c>
      <c r="D5" s="1049" t="s">
        <v>611</v>
      </c>
      <c r="E5" s="1049" t="s">
        <v>602</v>
      </c>
      <c r="F5" s="1056" t="s">
        <v>769</v>
      </c>
      <c r="G5" s="1057"/>
      <c r="H5" s="1057"/>
      <c r="I5" s="1057"/>
      <c r="J5" s="1058"/>
      <c r="K5" s="551"/>
    </row>
    <row r="6" spans="1:21" ht="66">
      <c r="A6" s="1079"/>
      <c r="B6" s="1079"/>
      <c r="C6" s="1079"/>
      <c r="D6" s="1049"/>
      <c r="E6" s="1049"/>
      <c r="F6" s="1031" t="s">
        <v>770</v>
      </c>
      <c r="G6" s="1031" t="s">
        <v>771</v>
      </c>
      <c r="H6" s="1031" t="s">
        <v>772</v>
      </c>
      <c r="I6" s="1031" t="s">
        <v>773</v>
      </c>
      <c r="J6" s="1031" t="s">
        <v>774</v>
      </c>
      <c r="K6" s="553"/>
    </row>
    <row r="7" spans="1:21" ht="82.5">
      <c r="A7" s="1034" t="s">
        <v>101</v>
      </c>
      <c r="B7" s="1035" t="s">
        <v>336</v>
      </c>
      <c r="C7" s="498" t="s">
        <v>814</v>
      </c>
      <c r="D7" s="482"/>
      <c r="E7" s="482"/>
      <c r="F7" s="482"/>
      <c r="G7" s="482"/>
      <c r="H7" s="482"/>
      <c r="I7" s="482"/>
      <c r="J7" s="482"/>
      <c r="K7" s="552"/>
      <c r="T7" s="499"/>
      <c r="U7" s="499"/>
    </row>
    <row r="8" spans="1:21" ht="82.5">
      <c r="A8" s="502">
        <v>1</v>
      </c>
      <c r="B8" s="624" t="s">
        <v>555</v>
      </c>
      <c r="C8" s="498" t="s">
        <v>488</v>
      </c>
      <c r="D8" s="482"/>
      <c r="E8" s="482"/>
      <c r="F8" s="482"/>
      <c r="G8" s="482"/>
      <c r="H8" s="482"/>
      <c r="I8" s="482"/>
      <c r="J8" s="482"/>
      <c r="K8" s="552"/>
      <c r="T8" s="499"/>
      <c r="U8" s="499"/>
    </row>
    <row r="9" spans="1:21" ht="115.5">
      <c r="A9" s="502">
        <v>2</v>
      </c>
      <c r="B9" s="624" t="s">
        <v>556</v>
      </c>
      <c r="C9" s="498" t="s">
        <v>488</v>
      </c>
      <c r="D9" s="482"/>
      <c r="E9" s="482"/>
      <c r="F9" s="482"/>
      <c r="G9" s="482"/>
      <c r="H9" s="482"/>
      <c r="I9" s="482"/>
      <c r="J9" s="482"/>
      <c r="K9" s="552"/>
      <c r="T9" s="499"/>
      <c r="U9" s="499"/>
    </row>
    <row r="10" spans="1:21" ht="66">
      <c r="A10" s="502">
        <v>3</v>
      </c>
      <c r="B10" s="624" t="s">
        <v>557</v>
      </c>
      <c r="C10" s="498" t="s">
        <v>488</v>
      </c>
      <c r="D10" s="482"/>
      <c r="E10" s="482"/>
      <c r="F10" s="482"/>
      <c r="G10" s="482"/>
      <c r="H10" s="482"/>
      <c r="I10" s="482"/>
      <c r="J10" s="482"/>
      <c r="K10" s="552"/>
      <c r="T10" s="499"/>
      <c r="U10" s="499"/>
    </row>
    <row r="11" spans="1:21" ht="82.5">
      <c r="A11" s="502">
        <v>4</v>
      </c>
      <c r="B11" s="624" t="s">
        <v>558</v>
      </c>
      <c r="C11" s="498" t="s">
        <v>488</v>
      </c>
      <c r="D11" s="482"/>
      <c r="E11" s="482"/>
      <c r="F11" s="482"/>
      <c r="G11" s="482"/>
      <c r="H11" s="482"/>
      <c r="I11" s="482"/>
      <c r="J11" s="482"/>
      <c r="K11" s="552"/>
      <c r="T11" s="499"/>
      <c r="U11" s="499"/>
    </row>
    <row r="12" spans="1:21" ht="82.5">
      <c r="A12" s="502">
        <v>5</v>
      </c>
      <c r="B12" s="624" t="s">
        <v>559</v>
      </c>
      <c r="C12" s="498" t="s">
        <v>488</v>
      </c>
      <c r="D12" s="482"/>
      <c r="E12" s="482"/>
      <c r="F12" s="482"/>
      <c r="G12" s="482"/>
      <c r="H12" s="482"/>
      <c r="I12" s="482"/>
      <c r="J12" s="482"/>
      <c r="K12" s="552"/>
      <c r="T12" s="499"/>
      <c r="U12" s="499"/>
    </row>
    <row r="13" spans="1:21" ht="66">
      <c r="A13" s="502"/>
      <c r="B13" s="624" t="s">
        <v>576</v>
      </c>
      <c r="C13" s="498"/>
      <c r="D13" s="482"/>
      <c r="E13" s="482"/>
      <c r="F13" s="482"/>
      <c r="G13" s="482"/>
      <c r="H13" s="482"/>
      <c r="I13" s="482"/>
      <c r="J13" s="482"/>
      <c r="K13" s="552"/>
      <c r="T13" s="499"/>
      <c r="U13" s="499"/>
    </row>
    <row r="14" spans="1:21" ht="33">
      <c r="A14" s="502"/>
      <c r="B14" s="624" t="s">
        <v>577</v>
      </c>
      <c r="C14" s="498"/>
      <c r="D14" s="482"/>
      <c r="E14" s="482"/>
      <c r="F14" s="482"/>
      <c r="G14" s="482"/>
      <c r="H14" s="482"/>
      <c r="I14" s="482"/>
      <c r="J14" s="482"/>
      <c r="K14" s="552"/>
      <c r="T14" s="499"/>
      <c r="U14" s="499"/>
    </row>
    <row r="15" spans="1:21" ht="33">
      <c r="A15" s="502"/>
      <c r="B15" s="624" t="s">
        <v>578</v>
      </c>
      <c r="C15" s="498"/>
      <c r="D15" s="482"/>
      <c r="E15" s="482"/>
      <c r="F15" s="482"/>
      <c r="G15" s="482"/>
      <c r="H15" s="482"/>
      <c r="I15" s="482"/>
      <c r="J15" s="482"/>
      <c r="K15" s="552"/>
      <c r="T15" s="499"/>
      <c r="U15" s="499"/>
    </row>
    <row r="16" spans="1:21" ht="49.5">
      <c r="A16" s="502"/>
      <c r="B16" s="624" t="s">
        <v>579</v>
      </c>
      <c r="C16" s="498"/>
      <c r="D16" s="482"/>
      <c r="E16" s="482"/>
      <c r="F16" s="482"/>
      <c r="G16" s="482"/>
      <c r="H16" s="482"/>
      <c r="I16" s="482"/>
      <c r="J16" s="482"/>
      <c r="K16" s="552"/>
      <c r="T16" s="499"/>
      <c r="U16" s="499"/>
    </row>
    <row r="17" spans="1:21" ht="49.5">
      <c r="A17" s="502">
        <v>6</v>
      </c>
      <c r="B17" s="624" t="s">
        <v>560</v>
      </c>
      <c r="C17" s="498" t="s">
        <v>488</v>
      </c>
      <c r="D17" s="482"/>
      <c r="E17" s="482"/>
      <c r="F17" s="482"/>
      <c r="G17" s="482"/>
      <c r="H17" s="482"/>
      <c r="I17" s="482"/>
      <c r="J17" s="482"/>
      <c r="K17" s="552"/>
      <c r="T17" s="499"/>
      <c r="U17" s="499"/>
    </row>
    <row r="18" spans="1:21" ht="99">
      <c r="A18" s="1034" t="s">
        <v>102</v>
      </c>
      <c r="B18" s="631" t="s">
        <v>546</v>
      </c>
      <c r="C18" s="501"/>
      <c r="D18" s="501"/>
      <c r="E18" s="596"/>
      <c r="F18" s="501"/>
      <c r="G18" s="501"/>
      <c r="H18" s="1076"/>
      <c r="I18" s="1076"/>
      <c r="J18" s="1076"/>
      <c r="K18" s="592"/>
    </row>
    <row r="19" spans="1:21" ht="33">
      <c r="A19" s="621">
        <v>1</v>
      </c>
      <c r="B19" s="622" t="s">
        <v>547</v>
      </c>
      <c r="C19" s="623" t="s">
        <v>342</v>
      </c>
      <c r="D19" s="932">
        <v>99.2</v>
      </c>
      <c r="E19" s="932">
        <f>SUM(F19:J19)</f>
        <v>66.200331662500005</v>
      </c>
      <c r="F19" s="932">
        <v>12.6</v>
      </c>
      <c r="G19" s="932">
        <v>13.3</v>
      </c>
      <c r="H19" s="933">
        <v>13.366500000000002</v>
      </c>
      <c r="I19" s="933">
        <v>13.433332500000002</v>
      </c>
      <c r="J19" s="932">
        <v>13.500499162500001</v>
      </c>
      <c r="K19" s="504"/>
    </row>
    <row r="20" spans="1:21" ht="33">
      <c r="A20" s="621">
        <v>2</v>
      </c>
      <c r="B20" s="622" t="s">
        <v>489</v>
      </c>
      <c r="C20" s="623" t="s">
        <v>342</v>
      </c>
      <c r="D20" s="502"/>
      <c r="E20" s="355"/>
      <c r="F20" s="1029"/>
      <c r="G20" s="1029"/>
      <c r="H20" s="1029"/>
      <c r="I20" s="833"/>
      <c r="J20" s="1029"/>
      <c r="K20" s="504"/>
    </row>
    <row r="21" spans="1:21" ht="132">
      <c r="A21" s="623">
        <v>3</v>
      </c>
      <c r="B21" s="622" t="s">
        <v>548</v>
      </c>
      <c r="C21" s="623" t="s">
        <v>342</v>
      </c>
      <c r="D21" s="502"/>
      <c r="E21" s="355"/>
      <c r="F21" s="1029"/>
      <c r="G21" s="1029"/>
      <c r="H21" s="1029"/>
      <c r="I21" s="833"/>
      <c r="J21" s="1029"/>
      <c r="K21" s="504"/>
    </row>
    <row r="22" spans="1:21" ht="33">
      <c r="A22" s="621">
        <v>4</v>
      </c>
      <c r="B22" s="622" t="s">
        <v>549</v>
      </c>
      <c r="C22" s="623" t="s">
        <v>342</v>
      </c>
      <c r="D22" s="502"/>
      <c r="E22" s="355"/>
      <c r="F22" s="1029"/>
      <c r="G22" s="1029"/>
      <c r="H22" s="1029"/>
      <c r="I22" s="833"/>
      <c r="J22" s="1029"/>
      <c r="K22" s="504"/>
    </row>
    <row r="23" spans="1:21" ht="49.5">
      <c r="A23" s="621">
        <v>2</v>
      </c>
      <c r="B23" s="622" t="s">
        <v>561</v>
      </c>
      <c r="C23" s="623" t="s">
        <v>342</v>
      </c>
      <c r="D23" s="932">
        <v>2981.4</v>
      </c>
      <c r="E23" s="932">
        <f>SUM(F23:J23)</f>
        <v>2607.1996683375005</v>
      </c>
      <c r="F23" s="932">
        <f>'Biểu 1B'!F53-F19</f>
        <v>416.08</v>
      </c>
      <c r="G23" s="932">
        <f>'Biểu 1B'!G53-G19</f>
        <v>485.38</v>
      </c>
      <c r="H23" s="932">
        <f>'Biểu 1B'!H53-H19</f>
        <v>525.31350000000009</v>
      </c>
      <c r="I23" s="932">
        <f>'Biểu 1B'!I53-I19</f>
        <v>565.24666750000006</v>
      </c>
      <c r="J23" s="932">
        <f>'Biểu 1B'!J53-J19</f>
        <v>615.17950083750009</v>
      </c>
      <c r="K23" s="504"/>
    </row>
    <row r="24" spans="1:21" ht="99">
      <c r="A24" s="632" t="s">
        <v>115</v>
      </c>
      <c r="B24" s="631" t="s">
        <v>550</v>
      </c>
      <c r="C24" s="623" t="s">
        <v>342</v>
      </c>
      <c r="D24" s="502"/>
      <c r="E24" s="355"/>
      <c r="F24" s="594"/>
      <c r="G24" s="594"/>
      <c r="H24" s="594"/>
      <c r="I24" s="502"/>
      <c r="J24" s="594"/>
      <c r="K24" s="504"/>
    </row>
    <row r="25" spans="1:21" ht="33">
      <c r="A25" s="621"/>
      <c r="B25" s="625" t="s">
        <v>214</v>
      </c>
      <c r="C25" s="623" t="s">
        <v>342</v>
      </c>
      <c r="D25" s="502"/>
      <c r="E25" s="355"/>
      <c r="F25" s="594"/>
      <c r="G25" s="594"/>
      <c r="H25" s="594"/>
      <c r="I25" s="502"/>
      <c r="J25" s="594"/>
      <c r="K25" s="504"/>
    </row>
    <row r="26" spans="1:21" ht="49.5">
      <c r="A26" s="621">
        <v>1</v>
      </c>
      <c r="B26" s="622" t="s">
        <v>491</v>
      </c>
      <c r="C26" s="623" t="s">
        <v>342</v>
      </c>
      <c r="D26" s="502">
        <v>39.4</v>
      </c>
      <c r="E26" s="932">
        <f t="shared" ref="E26:E27" si="0">SUM(F26:J26)</f>
        <v>83.264999999999986</v>
      </c>
      <c r="F26" s="932">
        <v>16.652999999999999</v>
      </c>
      <c r="G26" s="932">
        <v>16.652999999999999</v>
      </c>
      <c r="H26" s="932">
        <v>16.652999999999999</v>
      </c>
      <c r="I26" s="932">
        <v>16.652999999999999</v>
      </c>
      <c r="J26" s="932">
        <v>16.652999999999999</v>
      </c>
      <c r="K26" s="504"/>
    </row>
    <row r="27" spans="1:21" ht="49.5">
      <c r="A27" s="623">
        <v>2</v>
      </c>
      <c r="B27" s="622" t="s">
        <v>490</v>
      </c>
      <c r="C27" s="623" t="s">
        <v>342</v>
      </c>
      <c r="D27" s="932">
        <v>3036.3</v>
      </c>
      <c r="E27" s="932">
        <f t="shared" si="0"/>
        <v>2590.1350000000002</v>
      </c>
      <c r="F27" s="871">
        <v>412.02699999999999</v>
      </c>
      <c r="G27" s="871">
        <v>482.02699999999999</v>
      </c>
      <c r="H27" s="871">
        <v>522.02700000000004</v>
      </c>
      <c r="I27" s="871">
        <v>562.02700000000004</v>
      </c>
      <c r="J27" s="871">
        <v>612.02700000000004</v>
      </c>
      <c r="K27" s="504"/>
    </row>
    <row r="28" spans="1:21" ht="49.5">
      <c r="A28" s="502">
        <v>3</v>
      </c>
      <c r="B28" s="533" t="s">
        <v>492</v>
      </c>
      <c r="C28" s="498"/>
      <c r="D28" s="502"/>
      <c r="E28" s="355"/>
      <c r="F28" s="594"/>
      <c r="G28" s="594"/>
      <c r="H28" s="594"/>
      <c r="I28" s="502"/>
      <c r="J28" s="594"/>
      <c r="K28" s="504"/>
    </row>
    <row r="29" spans="1:21" ht="16.5">
      <c r="A29" s="502">
        <v>4</v>
      </c>
      <c r="B29" s="534" t="s">
        <v>523</v>
      </c>
      <c r="C29" s="498"/>
      <c r="D29" s="502"/>
      <c r="E29" s="355"/>
      <c r="F29" s="594"/>
      <c r="G29" s="594"/>
      <c r="H29" s="594"/>
      <c r="I29" s="502"/>
      <c r="J29" s="594"/>
      <c r="K29" s="504"/>
    </row>
    <row r="30" spans="1:21" ht="38.25">
      <c r="A30" s="497" t="s">
        <v>116</v>
      </c>
      <c r="B30" s="589" t="s">
        <v>551</v>
      </c>
      <c r="C30" s="587" t="s">
        <v>342</v>
      </c>
      <c r="D30" s="497"/>
      <c r="E30" s="351"/>
      <c r="F30" s="599"/>
      <c r="G30" s="599"/>
      <c r="H30" s="599"/>
      <c r="I30" s="497"/>
      <c r="J30" s="599"/>
      <c r="K30" s="598"/>
    </row>
    <row r="31" spans="1:21" ht="51">
      <c r="A31" s="590">
        <v>1</v>
      </c>
      <c r="B31" s="585" t="s">
        <v>552</v>
      </c>
      <c r="C31" s="587" t="s">
        <v>342</v>
      </c>
      <c r="D31" s="502"/>
      <c r="E31" s="355"/>
      <c r="F31" s="594"/>
      <c r="G31" s="594"/>
      <c r="H31" s="594"/>
      <c r="I31" s="502"/>
      <c r="J31" s="594"/>
      <c r="K31" s="504"/>
    </row>
    <row r="32" spans="1:21" ht="51">
      <c r="A32" s="590">
        <v>2</v>
      </c>
      <c r="B32" s="585" t="s">
        <v>553</v>
      </c>
      <c r="C32" s="587" t="s">
        <v>342</v>
      </c>
      <c r="D32" s="502"/>
      <c r="E32" s="355"/>
      <c r="F32" s="594"/>
      <c r="G32" s="594"/>
      <c r="H32" s="594"/>
      <c r="I32" s="502"/>
      <c r="J32" s="594"/>
      <c r="K32" s="504"/>
    </row>
    <row r="33" spans="1:11" ht="25.5">
      <c r="A33" s="588" t="s">
        <v>554</v>
      </c>
      <c r="B33" s="589" t="s">
        <v>338</v>
      </c>
      <c r="C33" s="498"/>
      <c r="D33" s="502"/>
      <c r="E33" s="355"/>
      <c r="F33" s="594"/>
      <c r="G33" s="594"/>
      <c r="H33" s="594"/>
      <c r="I33" s="502"/>
      <c r="J33" s="594"/>
      <c r="K33" s="504"/>
    </row>
    <row r="34" spans="1:11" ht="16.5">
      <c r="A34" s="503"/>
      <c r="B34" s="505"/>
      <c r="C34" s="535"/>
      <c r="D34" s="503"/>
      <c r="E34" s="597"/>
      <c r="F34" s="504"/>
      <c r="G34" s="504"/>
      <c r="H34" s="504"/>
      <c r="I34" s="503"/>
      <c r="J34" s="504"/>
      <c r="K34" s="504"/>
    </row>
    <row r="35" spans="1:11" ht="16.5">
      <c r="A35" s="503"/>
      <c r="B35" s="505"/>
      <c r="C35" s="535"/>
      <c r="D35" s="503"/>
      <c r="E35" s="597"/>
      <c r="F35" s="504"/>
      <c r="G35" s="504"/>
      <c r="H35" s="504"/>
      <c r="I35" s="503"/>
      <c r="J35" s="504"/>
      <c r="K35" s="504"/>
    </row>
    <row r="36" spans="1:11" ht="16.5">
      <c r="A36" s="503"/>
      <c r="B36" s="505"/>
      <c r="C36" s="535"/>
      <c r="D36" s="503"/>
      <c r="E36" s="597"/>
      <c r="F36" s="504"/>
      <c r="G36" s="504"/>
      <c r="H36" s="504"/>
      <c r="I36" s="503"/>
      <c r="J36" s="504"/>
      <c r="K36" s="504"/>
    </row>
    <row r="37" spans="1:11" ht="16.5">
      <c r="A37" s="503"/>
      <c r="B37" s="505"/>
      <c r="C37" s="535"/>
      <c r="D37" s="503"/>
      <c r="E37" s="597"/>
      <c r="F37" s="504"/>
      <c r="G37" s="504"/>
      <c r="H37" s="504"/>
      <c r="I37" s="503"/>
      <c r="J37" s="504"/>
      <c r="K37" s="504"/>
    </row>
    <row r="38" spans="1:11" ht="16.5">
      <c r="A38" s="503"/>
      <c r="B38" s="505"/>
      <c r="C38" s="535"/>
      <c r="D38" s="503"/>
      <c r="E38" s="597"/>
      <c r="F38" s="504"/>
      <c r="G38" s="504"/>
      <c r="H38" s="504"/>
      <c r="I38" s="503"/>
      <c r="J38" s="504"/>
      <c r="K38" s="504"/>
    </row>
    <row r="39" spans="1:11" ht="16.5">
      <c r="A39" s="503"/>
      <c r="B39" s="505"/>
      <c r="C39" s="535"/>
      <c r="D39" s="503"/>
      <c r="E39" s="597"/>
      <c r="F39" s="504"/>
      <c r="G39" s="504"/>
      <c r="H39" s="504"/>
      <c r="I39" s="503"/>
      <c r="J39" s="504"/>
      <c r="K39" s="504"/>
    </row>
    <row r="40" spans="1:11" ht="16.5">
      <c r="A40" s="503"/>
      <c r="B40" s="505"/>
      <c r="C40" s="535"/>
      <c r="D40" s="503"/>
      <c r="E40" s="597"/>
      <c r="F40" s="504"/>
      <c r="G40" s="504"/>
      <c r="H40" s="504"/>
      <c r="I40" s="503"/>
      <c r="J40" s="504"/>
      <c r="K40" s="504"/>
    </row>
    <row r="41" spans="1:11" ht="16.5">
      <c r="A41" s="503"/>
      <c r="B41" s="505"/>
      <c r="C41" s="535"/>
      <c r="D41" s="503"/>
      <c r="E41" s="597"/>
      <c r="F41" s="504"/>
      <c r="G41" s="504"/>
      <c r="H41" s="504"/>
      <c r="I41" s="503"/>
      <c r="J41" s="504"/>
      <c r="K41" s="504"/>
    </row>
    <row r="42" spans="1:11" ht="16.5">
      <c r="A42" s="503"/>
      <c r="B42" s="505"/>
      <c r="C42" s="535"/>
      <c r="D42" s="503"/>
      <c r="E42" s="597"/>
      <c r="F42" s="504"/>
      <c r="G42" s="504"/>
      <c r="H42" s="504"/>
      <c r="I42" s="503"/>
      <c r="J42" s="504"/>
      <c r="K42" s="504"/>
    </row>
    <row r="43" spans="1:11" ht="16.5">
      <c r="A43" s="503"/>
      <c r="B43" s="505"/>
      <c r="C43" s="535"/>
      <c r="D43" s="503"/>
      <c r="E43" s="597"/>
      <c r="F43" s="504"/>
      <c r="G43" s="504"/>
      <c r="H43" s="504"/>
      <c r="I43" s="503"/>
      <c r="J43" s="504"/>
      <c r="K43" s="504"/>
    </row>
    <row r="44" spans="1:11" ht="16.5">
      <c r="A44" s="503"/>
      <c r="B44" s="505"/>
      <c r="C44" s="535"/>
      <c r="D44" s="503"/>
      <c r="E44" s="597"/>
      <c r="F44" s="504"/>
      <c r="G44" s="504"/>
      <c r="H44" s="504"/>
      <c r="I44" s="503"/>
      <c r="J44" s="504"/>
      <c r="K44" s="504"/>
    </row>
    <row r="45" spans="1:11" ht="16.5">
      <c r="A45" s="503"/>
      <c r="B45" s="505"/>
      <c r="C45" s="535"/>
      <c r="D45" s="503"/>
      <c r="E45" s="597"/>
      <c r="F45" s="504"/>
      <c r="G45" s="504"/>
      <c r="H45" s="504"/>
      <c r="I45" s="503"/>
      <c r="J45" s="504"/>
      <c r="K45" s="504"/>
    </row>
    <row r="46" spans="1:11" ht="16.5">
      <c r="A46" s="503"/>
      <c r="B46" s="505"/>
      <c r="C46" s="535"/>
      <c r="D46" s="503"/>
      <c r="E46" s="597"/>
      <c r="F46" s="504"/>
      <c r="G46" s="504"/>
      <c r="H46" s="504"/>
      <c r="I46" s="503"/>
      <c r="J46" s="504"/>
      <c r="K46" s="504"/>
    </row>
    <row r="47" spans="1:11" ht="16.5">
      <c r="A47" s="503"/>
      <c r="B47" s="505"/>
      <c r="C47" s="535"/>
      <c r="D47" s="503"/>
      <c r="E47" s="597"/>
      <c r="F47" s="504"/>
      <c r="G47" s="504"/>
      <c r="H47" s="504"/>
      <c r="I47" s="503"/>
      <c r="J47" s="504"/>
      <c r="K47" s="504"/>
    </row>
    <row r="48" spans="1:11" ht="16.5">
      <c r="A48" s="503"/>
      <c r="B48" s="505"/>
      <c r="C48" s="535"/>
      <c r="D48" s="503"/>
      <c r="E48" s="597"/>
      <c r="F48" s="504"/>
      <c r="G48" s="504"/>
      <c r="H48" s="504"/>
      <c r="I48" s="503"/>
      <c r="J48" s="504"/>
      <c r="K48" s="504"/>
    </row>
    <row r="49" spans="1:11" ht="16.5">
      <c r="A49" s="503"/>
      <c r="B49" s="505"/>
      <c r="C49" s="535"/>
      <c r="D49" s="503"/>
      <c r="E49" s="597"/>
      <c r="F49" s="504"/>
      <c r="G49" s="504"/>
      <c r="H49" s="504"/>
      <c r="I49" s="503"/>
      <c r="J49" s="504"/>
      <c r="K49" s="504"/>
    </row>
    <row r="50" spans="1:11" ht="16.5">
      <c r="A50" s="503"/>
      <c r="B50" s="505"/>
      <c r="C50" s="535"/>
      <c r="D50" s="503"/>
      <c r="E50" s="597"/>
      <c r="F50" s="504"/>
      <c r="G50" s="504"/>
      <c r="H50" s="504"/>
      <c r="I50" s="503"/>
      <c r="J50" s="504"/>
      <c r="K50" s="504"/>
    </row>
    <row r="51" spans="1:11" ht="16.5">
      <c r="A51" s="503"/>
      <c r="B51" s="505"/>
      <c r="C51" s="535"/>
      <c r="D51" s="503"/>
      <c r="E51" s="597"/>
      <c r="F51" s="504"/>
      <c r="G51" s="504"/>
      <c r="H51" s="504"/>
      <c r="I51" s="503"/>
      <c r="J51" s="504"/>
      <c r="K51" s="504"/>
    </row>
    <row r="52" spans="1:11" ht="16.5">
      <c r="A52" s="503"/>
      <c r="B52" s="505"/>
      <c r="C52" s="535"/>
      <c r="D52" s="503"/>
      <c r="E52" s="597"/>
      <c r="F52" s="504"/>
      <c r="G52" s="504"/>
      <c r="H52" s="504"/>
      <c r="I52" s="503"/>
      <c r="J52" s="504"/>
      <c r="K52" s="504"/>
    </row>
    <row r="53" spans="1:11" ht="16.5">
      <c r="A53" s="503"/>
      <c r="B53" s="505"/>
      <c r="C53" s="535"/>
      <c r="D53" s="503"/>
      <c r="E53" s="597"/>
      <c r="F53" s="504"/>
      <c r="G53" s="504"/>
      <c r="H53" s="504"/>
      <c r="I53" s="503"/>
      <c r="J53" s="504"/>
      <c r="K53" s="504"/>
    </row>
    <row r="54" spans="1:11" ht="16.5">
      <c r="A54" s="503"/>
      <c r="B54" s="505"/>
      <c r="C54" s="535"/>
      <c r="D54" s="503"/>
      <c r="E54" s="597"/>
      <c r="F54" s="504"/>
      <c r="G54" s="504"/>
      <c r="H54" s="504"/>
      <c r="I54" s="503"/>
      <c r="J54" s="504"/>
      <c r="K54" s="504"/>
    </row>
    <row r="55" spans="1:11" ht="16.5">
      <c r="A55" s="503"/>
      <c r="B55" s="505"/>
      <c r="C55" s="535"/>
      <c r="D55" s="503"/>
      <c r="E55" s="597"/>
      <c r="F55" s="504"/>
      <c r="G55" s="504"/>
      <c r="H55" s="504"/>
      <c r="I55" s="503"/>
      <c r="J55" s="504"/>
      <c r="K55" s="504"/>
    </row>
    <row r="56" spans="1:11" ht="16.5">
      <c r="A56" s="503"/>
      <c r="B56" s="505"/>
      <c r="C56" s="535"/>
      <c r="D56" s="503"/>
      <c r="E56" s="597"/>
      <c r="F56" s="504"/>
      <c r="G56" s="504"/>
      <c r="H56" s="504"/>
      <c r="I56" s="503"/>
      <c r="J56" s="504"/>
      <c r="K56" s="504"/>
    </row>
    <row r="57" spans="1:11" ht="16.5">
      <c r="A57" s="503"/>
      <c r="B57" s="505"/>
      <c r="C57" s="535"/>
      <c r="D57" s="503"/>
      <c r="E57" s="597"/>
      <c r="F57" s="504"/>
      <c r="G57" s="504"/>
      <c r="H57" s="504"/>
      <c r="I57" s="503"/>
      <c r="J57" s="504"/>
      <c r="K57" s="504"/>
    </row>
    <row r="58" spans="1:11" ht="16.5">
      <c r="A58" s="503"/>
      <c r="B58" s="505"/>
      <c r="C58" s="535"/>
      <c r="D58" s="503"/>
      <c r="E58" s="597"/>
      <c r="F58" s="504"/>
      <c r="G58" s="504"/>
      <c r="H58" s="504"/>
      <c r="I58" s="503"/>
      <c r="J58" s="504"/>
      <c r="K58" s="504"/>
    </row>
    <row r="59" spans="1:11" ht="16.5">
      <c r="A59" s="503"/>
      <c r="B59" s="505"/>
      <c r="C59" s="535"/>
      <c r="D59" s="503"/>
      <c r="E59" s="597"/>
      <c r="F59" s="504"/>
      <c r="G59" s="504"/>
      <c r="H59" s="504"/>
      <c r="I59" s="503"/>
      <c r="J59" s="504"/>
      <c r="K59" s="504"/>
    </row>
    <row r="60" spans="1:11" ht="16.5">
      <c r="A60" s="503"/>
      <c r="B60" s="505"/>
      <c r="C60" s="535"/>
      <c r="D60" s="503"/>
      <c r="E60" s="597"/>
      <c r="F60" s="504"/>
      <c r="G60" s="504"/>
      <c r="H60" s="504"/>
      <c r="I60" s="503"/>
      <c r="J60" s="504"/>
      <c r="K60" s="504"/>
    </row>
    <row r="61" spans="1:11" ht="16.5">
      <c r="A61" s="503"/>
      <c r="B61" s="505"/>
      <c r="C61" s="535"/>
      <c r="D61" s="503"/>
      <c r="E61" s="597"/>
      <c r="F61" s="504"/>
      <c r="G61" s="504"/>
      <c r="H61" s="504"/>
      <c r="I61" s="503"/>
      <c r="J61" s="504"/>
      <c r="K61" s="504"/>
    </row>
    <row r="62" spans="1:11" ht="16.5">
      <c r="A62" s="503"/>
      <c r="B62" s="505"/>
      <c r="C62" s="535"/>
      <c r="D62" s="503"/>
      <c r="E62" s="597"/>
      <c r="F62" s="504"/>
      <c r="G62" s="504"/>
      <c r="H62" s="504"/>
      <c r="I62" s="503"/>
      <c r="J62" s="504"/>
      <c r="K62" s="504"/>
    </row>
    <row r="63" spans="1:11" ht="16.5">
      <c r="A63" s="503"/>
      <c r="B63" s="505"/>
      <c r="C63" s="535"/>
      <c r="D63" s="503"/>
      <c r="E63" s="597"/>
      <c r="F63" s="504"/>
      <c r="G63" s="504"/>
      <c r="H63" s="504"/>
      <c r="I63" s="503"/>
      <c r="J63" s="504"/>
      <c r="K63" s="504"/>
    </row>
    <row r="64" spans="1:11" ht="16.5">
      <c r="A64" s="503"/>
      <c r="B64" s="505"/>
      <c r="C64" s="535"/>
      <c r="D64" s="503"/>
      <c r="E64" s="597"/>
      <c r="F64" s="504"/>
      <c r="G64" s="504"/>
      <c r="H64" s="504"/>
      <c r="I64" s="503"/>
      <c r="J64" s="504"/>
      <c r="K64" s="504"/>
    </row>
    <row r="65" spans="1:11" ht="16.5">
      <c r="A65" s="503"/>
      <c r="B65" s="505"/>
      <c r="C65" s="535"/>
      <c r="D65" s="503"/>
      <c r="E65" s="597"/>
      <c r="F65" s="504"/>
      <c r="G65" s="504"/>
      <c r="H65" s="504"/>
      <c r="I65" s="503"/>
      <c r="J65" s="504"/>
      <c r="K65" s="504"/>
    </row>
    <row r="66" spans="1:11" ht="16.5">
      <c r="A66" s="503"/>
      <c r="B66" s="505"/>
      <c r="C66" s="535"/>
      <c r="D66" s="503"/>
      <c r="E66" s="597"/>
      <c r="F66" s="504"/>
      <c r="G66" s="504"/>
      <c r="H66" s="504"/>
      <c r="I66" s="503"/>
      <c r="J66" s="504"/>
      <c r="K66" s="504"/>
    </row>
    <row r="67" spans="1:11" ht="16.5">
      <c r="A67" s="503"/>
      <c r="B67" s="505"/>
      <c r="C67" s="535"/>
      <c r="D67" s="503"/>
      <c r="E67" s="597"/>
      <c r="F67" s="504"/>
      <c r="G67" s="504"/>
      <c r="H67" s="504"/>
      <c r="I67" s="503"/>
      <c r="J67" s="504"/>
      <c r="K67" s="504"/>
    </row>
    <row r="68" spans="1:11" ht="16.5">
      <c r="A68" s="503"/>
      <c r="B68" s="505"/>
      <c r="C68" s="535"/>
      <c r="D68" s="503"/>
      <c r="E68" s="597"/>
      <c r="F68" s="504"/>
      <c r="G68" s="504"/>
      <c r="H68" s="504"/>
      <c r="I68" s="503"/>
      <c r="J68" s="504"/>
      <c r="K68" s="504"/>
    </row>
    <row r="69" spans="1:11" ht="16.5">
      <c r="A69" s="503"/>
      <c r="B69" s="505"/>
      <c r="C69" s="535"/>
      <c r="D69" s="503"/>
      <c r="E69" s="597"/>
      <c r="F69" s="504"/>
      <c r="G69" s="504"/>
      <c r="H69" s="504"/>
      <c r="I69" s="503"/>
      <c r="J69" s="504"/>
      <c r="K69" s="504"/>
    </row>
    <row r="70" spans="1:11" ht="16.5">
      <c r="A70" s="503"/>
      <c r="B70" s="505"/>
      <c r="C70" s="535"/>
      <c r="D70" s="503"/>
      <c r="E70" s="597"/>
      <c r="F70" s="504"/>
      <c r="G70" s="504"/>
      <c r="H70" s="504"/>
      <c r="I70" s="503"/>
      <c r="J70" s="504"/>
      <c r="K70" s="504"/>
    </row>
    <row r="71" spans="1:11" ht="16.5">
      <c r="A71" s="503"/>
      <c r="B71" s="505"/>
      <c r="C71" s="535"/>
      <c r="D71" s="503"/>
      <c r="E71" s="597"/>
      <c r="F71" s="504"/>
      <c r="G71" s="504"/>
      <c r="H71" s="504"/>
      <c r="I71" s="503"/>
      <c r="J71" s="504"/>
      <c r="K71" s="504"/>
    </row>
    <row r="72" spans="1:11" ht="16.5">
      <c r="A72" s="503"/>
      <c r="B72" s="505"/>
      <c r="C72" s="535"/>
      <c r="D72" s="503"/>
      <c r="E72" s="597"/>
      <c r="F72" s="504"/>
      <c r="G72" s="504"/>
      <c r="H72" s="504"/>
      <c r="I72" s="503"/>
      <c r="J72" s="504"/>
      <c r="K72" s="504"/>
    </row>
    <row r="73" spans="1:11" ht="16.5">
      <c r="A73" s="503"/>
      <c r="B73" s="505"/>
      <c r="C73" s="535"/>
      <c r="D73" s="503"/>
      <c r="E73" s="597"/>
      <c r="F73" s="504"/>
      <c r="G73" s="504"/>
      <c r="H73" s="504"/>
      <c r="I73" s="503"/>
      <c r="J73" s="504"/>
      <c r="K73" s="504"/>
    </row>
    <row r="74" spans="1:11" ht="16.5">
      <c r="A74" s="503"/>
      <c r="B74" s="505"/>
      <c r="C74" s="535"/>
      <c r="D74" s="503"/>
      <c r="E74" s="597"/>
      <c r="F74" s="504"/>
      <c r="G74" s="504"/>
      <c r="H74" s="504"/>
      <c r="I74" s="503"/>
      <c r="J74" s="504"/>
      <c r="K74" s="504"/>
    </row>
    <row r="75" spans="1:11" ht="16.5">
      <c r="A75" s="503"/>
      <c r="B75" s="505"/>
      <c r="C75" s="535"/>
      <c r="D75" s="503"/>
      <c r="E75" s="597"/>
      <c r="F75" s="504"/>
      <c r="G75" s="504"/>
      <c r="H75" s="504"/>
      <c r="I75" s="503"/>
      <c r="J75" s="504"/>
      <c r="K75" s="504"/>
    </row>
    <row r="76" spans="1:11" ht="16.5">
      <c r="A76" s="503"/>
      <c r="B76" s="505"/>
      <c r="C76" s="535"/>
      <c r="D76" s="503"/>
      <c r="E76" s="597"/>
      <c r="F76" s="504"/>
      <c r="G76" s="504"/>
      <c r="H76" s="504"/>
      <c r="I76" s="503"/>
      <c r="J76" s="504"/>
      <c r="K76" s="504"/>
    </row>
    <row r="77" spans="1:11" ht="16.5">
      <c r="A77" s="503"/>
      <c r="B77" s="505"/>
      <c r="C77" s="535"/>
      <c r="D77" s="503"/>
      <c r="E77" s="597"/>
      <c r="F77" s="504"/>
      <c r="G77" s="504"/>
      <c r="H77" s="504"/>
      <c r="I77" s="503"/>
      <c r="J77" s="504"/>
      <c r="K77" s="504"/>
    </row>
    <row r="78" spans="1:11" ht="16.5">
      <c r="A78" s="503"/>
      <c r="B78" s="505"/>
      <c r="C78" s="535"/>
      <c r="D78" s="503"/>
      <c r="E78" s="597"/>
      <c r="F78" s="504"/>
      <c r="G78" s="504"/>
      <c r="H78" s="504"/>
      <c r="I78" s="503"/>
      <c r="J78" s="504"/>
      <c r="K78" s="504"/>
    </row>
    <row r="79" spans="1:11" ht="16.5">
      <c r="A79" s="503"/>
      <c r="B79" s="505"/>
      <c r="C79" s="535"/>
      <c r="D79" s="503"/>
      <c r="E79" s="597"/>
      <c r="F79" s="504"/>
      <c r="G79" s="504"/>
      <c r="H79" s="504"/>
      <c r="I79" s="503"/>
      <c r="J79" s="504"/>
      <c r="K79" s="504"/>
    </row>
    <row r="80" spans="1:11" ht="16.5">
      <c r="A80" s="503"/>
      <c r="B80" s="505"/>
      <c r="C80" s="535"/>
      <c r="D80" s="503"/>
      <c r="E80" s="597"/>
      <c r="F80" s="504"/>
      <c r="G80" s="504"/>
      <c r="H80" s="504"/>
      <c r="I80" s="503"/>
      <c r="J80" s="504"/>
      <c r="K80" s="504"/>
    </row>
    <row r="81" spans="1:11" ht="16.5">
      <c r="A81" s="503"/>
      <c r="B81" s="505"/>
      <c r="C81" s="535"/>
      <c r="D81" s="503"/>
      <c r="E81" s="597"/>
      <c r="F81" s="504"/>
      <c r="G81" s="504"/>
      <c r="H81" s="504"/>
      <c r="I81" s="503"/>
      <c r="J81" s="504"/>
      <c r="K81" s="504"/>
    </row>
    <row r="82" spans="1:11" ht="16.5">
      <c r="A82" s="503"/>
      <c r="B82" s="505"/>
      <c r="C82" s="535"/>
      <c r="D82" s="503"/>
      <c r="E82" s="597"/>
      <c r="F82" s="504"/>
      <c r="G82" s="504"/>
      <c r="H82" s="504"/>
      <c r="I82" s="503"/>
      <c r="J82" s="504"/>
      <c r="K82" s="504"/>
    </row>
    <row r="83" spans="1:11" ht="16.5">
      <c r="A83" s="503"/>
      <c r="B83" s="505"/>
      <c r="C83" s="535"/>
      <c r="D83" s="503"/>
      <c r="E83" s="597"/>
      <c r="F83" s="504"/>
      <c r="G83" s="504"/>
      <c r="H83" s="504"/>
      <c r="I83" s="503"/>
      <c r="J83" s="504"/>
      <c r="K83" s="504"/>
    </row>
    <row r="84" spans="1:11" ht="16.5">
      <c r="A84" s="503"/>
      <c r="B84" s="505"/>
      <c r="C84" s="535"/>
      <c r="D84" s="503"/>
      <c r="E84" s="597"/>
      <c r="F84" s="504"/>
      <c r="G84" s="504"/>
      <c r="H84" s="504"/>
      <c r="I84" s="503"/>
      <c r="J84" s="504"/>
      <c r="K84" s="504"/>
    </row>
    <row r="85" spans="1:11" ht="16.5">
      <c r="A85" s="503"/>
      <c r="B85" s="505"/>
      <c r="C85" s="535"/>
      <c r="D85" s="503"/>
      <c r="E85" s="597"/>
      <c r="F85" s="504"/>
      <c r="G85" s="504"/>
      <c r="H85" s="504"/>
      <c r="I85" s="503"/>
      <c r="J85" s="504"/>
      <c r="K85" s="504"/>
    </row>
    <row r="86" spans="1:11" ht="16.5">
      <c r="A86" s="503"/>
      <c r="B86" s="505"/>
      <c r="C86" s="535"/>
      <c r="D86" s="503"/>
      <c r="E86" s="597"/>
      <c r="F86" s="504"/>
      <c r="G86" s="504"/>
      <c r="H86" s="504"/>
      <c r="I86" s="503"/>
      <c r="J86" s="504"/>
      <c r="K86" s="504"/>
    </row>
    <row r="87" spans="1:11" ht="16.5">
      <c r="A87" s="503"/>
      <c r="B87" s="505"/>
      <c r="C87" s="535"/>
      <c r="D87" s="503"/>
      <c r="E87" s="597"/>
      <c r="F87" s="504"/>
      <c r="G87" s="504"/>
      <c r="H87" s="504"/>
      <c r="I87" s="503"/>
      <c r="J87" s="504"/>
      <c r="K87" s="504"/>
    </row>
    <row r="88" spans="1:11" ht="16.5">
      <c r="A88" s="503"/>
      <c r="B88" s="505"/>
      <c r="C88" s="535"/>
      <c r="D88" s="503"/>
      <c r="E88" s="597"/>
      <c r="F88" s="504"/>
      <c r="G88" s="504"/>
      <c r="H88" s="504"/>
      <c r="I88" s="503"/>
      <c r="J88" s="504"/>
      <c r="K88" s="504"/>
    </row>
    <row r="89" spans="1:11" ht="16.5">
      <c r="A89" s="503"/>
      <c r="B89" s="505"/>
      <c r="C89" s="535"/>
      <c r="D89" s="503"/>
      <c r="E89" s="597"/>
      <c r="F89" s="504"/>
      <c r="G89" s="504"/>
      <c r="H89" s="504"/>
      <c r="I89" s="503"/>
      <c r="J89" s="504"/>
      <c r="K89" s="504"/>
    </row>
    <row r="90" spans="1:11" ht="16.5">
      <c r="A90" s="503"/>
      <c r="B90" s="505"/>
      <c r="C90" s="535"/>
      <c r="D90" s="503"/>
      <c r="E90" s="597"/>
      <c r="F90" s="504"/>
      <c r="G90" s="504"/>
      <c r="H90" s="504"/>
      <c r="I90" s="503"/>
      <c r="J90" s="504"/>
      <c r="K90" s="504"/>
    </row>
    <row r="91" spans="1:11" ht="16.5">
      <c r="A91" s="503"/>
      <c r="B91" s="505"/>
      <c r="C91" s="535"/>
      <c r="D91" s="503"/>
      <c r="E91" s="597"/>
      <c r="F91" s="504"/>
      <c r="G91" s="504"/>
      <c r="H91" s="504"/>
      <c r="I91" s="503"/>
      <c r="J91" s="504"/>
      <c r="K91" s="504"/>
    </row>
    <row r="92" spans="1:11" ht="16.5">
      <c r="A92" s="503"/>
      <c r="B92" s="505"/>
      <c r="C92" s="535"/>
      <c r="D92" s="503"/>
      <c r="E92" s="597"/>
      <c r="F92" s="504"/>
      <c r="G92" s="504"/>
      <c r="H92" s="504"/>
      <c r="I92" s="503"/>
      <c r="J92" s="504"/>
      <c r="K92" s="504"/>
    </row>
    <row r="93" spans="1:11" ht="16.5">
      <c r="A93" s="503"/>
      <c r="B93" s="505"/>
      <c r="C93" s="535"/>
      <c r="D93" s="503"/>
      <c r="E93" s="597"/>
      <c r="F93" s="504"/>
      <c r="G93" s="504"/>
      <c r="H93" s="504"/>
      <c r="I93" s="503"/>
      <c r="J93" s="504"/>
      <c r="K93" s="504"/>
    </row>
    <row r="94" spans="1:11" ht="16.5">
      <c r="A94" s="503"/>
      <c r="B94" s="505"/>
      <c r="C94" s="535"/>
      <c r="D94" s="503"/>
      <c r="E94" s="597"/>
      <c r="F94" s="504"/>
      <c r="G94" s="504"/>
      <c r="H94" s="504"/>
      <c r="I94" s="503"/>
      <c r="J94" s="504"/>
      <c r="K94" s="504"/>
    </row>
    <row r="95" spans="1:11" ht="16.5">
      <c r="A95" s="503"/>
      <c r="B95" s="505"/>
      <c r="C95" s="535"/>
      <c r="D95" s="503"/>
      <c r="E95" s="597"/>
      <c r="F95" s="504"/>
      <c r="G95" s="504"/>
      <c r="H95" s="504"/>
      <c r="I95" s="503"/>
      <c r="J95" s="504"/>
      <c r="K95" s="504"/>
    </row>
    <row r="96" spans="1:11" ht="16.5">
      <c r="A96" s="503"/>
      <c r="B96" s="505"/>
      <c r="C96" s="535"/>
      <c r="D96" s="503"/>
      <c r="E96" s="597"/>
      <c r="F96" s="504"/>
      <c r="G96" s="504"/>
      <c r="H96" s="504"/>
      <c r="I96" s="503"/>
      <c r="J96" s="504"/>
      <c r="K96" s="504"/>
    </row>
    <row r="97" spans="1:11" ht="16.5">
      <c r="A97" s="503"/>
      <c r="B97" s="505"/>
      <c r="C97" s="535"/>
      <c r="D97" s="503"/>
      <c r="E97" s="597"/>
      <c r="F97" s="504"/>
      <c r="G97" s="504"/>
      <c r="H97" s="504"/>
      <c r="I97" s="503"/>
      <c r="J97" s="504"/>
      <c r="K97" s="504"/>
    </row>
    <row r="98" spans="1:11" ht="16.5">
      <c r="A98" s="503"/>
      <c r="B98" s="505"/>
      <c r="C98" s="535"/>
      <c r="D98" s="503"/>
      <c r="E98" s="597"/>
      <c r="F98" s="504"/>
      <c r="G98" s="504"/>
      <c r="H98" s="504"/>
      <c r="I98" s="503"/>
      <c r="J98" s="504"/>
      <c r="K98" s="504"/>
    </row>
    <row r="99" spans="1:11" ht="16.5">
      <c r="A99" s="503"/>
      <c r="B99" s="505"/>
      <c r="C99" s="535"/>
      <c r="D99" s="503"/>
      <c r="E99" s="597"/>
      <c r="F99" s="504"/>
      <c r="G99" s="504"/>
      <c r="H99" s="504"/>
      <c r="I99" s="503"/>
      <c r="J99" s="504"/>
      <c r="K99" s="504"/>
    </row>
    <row r="100" spans="1:11" ht="16.5">
      <c r="A100" s="503"/>
      <c r="B100" s="505"/>
      <c r="C100" s="535"/>
      <c r="D100" s="503"/>
      <c r="E100" s="597"/>
      <c r="F100" s="504"/>
      <c r="G100" s="504"/>
      <c r="H100" s="504"/>
      <c r="I100" s="503"/>
      <c r="J100" s="504"/>
      <c r="K100" s="504"/>
    </row>
    <row r="101" spans="1:11" ht="16.5">
      <c r="A101" s="503"/>
      <c r="B101" s="505"/>
      <c r="C101" s="535"/>
      <c r="D101" s="503"/>
      <c r="E101" s="597"/>
      <c r="F101" s="504"/>
      <c r="G101" s="504"/>
      <c r="H101" s="504"/>
      <c r="I101" s="503"/>
      <c r="J101" s="504"/>
      <c r="K101" s="504"/>
    </row>
    <row r="102" spans="1:11" ht="16.5">
      <c r="A102" s="503"/>
      <c r="B102" s="505"/>
      <c r="C102" s="535"/>
      <c r="D102" s="503"/>
      <c r="E102" s="597"/>
      <c r="F102" s="504"/>
      <c r="G102" s="504"/>
      <c r="H102" s="504"/>
      <c r="I102" s="503"/>
      <c r="J102" s="504"/>
      <c r="K102" s="504"/>
    </row>
    <row r="103" spans="1:11" ht="16.5">
      <c r="A103" s="503"/>
      <c r="B103" s="505"/>
      <c r="C103" s="535"/>
      <c r="D103" s="503"/>
      <c r="E103" s="597"/>
      <c r="F103" s="504"/>
      <c r="G103" s="504"/>
      <c r="H103" s="504"/>
      <c r="I103" s="503"/>
      <c r="J103" s="504"/>
      <c r="K103" s="504"/>
    </row>
    <row r="104" spans="1:11" ht="16.5">
      <c r="A104" s="503"/>
      <c r="B104" s="505"/>
      <c r="C104" s="535"/>
      <c r="D104" s="503"/>
      <c r="E104" s="597"/>
      <c r="F104" s="504"/>
      <c r="G104" s="504"/>
      <c r="H104" s="504"/>
      <c r="I104" s="503"/>
      <c r="J104" s="504"/>
      <c r="K104" s="504"/>
    </row>
    <row r="105" spans="1:11" ht="16.5">
      <c r="A105" s="503"/>
      <c r="B105" s="505"/>
      <c r="C105" s="535"/>
      <c r="D105" s="503"/>
      <c r="E105" s="597"/>
      <c r="F105" s="504"/>
      <c r="G105" s="504"/>
      <c r="H105" s="504"/>
      <c r="I105" s="503"/>
      <c r="J105" s="504"/>
      <c r="K105" s="504"/>
    </row>
    <row r="106" spans="1:11" ht="16.5">
      <c r="A106" s="503"/>
      <c r="B106" s="505"/>
      <c r="C106" s="535"/>
      <c r="D106" s="503"/>
      <c r="E106" s="597"/>
      <c r="F106" s="504"/>
      <c r="G106" s="504"/>
      <c r="H106" s="504"/>
      <c r="I106" s="503"/>
      <c r="J106" s="504"/>
      <c r="K106" s="504"/>
    </row>
    <row r="107" spans="1:11" ht="16.5">
      <c r="A107" s="503"/>
      <c r="B107" s="505"/>
      <c r="C107" s="535"/>
      <c r="D107" s="503"/>
      <c r="E107" s="597"/>
      <c r="F107" s="504"/>
      <c r="G107" s="504"/>
      <c r="H107" s="504"/>
      <c r="I107" s="503"/>
      <c r="J107" s="504"/>
      <c r="K107" s="504"/>
    </row>
    <row r="108" spans="1:11" ht="16.5">
      <c r="A108" s="503"/>
      <c r="B108" s="505"/>
      <c r="C108" s="535"/>
      <c r="D108" s="503"/>
      <c r="E108" s="597"/>
      <c r="F108" s="504"/>
      <c r="G108" s="504"/>
      <c r="H108" s="504"/>
      <c r="I108" s="503"/>
      <c r="J108" s="504"/>
      <c r="K108" s="504"/>
    </row>
    <row r="109" spans="1:11" ht="16.5">
      <c r="A109" s="503"/>
      <c r="B109" s="505"/>
      <c r="C109" s="535"/>
      <c r="D109" s="503"/>
      <c r="E109" s="597"/>
      <c r="F109" s="504"/>
      <c r="G109" s="504"/>
      <c r="H109" s="504"/>
      <c r="I109" s="503"/>
      <c r="J109" s="504"/>
      <c r="K109" s="504"/>
    </row>
    <row r="110" spans="1:11" ht="16.5">
      <c r="A110" s="503"/>
      <c r="B110" s="505"/>
      <c r="C110" s="535"/>
      <c r="D110" s="503"/>
      <c r="E110" s="597"/>
      <c r="F110" s="504"/>
      <c r="G110" s="504"/>
      <c r="H110" s="504"/>
      <c r="I110" s="503"/>
      <c r="J110" s="504"/>
      <c r="K110" s="504"/>
    </row>
    <row r="111" spans="1:11" ht="16.5">
      <c r="A111" s="503"/>
      <c r="B111" s="505"/>
      <c r="C111" s="535"/>
      <c r="D111" s="503"/>
      <c r="E111" s="597"/>
      <c r="F111" s="504"/>
      <c r="G111" s="504"/>
      <c r="H111" s="504"/>
      <c r="I111" s="503"/>
      <c r="J111" s="504"/>
      <c r="K111" s="504"/>
    </row>
    <row r="112" spans="1:11" ht="16.5">
      <c r="A112" s="503"/>
      <c r="B112" s="505"/>
      <c r="C112" s="535"/>
      <c r="D112" s="503"/>
      <c r="E112" s="597"/>
      <c r="F112" s="504"/>
      <c r="G112" s="504"/>
      <c r="H112" s="504"/>
      <c r="I112" s="503"/>
      <c r="J112" s="504"/>
      <c r="K112" s="504"/>
    </row>
    <row r="113" spans="1:11" ht="16.5">
      <c r="A113" s="503"/>
      <c r="B113" s="505"/>
      <c r="C113" s="535"/>
      <c r="D113" s="503"/>
      <c r="E113" s="597"/>
      <c r="F113" s="504"/>
      <c r="G113" s="504"/>
      <c r="H113" s="504"/>
      <c r="I113" s="503"/>
      <c r="J113" s="504"/>
      <c r="K113" s="504"/>
    </row>
    <row r="114" spans="1:11" ht="16.5">
      <c r="A114" s="503"/>
      <c r="B114" s="505"/>
      <c r="C114" s="535"/>
      <c r="D114" s="503"/>
      <c r="E114" s="597"/>
      <c r="F114" s="504"/>
      <c r="G114" s="504"/>
      <c r="H114" s="504"/>
      <c r="I114" s="503"/>
      <c r="J114" s="504"/>
      <c r="K114" s="504"/>
    </row>
    <row r="115" spans="1:11" ht="16.5">
      <c r="A115" s="503"/>
      <c r="B115" s="505"/>
      <c r="C115" s="535"/>
      <c r="D115" s="503"/>
      <c r="E115" s="597"/>
      <c r="F115" s="504"/>
      <c r="G115" s="504"/>
      <c r="H115" s="504"/>
      <c r="I115" s="503"/>
      <c r="J115" s="504"/>
      <c r="K115" s="504"/>
    </row>
    <row r="116" spans="1:11" ht="16.5">
      <c r="A116" s="503"/>
      <c r="B116" s="505"/>
      <c r="C116" s="535"/>
      <c r="D116" s="503"/>
      <c r="E116" s="597"/>
      <c r="F116" s="504"/>
      <c r="G116" s="504"/>
      <c r="H116" s="504"/>
      <c r="I116" s="503"/>
      <c r="J116" s="504"/>
      <c r="K116" s="504"/>
    </row>
    <row r="117" spans="1:11" ht="16.5">
      <c r="A117" s="503"/>
      <c r="B117" s="505"/>
      <c r="C117" s="535"/>
      <c r="D117" s="503"/>
      <c r="E117" s="597"/>
      <c r="F117" s="504"/>
      <c r="G117" s="504"/>
      <c r="H117" s="504"/>
      <c r="I117" s="503"/>
      <c r="J117" s="504"/>
      <c r="K117" s="504"/>
    </row>
    <row r="118" spans="1:11" ht="16.5">
      <c r="A118" s="503"/>
      <c r="B118" s="505"/>
      <c r="C118" s="535"/>
      <c r="D118" s="503"/>
      <c r="E118" s="597"/>
      <c r="F118" s="504"/>
      <c r="G118" s="504"/>
      <c r="H118" s="504"/>
      <c r="I118" s="503"/>
      <c r="J118" s="504"/>
      <c r="K118" s="504"/>
    </row>
    <row r="119" spans="1:11" ht="16.5">
      <c r="A119" s="503"/>
      <c r="B119" s="505"/>
      <c r="C119" s="535"/>
      <c r="D119" s="503"/>
      <c r="E119" s="597"/>
      <c r="F119" s="504"/>
      <c r="G119" s="504"/>
      <c r="H119" s="504"/>
      <c r="I119" s="503"/>
      <c r="J119" s="504"/>
      <c r="K119" s="504"/>
    </row>
    <row r="120" spans="1:11" ht="16.5">
      <c r="A120" s="503"/>
      <c r="B120" s="505"/>
      <c r="C120" s="535"/>
      <c r="D120" s="503"/>
      <c r="E120" s="597"/>
      <c r="F120" s="504"/>
      <c r="G120" s="504"/>
      <c r="H120" s="504"/>
      <c r="I120" s="503"/>
      <c r="J120" s="504"/>
      <c r="K120" s="504"/>
    </row>
    <row r="121" spans="1:11" ht="16.5">
      <c r="A121" s="503"/>
      <c r="B121" s="505"/>
      <c r="C121" s="535"/>
      <c r="D121" s="503"/>
      <c r="E121" s="597"/>
      <c r="F121" s="504"/>
      <c r="G121" s="504"/>
      <c r="H121" s="504"/>
      <c r="I121" s="503"/>
      <c r="J121" s="504"/>
      <c r="K121" s="504"/>
    </row>
    <row r="122" spans="1:11" ht="16.5">
      <c r="A122" s="503"/>
      <c r="B122" s="505"/>
      <c r="C122" s="535"/>
      <c r="D122" s="503"/>
      <c r="E122" s="597"/>
      <c r="F122" s="504"/>
      <c r="G122" s="504"/>
      <c r="H122" s="504"/>
      <c r="I122" s="503"/>
      <c r="J122" s="504"/>
      <c r="K122" s="504"/>
    </row>
    <row r="123" spans="1:11" ht="16.5">
      <c r="A123" s="503"/>
      <c r="B123" s="505"/>
      <c r="C123" s="535"/>
      <c r="D123" s="503"/>
      <c r="E123" s="597"/>
      <c r="F123" s="504"/>
      <c r="G123" s="504"/>
      <c r="H123" s="504"/>
      <c r="I123" s="503"/>
      <c r="J123" s="504"/>
      <c r="K123" s="504"/>
    </row>
    <row r="124" spans="1:11" ht="16.5">
      <c r="A124" s="503"/>
      <c r="B124" s="505"/>
      <c r="C124" s="535"/>
      <c r="D124" s="503"/>
      <c r="E124" s="597"/>
      <c r="F124" s="504"/>
      <c r="G124" s="504"/>
      <c r="H124" s="504"/>
      <c r="I124" s="503"/>
      <c r="J124" s="504"/>
      <c r="K124" s="504"/>
    </row>
    <row r="125" spans="1:11" ht="16.5">
      <c r="A125" s="503"/>
      <c r="B125" s="505"/>
      <c r="C125" s="535"/>
      <c r="D125" s="503"/>
      <c r="E125" s="597"/>
      <c r="F125" s="504"/>
      <c r="G125" s="504"/>
      <c r="H125" s="504"/>
      <c r="I125" s="503"/>
      <c r="J125" s="504"/>
      <c r="K125" s="504"/>
    </row>
    <row r="126" spans="1:11" ht="16.5">
      <c r="A126" s="503"/>
      <c r="B126" s="505"/>
      <c r="C126" s="535"/>
      <c r="D126" s="503"/>
      <c r="E126" s="597"/>
      <c r="F126" s="504"/>
      <c r="G126" s="504"/>
      <c r="H126" s="504"/>
      <c r="I126" s="503"/>
      <c r="J126" s="504"/>
      <c r="K126" s="504"/>
    </row>
    <row r="127" spans="1:11" ht="16.5">
      <c r="A127" s="503"/>
      <c r="B127" s="505"/>
      <c r="C127" s="535"/>
      <c r="D127" s="503"/>
      <c r="E127" s="597"/>
      <c r="F127" s="504"/>
      <c r="G127" s="504"/>
      <c r="H127" s="504"/>
      <c r="I127" s="503"/>
      <c r="J127" s="504"/>
      <c r="K127" s="504"/>
    </row>
    <row r="128" spans="1:11" ht="16.5">
      <c r="A128" s="503"/>
      <c r="B128" s="505"/>
      <c r="C128" s="535"/>
      <c r="D128" s="503"/>
      <c r="E128" s="597"/>
      <c r="F128" s="504"/>
      <c r="G128" s="504"/>
      <c r="H128" s="504"/>
      <c r="I128" s="503"/>
      <c r="J128" s="504"/>
      <c r="K128" s="504"/>
    </row>
    <row r="129" spans="1:11" ht="16.5">
      <c r="A129" s="503"/>
      <c r="B129" s="505"/>
      <c r="C129" s="535"/>
      <c r="D129" s="503"/>
      <c r="E129" s="597"/>
      <c r="F129" s="504"/>
      <c r="G129" s="504"/>
      <c r="H129" s="504"/>
      <c r="I129" s="503"/>
      <c r="J129" s="504"/>
      <c r="K129" s="504"/>
    </row>
    <row r="130" spans="1:11" ht="16.5">
      <c r="A130" s="503"/>
      <c r="B130" s="505"/>
      <c r="C130" s="535"/>
      <c r="D130" s="503"/>
      <c r="E130" s="597"/>
      <c r="F130" s="504"/>
      <c r="G130" s="504"/>
      <c r="H130" s="504"/>
      <c r="I130" s="503"/>
      <c r="J130" s="504"/>
      <c r="K130" s="504"/>
    </row>
    <row r="131" spans="1:11" ht="16.5">
      <c r="A131" s="503"/>
      <c r="B131" s="505"/>
      <c r="C131" s="535"/>
      <c r="D131" s="503"/>
      <c r="E131" s="597"/>
      <c r="F131" s="504"/>
      <c r="G131" s="504"/>
      <c r="H131" s="504"/>
      <c r="I131" s="503"/>
      <c r="J131" s="504"/>
      <c r="K131" s="504"/>
    </row>
    <row r="132" spans="1:11" ht="16.5">
      <c r="A132" s="503"/>
      <c r="B132" s="505"/>
      <c r="C132" s="535"/>
      <c r="D132" s="503"/>
      <c r="E132" s="597"/>
      <c r="F132" s="504"/>
      <c r="G132" s="504"/>
      <c r="H132" s="504"/>
      <c r="I132" s="503"/>
      <c r="J132" s="504"/>
      <c r="K132" s="504"/>
    </row>
    <row r="133" spans="1:11" ht="16.5">
      <c r="A133" s="503"/>
      <c r="B133" s="505"/>
      <c r="C133" s="535"/>
      <c r="D133" s="503"/>
      <c r="E133" s="597"/>
      <c r="F133" s="504"/>
      <c r="G133" s="504"/>
      <c r="H133" s="504"/>
      <c r="I133" s="503"/>
      <c r="J133" s="504"/>
      <c r="K133" s="504"/>
    </row>
    <row r="134" spans="1:11" ht="16.5">
      <c r="A134" s="503"/>
      <c r="B134" s="505"/>
      <c r="C134" s="535"/>
      <c r="D134" s="503"/>
      <c r="E134" s="597"/>
      <c r="F134" s="504"/>
      <c r="G134" s="504"/>
      <c r="H134" s="504"/>
      <c r="I134" s="503"/>
      <c r="J134" s="504"/>
      <c r="K134" s="504"/>
    </row>
    <row r="135" spans="1:11" ht="16.5">
      <c r="A135" s="503"/>
      <c r="B135" s="505"/>
      <c r="C135" s="535"/>
      <c r="D135" s="503"/>
      <c r="E135" s="597"/>
      <c r="F135" s="504"/>
      <c r="G135" s="504"/>
      <c r="H135" s="504"/>
      <c r="I135" s="503"/>
      <c r="J135" s="504"/>
      <c r="K135" s="504"/>
    </row>
    <row r="136" spans="1:11" ht="16.5">
      <c r="A136" s="503"/>
      <c r="B136" s="505"/>
      <c r="C136" s="535"/>
      <c r="D136" s="503"/>
      <c r="E136" s="597"/>
      <c r="F136" s="504"/>
      <c r="G136" s="504"/>
      <c r="H136" s="504"/>
      <c r="I136" s="503"/>
      <c r="J136" s="504"/>
      <c r="K136" s="504"/>
    </row>
    <row r="137" spans="1:11" ht="16.5">
      <c r="A137" s="503"/>
      <c r="B137" s="505"/>
      <c r="C137" s="535"/>
      <c r="D137" s="503"/>
      <c r="E137" s="597"/>
      <c r="F137" s="504"/>
      <c r="G137" s="504"/>
      <c r="H137" s="504"/>
      <c r="I137" s="503"/>
      <c r="J137" s="504"/>
      <c r="K137" s="504"/>
    </row>
    <row r="138" spans="1:11" ht="16.5">
      <c r="A138" s="503"/>
      <c r="B138" s="505"/>
      <c r="C138" s="535"/>
      <c r="D138" s="503"/>
      <c r="E138" s="597"/>
      <c r="F138" s="504"/>
      <c r="G138" s="504"/>
      <c r="H138" s="504"/>
      <c r="I138" s="503"/>
      <c r="J138" s="504"/>
      <c r="K138" s="504"/>
    </row>
    <row r="139" spans="1:11" ht="16.5">
      <c r="A139" s="503"/>
      <c r="B139" s="505"/>
      <c r="C139" s="535"/>
      <c r="D139" s="503"/>
      <c r="E139" s="597"/>
      <c r="F139" s="504"/>
      <c r="G139" s="504"/>
      <c r="H139" s="504"/>
      <c r="I139" s="503"/>
      <c r="J139" s="504"/>
      <c r="K139" s="504"/>
    </row>
    <row r="140" spans="1:11" ht="16.5">
      <c r="A140" s="503"/>
      <c r="B140" s="505"/>
      <c r="C140" s="535"/>
      <c r="D140" s="503"/>
      <c r="E140" s="597"/>
      <c r="F140" s="504"/>
      <c r="G140" s="504"/>
      <c r="H140" s="504"/>
      <c r="I140" s="503"/>
      <c r="J140" s="504"/>
      <c r="K140" s="504"/>
    </row>
    <row r="141" spans="1:11" ht="16.5">
      <c r="A141" s="503"/>
      <c r="B141" s="505"/>
      <c r="C141" s="535"/>
      <c r="D141" s="503"/>
      <c r="E141" s="597"/>
      <c r="F141" s="504"/>
      <c r="G141" s="504"/>
      <c r="H141" s="504"/>
      <c r="I141" s="503"/>
      <c r="J141" s="504"/>
      <c r="K141" s="504"/>
    </row>
    <row r="142" spans="1:11" ht="16.5">
      <c r="A142" s="503"/>
      <c r="B142" s="505"/>
      <c r="C142" s="535"/>
      <c r="D142" s="503"/>
      <c r="E142" s="597"/>
      <c r="F142" s="504"/>
      <c r="G142" s="504"/>
      <c r="H142" s="504"/>
      <c r="I142" s="503"/>
      <c r="J142" s="504"/>
      <c r="K142" s="504"/>
    </row>
    <row r="143" spans="1:11" ht="16.5">
      <c r="A143" s="503"/>
      <c r="B143" s="505"/>
      <c r="C143" s="535"/>
      <c r="D143" s="503"/>
      <c r="E143" s="597"/>
      <c r="F143" s="504"/>
      <c r="G143" s="504"/>
      <c r="H143" s="504"/>
      <c r="I143" s="503"/>
      <c r="J143" s="504"/>
      <c r="K143" s="504"/>
    </row>
    <row r="144" spans="1:11" ht="16.5">
      <c r="A144" s="503"/>
      <c r="B144" s="505"/>
      <c r="C144" s="535"/>
      <c r="D144" s="503"/>
      <c r="E144" s="597"/>
      <c r="F144" s="504"/>
      <c r="G144" s="504"/>
      <c r="H144" s="504"/>
      <c r="I144" s="503"/>
      <c r="J144" s="504"/>
      <c r="K144" s="504"/>
    </row>
    <row r="145" spans="1:11" ht="16.5">
      <c r="A145" s="503"/>
      <c r="B145" s="505"/>
      <c r="C145" s="535"/>
      <c r="D145" s="503"/>
      <c r="E145" s="597"/>
      <c r="F145" s="504"/>
      <c r="G145" s="504"/>
      <c r="H145" s="504"/>
      <c r="I145" s="503"/>
      <c r="J145" s="504"/>
      <c r="K145" s="504"/>
    </row>
    <row r="146" spans="1:11" ht="16.5">
      <c r="A146" s="503"/>
      <c r="B146" s="505"/>
      <c r="C146" s="535"/>
      <c r="D146" s="503"/>
      <c r="E146" s="597"/>
      <c r="F146" s="504"/>
      <c r="G146" s="504"/>
      <c r="H146" s="504"/>
      <c r="I146" s="503"/>
      <c r="J146" s="504"/>
      <c r="K146" s="504"/>
    </row>
    <row r="147" spans="1:11" ht="16.5">
      <c r="A147" s="503"/>
      <c r="B147" s="505"/>
      <c r="C147" s="535"/>
      <c r="D147" s="503"/>
      <c r="E147" s="597"/>
      <c r="F147" s="504"/>
      <c r="G147" s="504"/>
      <c r="H147" s="504"/>
      <c r="I147" s="503"/>
      <c r="J147" s="504"/>
      <c r="K147" s="504"/>
    </row>
    <row r="148" spans="1:11" ht="16.5">
      <c r="A148" s="503"/>
      <c r="B148" s="505"/>
      <c r="C148" s="535"/>
      <c r="D148" s="503"/>
      <c r="E148" s="597"/>
      <c r="F148" s="504"/>
      <c r="G148" s="504"/>
      <c r="H148" s="504"/>
      <c r="I148" s="503"/>
      <c r="J148" s="504"/>
      <c r="K148" s="504"/>
    </row>
    <row r="149" spans="1:11" ht="16.5">
      <c r="A149" s="503"/>
      <c r="B149" s="505"/>
      <c r="C149" s="535"/>
      <c r="D149" s="503"/>
      <c r="E149" s="597"/>
      <c r="F149" s="504"/>
      <c r="G149" s="504"/>
      <c r="H149" s="504"/>
      <c r="I149" s="503"/>
      <c r="J149" s="504"/>
      <c r="K149" s="504"/>
    </row>
    <row r="150" spans="1:11" ht="16.5">
      <c r="A150" s="503"/>
      <c r="B150" s="505"/>
      <c r="C150" s="535"/>
      <c r="D150" s="503"/>
      <c r="E150" s="597"/>
      <c r="F150" s="504"/>
      <c r="G150" s="504"/>
      <c r="H150" s="504"/>
      <c r="I150" s="503"/>
      <c r="J150" s="504"/>
      <c r="K150" s="504"/>
    </row>
    <row r="151" spans="1:11" ht="16.5">
      <c r="A151" s="503"/>
      <c r="B151" s="505"/>
      <c r="C151" s="535"/>
      <c r="D151" s="503"/>
      <c r="E151" s="597"/>
      <c r="F151" s="504"/>
      <c r="G151" s="504"/>
      <c r="H151" s="504"/>
      <c r="I151" s="503"/>
      <c r="J151" s="504"/>
      <c r="K151" s="504"/>
    </row>
    <row r="152" spans="1:11" ht="16.5">
      <c r="A152" s="503"/>
      <c r="B152" s="505"/>
      <c r="C152" s="535"/>
      <c r="D152" s="503"/>
      <c r="E152" s="597"/>
      <c r="F152" s="504"/>
      <c r="G152" s="504"/>
      <c r="H152" s="504"/>
      <c r="I152" s="503"/>
      <c r="J152" s="504"/>
      <c r="K152" s="504"/>
    </row>
    <row r="153" spans="1:11" ht="16.5">
      <c r="A153" s="503"/>
      <c r="B153" s="505"/>
      <c r="C153" s="535"/>
      <c r="D153" s="503"/>
      <c r="E153" s="597"/>
      <c r="F153" s="504"/>
      <c r="G153" s="504"/>
      <c r="H153" s="504"/>
      <c r="I153" s="503"/>
      <c r="J153" s="504"/>
      <c r="K153" s="504"/>
    </row>
    <row r="154" spans="1:11" ht="16.5">
      <c r="A154" s="503"/>
      <c r="B154" s="505"/>
      <c r="C154" s="535"/>
      <c r="D154" s="503"/>
      <c r="E154" s="597"/>
      <c r="F154" s="504"/>
      <c r="G154" s="504"/>
      <c r="H154" s="504"/>
      <c r="I154" s="503"/>
      <c r="J154" s="504"/>
      <c r="K154" s="504"/>
    </row>
    <row r="155" spans="1:11" ht="16.5">
      <c r="A155" s="503"/>
      <c r="B155" s="505"/>
      <c r="C155" s="535"/>
      <c r="D155" s="503"/>
      <c r="E155" s="597"/>
      <c r="F155" s="504"/>
      <c r="G155" s="504"/>
      <c r="H155" s="504"/>
      <c r="I155" s="503"/>
      <c r="J155" s="504"/>
      <c r="K155" s="504"/>
    </row>
    <row r="156" spans="1:11" ht="16.5">
      <c r="A156" s="503"/>
      <c r="B156" s="505"/>
      <c r="C156" s="535"/>
      <c r="D156" s="503"/>
      <c r="E156" s="597"/>
      <c r="F156" s="504"/>
      <c r="G156" s="504"/>
      <c r="H156" s="504"/>
      <c r="I156" s="503"/>
      <c r="J156" s="504"/>
      <c r="K156" s="504"/>
    </row>
    <row r="157" spans="1:11" ht="16.5">
      <c r="A157" s="503"/>
      <c r="B157" s="505"/>
      <c r="C157" s="535"/>
      <c r="D157" s="503"/>
      <c r="E157" s="597"/>
      <c r="F157" s="504"/>
      <c r="G157" s="504"/>
      <c r="H157" s="504"/>
      <c r="I157" s="503"/>
      <c r="J157" s="504"/>
      <c r="K157" s="504"/>
    </row>
    <row r="158" spans="1:11" ht="16.5">
      <c r="A158" s="503"/>
      <c r="B158" s="505"/>
      <c r="C158" s="535"/>
      <c r="D158" s="503"/>
      <c r="E158" s="597"/>
      <c r="F158" s="504"/>
      <c r="G158" s="504"/>
      <c r="H158" s="504"/>
      <c r="I158" s="503"/>
      <c r="J158" s="504"/>
      <c r="K158" s="504"/>
    </row>
    <row r="159" spans="1:11" ht="16.5">
      <c r="A159" s="503"/>
      <c r="B159" s="505"/>
      <c r="C159" s="535"/>
      <c r="D159" s="503"/>
      <c r="E159" s="597"/>
      <c r="F159" s="504"/>
      <c r="G159" s="504"/>
      <c r="H159" s="504"/>
      <c r="I159" s="503"/>
      <c r="J159" s="504"/>
      <c r="K159" s="504"/>
    </row>
    <row r="160" spans="1:11" ht="16.5">
      <c r="A160" s="503"/>
      <c r="B160" s="505"/>
      <c r="C160" s="535"/>
      <c r="D160" s="503"/>
      <c r="E160" s="597"/>
      <c r="F160" s="504"/>
      <c r="G160" s="504"/>
      <c r="H160" s="504"/>
      <c r="I160" s="503"/>
      <c r="J160" s="504"/>
      <c r="K160" s="504"/>
    </row>
    <row r="161" spans="1:11" ht="16.5">
      <c r="A161" s="503"/>
      <c r="B161" s="505"/>
      <c r="C161" s="535"/>
      <c r="D161" s="503"/>
      <c r="E161" s="597"/>
      <c r="F161" s="504"/>
      <c r="G161" s="504"/>
      <c r="H161" s="504"/>
      <c r="I161" s="503"/>
      <c r="J161" s="504"/>
      <c r="K161" s="504"/>
    </row>
    <row r="162" spans="1:11" ht="16.5">
      <c r="A162" s="503"/>
      <c r="B162" s="505"/>
      <c r="C162" s="535"/>
      <c r="D162" s="503"/>
      <c r="E162" s="597"/>
      <c r="F162" s="504"/>
      <c r="G162" s="504"/>
      <c r="H162" s="504"/>
      <c r="I162" s="503"/>
      <c r="J162" s="504"/>
      <c r="K162" s="504"/>
    </row>
    <row r="163" spans="1:11" ht="16.5">
      <c r="A163" s="503"/>
      <c r="B163" s="505"/>
      <c r="C163" s="535"/>
      <c r="D163" s="503"/>
      <c r="E163" s="597"/>
      <c r="F163" s="504"/>
      <c r="G163" s="504"/>
      <c r="H163" s="504"/>
      <c r="I163" s="503"/>
      <c r="J163" s="504"/>
      <c r="K163" s="504"/>
    </row>
    <row r="164" spans="1:11" ht="16.5">
      <c r="A164" s="503"/>
      <c r="B164" s="505"/>
      <c r="C164" s="535"/>
      <c r="D164" s="503"/>
      <c r="E164" s="597"/>
      <c r="F164" s="504"/>
      <c r="G164" s="504"/>
      <c r="H164" s="504"/>
      <c r="I164" s="503"/>
      <c r="J164" s="504"/>
      <c r="K164" s="504"/>
    </row>
    <row r="165" spans="1:11" ht="16.5">
      <c r="A165" s="503"/>
      <c r="B165" s="505"/>
      <c r="C165" s="535"/>
      <c r="D165" s="503"/>
      <c r="E165" s="597"/>
      <c r="F165" s="504"/>
      <c r="G165" s="504"/>
      <c r="H165" s="504"/>
      <c r="I165" s="503"/>
      <c r="J165" s="504"/>
      <c r="K165" s="504"/>
    </row>
    <row r="166" spans="1:11" ht="16.5">
      <c r="A166" s="503"/>
      <c r="B166" s="505"/>
      <c r="C166" s="535"/>
      <c r="D166" s="503"/>
      <c r="E166" s="597"/>
      <c r="F166" s="504"/>
      <c r="G166" s="504"/>
      <c r="H166" s="504"/>
      <c r="I166" s="503"/>
      <c r="J166" s="504"/>
      <c r="K166" s="504"/>
    </row>
    <row r="167" spans="1:11" ht="16.5">
      <c r="A167" s="503"/>
      <c r="B167" s="505"/>
      <c r="C167" s="535"/>
      <c r="D167" s="503"/>
      <c r="E167" s="597"/>
      <c r="F167" s="504"/>
      <c r="G167" s="504"/>
      <c r="H167" s="504"/>
      <c r="I167" s="503"/>
      <c r="J167" s="504"/>
      <c r="K167" s="504"/>
    </row>
    <row r="168" spans="1:11" ht="16.5">
      <c r="A168" s="503"/>
      <c r="B168" s="505"/>
      <c r="C168" s="535"/>
      <c r="D168" s="503"/>
      <c r="E168" s="597"/>
      <c r="F168" s="504"/>
      <c r="G168" s="504"/>
      <c r="H168" s="504"/>
      <c r="I168" s="503"/>
      <c r="J168" s="504"/>
      <c r="K168" s="504"/>
    </row>
    <row r="169" spans="1:11" ht="16.5">
      <c r="A169" s="503"/>
      <c r="B169" s="505"/>
      <c r="C169" s="535"/>
      <c r="D169" s="503"/>
      <c r="E169" s="597"/>
      <c r="F169" s="504"/>
      <c r="G169" s="504"/>
      <c r="H169" s="504"/>
      <c r="I169" s="503"/>
      <c r="J169" s="504"/>
      <c r="K169" s="504"/>
    </row>
    <row r="170" spans="1:11" ht="16.5">
      <c r="A170" s="503"/>
      <c r="B170" s="505"/>
      <c r="C170" s="535"/>
      <c r="D170" s="503"/>
      <c r="E170" s="597"/>
      <c r="F170" s="504"/>
      <c r="G170" s="504"/>
      <c r="H170" s="504"/>
      <c r="I170" s="503"/>
      <c r="J170" s="504"/>
      <c r="K170" s="504"/>
    </row>
    <row r="171" spans="1:11" ht="16.5">
      <c r="A171" s="503"/>
      <c r="B171" s="505"/>
      <c r="C171" s="535"/>
      <c r="D171" s="503"/>
      <c r="E171" s="597"/>
      <c r="F171" s="504"/>
      <c r="G171" s="504"/>
      <c r="H171" s="504"/>
      <c r="I171" s="503"/>
      <c r="J171" s="504"/>
      <c r="K171" s="504"/>
    </row>
    <row r="172" spans="1:11" ht="16.5">
      <c r="A172" s="503"/>
      <c r="B172" s="505"/>
      <c r="C172" s="535"/>
      <c r="D172" s="503"/>
      <c r="E172" s="597"/>
      <c r="F172" s="504"/>
      <c r="G172" s="504"/>
      <c r="H172" s="504"/>
      <c r="I172" s="503"/>
      <c r="J172" s="504"/>
      <c r="K172" s="504"/>
    </row>
    <row r="173" spans="1:11" ht="16.5">
      <c r="A173" s="503"/>
      <c r="B173" s="505"/>
      <c r="C173" s="535"/>
      <c r="D173" s="503"/>
      <c r="E173" s="597"/>
      <c r="F173" s="504"/>
      <c r="G173" s="504"/>
      <c r="H173" s="504"/>
      <c r="I173" s="503"/>
      <c r="J173" s="504"/>
      <c r="K173" s="504"/>
    </row>
    <row r="174" spans="1:11" ht="16.5">
      <c r="A174" s="503"/>
      <c r="B174" s="505"/>
      <c r="C174" s="535"/>
      <c r="D174" s="503"/>
      <c r="E174" s="597"/>
      <c r="F174" s="504"/>
      <c r="G174" s="504"/>
      <c r="H174" s="504"/>
      <c r="I174" s="503"/>
      <c r="J174" s="504"/>
      <c r="K174" s="504"/>
    </row>
    <row r="175" spans="1:11" ht="16.5">
      <c r="A175" s="503"/>
      <c r="B175" s="505"/>
      <c r="C175" s="535"/>
      <c r="D175" s="503"/>
      <c r="E175" s="597"/>
      <c r="F175" s="504"/>
      <c r="G175" s="504"/>
      <c r="H175" s="504"/>
      <c r="I175" s="503"/>
      <c r="J175" s="504"/>
      <c r="K175" s="504"/>
    </row>
    <row r="176" spans="1:11" ht="16.5">
      <c r="A176" s="503"/>
      <c r="B176" s="505"/>
      <c r="C176" s="535"/>
      <c r="D176" s="503"/>
      <c r="E176" s="597"/>
      <c r="F176" s="504"/>
      <c r="G176" s="504"/>
      <c r="H176" s="504"/>
      <c r="I176" s="503"/>
      <c r="J176" s="504"/>
      <c r="K176" s="504"/>
    </row>
    <row r="177" spans="1:11" ht="16.5">
      <c r="A177" s="503"/>
      <c r="B177" s="505"/>
      <c r="C177" s="535"/>
      <c r="D177" s="503"/>
      <c r="E177" s="597"/>
      <c r="F177" s="504"/>
      <c r="G177" s="504"/>
      <c r="H177" s="504"/>
      <c r="I177" s="503"/>
      <c r="J177" s="504"/>
      <c r="K177" s="504"/>
    </row>
    <row r="178" spans="1:11" ht="16.5">
      <c r="A178" s="503"/>
      <c r="B178" s="505"/>
      <c r="C178" s="535"/>
      <c r="D178" s="503"/>
      <c r="E178" s="597"/>
      <c r="F178" s="504"/>
      <c r="G178" s="504"/>
      <c r="H178" s="504"/>
      <c r="I178" s="503"/>
      <c r="J178" s="504"/>
      <c r="K178" s="504"/>
    </row>
    <row r="179" spans="1:11" ht="16.5">
      <c r="A179" s="503"/>
      <c r="B179" s="505"/>
      <c r="C179" s="535"/>
      <c r="D179" s="503"/>
      <c r="E179" s="597"/>
      <c r="F179" s="504"/>
      <c r="G179" s="504"/>
      <c r="H179" s="504"/>
      <c r="I179" s="503"/>
      <c r="J179" s="504"/>
      <c r="K179" s="504"/>
    </row>
    <row r="180" spans="1:11" ht="16.5">
      <c r="A180" s="503"/>
      <c r="B180" s="505"/>
      <c r="C180" s="535"/>
      <c r="D180" s="503"/>
      <c r="E180" s="597"/>
      <c r="F180" s="504"/>
      <c r="G180" s="504"/>
      <c r="H180" s="504"/>
      <c r="I180" s="503"/>
      <c r="J180" s="504"/>
      <c r="K180" s="504"/>
    </row>
    <row r="181" spans="1:11" ht="16.5">
      <c r="A181" s="503"/>
      <c r="B181" s="505"/>
      <c r="C181" s="535"/>
      <c r="D181" s="503"/>
      <c r="E181" s="597"/>
      <c r="F181" s="504"/>
      <c r="G181" s="504"/>
      <c r="H181" s="504"/>
      <c r="I181" s="503"/>
      <c r="J181" s="504"/>
      <c r="K181" s="504"/>
    </row>
    <row r="182" spans="1:11" ht="16.5">
      <c r="A182" s="503"/>
      <c r="B182" s="505"/>
      <c r="C182" s="535"/>
      <c r="D182" s="503"/>
      <c r="E182" s="597"/>
      <c r="F182" s="504"/>
      <c r="G182" s="504"/>
      <c r="H182" s="504"/>
      <c r="I182" s="503"/>
      <c r="J182" s="504"/>
      <c r="K182" s="504"/>
    </row>
    <row r="183" spans="1:11" ht="16.5">
      <c r="A183" s="503"/>
      <c r="B183" s="505"/>
      <c r="C183" s="535"/>
      <c r="D183" s="503"/>
      <c r="E183" s="597"/>
      <c r="F183" s="504"/>
      <c r="G183" s="504"/>
      <c r="H183" s="504"/>
      <c r="I183" s="503"/>
      <c r="J183" s="504"/>
      <c r="K183" s="504"/>
    </row>
    <row r="184" spans="1:11" ht="16.5">
      <c r="A184" s="503"/>
      <c r="B184" s="505"/>
      <c r="C184" s="535"/>
      <c r="D184" s="503"/>
      <c r="E184" s="597"/>
      <c r="F184" s="504"/>
      <c r="G184" s="504"/>
      <c r="H184" s="504"/>
      <c r="I184" s="503"/>
      <c r="J184" s="504"/>
      <c r="K184" s="504"/>
    </row>
    <row r="185" spans="1:11" ht="16.5">
      <c r="A185" s="503"/>
      <c r="B185" s="505"/>
      <c r="C185" s="535"/>
      <c r="D185" s="503"/>
      <c r="E185" s="597"/>
      <c r="F185" s="504"/>
      <c r="G185" s="504"/>
      <c r="H185" s="504"/>
      <c r="I185" s="503"/>
      <c r="J185" s="504"/>
      <c r="K185" s="504"/>
    </row>
    <row r="186" spans="1:11" ht="16.5">
      <c r="A186" s="503"/>
      <c r="B186" s="505"/>
      <c r="C186" s="535"/>
      <c r="D186" s="503"/>
      <c r="E186" s="597"/>
      <c r="F186" s="504"/>
      <c r="G186" s="504"/>
      <c r="H186" s="504"/>
      <c r="I186" s="503"/>
      <c r="J186" s="504"/>
      <c r="K186" s="504"/>
    </row>
    <row r="187" spans="1:11" ht="16.5">
      <c r="A187" s="503"/>
      <c r="B187" s="505"/>
      <c r="C187" s="535"/>
      <c r="D187" s="503"/>
      <c r="E187" s="597"/>
      <c r="F187" s="504"/>
      <c r="G187" s="504"/>
      <c r="H187" s="504"/>
      <c r="I187" s="503"/>
      <c r="J187" s="504"/>
      <c r="K187" s="504"/>
    </row>
    <row r="188" spans="1:11" ht="16.5">
      <c r="A188" s="503"/>
      <c r="B188" s="505"/>
      <c r="C188" s="535"/>
      <c r="D188" s="503"/>
      <c r="E188" s="597"/>
      <c r="F188" s="504"/>
      <c r="G188" s="504"/>
      <c r="H188" s="504"/>
      <c r="I188" s="503"/>
      <c r="J188" s="504"/>
      <c r="K188" s="504"/>
    </row>
    <row r="189" spans="1:11" ht="16.5">
      <c r="A189" s="503"/>
      <c r="B189" s="505"/>
      <c r="C189" s="535"/>
      <c r="D189" s="503"/>
      <c r="E189" s="597"/>
      <c r="F189" s="504"/>
      <c r="G189" s="504"/>
      <c r="H189" s="504"/>
      <c r="I189" s="503"/>
      <c r="J189" s="504"/>
      <c r="K189" s="504"/>
    </row>
    <row r="190" spans="1:11" ht="16.5">
      <c r="A190" s="503"/>
      <c r="B190" s="505"/>
      <c r="C190" s="535"/>
      <c r="D190" s="503"/>
      <c r="E190" s="597"/>
      <c r="F190" s="504"/>
      <c r="G190" s="504"/>
      <c r="H190" s="504"/>
      <c r="I190" s="503"/>
      <c r="J190" s="504"/>
      <c r="K190" s="504"/>
    </row>
    <row r="191" spans="1:11" ht="16.5">
      <c r="A191" s="503"/>
      <c r="B191" s="505"/>
      <c r="C191" s="535"/>
      <c r="D191" s="503"/>
      <c r="E191" s="597"/>
      <c r="F191" s="504"/>
      <c r="G191" s="504"/>
      <c r="H191" s="504"/>
      <c r="I191" s="503"/>
      <c r="J191" s="504"/>
      <c r="K191" s="504"/>
    </row>
    <row r="192" spans="1:11" ht="16.5">
      <c r="A192" s="503"/>
      <c r="B192" s="505"/>
      <c r="C192" s="535"/>
      <c r="D192" s="503"/>
      <c r="E192" s="597"/>
      <c r="F192" s="504"/>
      <c r="G192" s="504"/>
      <c r="H192" s="504"/>
      <c r="I192" s="503"/>
      <c r="J192" s="504"/>
      <c r="K192" s="504"/>
    </row>
    <row r="193" spans="1:11" ht="16.5">
      <c r="A193" s="503"/>
      <c r="B193" s="505"/>
      <c r="C193" s="535"/>
      <c r="D193" s="503"/>
      <c r="E193" s="597"/>
      <c r="F193" s="504"/>
      <c r="G193" s="504"/>
      <c r="H193" s="504"/>
      <c r="I193" s="503"/>
      <c r="J193" s="504"/>
      <c r="K193" s="504"/>
    </row>
    <row r="194" spans="1:11" ht="16.5">
      <c r="A194" s="503"/>
      <c r="B194" s="505"/>
      <c r="C194" s="535"/>
      <c r="D194" s="503"/>
      <c r="E194" s="597"/>
      <c r="F194" s="504"/>
      <c r="G194" s="504"/>
      <c r="H194" s="504"/>
      <c r="I194" s="503"/>
      <c r="J194" s="504"/>
      <c r="K194" s="504"/>
    </row>
    <row r="195" spans="1:11" ht="16.5">
      <c r="A195" s="503"/>
      <c r="B195" s="505"/>
      <c r="C195" s="535"/>
      <c r="D195" s="503"/>
      <c r="E195" s="597"/>
      <c r="F195" s="504"/>
      <c r="G195" s="504"/>
      <c r="H195" s="504"/>
      <c r="I195" s="503"/>
      <c r="J195" s="504"/>
      <c r="K195" s="504"/>
    </row>
    <row r="196" spans="1:11" ht="16.5">
      <c r="A196" s="503"/>
      <c r="B196" s="505"/>
      <c r="C196" s="535"/>
      <c r="D196" s="503"/>
      <c r="E196" s="597"/>
      <c r="F196" s="504"/>
      <c r="G196" s="504"/>
      <c r="H196" s="504"/>
      <c r="I196" s="503"/>
      <c r="J196" s="504"/>
      <c r="K196" s="504"/>
    </row>
    <row r="197" spans="1:11" ht="16.5">
      <c r="A197" s="503"/>
      <c r="B197" s="505"/>
      <c r="C197" s="535"/>
      <c r="D197" s="503"/>
      <c r="E197" s="597"/>
      <c r="F197" s="504"/>
      <c r="G197" s="504"/>
      <c r="H197" s="504"/>
      <c r="I197" s="503"/>
      <c r="J197" s="504"/>
      <c r="K197" s="504"/>
    </row>
    <row r="198" spans="1:11" ht="16.5">
      <c r="A198" s="503"/>
      <c r="B198" s="505"/>
      <c r="C198" s="535"/>
      <c r="D198" s="503"/>
      <c r="E198" s="597"/>
      <c r="F198" s="504"/>
      <c r="G198" s="504"/>
      <c r="H198" s="504"/>
      <c r="I198" s="503"/>
      <c r="J198" s="504"/>
      <c r="K198" s="504"/>
    </row>
    <row r="199" spans="1:11" ht="16.5">
      <c r="A199" s="503"/>
      <c r="B199" s="505"/>
      <c r="C199" s="535"/>
      <c r="D199" s="503"/>
      <c r="E199" s="597"/>
      <c r="F199" s="504"/>
      <c r="G199" s="504"/>
      <c r="H199" s="504"/>
      <c r="I199" s="503"/>
      <c r="J199" s="504"/>
      <c r="K199" s="504"/>
    </row>
    <row r="200" spans="1:11" ht="16.5">
      <c r="A200" s="503"/>
      <c r="B200" s="505"/>
      <c r="C200" s="535"/>
      <c r="D200" s="503"/>
      <c r="E200" s="597"/>
      <c r="F200" s="504"/>
      <c r="G200" s="504"/>
      <c r="H200" s="504"/>
      <c r="I200" s="503"/>
      <c r="J200" s="504"/>
      <c r="K200" s="504"/>
    </row>
    <row r="201" spans="1:11" ht="16.5">
      <c r="A201" s="503"/>
      <c r="B201" s="505"/>
      <c r="C201" s="535"/>
      <c r="D201" s="503"/>
      <c r="E201" s="597"/>
      <c r="F201" s="504"/>
      <c r="G201" s="504"/>
      <c r="H201" s="504"/>
      <c r="I201" s="503"/>
      <c r="J201" s="504"/>
      <c r="K201" s="504"/>
    </row>
    <row r="202" spans="1:11" ht="16.5">
      <c r="A202" s="503"/>
      <c r="B202" s="505"/>
      <c r="C202" s="535"/>
      <c r="D202" s="503"/>
      <c r="E202" s="597"/>
      <c r="F202" s="504"/>
      <c r="G202" s="504"/>
      <c r="H202" s="504"/>
      <c r="I202" s="503"/>
      <c r="J202" s="504"/>
      <c r="K202" s="504"/>
    </row>
    <row r="203" spans="1:11" ht="16.5">
      <c r="A203" s="503"/>
      <c r="B203" s="505"/>
      <c r="C203" s="535"/>
      <c r="D203" s="503"/>
      <c r="E203" s="597"/>
      <c r="F203" s="504"/>
      <c r="G203" s="504"/>
      <c r="H203" s="504"/>
      <c r="I203" s="503"/>
      <c r="J203" s="504"/>
      <c r="K203" s="504"/>
    </row>
    <row r="204" spans="1:11" ht="16.5">
      <c r="A204" s="503"/>
      <c r="B204" s="505"/>
      <c r="C204" s="535"/>
      <c r="D204" s="503"/>
      <c r="E204" s="597"/>
      <c r="F204" s="504"/>
      <c r="G204" s="504"/>
      <c r="H204" s="504"/>
      <c r="I204" s="503"/>
      <c r="J204" s="504"/>
      <c r="K204" s="504"/>
    </row>
    <row r="205" spans="1:11" ht="16.5">
      <c r="A205" s="503"/>
      <c r="B205" s="505"/>
      <c r="C205" s="535"/>
      <c r="D205" s="503"/>
      <c r="E205" s="597"/>
      <c r="F205" s="504"/>
      <c r="G205" s="504"/>
      <c r="H205" s="504"/>
      <c r="I205" s="503"/>
      <c r="J205" s="504"/>
      <c r="K205" s="504"/>
    </row>
    <row r="206" spans="1:11" ht="16.5">
      <c r="A206" s="503"/>
      <c r="B206" s="505"/>
      <c r="C206" s="535"/>
      <c r="D206" s="503"/>
      <c r="E206" s="597"/>
      <c r="F206" s="504"/>
      <c r="G206" s="504"/>
      <c r="H206" s="504"/>
      <c r="I206" s="503"/>
      <c r="J206" s="504"/>
      <c r="K206" s="504"/>
    </row>
    <row r="207" spans="1:11" ht="16.5">
      <c r="A207" s="503"/>
      <c r="B207" s="505"/>
      <c r="C207" s="535"/>
      <c r="D207" s="503"/>
      <c r="E207" s="597"/>
      <c r="F207" s="504"/>
      <c r="G207" s="504"/>
      <c r="H207" s="504"/>
      <c r="I207" s="503"/>
      <c r="J207" s="504"/>
      <c r="K207" s="504"/>
    </row>
    <row r="208" spans="1:11" ht="16.5">
      <c r="A208" s="503"/>
      <c r="B208" s="505"/>
      <c r="C208" s="535"/>
      <c r="D208" s="503"/>
      <c r="E208" s="597"/>
      <c r="F208" s="504"/>
      <c r="G208" s="504"/>
      <c r="H208" s="504"/>
      <c r="I208" s="503"/>
      <c r="J208" s="504"/>
      <c r="K208" s="504"/>
    </row>
    <row r="209" spans="1:11" ht="16.5">
      <c r="A209" s="503"/>
      <c r="B209" s="505"/>
      <c r="C209" s="535"/>
      <c r="D209" s="503"/>
      <c r="E209" s="597"/>
      <c r="F209" s="504"/>
      <c r="G209" s="504"/>
      <c r="H209" s="504"/>
      <c r="I209" s="503"/>
      <c r="J209" s="504"/>
      <c r="K209" s="504"/>
    </row>
    <row r="210" spans="1:11" ht="16.5">
      <c r="A210" s="503"/>
      <c r="B210" s="505"/>
      <c r="C210" s="535"/>
      <c r="D210" s="503"/>
      <c r="E210" s="597"/>
      <c r="F210" s="504"/>
      <c r="G210" s="504"/>
      <c r="H210" s="504"/>
      <c r="I210" s="503"/>
      <c r="J210" s="504"/>
      <c r="K210" s="504"/>
    </row>
    <row r="211" spans="1:11" ht="16.5">
      <c r="A211" s="503"/>
      <c r="B211" s="505"/>
      <c r="C211" s="535"/>
      <c r="D211" s="503"/>
      <c r="E211" s="597"/>
      <c r="F211" s="504"/>
      <c r="G211" s="504"/>
      <c r="H211" s="504"/>
      <c r="I211" s="503"/>
      <c r="J211" s="504"/>
      <c r="K211" s="504"/>
    </row>
    <row r="212" spans="1:11" ht="16.5">
      <c r="A212" s="503"/>
      <c r="B212" s="505"/>
      <c r="C212" s="535"/>
      <c r="D212" s="503"/>
      <c r="E212" s="597"/>
      <c r="F212" s="504"/>
      <c r="G212" s="504"/>
      <c r="H212" s="504"/>
      <c r="I212" s="503"/>
      <c r="J212" s="504"/>
      <c r="K212" s="504"/>
    </row>
    <row r="213" spans="1:11" ht="16.5">
      <c r="A213" s="503"/>
      <c r="B213" s="505"/>
      <c r="C213" s="535"/>
      <c r="D213" s="503"/>
      <c r="E213" s="597"/>
      <c r="F213" s="504"/>
      <c r="G213" s="504"/>
      <c r="H213" s="504"/>
      <c r="I213" s="503"/>
      <c r="J213" s="504"/>
      <c r="K213" s="504"/>
    </row>
    <row r="214" spans="1:11" ht="16.5">
      <c r="A214" s="503"/>
      <c r="B214" s="505"/>
      <c r="C214" s="535"/>
      <c r="D214" s="503"/>
      <c r="E214" s="597"/>
      <c r="F214" s="504"/>
      <c r="G214" s="504"/>
      <c r="H214" s="504"/>
      <c r="I214" s="503"/>
      <c r="J214" s="504"/>
      <c r="K214" s="504"/>
    </row>
    <row r="215" spans="1:11" ht="16.5">
      <c r="A215" s="503"/>
      <c r="B215" s="505"/>
      <c r="C215" s="535"/>
      <c r="D215" s="503"/>
      <c r="E215" s="597"/>
      <c r="F215" s="504"/>
      <c r="G215" s="504"/>
      <c r="H215" s="504"/>
      <c r="I215" s="503"/>
      <c r="J215" s="504"/>
      <c r="K215" s="504"/>
    </row>
    <row r="216" spans="1:11" ht="16.5">
      <c r="A216" s="503"/>
      <c r="B216" s="505"/>
      <c r="C216" s="535"/>
      <c r="D216" s="503"/>
      <c r="E216" s="597"/>
      <c r="F216" s="504"/>
      <c r="G216" s="504"/>
      <c r="H216" s="504"/>
      <c r="I216" s="503"/>
      <c r="J216" s="504"/>
      <c r="K216" s="504"/>
    </row>
    <row r="217" spans="1:11" ht="16.5">
      <c r="A217" s="503"/>
      <c r="B217" s="505"/>
      <c r="C217" s="535"/>
      <c r="D217" s="503"/>
      <c r="E217" s="597"/>
      <c r="F217" s="504"/>
      <c r="G217" s="504"/>
      <c r="H217" s="504"/>
      <c r="I217" s="503"/>
      <c r="J217" s="504"/>
      <c r="K217" s="504"/>
    </row>
    <row r="218" spans="1:11" ht="16.5">
      <c r="A218" s="503"/>
      <c r="B218" s="505"/>
      <c r="C218" s="535"/>
      <c r="D218" s="503"/>
      <c r="E218" s="597"/>
      <c r="F218" s="504"/>
      <c r="G218" s="504"/>
      <c r="H218" s="504"/>
      <c r="I218" s="503"/>
      <c r="J218" s="504"/>
      <c r="K218" s="504"/>
    </row>
    <row r="219" spans="1:11" ht="16.5">
      <c r="A219" s="503"/>
      <c r="B219" s="505"/>
      <c r="C219" s="535"/>
      <c r="D219" s="503"/>
      <c r="E219" s="597"/>
      <c r="F219" s="504"/>
      <c r="G219" s="504"/>
      <c r="H219" s="504"/>
      <c r="I219" s="503"/>
      <c r="J219" s="504"/>
      <c r="K219" s="504"/>
    </row>
    <row r="220" spans="1:11" ht="16.5">
      <c r="A220" s="503"/>
      <c r="B220" s="505"/>
      <c r="C220" s="535"/>
      <c r="D220" s="503"/>
      <c r="E220" s="597"/>
      <c r="F220" s="504"/>
      <c r="G220" s="504"/>
      <c r="H220" s="504"/>
      <c r="I220" s="503"/>
      <c r="J220" s="504"/>
      <c r="K220" s="504"/>
    </row>
    <row r="221" spans="1:11" ht="16.5">
      <c r="A221" s="503"/>
      <c r="B221" s="505"/>
      <c r="C221" s="535"/>
      <c r="D221" s="503"/>
      <c r="E221" s="597"/>
      <c r="F221" s="504"/>
      <c r="G221" s="504"/>
      <c r="H221" s="504"/>
      <c r="I221" s="503"/>
      <c r="J221" s="504"/>
      <c r="K221" s="504"/>
    </row>
    <row r="222" spans="1:11" ht="16.5">
      <c r="A222" s="503"/>
      <c r="B222" s="505"/>
      <c r="C222" s="535"/>
      <c r="D222" s="503"/>
      <c r="E222" s="597"/>
      <c r="F222" s="504"/>
      <c r="G222" s="504"/>
      <c r="H222" s="504"/>
      <c r="I222" s="503"/>
      <c r="J222" s="504"/>
      <c r="K222" s="504"/>
    </row>
    <row r="223" spans="1:11" ht="16.5">
      <c r="A223" s="503"/>
      <c r="B223" s="505"/>
      <c r="C223" s="535"/>
      <c r="D223" s="503"/>
      <c r="E223" s="597"/>
      <c r="F223" s="504"/>
      <c r="G223" s="504"/>
      <c r="H223" s="504"/>
      <c r="I223" s="503"/>
      <c r="J223" s="504"/>
      <c r="K223" s="504"/>
    </row>
    <row r="224" spans="1:11" ht="16.5">
      <c r="A224" s="503"/>
      <c r="B224" s="505"/>
      <c r="C224" s="535"/>
      <c r="D224" s="503"/>
      <c r="E224" s="597"/>
      <c r="F224" s="504"/>
      <c r="G224" s="504"/>
      <c r="H224" s="504"/>
      <c r="I224" s="503"/>
      <c r="J224" s="504"/>
      <c r="K224" s="504"/>
    </row>
    <row r="225" spans="1:11" ht="16.5">
      <c r="A225" s="503"/>
      <c r="B225" s="505"/>
      <c r="C225" s="535"/>
      <c r="D225" s="503"/>
      <c r="E225" s="597"/>
      <c r="F225" s="504"/>
      <c r="G225" s="504"/>
      <c r="H225" s="504"/>
      <c r="I225" s="503"/>
      <c r="J225" s="504"/>
      <c r="K225" s="504"/>
    </row>
    <row r="226" spans="1:11" ht="16.5">
      <c r="A226" s="503"/>
      <c r="B226" s="505"/>
      <c r="C226" s="535"/>
      <c r="D226" s="503"/>
      <c r="E226" s="597"/>
      <c r="F226" s="504"/>
      <c r="G226" s="504"/>
      <c r="H226" s="504"/>
      <c r="I226" s="503"/>
      <c r="J226" s="504"/>
      <c r="K226" s="504"/>
    </row>
    <row r="227" spans="1:11" ht="16.5">
      <c r="A227" s="503"/>
      <c r="B227" s="505"/>
      <c r="C227" s="535"/>
      <c r="D227" s="503"/>
      <c r="E227" s="597"/>
      <c r="F227" s="504"/>
      <c r="G227" s="504"/>
      <c r="H227" s="504"/>
      <c r="I227" s="503"/>
      <c r="J227" s="504"/>
      <c r="K227" s="504"/>
    </row>
    <row r="228" spans="1:11" ht="16.5">
      <c r="A228" s="503"/>
      <c r="B228" s="505"/>
      <c r="C228" s="535"/>
      <c r="D228" s="503"/>
      <c r="E228" s="597"/>
      <c r="F228" s="504"/>
      <c r="G228" s="504"/>
      <c r="H228" s="504"/>
      <c r="I228" s="503"/>
      <c r="J228" s="504"/>
      <c r="K228" s="504"/>
    </row>
    <row r="229" spans="1:11" ht="16.5">
      <c r="A229" s="503"/>
      <c r="B229" s="505"/>
      <c r="C229" s="535"/>
      <c r="D229" s="503"/>
      <c r="E229" s="597"/>
      <c r="F229" s="504"/>
      <c r="G229" s="504"/>
      <c r="H229" s="504"/>
      <c r="I229" s="503"/>
      <c r="J229" s="504"/>
      <c r="K229" s="504"/>
    </row>
    <row r="230" spans="1:11" ht="16.5">
      <c r="A230" s="503"/>
      <c r="B230" s="505"/>
      <c r="C230" s="535"/>
      <c r="D230" s="503"/>
      <c r="E230" s="597"/>
      <c r="F230" s="504"/>
      <c r="G230" s="504"/>
      <c r="H230" s="504"/>
      <c r="I230" s="503"/>
      <c r="J230" s="504"/>
      <c r="K230" s="504"/>
    </row>
    <row r="231" spans="1:11" ht="16.5">
      <c r="A231" s="503"/>
      <c r="B231" s="505"/>
      <c r="C231" s="535"/>
      <c r="D231" s="503"/>
      <c r="E231" s="597"/>
      <c r="F231" s="504"/>
      <c r="G231" s="504"/>
      <c r="H231" s="504"/>
      <c r="I231" s="503"/>
      <c r="J231" s="504"/>
      <c r="K231" s="504"/>
    </row>
    <row r="232" spans="1:11" ht="16.5">
      <c r="A232" s="503"/>
      <c r="B232" s="505"/>
      <c r="C232" s="535"/>
      <c r="D232" s="503"/>
      <c r="E232" s="597"/>
      <c r="F232" s="504"/>
      <c r="G232" s="504"/>
      <c r="H232" s="504"/>
      <c r="I232" s="503"/>
      <c r="J232" s="504"/>
      <c r="K232" s="504"/>
    </row>
    <row r="233" spans="1:11" ht="16.5">
      <c r="A233" s="503"/>
      <c r="B233" s="505"/>
      <c r="C233" s="535"/>
      <c r="D233" s="503"/>
      <c r="E233" s="597"/>
      <c r="F233" s="504"/>
      <c r="G233" s="504"/>
      <c r="H233" s="504"/>
      <c r="I233" s="503"/>
      <c r="J233" s="504"/>
      <c r="K233" s="504"/>
    </row>
    <row r="234" spans="1:11" ht="16.5">
      <c r="A234" s="503"/>
      <c r="B234" s="505"/>
      <c r="C234" s="535"/>
      <c r="D234" s="503"/>
      <c r="E234" s="597"/>
      <c r="F234" s="504"/>
      <c r="G234" s="504"/>
      <c r="H234" s="504"/>
      <c r="I234" s="503"/>
      <c r="J234" s="504"/>
      <c r="K234" s="504"/>
    </row>
    <row r="235" spans="1:11" ht="16.5">
      <c r="A235" s="503"/>
      <c r="B235" s="505"/>
      <c r="C235" s="535"/>
      <c r="D235" s="503"/>
      <c r="E235" s="597"/>
      <c r="F235" s="504"/>
      <c r="G235" s="504"/>
      <c r="H235" s="504"/>
      <c r="I235" s="503"/>
      <c r="J235" s="504"/>
      <c r="K235" s="504"/>
    </row>
    <row r="236" spans="1:11" ht="16.5">
      <c r="A236" s="503"/>
      <c r="B236" s="505"/>
      <c r="C236" s="535"/>
      <c r="D236" s="503"/>
      <c r="E236" s="597"/>
      <c r="F236" s="504"/>
      <c r="G236" s="504"/>
      <c r="H236" s="504"/>
      <c r="I236" s="503"/>
      <c r="J236" s="504"/>
      <c r="K236" s="50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5"/>
  <sheetViews>
    <sheetView workbookViewId="0"/>
  </sheetViews>
  <sheetFormatPr defaultRowHeight="15"/>
  <sheetData>
    <row r="1" spans="1:13" ht="33">
      <c r="A1" s="360"/>
      <c r="B1" s="390" t="s">
        <v>717</v>
      </c>
      <c r="D1" s="362"/>
      <c r="E1" s="362"/>
      <c r="H1" s="520"/>
      <c r="I1" s="730"/>
      <c r="J1" s="1048"/>
      <c r="K1" s="1048"/>
      <c r="L1" s="1048"/>
    </row>
    <row r="2" spans="1:13" ht="198">
      <c r="A2" s="1051" t="s">
        <v>761</v>
      </c>
      <c r="B2" s="1052"/>
      <c r="C2" s="1052"/>
      <c r="D2" s="1052"/>
      <c r="E2" s="1052"/>
      <c r="F2" s="1052"/>
      <c r="G2" s="1052"/>
      <c r="H2" s="1052"/>
      <c r="I2" s="1052"/>
      <c r="J2" s="1052"/>
      <c r="K2" s="1052"/>
      <c r="L2" s="1052"/>
    </row>
    <row r="3" spans="1:13" ht="214.5">
      <c r="A3" s="1055" t="s">
        <v>812</v>
      </c>
      <c r="B3" s="1055"/>
      <c r="C3" s="1055"/>
      <c r="D3" s="1055"/>
      <c r="E3" s="1055"/>
      <c r="F3" s="1055"/>
      <c r="G3" s="1055"/>
      <c r="H3" s="1055"/>
      <c r="I3" s="1055"/>
      <c r="J3" s="1055"/>
      <c r="K3" s="1055"/>
      <c r="L3" s="1055"/>
    </row>
    <row r="4" spans="1:13" ht="16.5">
      <c r="A4" s="591"/>
      <c r="B4" s="437"/>
      <c r="C4" s="438"/>
      <c r="D4" s="591"/>
      <c r="E4" s="591"/>
      <c r="F4" s="363"/>
      <c r="G4" s="363"/>
      <c r="H4" s="363"/>
      <c r="I4" s="363"/>
      <c r="J4" s="363"/>
      <c r="K4" s="363"/>
      <c r="L4" s="365"/>
    </row>
    <row r="5" spans="1:13" ht="165">
      <c r="A5" s="1053" t="s">
        <v>0</v>
      </c>
      <c r="B5" s="1053" t="s">
        <v>287</v>
      </c>
      <c r="C5" s="1053" t="s">
        <v>184</v>
      </c>
      <c r="D5" s="1053" t="s">
        <v>339</v>
      </c>
      <c r="E5" s="1053" t="s">
        <v>323</v>
      </c>
      <c r="F5" s="1056" t="s">
        <v>760</v>
      </c>
      <c r="G5" s="1057"/>
      <c r="H5" s="1057"/>
      <c r="I5" s="1057"/>
      <c r="J5" s="1058"/>
      <c r="K5" s="1049" t="s">
        <v>531</v>
      </c>
      <c r="L5" s="1049" t="s">
        <v>532</v>
      </c>
    </row>
    <row r="6" spans="1:13" ht="66">
      <c r="A6" s="1054"/>
      <c r="B6" s="1054"/>
      <c r="C6" s="1054"/>
      <c r="D6" s="1054"/>
      <c r="E6" s="1054"/>
      <c r="F6" s="332" t="s">
        <v>706</v>
      </c>
      <c r="G6" s="332" t="s">
        <v>707</v>
      </c>
      <c r="H6" s="332" t="s">
        <v>708</v>
      </c>
      <c r="I6" s="332" t="s">
        <v>709</v>
      </c>
      <c r="J6" s="332" t="s">
        <v>710</v>
      </c>
      <c r="K6" s="1049"/>
      <c r="L6" s="1049"/>
    </row>
    <row r="7" spans="1:13" ht="82.5">
      <c r="A7" s="368" t="s">
        <v>101</v>
      </c>
      <c r="B7" s="369" t="s">
        <v>340</v>
      </c>
      <c r="C7" s="370" t="s">
        <v>5</v>
      </c>
      <c r="D7" s="371"/>
      <c r="E7" s="371"/>
      <c r="F7" s="371"/>
      <c r="G7" s="371"/>
      <c r="H7" s="371"/>
      <c r="I7" s="371"/>
      <c r="J7" s="371"/>
      <c r="K7" s="371"/>
      <c r="L7" s="372"/>
    </row>
    <row r="8" spans="1:13" ht="49.5">
      <c r="A8" s="368" t="s">
        <v>102</v>
      </c>
      <c r="B8" s="369" t="s">
        <v>341</v>
      </c>
      <c r="C8" s="370" t="s">
        <v>342</v>
      </c>
      <c r="D8" s="371"/>
      <c r="E8" s="371"/>
      <c r="F8" s="373"/>
      <c r="G8" s="373"/>
      <c r="H8" s="373"/>
      <c r="I8" s="373"/>
      <c r="J8" s="373"/>
      <c r="K8" s="373"/>
      <c r="L8" s="368"/>
    </row>
    <row r="9" spans="1:13" ht="49.5">
      <c r="A9" s="368" t="s">
        <v>115</v>
      </c>
      <c r="B9" s="375" t="s">
        <v>343</v>
      </c>
      <c r="C9" s="366"/>
      <c r="D9" s="724"/>
      <c r="E9" s="724"/>
      <c r="F9" s="373"/>
      <c r="G9" s="725"/>
      <c r="H9" s="725"/>
      <c r="I9" s="725"/>
      <c r="J9" s="725"/>
      <c r="K9" s="725"/>
      <c r="L9" s="368"/>
    </row>
    <row r="10" spans="1:13" ht="49.5">
      <c r="A10" s="376">
        <v>1</v>
      </c>
      <c r="B10" s="377" t="s">
        <v>743</v>
      </c>
      <c r="C10" s="370" t="s">
        <v>681</v>
      </c>
      <c r="D10" s="932">
        <v>100041.3</v>
      </c>
      <c r="E10" s="871">
        <f>21168+22128+23174+24078+25000</f>
        <v>115548</v>
      </c>
      <c r="F10" s="932">
        <v>21481.5</v>
      </c>
      <c r="G10" s="933">
        <v>22337.71</v>
      </c>
      <c r="H10" s="933">
        <v>23249.63</v>
      </c>
      <c r="I10" s="933">
        <v>25080.91</v>
      </c>
      <c r="J10" s="933">
        <v>26733.439999999999</v>
      </c>
      <c r="K10" s="871">
        <f>SUM(F10:J10)</f>
        <v>118883.19</v>
      </c>
      <c r="L10" s="382" t="s">
        <v>78</v>
      </c>
      <c r="M10" s="378"/>
    </row>
    <row r="11" spans="1:13" ht="49.5">
      <c r="A11" s="376"/>
      <c r="B11" s="377" t="s">
        <v>345</v>
      </c>
      <c r="C11" s="370" t="s">
        <v>681</v>
      </c>
      <c r="D11" s="933">
        <v>56881.99</v>
      </c>
      <c r="E11" s="871">
        <v>68575</v>
      </c>
      <c r="F11" s="933">
        <v>12550.79</v>
      </c>
      <c r="G11" s="933">
        <v>13163.47</v>
      </c>
      <c r="H11" s="933">
        <v>13787.44</v>
      </c>
      <c r="I11" s="933">
        <v>14375.03</v>
      </c>
      <c r="J11" s="933">
        <v>14812.61</v>
      </c>
      <c r="K11" s="871">
        <f>SUM(F11:J11)</f>
        <v>68689.34</v>
      </c>
      <c r="L11" s="382" t="s">
        <v>78</v>
      </c>
      <c r="M11" s="380"/>
    </row>
    <row r="12" spans="1:13" ht="33">
      <c r="A12" s="376"/>
      <c r="B12" s="377" t="s">
        <v>346</v>
      </c>
      <c r="C12" s="370" t="s">
        <v>681</v>
      </c>
      <c r="D12" s="933">
        <f>D10-D11</f>
        <v>43159.310000000005</v>
      </c>
      <c r="E12" s="871">
        <f t="shared" ref="E12:K12" si="0">E10-E11</f>
        <v>46973</v>
      </c>
      <c r="F12" s="933">
        <f t="shared" si="0"/>
        <v>8930.7099999999991</v>
      </c>
      <c r="G12" s="933">
        <f t="shared" si="0"/>
        <v>9174.24</v>
      </c>
      <c r="H12" s="933">
        <f t="shared" si="0"/>
        <v>9462.19</v>
      </c>
      <c r="I12" s="933">
        <f t="shared" si="0"/>
        <v>10705.88</v>
      </c>
      <c r="J12" s="933">
        <f t="shared" si="0"/>
        <v>11920.829999999998</v>
      </c>
      <c r="K12" s="871">
        <f t="shared" si="0"/>
        <v>50193.850000000006</v>
      </c>
      <c r="L12" s="382" t="s">
        <v>78</v>
      </c>
      <c r="M12" s="378"/>
    </row>
    <row r="13" spans="1:13" ht="33">
      <c r="A13" s="376"/>
      <c r="B13" s="377" t="s">
        <v>347</v>
      </c>
      <c r="C13" s="370" t="s">
        <v>681</v>
      </c>
      <c r="D13" s="731"/>
      <c r="E13" s="738"/>
      <c r="F13" s="732"/>
      <c r="G13" s="732"/>
      <c r="H13" s="732"/>
      <c r="I13" s="732"/>
      <c r="J13" s="732"/>
      <c r="K13" s="732"/>
      <c r="L13" s="382"/>
      <c r="M13" s="378"/>
    </row>
    <row r="14" spans="1:13" ht="33">
      <c r="A14" s="376"/>
      <c r="B14" s="377" t="s">
        <v>348</v>
      </c>
      <c r="C14" s="370" t="s">
        <v>681</v>
      </c>
      <c r="D14" s="733"/>
      <c r="E14" s="738"/>
      <c r="F14" s="734"/>
      <c r="G14" s="734"/>
      <c r="H14" s="734"/>
      <c r="I14" s="734"/>
      <c r="J14" s="734"/>
      <c r="K14" s="734"/>
      <c r="L14" s="382"/>
      <c r="M14" s="378"/>
    </row>
    <row r="15" spans="1:13" ht="33">
      <c r="A15" s="376"/>
      <c r="B15" s="377" t="s">
        <v>521</v>
      </c>
      <c r="C15" s="370" t="s">
        <v>682</v>
      </c>
      <c r="D15" s="733"/>
      <c r="E15" s="738"/>
      <c r="F15" s="734"/>
      <c r="G15" s="734"/>
      <c r="H15" s="734"/>
      <c r="I15" s="734"/>
      <c r="J15" s="734"/>
      <c r="K15" s="734"/>
      <c r="L15" s="382"/>
      <c r="M15" s="378"/>
    </row>
    <row r="16" spans="1:13" ht="49.5">
      <c r="A16" s="376"/>
      <c r="B16" s="381" t="s">
        <v>349</v>
      </c>
      <c r="C16" s="370" t="s">
        <v>681</v>
      </c>
      <c r="D16" s="382"/>
      <c r="E16" s="738"/>
      <c r="F16" s="382"/>
      <c r="G16" s="382"/>
      <c r="H16" s="382"/>
      <c r="I16" s="382"/>
      <c r="J16" s="382"/>
      <c r="K16" s="382"/>
      <c r="L16" s="382"/>
    </row>
    <row r="17" spans="1:13" ht="49.5">
      <c r="A17" s="376">
        <v>2</v>
      </c>
      <c r="B17" s="381" t="s">
        <v>744</v>
      </c>
      <c r="C17" s="370" t="s">
        <v>682</v>
      </c>
      <c r="D17" s="871">
        <v>161</v>
      </c>
      <c r="E17" s="871">
        <v>420</v>
      </c>
      <c r="F17" s="933">
        <v>182.22</v>
      </c>
      <c r="G17" s="932">
        <v>21.2</v>
      </c>
      <c r="H17" s="933">
        <v>0.92</v>
      </c>
      <c r="I17" s="933"/>
      <c r="J17" s="933"/>
      <c r="K17" s="933">
        <f>SUM(F17:J17)</f>
        <v>204.33999999999997</v>
      </c>
      <c r="L17" s="382" t="s">
        <v>42</v>
      </c>
    </row>
    <row r="18" spans="1:13" ht="49.5">
      <c r="A18" s="376">
        <v>3</v>
      </c>
      <c r="B18" s="381" t="s">
        <v>90</v>
      </c>
      <c r="C18" s="370" t="s">
        <v>301</v>
      </c>
      <c r="D18" s="932">
        <v>35.4</v>
      </c>
      <c r="E18" s="871">
        <v>40</v>
      </c>
      <c r="F18" s="932">
        <v>34.6</v>
      </c>
      <c r="G18" s="932">
        <v>34.4</v>
      </c>
      <c r="H18" s="932">
        <v>35.33</v>
      </c>
      <c r="I18" s="932">
        <v>37.479999999999997</v>
      </c>
      <c r="J18" s="871">
        <v>38</v>
      </c>
      <c r="K18" s="871">
        <f>J18</f>
        <v>38</v>
      </c>
      <c r="L18" s="879" t="s">
        <v>42</v>
      </c>
    </row>
    <row r="19" spans="1:13" ht="49.5">
      <c r="A19" s="376">
        <v>4</v>
      </c>
      <c r="B19" s="877" t="s">
        <v>700</v>
      </c>
      <c r="C19" s="878" t="s">
        <v>699</v>
      </c>
      <c r="D19" s="871">
        <v>83676</v>
      </c>
      <c r="E19" s="871">
        <v>102933</v>
      </c>
      <c r="F19" s="871">
        <v>87555</v>
      </c>
      <c r="G19" s="871">
        <v>93293</v>
      </c>
      <c r="H19" s="871">
        <v>99491</v>
      </c>
      <c r="I19" s="871">
        <v>82982</v>
      </c>
      <c r="J19" s="871">
        <v>82615</v>
      </c>
      <c r="K19" s="871">
        <v>82615</v>
      </c>
      <c r="L19" s="880" t="s">
        <v>42</v>
      </c>
    </row>
    <row r="20" spans="1:13" ht="49.5">
      <c r="A20" s="376">
        <v>5</v>
      </c>
      <c r="B20" s="877" t="s">
        <v>701</v>
      </c>
      <c r="C20" s="878" t="s">
        <v>699</v>
      </c>
      <c r="D20" s="871">
        <v>189310</v>
      </c>
      <c r="E20" s="871">
        <v>348000</v>
      </c>
      <c r="F20" s="871">
        <v>185700</v>
      </c>
      <c r="G20" s="871">
        <v>213620</v>
      </c>
      <c r="H20" s="871">
        <v>232110</v>
      </c>
      <c r="I20" s="871">
        <v>247820</v>
      </c>
      <c r="J20" s="871">
        <v>254810</v>
      </c>
      <c r="K20" s="871">
        <f>J20</f>
        <v>254810</v>
      </c>
      <c r="L20" s="880" t="s">
        <v>42</v>
      </c>
    </row>
    <row r="21" spans="1:13" ht="66">
      <c r="A21" s="376">
        <v>6</v>
      </c>
      <c r="B21" s="381" t="s">
        <v>745</v>
      </c>
      <c r="C21" s="370" t="s">
        <v>681</v>
      </c>
      <c r="D21" s="871">
        <f t="shared" ref="D21:J21" si="1">D22+D23</f>
        <v>167</v>
      </c>
      <c r="E21" s="932">
        <f t="shared" si="1"/>
        <v>395.2</v>
      </c>
      <c r="F21" s="933">
        <f t="shared" si="1"/>
        <v>50.28</v>
      </c>
      <c r="G21" s="932">
        <f t="shared" si="1"/>
        <v>55.4</v>
      </c>
      <c r="H21" s="932">
        <f t="shared" si="1"/>
        <v>63.3</v>
      </c>
      <c r="I21" s="932">
        <f t="shared" si="1"/>
        <v>130.5</v>
      </c>
      <c r="J21" s="932">
        <f t="shared" si="1"/>
        <v>124.4</v>
      </c>
      <c r="K21" s="933">
        <f>SUM(F21:J21)</f>
        <v>423.88</v>
      </c>
      <c r="L21" s="382" t="s">
        <v>78</v>
      </c>
    </row>
    <row r="22" spans="1:13" ht="33">
      <c r="A22" s="931" t="s">
        <v>284</v>
      </c>
      <c r="B22" s="343" t="s">
        <v>747</v>
      </c>
      <c r="C22" s="370" t="s">
        <v>681</v>
      </c>
      <c r="D22" s="871">
        <v>73</v>
      </c>
      <c r="E22" s="932">
        <v>186.6</v>
      </c>
      <c r="F22" s="933">
        <v>20.58</v>
      </c>
      <c r="G22" s="932">
        <v>25.4</v>
      </c>
      <c r="H22" s="932">
        <v>27.8</v>
      </c>
      <c r="I22" s="932">
        <v>58.5</v>
      </c>
      <c r="J22" s="932">
        <v>79.7</v>
      </c>
      <c r="K22" s="933">
        <f>SUM(F22:J22)</f>
        <v>211.98000000000002</v>
      </c>
      <c r="L22" s="382" t="s">
        <v>78</v>
      </c>
    </row>
    <row r="23" spans="1:13" ht="33">
      <c r="A23" s="931" t="s">
        <v>284</v>
      </c>
      <c r="B23" s="343" t="s">
        <v>748</v>
      </c>
      <c r="C23" s="370" t="s">
        <v>681</v>
      </c>
      <c r="D23" s="871">
        <v>94</v>
      </c>
      <c r="E23" s="932">
        <v>208.6</v>
      </c>
      <c r="F23" s="932">
        <v>29.7</v>
      </c>
      <c r="G23" s="871">
        <v>30</v>
      </c>
      <c r="H23" s="932">
        <v>35.5</v>
      </c>
      <c r="I23" s="871">
        <v>72</v>
      </c>
      <c r="J23" s="932">
        <v>44.7</v>
      </c>
      <c r="K23" s="932">
        <f>SUM(F23:J23)</f>
        <v>211.89999999999998</v>
      </c>
      <c r="L23" s="382" t="s">
        <v>78</v>
      </c>
    </row>
    <row r="24" spans="1:13" ht="82.5">
      <c r="A24" s="376">
        <v>7</v>
      </c>
      <c r="B24" s="381" t="s">
        <v>746</v>
      </c>
      <c r="C24" s="370" t="s">
        <v>682</v>
      </c>
      <c r="D24" s="932">
        <v>38.5</v>
      </c>
      <c r="E24" s="871">
        <v>60</v>
      </c>
      <c r="F24" s="871">
        <v>40</v>
      </c>
      <c r="G24" s="871">
        <v>45</v>
      </c>
      <c r="H24" s="871">
        <v>60</v>
      </c>
      <c r="I24" s="871">
        <v>65</v>
      </c>
      <c r="J24" s="871">
        <v>70</v>
      </c>
      <c r="K24" s="871">
        <v>70</v>
      </c>
      <c r="L24" s="382" t="s">
        <v>78</v>
      </c>
    </row>
    <row r="25" spans="1:13" ht="16.5">
      <c r="A25" s="383"/>
      <c r="B25" s="384"/>
      <c r="C25" s="364"/>
      <c r="D25" s="385"/>
      <c r="E25" s="385"/>
      <c r="F25" s="386"/>
      <c r="G25" s="386"/>
      <c r="H25" s="386"/>
      <c r="I25" s="386"/>
      <c r="J25" s="386"/>
      <c r="K25" s="386"/>
      <c r="L25" s="365"/>
    </row>
    <row r="26" spans="1:13" ht="16.5">
      <c r="A26" s="383"/>
      <c r="B26" s="387"/>
      <c r="C26" s="364"/>
      <c r="D26" s="385"/>
      <c r="E26" s="385"/>
      <c r="F26" s="388"/>
      <c r="G26" s="386"/>
      <c r="H26" s="386"/>
      <c r="I26" s="386"/>
      <c r="J26" s="386"/>
      <c r="K26" s="386"/>
      <c r="L26" s="365"/>
      <c r="M26" s="378"/>
    </row>
    <row r="27" spans="1:13" ht="16.5">
      <c r="A27" s="383"/>
      <c r="B27" s="384"/>
      <c r="C27" s="364"/>
      <c r="D27" s="383"/>
      <c r="E27" s="383"/>
      <c r="F27" s="389"/>
      <c r="G27" s="389"/>
      <c r="H27" s="389"/>
      <c r="I27" s="389"/>
      <c r="J27" s="389"/>
      <c r="K27" s="389"/>
      <c r="L27" s="365"/>
    </row>
    <row r="28" spans="1:13" ht="16.5">
      <c r="A28" s="383"/>
      <c r="B28" s="384"/>
      <c r="C28" s="364"/>
      <c r="D28" s="383"/>
      <c r="E28" s="383"/>
      <c r="F28" s="389"/>
      <c r="G28" s="389"/>
      <c r="H28" s="389"/>
      <c r="I28" s="389"/>
      <c r="J28" s="389"/>
      <c r="K28" s="389"/>
      <c r="L28" s="365"/>
    </row>
    <row r="29" spans="1:13" ht="16.5">
      <c r="A29" s="383"/>
      <c r="B29" s="384"/>
      <c r="C29" s="364"/>
      <c r="D29" s="383"/>
      <c r="E29" s="383"/>
      <c r="F29" s="389"/>
      <c r="G29" s="389"/>
      <c r="H29" s="389"/>
      <c r="I29" s="389"/>
      <c r="J29" s="389"/>
      <c r="K29" s="389"/>
      <c r="L29" s="365"/>
    </row>
    <row r="30" spans="1:13" ht="16.5">
      <c r="A30" s="383"/>
      <c r="B30" s="384"/>
      <c r="C30" s="364"/>
      <c r="D30" s="383"/>
      <c r="E30" s="383"/>
      <c r="F30" s="389"/>
      <c r="G30" s="389"/>
      <c r="H30" s="389"/>
      <c r="I30" s="389"/>
      <c r="J30" s="389"/>
      <c r="K30" s="389"/>
      <c r="L30" s="365"/>
    </row>
    <row r="31" spans="1:13" ht="16.5">
      <c r="A31" s="383"/>
      <c r="B31" s="384"/>
      <c r="C31" s="364"/>
      <c r="D31" s="383"/>
      <c r="E31" s="383"/>
      <c r="F31" s="389"/>
      <c r="G31" s="389"/>
      <c r="H31" s="389"/>
      <c r="I31" s="389"/>
      <c r="J31" s="389"/>
      <c r="K31" s="389"/>
      <c r="L31" s="365"/>
    </row>
    <row r="32" spans="1:13" ht="16.5">
      <c r="A32" s="383"/>
      <c r="B32" s="384"/>
      <c r="C32" s="364"/>
      <c r="D32" s="383"/>
      <c r="E32" s="383"/>
      <c r="F32" s="365"/>
      <c r="G32" s="365"/>
      <c r="H32" s="365"/>
      <c r="I32" s="365"/>
      <c r="J32" s="365"/>
      <c r="K32" s="365"/>
      <c r="L32" s="365"/>
    </row>
    <row r="33" spans="1:12" ht="18.75">
      <c r="A33" s="383"/>
      <c r="B33" s="384"/>
      <c r="C33" s="735"/>
      <c r="D33" s="383"/>
      <c r="E33" s="383"/>
      <c r="F33" s="365"/>
      <c r="G33" s="365"/>
      <c r="H33" s="365"/>
      <c r="I33" s="365"/>
      <c r="J33" s="365"/>
      <c r="K33" s="365"/>
      <c r="L33" s="365"/>
    </row>
    <row r="34" spans="1:12" ht="18.75">
      <c r="A34" s="383"/>
      <c r="B34" s="384"/>
      <c r="C34" s="736"/>
      <c r="D34" s="383"/>
      <c r="E34" s="383"/>
      <c r="F34" s="365"/>
      <c r="G34" s="365"/>
      <c r="H34" s="365"/>
      <c r="I34" s="365"/>
      <c r="J34" s="365"/>
      <c r="K34" s="365"/>
      <c r="L34" s="365"/>
    </row>
    <row r="35" spans="1:12" ht="18.75">
      <c r="A35" s="383"/>
      <c r="B35" s="384"/>
      <c r="C35" s="736"/>
      <c r="D35" s="383"/>
      <c r="E35" s="383"/>
      <c r="F35" s="365"/>
      <c r="G35" s="365"/>
      <c r="H35" s="365"/>
      <c r="I35" s="365"/>
      <c r="J35" s="365"/>
      <c r="K35" s="365"/>
      <c r="L35" s="365"/>
    </row>
    <row r="36" spans="1:12" ht="16.5">
      <c r="A36" s="383"/>
      <c r="B36" s="384"/>
      <c r="C36" s="737"/>
      <c r="D36" s="383"/>
      <c r="E36" s="383"/>
      <c r="F36" s="365"/>
      <c r="G36" s="365"/>
      <c r="H36" s="365"/>
      <c r="I36" s="365"/>
      <c r="J36" s="365"/>
      <c r="K36" s="365"/>
      <c r="L36" s="365"/>
    </row>
    <row r="37" spans="1:12" ht="16.5">
      <c r="A37" s="383"/>
      <c r="B37" s="384"/>
      <c r="C37" s="737"/>
      <c r="D37" s="383"/>
      <c r="E37" s="383"/>
      <c r="F37" s="365"/>
      <c r="G37" s="365"/>
      <c r="H37" s="365"/>
      <c r="I37" s="365"/>
      <c r="J37" s="365"/>
      <c r="K37" s="365"/>
      <c r="L37" s="365"/>
    </row>
    <row r="38" spans="1:12" ht="16.5">
      <c r="A38" s="383"/>
      <c r="B38" s="384"/>
      <c r="C38" s="737"/>
      <c r="D38" s="383"/>
      <c r="E38" s="383"/>
      <c r="F38" s="365"/>
      <c r="G38" s="365"/>
      <c r="H38" s="365"/>
      <c r="I38" s="365"/>
      <c r="J38" s="365"/>
      <c r="K38" s="365"/>
      <c r="L38" s="365"/>
    </row>
    <row r="39" spans="1:12" ht="16.5">
      <c r="A39" s="383"/>
      <c r="B39" s="384"/>
      <c r="C39" s="536"/>
      <c r="D39" s="383"/>
      <c r="E39" s="383"/>
      <c r="F39" s="365"/>
      <c r="G39" s="365"/>
      <c r="H39" s="365"/>
      <c r="I39" s="365"/>
      <c r="J39" s="365"/>
      <c r="K39" s="365"/>
      <c r="L39" s="365"/>
    </row>
    <row r="40" spans="1:12" ht="16.5">
      <c r="A40" s="383"/>
      <c r="B40" s="384"/>
      <c r="C40" s="364"/>
      <c r="D40" s="383"/>
      <c r="E40" s="383"/>
      <c r="F40" s="365"/>
      <c r="G40" s="365"/>
      <c r="H40" s="365"/>
      <c r="I40" s="365"/>
      <c r="J40" s="365"/>
      <c r="K40" s="365"/>
      <c r="L40" s="365"/>
    </row>
    <row r="41" spans="1:12" ht="16.5">
      <c r="A41" s="383"/>
      <c r="B41" s="384"/>
      <c r="C41" s="364"/>
      <c r="D41" s="383"/>
      <c r="E41" s="383"/>
      <c r="F41" s="365"/>
      <c r="G41" s="365"/>
      <c r="H41" s="365"/>
      <c r="I41" s="365"/>
      <c r="J41" s="365"/>
      <c r="K41" s="365"/>
      <c r="L41" s="365"/>
    </row>
    <row r="42" spans="1:12" ht="16.5">
      <c r="A42" s="383"/>
      <c r="B42" s="384"/>
      <c r="C42" s="364"/>
      <c r="D42" s="383"/>
      <c r="E42" s="383"/>
      <c r="F42" s="365"/>
      <c r="G42" s="365"/>
      <c r="H42" s="365"/>
      <c r="I42" s="365"/>
      <c r="J42" s="365"/>
      <c r="K42" s="365"/>
      <c r="L42" s="365"/>
    </row>
    <row r="43" spans="1:12" ht="16.5">
      <c r="A43" s="383"/>
      <c r="B43" s="384"/>
      <c r="C43" s="364"/>
      <c r="D43" s="383"/>
      <c r="E43" s="383"/>
      <c r="F43" s="365"/>
      <c r="G43" s="365"/>
      <c r="H43" s="365"/>
      <c r="I43" s="365"/>
      <c r="J43" s="365"/>
      <c r="K43" s="365"/>
      <c r="L43" s="365"/>
    </row>
    <row r="44" spans="1:12" ht="16.5">
      <c r="A44" s="383"/>
      <c r="B44" s="384"/>
      <c r="C44" s="364"/>
      <c r="D44" s="383"/>
      <c r="E44" s="383"/>
      <c r="F44" s="365"/>
      <c r="G44" s="365"/>
      <c r="H44" s="365"/>
      <c r="I44" s="365"/>
      <c r="J44" s="365"/>
      <c r="K44" s="365"/>
      <c r="L44" s="365"/>
    </row>
    <row r="45" spans="1:12" ht="16.5">
      <c r="A45" s="383"/>
      <c r="B45" s="384"/>
      <c r="C45" s="364"/>
      <c r="D45" s="383"/>
      <c r="E45" s="383"/>
      <c r="F45" s="365"/>
      <c r="G45" s="365"/>
      <c r="H45" s="365"/>
      <c r="I45" s="365"/>
      <c r="J45" s="365"/>
      <c r="K45" s="365"/>
      <c r="L45" s="365"/>
    </row>
    <row r="46" spans="1:12" ht="16.5">
      <c r="A46" s="383"/>
      <c r="B46" s="384"/>
      <c r="C46" s="364"/>
      <c r="D46" s="383"/>
      <c r="E46" s="383"/>
      <c r="F46" s="365"/>
      <c r="G46" s="365"/>
      <c r="H46" s="365"/>
      <c r="I46" s="365"/>
      <c r="J46" s="365"/>
      <c r="K46" s="365"/>
      <c r="L46" s="365"/>
    </row>
    <row r="47" spans="1:12" ht="16.5">
      <c r="A47" s="383"/>
      <c r="B47" s="384"/>
      <c r="C47" s="364"/>
      <c r="D47" s="383"/>
      <c r="E47" s="383"/>
      <c r="F47" s="365"/>
      <c r="G47" s="365"/>
      <c r="H47" s="365"/>
      <c r="I47" s="365"/>
      <c r="J47" s="365"/>
      <c r="K47" s="365"/>
      <c r="L47" s="365"/>
    </row>
    <row r="48" spans="1:12" ht="16.5">
      <c r="A48" s="383"/>
      <c r="B48" s="384"/>
      <c r="C48" s="364"/>
      <c r="D48" s="383"/>
      <c r="E48" s="383"/>
      <c r="F48" s="365"/>
      <c r="G48" s="365"/>
      <c r="H48" s="365"/>
      <c r="I48" s="365"/>
      <c r="J48" s="365"/>
      <c r="K48" s="365"/>
      <c r="L48" s="365"/>
    </row>
    <row r="49" spans="1:12" ht="16.5">
      <c r="A49" s="383"/>
      <c r="B49" s="384"/>
      <c r="C49" s="364"/>
      <c r="D49" s="383"/>
      <c r="E49" s="383"/>
      <c r="F49" s="365"/>
      <c r="G49" s="365"/>
      <c r="H49" s="365"/>
      <c r="I49" s="365"/>
      <c r="J49" s="365"/>
      <c r="K49" s="365"/>
      <c r="L49" s="365"/>
    </row>
    <row r="50" spans="1:12" ht="16.5">
      <c r="A50" s="383"/>
      <c r="B50" s="384"/>
      <c r="C50" s="364"/>
      <c r="D50" s="383"/>
      <c r="E50" s="383"/>
      <c r="F50" s="365"/>
      <c r="G50" s="365"/>
      <c r="H50" s="365"/>
      <c r="I50" s="365"/>
      <c r="J50" s="365"/>
      <c r="K50" s="365"/>
      <c r="L50" s="365"/>
    </row>
    <row r="51" spans="1:12" ht="16.5">
      <c r="A51" s="383"/>
      <c r="B51" s="384"/>
      <c r="C51" s="364"/>
      <c r="D51" s="383"/>
      <c r="E51" s="383"/>
      <c r="F51" s="365"/>
      <c r="G51" s="365"/>
      <c r="H51" s="365"/>
      <c r="I51" s="365"/>
      <c r="J51" s="365"/>
      <c r="K51" s="365"/>
      <c r="L51" s="365"/>
    </row>
    <row r="52" spans="1:12" ht="16.5">
      <c r="A52" s="383"/>
      <c r="B52" s="384"/>
      <c r="C52" s="364"/>
      <c r="D52" s="383"/>
      <c r="E52" s="383"/>
      <c r="F52" s="365"/>
      <c r="G52" s="365"/>
      <c r="H52" s="365"/>
      <c r="I52" s="365"/>
      <c r="J52" s="365"/>
      <c r="K52" s="365"/>
      <c r="L52" s="365"/>
    </row>
    <row r="53" spans="1:12" ht="16.5">
      <c r="A53" s="383"/>
      <c r="B53" s="384"/>
      <c r="C53" s="364"/>
      <c r="D53" s="383"/>
      <c r="E53" s="383"/>
      <c r="F53" s="365"/>
      <c r="G53" s="365"/>
      <c r="H53" s="365"/>
      <c r="I53" s="365"/>
      <c r="J53" s="365"/>
      <c r="K53" s="365"/>
      <c r="L53" s="365"/>
    </row>
    <row r="54" spans="1:12" ht="16.5">
      <c r="A54" s="383"/>
      <c r="B54" s="384"/>
      <c r="C54" s="364"/>
      <c r="D54" s="383"/>
      <c r="E54" s="383"/>
      <c r="F54" s="365"/>
      <c r="G54" s="365"/>
      <c r="H54" s="365"/>
      <c r="I54" s="365"/>
      <c r="J54" s="365"/>
      <c r="K54" s="365"/>
      <c r="L54" s="365"/>
    </row>
    <row r="55" spans="1:12" ht="16.5">
      <c r="A55" s="383"/>
      <c r="B55" s="384"/>
      <c r="C55" s="364"/>
      <c r="D55" s="383"/>
      <c r="E55" s="383"/>
      <c r="F55" s="365"/>
      <c r="G55" s="365"/>
      <c r="H55" s="365"/>
      <c r="I55" s="365"/>
      <c r="J55" s="365"/>
      <c r="K55" s="365"/>
      <c r="L55" s="365"/>
    </row>
    <row r="56" spans="1:12" ht="16.5">
      <c r="A56" s="383"/>
      <c r="B56" s="384"/>
      <c r="C56" s="364"/>
      <c r="D56" s="383"/>
      <c r="E56" s="383"/>
      <c r="F56" s="365"/>
      <c r="G56" s="365"/>
      <c r="H56" s="365"/>
      <c r="I56" s="365"/>
      <c r="J56" s="365"/>
      <c r="K56" s="365"/>
      <c r="L56" s="365"/>
    </row>
    <row r="57" spans="1:12" ht="16.5">
      <c r="A57" s="383"/>
      <c r="B57" s="384"/>
      <c r="C57" s="364"/>
      <c r="D57" s="383"/>
      <c r="E57" s="383"/>
      <c r="F57" s="365"/>
      <c r="G57" s="365"/>
      <c r="H57" s="365"/>
      <c r="I57" s="365"/>
      <c r="J57" s="365"/>
      <c r="K57" s="365"/>
      <c r="L57" s="365"/>
    </row>
    <row r="58" spans="1:12" ht="16.5">
      <c r="A58" s="383"/>
      <c r="B58" s="384"/>
      <c r="C58" s="364"/>
      <c r="D58" s="383"/>
      <c r="E58" s="383"/>
      <c r="F58" s="365"/>
      <c r="G58" s="365"/>
      <c r="H58" s="365"/>
      <c r="I58" s="365"/>
      <c r="J58" s="365"/>
      <c r="K58" s="365"/>
      <c r="L58" s="365"/>
    </row>
    <row r="59" spans="1:12" ht="16.5">
      <c r="A59" s="383"/>
      <c r="B59" s="384"/>
      <c r="C59" s="364"/>
      <c r="D59" s="383"/>
      <c r="E59" s="383"/>
      <c r="F59" s="365"/>
      <c r="G59" s="365"/>
      <c r="H59" s="365"/>
      <c r="I59" s="365"/>
      <c r="J59" s="365"/>
      <c r="K59" s="365"/>
      <c r="L59" s="365"/>
    </row>
    <row r="60" spans="1:12" ht="16.5">
      <c r="A60" s="383"/>
      <c r="B60" s="384"/>
      <c r="C60" s="364"/>
      <c r="D60" s="383"/>
      <c r="E60" s="383"/>
      <c r="F60" s="365"/>
      <c r="G60" s="365"/>
      <c r="H60" s="365"/>
      <c r="I60" s="365"/>
      <c r="J60" s="365"/>
      <c r="K60" s="365"/>
      <c r="L60" s="365"/>
    </row>
    <row r="61" spans="1:12" ht="16.5">
      <c r="A61" s="383"/>
      <c r="B61" s="384"/>
      <c r="C61" s="364"/>
      <c r="D61" s="383"/>
      <c r="E61" s="383"/>
      <c r="F61" s="365"/>
      <c r="G61" s="365"/>
      <c r="H61" s="365"/>
      <c r="I61" s="365"/>
      <c r="J61" s="365"/>
      <c r="K61" s="365"/>
      <c r="L61" s="365"/>
    </row>
    <row r="62" spans="1:12" ht="16.5">
      <c r="A62" s="383"/>
      <c r="B62" s="384"/>
      <c r="C62" s="364"/>
      <c r="D62" s="383"/>
      <c r="E62" s="383"/>
      <c r="F62" s="365"/>
      <c r="G62" s="365"/>
      <c r="H62" s="365"/>
      <c r="I62" s="365"/>
      <c r="J62" s="365"/>
      <c r="K62" s="365"/>
      <c r="L62" s="365"/>
    </row>
    <row r="63" spans="1:12" ht="16.5">
      <c r="A63" s="383"/>
      <c r="B63" s="384"/>
      <c r="C63" s="364"/>
      <c r="D63" s="383"/>
      <c r="E63" s="383"/>
      <c r="F63" s="365"/>
      <c r="G63" s="365"/>
      <c r="H63" s="365"/>
      <c r="I63" s="365"/>
      <c r="J63" s="365"/>
      <c r="K63" s="365"/>
      <c r="L63" s="365"/>
    </row>
    <row r="64" spans="1:12" ht="16.5">
      <c r="A64" s="383"/>
      <c r="B64" s="384"/>
      <c r="C64" s="364"/>
      <c r="D64" s="383"/>
      <c r="E64" s="383"/>
      <c r="F64" s="365"/>
      <c r="G64" s="365"/>
      <c r="H64" s="365"/>
      <c r="I64" s="365"/>
      <c r="J64" s="365"/>
      <c r="K64" s="365"/>
      <c r="L64" s="365"/>
    </row>
    <row r="65" spans="1:12" ht="16.5">
      <c r="A65" s="383"/>
      <c r="B65" s="384"/>
      <c r="C65" s="364"/>
      <c r="D65" s="383"/>
      <c r="E65" s="383"/>
      <c r="F65" s="365"/>
      <c r="G65" s="365"/>
      <c r="H65" s="365"/>
      <c r="I65" s="365"/>
      <c r="J65" s="365"/>
      <c r="K65" s="365"/>
      <c r="L65" s="365"/>
    </row>
    <row r="66" spans="1:12" ht="16.5">
      <c r="A66" s="383"/>
      <c r="B66" s="384"/>
      <c r="C66" s="364"/>
      <c r="D66" s="383"/>
      <c r="E66" s="383"/>
      <c r="F66" s="365"/>
      <c r="G66" s="365"/>
      <c r="H66" s="365"/>
      <c r="I66" s="365"/>
      <c r="J66" s="365"/>
      <c r="K66" s="365"/>
      <c r="L66" s="365"/>
    </row>
    <row r="67" spans="1:12" ht="16.5">
      <c r="A67" s="383"/>
      <c r="B67" s="384"/>
      <c r="C67" s="364"/>
      <c r="D67" s="383"/>
      <c r="E67" s="383"/>
      <c r="F67" s="365"/>
      <c r="G67" s="365"/>
      <c r="H67" s="365"/>
      <c r="I67" s="365"/>
      <c r="J67" s="365"/>
      <c r="K67" s="365"/>
      <c r="L67" s="365"/>
    </row>
    <row r="68" spans="1:12" ht="16.5">
      <c r="A68" s="383"/>
      <c r="B68" s="384"/>
      <c r="C68" s="364"/>
      <c r="D68" s="383"/>
      <c r="E68" s="383"/>
      <c r="F68" s="365"/>
      <c r="G68" s="365"/>
      <c r="H68" s="365"/>
      <c r="I68" s="365"/>
      <c r="J68" s="365"/>
      <c r="K68" s="365"/>
      <c r="L68" s="365"/>
    </row>
    <row r="69" spans="1:12" ht="16.5">
      <c r="A69" s="383"/>
      <c r="B69" s="384"/>
      <c r="C69" s="364"/>
      <c r="D69" s="383"/>
      <c r="E69" s="383"/>
      <c r="F69" s="365"/>
      <c r="G69" s="365"/>
      <c r="H69" s="365"/>
      <c r="I69" s="365"/>
      <c r="J69" s="365"/>
      <c r="K69" s="365"/>
      <c r="L69" s="365"/>
    </row>
    <row r="70" spans="1:12" ht="16.5">
      <c r="A70" s="383"/>
      <c r="B70" s="384"/>
      <c r="C70" s="364"/>
      <c r="D70" s="383"/>
      <c r="E70" s="383"/>
      <c r="F70" s="365"/>
      <c r="G70" s="365"/>
      <c r="H70" s="365"/>
      <c r="I70" s="365"/>
      <c r="J70" s="365"/>
      <c r="K70" s="365"/>
      <c r="L70" s="365"/>
    </row>
    <row r="71" spans="1:12" ht="16.5">
      <c r="A71" s="383"/>
      <c r="B71" s="384"/>
      <c r="C71" s="364"/>
      <c r="D71" s="383"/>
      <c r="E71" s="383"/>
      <c r="F71" s="365"/>
      <c r="G71" s="365"/>
      <c r="H71" s="365"/>
      <c r="I71" s="365"/>
      <c r="J71" s="365"/>
      <c r="K71" s="365"/>
      <c r="L71" s="365"/>
    </row>
    <row r="72" spans="1:12" ht="16.5">
      <c r="A72" s="383"/>
      <c r="B72" s="384"/>
      <c r="C72" s="364"/>
      <c r="D72" s="383"/>
      <c r="E72" s="383"/>
      <c r="F72" s="365"/>
      <c r="G72" s="365"/>
      <c r="H72" s="365"/>
      <c r="I72" s="365"/>
      <c r="J72" s="365"/>
      <c r="K72" s="365"/>
      <c r="L72" s="365"/>
    </row>
    <row r="73" spans="1:12" ht="16.5">
      <c r="A73" s="383"/>
      <c r="B73" s="384"/>
      <c r="C73" s="364"/>
      <c r="D73" s="383"/>
      <c r="E73" s="383"/>
      <c r="F73" s="365"/>
      <c r="G73" s="365"/>
      <c r="H73" s="365"/>
      <c r="I73" s="365"/>
      <c r="J73" s="365"/>
      <c r="K73" s="365"/>
      <c r="L73" s="365"/>
    </row>
    <row r="74" spans="1:12" ht="16.5">
      <c r="A74" s="383"/>
      <c r="B74" s="384"/>
      <c r="C74" s="364"/>
      <c r="D74" s="383"/>
      <c r="E74" s="383"/>
      <c r="F74" s="365"/>
      <c r="G74" s="365"/>
      <c r="H74" s="365"/>
      <c r="I74" s="365"/>
      <c r="J74" s="365"/>
      <c r="K74" s="365"/>
      <c r="L74" s="365"/>
    </row>
    <row r="75" spans="1:12" ht="16.5">
      <c r="A75" s="383"/>
      <c r="B75" s="384"/>
      <c r="C75" s="364"/>
      <c r="D75" s="383"/>
      <c r="E75" s="383"/>
      <c r="F75" s="365"/>
      <c r="G75" s="365"/>
      <c r="H75" s="365"/>
      <c r="I75" s="365"/>
      <c r="J75" s="365"/>
      <c r="K75" s="365"/>
      <c r="L75" s="365"/>
    </row>
    <row r="76" spans="1:12" ht="16.5">
      <c r="A76" s="383"/>
      <c r="B76" s="384"/>
      <c r="C76" s="364"/>
      <c r="D76" s="383"/>
      <c r="E76" s="383"/>
      <c r="F76" s="365"/>
      <c r="G76" s="365"/>
      <c r="H76" s="365"/>
      <c r="I76" s="365"/>
      <c r="J76" s="365"/>
      <c r="K76" s="365"/>
      <c r="L76" s="365"/>
    </row>
    <row r="77" spans="1:12" ht="16.5">
      <c r="A77" s="383"/>
      <c r="B77" s="384"/>
      <c r="C77" s="364"/>
      <c r="D77" s="383"/>
      <c r="E77" s="383"/>
      <c r="F77" s="365"/>
      <c r="G77" s="365"/>
      <c r="H77" s="365"/>
      <c r="I77" s="365"/>
      <c r="J77" s="365"/>
      <c r="K77" s="365"/>
      <c r="L77" s="365"/>
    </row>
    <row r="78" spans="1:12" ht="16.5">
      <c r="A78" s="383"/>
      <c r="B78" s="384"/>
      <c r="C78" s="364"/>
      <c r="D78" s="383"/>
      <c r="E78" s="383"/>
      <c r="F78" s="365"/>
      <c r="G78" s="365"/>
      <c r="H78" s="365"/>
      <c r="I78" s="365"/>
      <c r="J78" s="365"/>
      <c r="K78" s="365"/>
      <c r="L78" s="365"/>
    </row>
    <row r="79" spans="1:12" ht="16.5">
      <c r="A79" s="383"/>
      <c r="B79" s="384"/>
      <c r="C79" s="364"/>
      <c r="D79" s="383"/>
      <c r="E79" s="383"/>
      <c r="F79" s="365"/>
      <c r="G79" s="365"/>
      <c r="H79" s="365"/>
      <c r="I79" s="365"/>
      <c r="J79" s="365"/>
      <c r="K79" s="365"/>
      <c r="L79" s="365"/>
    </row>
    <row r="80" spans="1:12" ht="16.5">
      <c r="A80" s="383"/>
      <c r="B80" s="384"/>
      <c r="C80" s="364"/>
      <c r="D80" s="383"/>
      <c r="E80" s="383"/>
      <c r="F80" s="365"/>
      <c r="G80" s="365"/>
      <c r="H80" s="365"/>
      <c r="I80" s="365"/>
      <c r="J80" s="365"/>
      <c r="K80" s="365"/>
      <c r="L80" s="365"/>
    </row>
    <row r="81" spans="1:12" ht="16.5">
      <c r="A81" s="383"/>
      <c r="B81" s="384"/>
      <c r="C81" s="364"/>
      <c r="D81" s="383"/>
      <c r="E81" s="383"/>
      <c r="F81" s="365"/>
      <c r="G81" s="365"/>
      <c r="H81" s="365"/>
      <c r="I81" s="365"/>
      <c r="J81" s="365"/>
      <c r="K81" s="365"/>
      <c r="L81" s="365"/>
    </row>
    <row r="82" spans="1:12" ht="16.5">
      <c r="A82" s="383"/>
      <c r="B82" s="384"/>
      <c r="C82" s="364"/>
      <c r="D82" s="383"/>
      <c r="E82" s="383"/>
      <c r="F82" s="365"/>
      <c r="G82" s="365"/>
      <c r="H82" s="365"/>
      <c r="I82" s="365"/>
      <c r="J82" s="365"/>
      <c r="K82" s="365"/>
      <c r="L82" s="365"/>
    </row>
    <row r="83" spans="1:12" ht="16.5">
      <c r="A83" s="383"/>
      <c r="B83" s="384"/>
      <c r="C83" s="364"/>
      <c r="D83" s="383"/>
      <c r="E83" s="383"/>
      <c r="F83" s="365"/>
      <c r="G83" s="365"/>
      <c r="H83" s="365"/>
      <c r="I83" s="365"/>
      <c r="J83" s="365"/>
      <c r="K83" s="365"/>
      <c r="L83" s="365"/>
    </row>
    <row r="84" spans="1:12" ht="16.5">
      <c r="A84" s="383"/>
      <c r="B84" s="384"/>
      <c r="C84" s="364"/>
      <c r="D84" s="383"/>
      <c r="E84" s="383"/>
      <c r="F84" s="365"/>
      <c r="G84" s="365"/>
      <c r="H84" s="365"/>
      <c r="I84" s="365"/>
      <c r="J84" s="365"/>
      <c r="K84" s="365"/>
      <c r="L84" s="365"/>
    </row>
    <row r="85" spans="1:12" ht="16.5">
      <c r="A85" s="383"/>
      <c r="B85" s="384"/>
      <c r="C85" s="364"/>
      <c r="D85" s="383"/>
      <c r="E85" s="383"/>
      <c r="F85" s="365"/>
      <c r="G85" s="365"/>
      <c r="H85" s="365"/>
      <c r="I85" s="365"/>
      <c r="J85" s="365"/>
      <c r="K85" s="365"/>
      <c r="L85" s="365"/>
    </row>
    <row r="86" spans="1:12" ht="16.5">
      <c r="A86" s="383"/>
      <c r="B86" s="384"/>
      <c r="C86" s="364"/>
      <c r="D86" s="383"/>
      <c r="E86" s="383"/>
      <c r="F86" s="365"/>
      <c r="G86" s="365"/>
      <c r="H86" s="365"/>
      <c r="I86" s="365"/>
      <c r="J86" s="365"/>
      <c r="K86" s="365"/>
      <c r="L86" s="365"/>
    </row>
    <row r="87" spans="1:12" ht="16.5">
      <c r="A87" s="383"/>
      <c r="B87" s="384"/>
      <c r="C87" s="364"/>
      <c r="D87" s="383"/>
      <c r="E87" s="383"/>
      <c r="F87" s="365"/>
      <c r="G87" s="365"/>
      <c r="H87" s="365"/>
      <c r="I87" s="365"/>
      <c r="J87" s="365"/>
      <c r="K87" s="365"/>
      <c r="L87" s="365"/>
    </row>
    <row r="88" spans="1:12" ht="16.5">
      <c r="A88" s="383"/>
      <c r="B88" s="384"/>
      <c r="C88" s="364"/>
      <c r="D88" s="383"/>
      <c r="E88" s="383"/>
      <c r="F88" s="365"/>
      <c r="G88" s="365"/>
      <c r="H88" s="365"/>
      <c r="I88" s="365"/>
      <c r="J88" s="365"/>
      <c r="K88" s="365"/>
      <c r="L88" s="365"/>
    </row>
    <row r="89" spans="1:12" ht="16.5">
      <c r="A89" s="383"/>
      <c r="B89" s="384"/>
      <c r="C89" s="364"/>
      <c r="D89" s="383"/>
      <c r="E89" s="383"/>
      <c r="F89" s="365"/>
      <c r="G89" s="365"/>
      <c r="H89" s="365"/>
      <c r="I89" s="365"/>
      <c r="J89" s="365"/>
      <c r="K89" s="365"/>
      <c r="L89" s="365"/>
    </row>
    <row r="90" spans="1:12" ht="16.5">
      <c r="A90" s="383"/>
      <c r="B90" s="384"/>
      <c r="C90" s="364"/>
      <c r="D90" s="383"/>
      <c r="E90" s="383"/>
      <c r="F90" s="365"/>
      <c r="G90" s="365"/>
      <c r="H90" s="365"/>
      <c r="I90" s="365"/>
      <c r="J90" s="365"/>
      <c r="K90" s="365"/>
      <c r="L90" s="365"/>
    </row>
    <row r="91" spans="1:12" ht="16.5">
      <c r="A91" s="383"/>
      <c r="B91" s="384"/>
      <c r="C91" s="364"/>
      <c r="D91" s="383"/>
      <c r="E91" s="383"/>
      <c r="F91" s="365"/>
      <c r="G91" s="365"/>
      <c r="H91" s="365"/>
      <c r="I91" s="365"/>
      <c r="J91" s="365"/>
      <c r="K91" s="365"/>
      <c r="L91" s="365"/>
    </row>
    <row r="92" spans="1:12" ht="16.5">
      <c r="A92" s="383"/>
      <c r="B92" s="384"/>
      <c r="C92" s="364"/>
      <c r="D92" s="383"/>
      <c r="E92" s="383"/>
      <c r="F92" s="365"/>
      <c r="G92" s="365"/>
      <c r="H92" s="365"/>
      <c r="I92" s="365"/>
      <c r="J92" s="365"/>
      <c r="K92" s="365"/>
      <c r="L92" s="365"/>
    </row>
    <row r="93" spans="1:12" ht="16.5">
      <c r="A93" s="383"/>
      <c r="B93" s="384"/>
      <c r="C93" s="364"/>
      <c r="D93" s="383"/>
      <c r="E93" s="383"/>
      <c r="F93" s="365"/>
      <c r="G93" s="365"/>
      <c r="H93" s="365"/>
      <c r="I93" s="365"/>
      <c r="J93" s="365"/>
      <c r="K93" s="365"/>
      <c r="L93" s="365"/>
    </row>
    <row r="94" spans="1:12" ht="16.5">
      <c r="A94" s="383"/>
      <c r="B94" s="384"/>
      <c r="C94" s="364"/>
      <c r="D94" s="383"/>
      <c r="E94" s="383"/>
      <c r="F94" s="365"/>
      <c r="G94" s="365"/>
      <c r="H94" s="365"/>
      <c r="I94" s="365"/>
      <c r="J94" s="365"/>
      <c r="K94" s="365"/>
      <c r="L94" s="365"/>
    </row>
    <row r="95" spans="1:12" ht="16.5">
      <c r="A95" s="383"/>
      <c r="B95" s="384"/>
      <c r="C95" s="364"/>
      <c r="D95" s="383"/>
      <c r="E95" s="383"/>
      <c r="F95" s="365"/>
      <c r="G95" s="365"/>
      <c r="H95" s="365"/>
      <c r="I95" s="365"/>
      <c r="J95" s="365"/>
      <c r="K95" s="365"/>
      <c r="L95" s="365"/>
    </row>
    <row r="96" spans="1:12" ht="16.5">
      <c r="A96" s="383"/>
      <c r="B96" s="384"/>
      <c r="C96" s="364"/>
      <c r="D96" s="383"/>
      <c r="E96" s="383"/>
      <c r="F96" s="365"/>
      <c r="G96" s="365"/>
      <c r="H96" s="365"/>
      <c r="I96" s="365"/>
      <c r="J96" s="365"/>
      <c r="K96" s="365"/>
      <c r="L96" s="365"/>
    </row>
    <row r="97" spans="1:12" ht="16.5">
      <c r="A97" s="383"/>
      <c r="B97" s="384"/>
      <c r="C97" s="364"/>
      <c r="D97" s="383"/>
      <c r="E97" s="383"/>
      <c r="F97" s="365"/>
      <c r="G97" s="365"/>
      <c r="H97" s="365"/>
      <c r="I97" s="365"/>
      <c r="J97" s="365"/>
      <c r="K97" s="365"/>
      <c r="L97" s="365"/>
    </row>
    <row r="98" spans="1:12" ht="16.5">
      <c r="A98" s="383"/>
      <c r="B98" s="384"/>
      <c r="C98" s="364"/>
      <c r="D98" s="383"/>
      <c r="E98" s="383"/>
      <c r="F98" s="365"/>
      <c r="G98" s="365"/>
      <c r="H98" s="365"/>
      <c r="I98" s="365"/>
      <c r="J98" s="365"/>
      <c r="K98" s="365"/>
      <c r="L98" s="365"/>
    </row>
    <row r="99" spans="1:12" ht="16.5">
      <c r="A99" s="383"/>
      <c r="B99" s="384"/>
      <c r="C99" s="364"/>
      <c r="D99" s="383"/>
      <c r="E99" s="383"/>
      <c r="F99" s="365"/>
      <c r="G99" s="365"/>
      <c r="H99" s="365"/>
      <c r="I99" s="365"/>
      <c r="J99" s="365"/>
      <c r="K99" s="365"/>
      <c r="L99" s="365"/>
    </row>
    <row r="100" spans="1:12" ht="16.5">
      <c r="A100" s="383"/>
      <c r="B100" s="384"/>
      <c r="C100" s="364"/>
      <c r="D100" s="383"/>
      <c r="E100" s="383"/>
      <c r="F100" s="365"/>
      <c r="G100" s="365"/>
      <c r="H100" s="365"/>
      <c r="I100" s="365"/>
      <c r="J100" s="365"/>
      <c r="K100" s="365"/>
      <c r="L100" s="365"/>
    </row>
    <row r="101" spans="1:12" ht="16.5">
      <c r="A101" s="383"/>
      <c r="B101" s="384"/>
      <c r="C101" s="364"/>
      <c r="D101" s="383"/>
      <c r="E101" s="383"/>
      <c r="F101" s="365"/>
      <c r="G101" s="365"/>
      <c r="H101" s="365"/>
      <c r="I101" s="365"/>
      <c r="J101" s="365"/>
      <c r="K101" s="365"/>
      <c r="L101" s="365"/>
    </row>
    <row r="102" spans="1:12" ht="16.5">
      <c r="A102" s="383"/>
      <c r="B102" s="384"/>
      <c r="C102" s="364"/>
      <c r="D102" s="383"/>
      <c r="E102" s="383"/>
      <c r="F102" s="365"/>
      <c r="G102" s="365"/>
      <c r="H102" s="365"/>
      <c r="I102" s="365"/>
      <c r="J102" s="365"/>
      <c r="K102" s="365"/>
      <c r="L102" s="365"/>
    </row>
    <row r="103" spans="1:12" ht="16.5">
      <c r="A103" s="383"/>
      <c r="B103" s="384"/>
      <c r="C103" s="364"/>
      <c r="D103" s="383"/>
      <c r="E103" s="383"/>
      <c r="F103" s="365"/>
      <c r="G103" s="365"/>
      <c r="H103" s="365"/>
      <c r="I103" s="365"/>
      <c r="J103" s="365"/>
      <c r="K103" s="365"/>
      <c r="L103" s="365"/>
    </row>
    <row r="104" spans="1:12" ht="16.5">
      <c r="A104" s="383"/>
      <c r="B104" s="384"/>
      <c r="C104" s="364"/>
      <c r="D104" s="383"/>
      <c r="E104" s="383"/>
      <c r="F104" s="365"/>
      <c r="G104" s="365"/>
      <c r="H104" s="365"/>
      <c r="I104" s="365"/>
      <c r="J104" s="365"/>
      <c r="K104" s="365"/>
      <c r="L104" s="365"/>
    </row>
    <row r="105" spans="1:12" ht="16.5">
      <c r="A105" s="383"/>
      <c r="B105" s="384"/>
      <c r="C105" s="364"/>
      <c r="D105" s="383"/>
      <c r="E105" s="383"/>
      <c r="F105" s="365"/>
      <c r="G105" s="365"/>
      <c r="H105" s="365"/>
      <c r="I105" s="365"/>
      <c r="J105" s="365"/>
      <c r="K105" s="365"/>
      <c r="L105" s="365"/>
    </row>
    <row r="106" spans="1:12" ht="16.5">
      <c r="A106" s="383"/>
      <c r="B106" s="384"/>
      <c r="C106" s="364"/>
      <c r="D106" s="383"/>
      <c r="E106" s="383"/>
      <c r="F106" s="365"/>
      <c r="G106" s="365"/>
      <c r="H106" s="365"/>
      <c r="I106" s="365"/>
      <c r="J106" s="365"/>
      <c r="K106" s="365"/>
      <c r="L106" s="365"/>
    </row>
    <row r="107" spans="1:12" ht="16.5">
      <c r="A107" s="383"/>
      <c r="B107" s="384"/>
      <c r="C107" s="364"/>
      <c r="D107" s="383"/>
      <c r="E107" s="383"/>
      <c r="F107" s="365"/>
      <c r="G107" s="365"/>
      <c r="H107" s="365"/>
      <c r="I107" s="365"/>
      <c r="J107" s="365"/>
      <c r="K107" s="365"/>
      <c r="L107" s="365"/>
    </row>
    <row r="108" spans="1:12" ht="16.5">
      <c r="A108" s="383"/>
      <c r="B108" s="384"/>
      <c r="C108" s="364"/>
      <c r="D108" s="383"/>
      <c r="E108" s="383"/>
      <c r="F108" s="365"/>
      <c r="G108" s="365"/>
      <c r="H108" s="365"/>
      <c r="I108" s="365"/>
      <c r="J108" s="365"/>
      <c r="K108" s="365"/>
      <c r="L108" s="365"/>
    </row>
    <row r="109" spans="1:12" ht="16.5">
      <c r="A109" s="383"/>
      <c r="B109" s="384"/>
      <c r="C109" s="364"/>
      <c r="D109" s="383"/>
      <c r="E109" s="383"/>
      <c r="F109" s="365"/>
      <c r="G109" s="365"/>
      <c r="H109" s="365"/>
      <c r="I109" s="365"/>
      <c r="J109" s="365"/>
      <c r="K109" s="365"/>
      <c r="L109" s="365"/>
    </row>
    <row r="110" spans="1:12" ht="16.5">
      <c r="A110" s="383"/>
      <c r="B110" s="384"/>
      <c r="C110" s="364"/>
      <c r="D110" s="383"/>
      <c r="E110" s="383"/>
      <c r="F110" s="365"/>
      <c r="G110" s="365"/>
      <c r="H110" s="365"/>
      <c r="I110" s="365"/>
      <c r="J110" s="365"/>
      <c r="K110" s="365"/>
      <c r="L110" s="365"/>
    </row>
    <row r="111" spans="1:12" ht="16.5">
      <c r="A111" s="383"/>
      <c r="B111" s="384"/>
      <c r="C111" s="364"/>
      <c r="D111" s="383"/>
      <c r="E111" s="383"/>
      <c r="F111" s="365"/>
      <c r="G111" s="365"/>
      <c r="H111" s="365"/>
      <c r="I111" s="365"/>
      <c r="J111" s="365"/>
      <c r="K111" s="365"/>
      <c r="L111" s="365"/>
    </row>
    <row r="112" spans="1:12" ht="16.5">
      <c r="A112" s="383"/>
      <c r="B112" s="384"/>
      <c r="C112" s="364"/>
      <c r="D112" s="383"/>
      <c r="E112" s="383"/>
      <c r="F112" s="365"/>
      <c r="G112" s="365"/>
      <c r="H112" s="365"/>
      <c r="I112" s="365"/>
      <c r="J112" s="365"/>
      <c r="K112" s="365"/>
      <c r="L112" s="365"/>
    </row>
    <row r="113" spans="1:12" ht="16.5">
      <c r="A113" s="383"/>
      <c r="B113" s="384"/>
      <c r="C113" s="364"/>
      <c r="D113" s="383"/>
      <c r="E113" s="383"/>
      <c r="F113" s="365"/>
      <c r="G113" s="365"/>
      <c r="H113" s="365"/>
      <c r="I113" s="365"/>
      <c r="J113" s="365"/>
      <c r="K113" s="365"/>
      <c r="L113" s="365"/>
    </row>
    <row r="114" spans="1:12" ht="16.5">
      <c r="A114" s="383"/>
      <c r="B114" s="384"/>
      <c r="C114" s="364"/>
      <c r="D114" s="383"/>
      <c r="E114" s="383"/>
      <c r="F114" s="365"/>
      <c r="G114" s="365"/>
      <c r="H114" s="365"/>
      <c r="I114" s="365"/>
      <c r="J114" s="365"/>
      <c r="K114" s="365"/>
      <c r="L114" s="365"/>
    </row>
    <row r="115" spans="1:12" ht="16.5">
      <c r="A115" s="383"/>
      <c r="B115" s="384"/>
      <c r="C115" s="364"/>
      <c r="D115" s="383"/>
      <c r="E115" s="383"/>
      <c r="F115" s="365"/>
      <c r="G115" s="365"/>
      <c r="H115" s="365"/>
      <c r="I115" s="365"/>
      <c r="J115" s="365"/>
      <c r="K115" s="365"/>
      <c r="L115" s="365"/>
    </row>
    <row r="116" spans="1:12" ht="16.5">
      <c r="A116" s="383"/>
      <c r="B116" s="384"/>
      <c r="C116" s="364"/>
      <c r="D116" s="383"/>
      <c r="E116" s="383"/>
      <c r="F116" s="365"/>
      <c r="G116" s="365"/>
      <c r="H116" s="365"/>
      <c r="I116" s="365"/>
      <c r="J116" s="365"/>
      <c r="K116" s="365"/>
      <c r="L116" s="365"/>
    </row>
    <row r="117" spans="1:12" ht="16.5">
      <c r="A117" s="383"/>
      <c r="B117" s="384"/>
      <c r="C117" s="364"/>
      <c r="D117" s="383"/>
      <c r="E117" s="383"/>
      <c r="F117" s="365"/>
      <c r="G117" s="365"/>
      <c r="H117" s="365"/>
      <c r="I117" s="365"/>
      <c r="J117" s="365"/>
      <c r="K117" s="365"/>
      <c r="L117" s="365"/>
    </row>
    <row r="118" spans="1:12" ht="16.5">
      <c r="A118" s="383"/>
      <c r="B118" s="384"/>
      <c r="C118" s="364"/>
      <c r="D118" s="383"/>
      <c r="E118" s="383"/>
      <c r="F118" s="365"/>
      <c r="G118" s="365"/>
      <c r="H118" s="365"/>
      <c r="I118" s="365"/>
      <c r="J118" s="365"/>
      <c r="K118" s="365"/>
      <c r="L118" s="365"/>
    </row>
    <row r="119" spans="1:12" ht="16.5">
      <c r="A119" s="383"/>
      <c r="B119" s="384"/>
      <c r="C119" s="364"/>
      <c r="D119" s="383"/>
      <c r="E119" s="383"/>
      <c r="F119" s="365"/>
      <c r="G119" s="365"/>
      <c r="H119" s="365"/>
      <c r="I119" s="365"/>
      <c r="J119" s="365"/>
      <c r="K119" s="365"/>
      <c r="L119" s="365"/>
    </row>
    <row r="120" spans="1:12" ht="16.5">
      <c r="A120" s="383"/>
      <c r="B120" s="384"/>
      <c r="C120" s="364"/>
      <c r="D120" s="383"/>
      <c r="E120" s="383"/>
      <c r="F120" s="365"/>
      <c r="G120" s="365"/>
      <c r="H120" s="365"/>
      <c r="I120" s="365"/>
      <c r="J120" s="365"/>
      <c r="K120" s="365"/>
      <c r="L120" s="365"/>
    </row>
    <row r="121" spans="1:12" ht="16.5">
      <c r="A121" s="383"/>
      <c r="B121" s="384"/>
      <c r="C121" s="364"/>
      <c r="D121" s="383"/>
      <c r="E121" s="383"/>
      <c r="F121" s="365"/>
      <c r="G121" s="365"/>
      <c r="H121" s="365"/>
      <c r="I121" s="365"/>
      <c r="J121" s="365"/>
      <c r="K121" s="365"/>
      <c r="L121" s="365"/>
    </row>
    <row r="122" spans="1:12" ht="16.5">
      <c r="A122" s="383"/>
      <c r="B122" s="384"/>
      <c r="C122" s="364"/>
      <c r="D122" s="383"/>
      <c r="E122" s="383"/>
      <c r="F122" s="365"/>
      <c r="G122" s="365"/>
      <c r="H122" s="365"/>
      <c r="I122" s="365"/>
      <c r="J122" s="365"/>
      <c r="K122" s="365"/>
      <c r="L122" s="365"/>
    </row>
    <row r="123" spans="1:12" ht="16.5">
      <c r="A123" s="383"/>
      <c r="B123" s="384"/>
      <c r="C123" s="364"/>
      <c r="D123" s="383"/>
      <c r="E123" s="383"/>
      <c r="F123" s="365"/>
      <c r="G123" s="365"/>
      <c r="H123" s="365"/>
      <c r="I123" s="365"/>
      <c r="J123" s="365"/>
      <c r="K123" s="365"/>
      <c r="L123" s="365"/>
    </row>
    <row r="124" spans="1:12" ht="16.5">
      <c r="A124" s="383"/>
      <c r="B124" s="384"/>
      <c r="C124" s="364"/>
      <c r="D124" s="383"/>
      <c r="E124" s="383"/>
      <c r="F124" s="365"/>
      <c r="G124" s="365"/>
      <c r="H124" s="365"/>
      <c r="I124" s="365"/>
      <c r="J124" s="365"/>
      <c r="K124" s="365"/>
      <c r="L124" s="365"/>
    </row>
    <row r="125" spans="1:12" ht="16.5">
      <c r="A125" s="383"/>
      <c r="B125" s="384"/>
      <c r="C125" s="364"/>
      <c r="D125" s="383"/>
      <c r="E125" s="383"/>
      <c r="F125" s="365"/>
      <c r="G125" s="365"/>
      <c r="H125" s="365"/>
      <c r="I125" s="365"/>
      <c r="J125" s="365"/>
      <c r="K125" s="365"/>
      <c r="L125" s="365"/>
    </row>
    <row r="126" spans="1:12" ht="16.5">
      <c r="A126" s="383"/>
      <c r="B126" s="384"/>
      <c r="C126" s="364"/>
      <c r="D126" s="383"/>
      <c r="E126" s="383"/>
      <c r="F126" s="365"/>
      <c r="G126" s="365"/>
      <c r="H126" s="365"/>
      <c r="I126" s="365"/>
      <c r="J126" s="365"/>
      <c r="K126" s="365"/>
      <c r="L126" s="365"/>
    </row>
    <row r="127" spans="1:12" ht="16.5">
      <c r="A127" s="383"/>
      <c r="B127" s="384"/>
      <c r="C127" s="364"/>
      <c r="D127" s="383"/>
      <c r="E127" s="383"/>
      <c r="F127" s="365"/>
      <c r="G127" s="365"/>
      <c r="H127" s="365"/>
      <c r="I127" s="365"/>
      <c r="J127" s="365"/>
      <c r="K127" s="365"/>
      <c r="L127" s="365"/>
    </row>
    <row r="128" spans="1:12" ht="16.5">
      <c r="A128" s="383"/>
      <c r="B128" s="384"/>
      <c r="C128" s="364"/>
      <c r="D128" s="383"/>
      <c r="E128" s="383"/>
      <c r="F128" s="365"/>
      <c r="G128" s="365"/>
      <c r="H128" s="365"/>
      <c r="I128" s="365"/>
      <c r="J128" s="365"/>
      <c r="K128" s="365"/>
      <c r="L128" s="365"/>
    </row>
    <row r="129" spans="1:12" ht="16.5">
      <c r="A129" s="383"/>
      <c r="B129" s="384"/>
      <c r="C129" s="364"/>
      <c r="D129" s="383"/>
      <c r="E129" s="383"/>
      <c r="F129" s="365"/>
      <c r="G129" s="365"/>
      <c r="H129" s="365"/>
      <c r="I129" s="365"/>
      <c r="J129" s="365"/>
      <c r="K129" s="365"/>
      <c r="L129" s="365"/>
    </row>
    <row r="130" spans="1:12" ht="16.5">
      <c r="A130" s="383"/>
      <c r="B130" s="384"/>
      <c r="C130" s="364"/>
      <c r="D130" s="383"/>
      <c r="E130" s="383"/>
      <c r="F130" s="365"/>
      <c r="G130" s="365"/>
      <c r="H130" s="365"/>
      <c r="I130" s="365"/>
      <c r="J130" s="365"/>
      <c r="K130" s="365"/>
      <c r="L130" s="365"/>
    </row>
    <row r="131" spans="1:12" ht="16.5">
      <c r="A131" s="383"/>
      <c r="B131" s="384"/>
      <c r="C131" s="364"/>
      <c r="D131" s="383"/>
      <c r="E131" s="383"/>
      <c r="F131" s="365"/>
      <c r="G131" s="365"/>
      <c r="H131" s="365"/>
      <c r="I131" s="365"/>
      <c r="J131" s="365"/>
      <c r="K131" s="365"/>
      <c r="L131" s="365"/>
    </row>
    <row r="132" spans="1:12" ht="16.5">
      <c r="A132" s="383"/>
      <c r="B132" s="384"/>
      <c r="C132" s="364"/>
      <c r="D132" s="383"/>
      <c r="E132" s="383"/>
      <c r="F132" s="365"/>
      <c r="G132" s="365"/>
      <c r="H132" s="365"/>
      <c r="I132" s="365"/>
      <c r="J132" s="365"/>
      <c r="K132" s="365"/>
      <c r="L132" s="365"/>
    </row>
    <row r="133" spans="1:12" ht="16.5">
      <c r="A133" s="383"/>
      <c r="B133" s="384"/>
      <c r="C133" s="364"/>
      <c r="D133" s="383"/>
      <c r="E133" s="383"/>
      <c r="F133" s="365"/>
      <c r="G133" s="365"/>
      <c r="H133" s="365"/>
      <c r="I133" s="365"/>
      <c r="J133" s="365"/>
      <c r="K133" s="365"/>
      <c r="L133" s="365"/>
    </row>
    <row r="134" spans="1:12" ht="16.5">
      <c r="A134" s="383"/>
      <c r="B134" s="384"/>
      <c r="C134" s="364"/>
      <c r="D134" s="383"/>
      <c r="E134" s="383"/>
      <c r="F134" s="365"/>
      <c r="G134" s="365"/>
      <c r="H134" s="365"/>
      <c r="I134" s="365"/>
      <c r="J134" s="365"/>
      <c r="K134" s="365"/>
      <c r="L134" s="365"/>
    </row>
    <row r="135" spans="1:12" ht="16.5">
      <c r="A135" s="383"/>
      <c r="B135" s="384"/>
      <c r="C135" s="364"/>
      <c r="D135" s="383"/>
      <c r="E135" s="383"/>
      <c r="F135" s="365"/>
      <c r="G135" s="365"/>
      <c r="H135" s="365"/>
      <c r="I135" s="365"/>
      <c r="J135" s="365"/>
      <c r="K135" s="365"/>
      <c r="L135" s="365"/>
    </row>
    <row r="136" spans="1:12" ht="16.5">
      <c r="A136" s="383"/>
      <c r="B136" s="384"/>
      <c r="C136" s="364"/>
      <c r="D136" s="383"/>
      <c r="E136" s="383"/>
      <c r="F136" s="365"/>
      <c r="G136" s="365"/>
      <c r="H136" s="365"/>
      <c r="I136" s="365"/>
      <c r="J136" s="365"/>
      <c r="K136" s="365"/>
      <c r="L136" s="365"/>
    </row>
    <row r="137" spans="1:12" ht="16.5">
      <c r="A137" s="383"/>
      <c r="B137" s="384"/>
      <c r="C137" s="364"/>
      <c r="D137" s="383"/>
      <c r="E137" s="383"/>
      <c r="F137" s="365"/>
      <c r="G137" s="365"/>
      <c r="H137" s="365"/>
      <c r="I137" s="365"/>
      <c r="J137" s="365"/>
      <c r="K137" s="365"/>
      <c r="L137" s="365"/>
    </row>
    <row r="138" spans="1:12" ht="16.5">
      <c r="A138" s="383"/>
      <c r="B138" s="384"/>
      <c r="C138" s="364"/>
      <c r="D138" s="383"/>
      <c r="E138" s="383"/>
      <c r="F138" s="365"/>
      <c r="G138" s="365"/>
      <c r="H138" s="365"/>
      <c r="I138" s="365"/>
      <c r="J138" s="365"/>
      <c r="K138" s="365"/>
      <c r="L138" s="365"/>
    </row>
    <row r="139" spans="1:12" ht="16.5">
      <c r="A139" s="383"/>
      <c r="B139" s="384"/>
      <c r="C139" s="364"/>
      <c r="D139" s="383"/>
      <c r="E139" s="383"/>
      <c r="F139" s="365"/>
      <c r="G139" s="365"/>
      <c r="H139" s="365"/>
      <c r="I139" s="365"/>
      <c r="J139" s="365"/>
      <c r="K139" s="365"/>
      <c r="L139" s="365"/>
    </row>
    <row r="140" spans="1:12" ht="16.5">
      <c r="A140" s="383"/>
      <c r="B140" s="384"/>
      <c r="C140" s="364"/>
      <c r="D140" s="383"/>
      <c r="E140" s="383"/>
      <c r="F140" s="365"/>
      <c r="G140" s="365"/>
      <c r="H140" s="365"/>
      <c r="I140" s="365"/>
      <c r="J140" s="365"/>
      <c r="K140" s="365"/>
      <c r="L140" s="365"/>
    </row>
    <row r="141" spans="1:12" ht="16.5">
      <c r="A141" s="383"/>
      <c r="B141" s="384"/>
      <c r="C141" s="364"/>
      <c r="D141" s="383"/>
      <c r="E141" s="383"/>
      <c r="F141" s="365"/>
      <c r="G141" s="365"/>
      <c r="H141" s="365"/>
      <c r="I141" s="365"/>
      <c r="J141" s="365"/>
      <c r="K141" s="365"/>
      <c r="L141" s="365"/>
    </row>
    <row r="142" spans="1:12" ht="16.5">
      <c r="A142" s="383"/>
      <c r="B142" s="384"/>
      <c r="C142" s="364"/>
      <c r="D142" s="383"/>
      <c r="E142" s="383"/>
      <c r="F142" s="365"/>
      <c r="G142" s="365"/>
      <c r="H142" s="365"/>
      <c r="I142" s="365"/>
      <c r="J142" s="365"/>
      <c r="K142" s="365"/>
      <c r="L142" s="365"/>
    </row>
    <row r="143" spans="1:12" ht="16.5">
      <c r="A143" s="383"/>
      <c r="B143" s="384"/>
      <c r="C143" s="364"/>
      <c r="D143" s="383"/>
      <c r="E143" s="383"/>
      <c r="F143" s="365"/>
      <c r="G143" s="365"/>
      <c r="H143" s="365"/>
      <c r="I143" s="365"/>
      <c r="J143" s="365"/>
      <c r="K143" s="365"/>
      <c r="L143" s="365"/>
    </row>
    <row r="144" spans="1:12" ht="16.5">
      <c r="A144" s="383"/>
      <c r="B144" s="384"/>
      <c r="C144" s="364"/>
      <c r="D144" s="383"/>
      <c r="E144" s="383"/>
      <c r="F144" s="365"/>
      <c r="G144" s="365"/>
      <c r="H144" s="365"/>
      <c r="I144" s="365"/>
      <c r="J144" s="365"/>
      <c r="K144" s="365"/>
      <c r="L144" s="365"/>
    </row>
    <row r="145" spans="1:12" ht="16.5">
      <c r="A145" s="383"/>
      <c r="B145" s="384"/>
      <c r="C145" s="364"/>
      <c r="D145" s="383"/>
      <c r="E145" s="383"/>
      <c r="F145" s="365"/>
      <c r="G145" s="365"/>
      <c r="H145" s="365"/>
      <c r="I145" s="365"/>
      <c r="J145" s="365"/>
      <c r="K145" s="365"/>
      <c r="L145" s="365"/>
    </row>
    <row r="146" spans="1:12" ht="16.5">
      <c r="A146" s="383"/>
      <c r="B146" s="384"/>
      <c r="C146" s="364"/>
      <c r="D146" s="383"/>
      <c r="E146" s="383"/>
      <c r="F146" s="365"/>
      <c r="G146" s="365"/>
      <c r="H146" s="365"/>
      <c r="I146" s="365"/>
      <c r="J146" s="365"/>
      <c r="K146" s="365"/>
      <c r="L146" s="365"/>
    </row>
    <row r="147" spans="1:12" ht="16.5">
      <c r="A147" s="383"/>
      <c r="B147" s="384"/>
      <c r="C147" s="364"/>
      <c r="D147" s="383"/>
      <c r="E147" s="383"/>
      <c r="F147" s="365"/>
      <c r="G147" s="365"/>
      <c r="H147" s="365"/>
      <c r="I147" s="365"/>
      <c r="J147" s="365"/>
      <c r="K147" s="365"/>
      <c r="L147" s="365"/>
    </row>
    <row r="148" spans="1:12" ht="16.5">
      <c r="A148" s="383"/>
      <c r="B148" s="384"/>
      <c r="C148" s="364"/>
      <c r="D148" s="383"/>
      <c r="E148" s="383"/>
      <c r="F148" s="365"/>
      <c r="G148" s="365"/>
      <c r="H148" s="365"/>
      <c r="I148" s="365"/>
      <c r="J148" s="365"/>
      <c r="K148" s="365"/>
      <c r="L148" s="365"/>
    </row>
    <row r="149" spans="1:12" ht="16.5">
      <c r="A149" s="383"/>
      <c r="B149" s="384"/>
      <c r="C149" s="364"/>
      <c r="D149" s="383"/>
      <c r="E149" s="383"/>
      <c r="F149" s="365"/>
      <c r="G149" s="365"/>
      <c r="H149" s="365"/>
      <c r="I149" s="365"/>
      <c r="J149" s="365"/>
      <c r="K149" s="365"/>
      <c r="L149" s="365"/>
    </row>
    <row r="150" spans="1:12" ht="16.5">
      <c r="A150" s="383"/>
      <c r="B150" s="384"/>
      <c r="C150" s="364"/>
      <c r="D150" s="383"/>
      <c r="E150" s="383"/>
      <c r="F150" s="365"/>
      <c r="G150" s="365"/>
      <c r="H150" s="365"/>
      <c r="I150" s="365"/>
      <c r="J150" s="365"/>
      <c r="K150" s="365"/>
      <c r="L150" s="365"/>
    </row>
    <row r="151" spans="1:12" ht="16.5">
      <c r="A151" s="383"/>
      <c r="B151" s="384"/>
      <c r="C151" s="364"/>
      <c r="D151" s="383"/>
      <c r="E151" s="383"/>
      <c r="F151" s="365"/>
      <c r="G151" s="365"/>
      <c r="H151" s="365"/>
      <c r="I151" s="365"/>
      <c r="J151" s="365"/>
      <c r="K151" s="365"/>
      <c r="L151" s="365"/>
    </row>
    <row r="152" spans="1:12" ht="16.5">
      <c r="A152" s="383"/>
      <c r="B152" s="384"/>
      <c r="C152" s="364"/>
      <c r="D152" s="383"/>
      <c r="E152" s="383"/>
      <c r="F152" s="365"/>
      <c r="G152" s="365"/>
      <c r="H152" s="365"/>
      <c r="I152" s="365"/>
      <c r="J152" s="365"/>
      <c r="K152" s="365"/>
      <c r="L152" s="365"/>
    </row>
    <row r="153" spans="1:12" ht="16.5">
      <c r="A153" s="383"/>
      <c r="B153" s="384"/>
      <c r="C153" s="364"/>
      <c r="D153" s="383"/>
      <c r="E153" s="383"/>
      <c r="F153" s="365"/>
      <c r="G153" s="365"/>
      <c r="H153" s="365"/>
      <c r="I153" s="365"/>
      <c r="J153" s="365"/>
      <c r="K153" s="365"/>
      <c r="L153" s="365"/>
    </row>
    <row r="154" spans="1:12" ht="16.5">
      <c r="A154" s="383"/>
      <c r="B154" s="384"/>
      <c r="C154" s="364"/>
      <c r="D154" s="383"/>
      <c r="E154" s="383"/>
      <c r="F154" s="365"/>
      <c r="G154" s="365"/>
      <c r="H154" s="365"/>
      <c r="I154" s="365"/>
      <c r="J154" s="365"/>
      <c r="K154" s="365"/>
      <c r="L154" s="365"/>
    </row>
    <row r="155" spans="1:12" ht="16.5">
      <c r="A155" s="383"/>
      <c r="B155" s="384"/>
      <c r="C155" s="364"/>
      <c r="D155" s="383"/>
      <c r="E155" s="383"/>
      <c r="F155" s="365"/>
      <c r="G155" s="365"/>
      <c r="H155" s="365"/>
      <c r="I155" s="365"/>
      <c r="J155" s="365"/>
      <c r="K155" s="365"/>
      <c r="L155" s="365"/>
    </row>
    <row r="156" spans="1:12" ht="16.5">
      <c r="A156" s="383"/>
      <c r="B156" s="384"/>
      <c r="C156" s="364"/>
      <c r="D156" s="383"/>
      <c r="E156" s="383"/>
      <c r="F156" s="365"/>
      <c r="G156" s="365"/>
      <c r="H156" s="365"/>
      <c r="I156" s="365"/>
      <c r="J156" s="365"/>
      <c r="K156" s="365"/>
      <c r="L156" s="365"/>
    </row>
    <row r="157" spans="1:12" ht="16.5">
      <c r="A157" s="383"/>
      <c r="B157" s="384"/>
      <c r="C157" s="364"/>
      <c r="D157" s="383"/>
      <c r="E157" s="383"/>
      <c r="F157" s="365"/>
      <c r="G157" s="365"/>
      <c r="H157" s="365"/>
      <c r="I157" s="365"/>
      <c r="J157" s="365"/>
      <c r="K157" s="365"/>
      <c r="L157" s="365"/>
    </row>
    <row r="158" spans="1:12" ht="16.5">
      <c r="A158" s="383"/>
      <c r="B158" s="384"/>
      <c r="C158" s="364"/>
      <c r="D158" s="383"/>
      <c r="E158" s="383"/>
      <c r="F158" s="365"/>
      <c r="G158" s="365"/>
      <c r="H158" s="365"/>
      <c r="I158" s="365"/>
      <c r="J158" s="365"/>
      <c r="K158" s="365"/>
      <c r="L158" s="365"/>
    </row>
    <row r="159" spans="1:12" ht="16.5">
      <c r="A159" s="383"/>
      <c r="B159" s="384"/>
      <c r="C159" s="364"/>
      <c r="D159" s="383"/>
      <c r="E159" s="383"/>
      <c r="F159" s="365"/>
      <c r="G159" s="365"/>
      <c r="H159" s="365"/>
      <c r="I159" s="365"/>
      <c r="J159" s="365"/>
      <c r="K159" s="365"/>
      <c r="L159" s="365"/>
    </row>
    <row r="160" spans="1:12" ht="16.5">
      <c r="A160" s="383"/>
      <c r="B160" s="384"/>
      <c r="C160" s="364"/>
      <c r="D160" s="383"/>
      <c r="E160" s="383"/>
      <c r="F160" s="365"/>
      <c r="G160" s="365"/>
      <c r="H160" s="365"/>
      <c r="I160" s="365"/>
      <c r="J160" s="365"/>
      <c r="K160" s="365"/>
      <c r="L160" s="365"/>
    </row>
    <row r="161" spans="1:12" ht="16.5">
      <c r="A161" s="383"/>
      <c r="B161" s="384"/>
      <c r="C161" s="364"/>
      <c r="D161" s="383"/>
      <c r="E161" s="383"/>
      <c r="F161" s="365"/>
      <c r="G161" s="365"/>
      <c r="H161" s="365"/>
      <c r="I161" s="365"/>
      <c r="J161" s="365"/>
      <c r="K161" s="365"/>
      <c r="L161" s="365"/>
    </row>
    <row r="162" spans="1:12" ht="16.5">
      <c r="A162" s="383"/>
      <c r="B162" s="384"/>
      <c r="C162" s="364"/>
      <c r="D162" s="383"/>
      <c r="E162" s="383"/>
      <c r="F162" s="365"/>
      <c r="G162" s="365"/>
      <c r="H162" s="365"/>
      <c r="I162" s="365"/>
      <c r="J162" s="365"/>
      <c r="K162" s="365"/>
      <c r="L162" s="365"/>
    </row>
    <row r="163" spans="1:12" ht="16.5">
      <c r="A163" s="383"/>
      <c r="B163" s="384"/>
      <c r="C163" s="364"/>
      <c r="D163" s="383"/>
      <c r="E163" s="383"/>
      <c r="F163" s="365"/>
      <c r="G163" s="365"/>
      <c r="H163" s="365"/>
      <c r="I163" s="365"/>
      <c r="J163" s="365"/>
      <c r="K163" s="365"/>
      <c r="L163" s="365"/>
    </row>
    <row r="164" spans="1:12" ht="16.5">
      <c r="A164" s="383"/>
      <c r="B164" s="384"/>
      <c r="C164" s="364"/>
      <c r="D164" s="383"/>
      <c r="E164" s="383"/>
      <c r="F164" s="365"/>
      <c r="G164" s="365"/>
      <c r="H164" s="365"/>
      <c r="I164" s="365"/>
      <c r="J164" s="365"/>
      <c r="K164" s="365"/>
      <c r="L164" s="365"/>
    </row>
    <row r="165" spans="1:12" ht="16.5">
      <c r="A165" s="383"/>
      <c r="B165" s="384"/>
      <c r="C165" s="364"/>
      <c r="D165" s="383"/>
      <c r="E165" s="383"/>
      <c r="F165" s="365"/>
      <c r="G165" s="365"/>
      <c r="H165" s="365"/>
      <c r="I165" s="365"/>
      <c r="J165" s="365"/>
      <c r="K165" s="365"/>
      <c r="L165" s="365"/>
    </row>
    <row r="166" spans="1:12" ht="16.5">
      <c r="A166" s="383"/>
      <c r="B166" s="384"/>
      <c r="C166" s="364"/>
      <c r="D166" s="383"/>
      <c r="E166" s="383"/>
      <c r="F166" s="365"/>
      <c r="G166" s="365"/>
      <c r="H166" s="365"/>
      <c r="I166" s="365"/>
      <c r="J166" s="365"/>
      <c r="K166" s="365"/>
      <c r="L166" s="365"/>
    </row>
    <row r="167" spans="1:12" ht="16.5">
      <c r="A167" s="383"/>
      <c r="B167" s="384"/>
      <c r="C167" s="364"/>
      <c r="D167" s="383"/>
      <c r="E167" s="383"/>
      <c r="F167" s="365"/>
      <c r="G167" s="365"/>
      <c r="H167" s="365"/>
      <c r="I167" s="365"/>
      <c r="J167" s="365"/>
      <c r="K167" s="365"/>
      <c r="L167" s="365"/>
    </row>
    <row r="168" spans="1:12" ht="16.5">
      <c r="A168" s="383"/>
      <c r="B168" s="384"/>
      <c r="C168" s="364"/>
      <c r="D168" s="383"/>
      <c r="E168" s="383"/>
      <c r="F168" s="365"/>
      <c r="G168" s="365"/>
      <c r="H168" s="365"/>
      <c r="I168" s="365"/>
      <c r="J168" s="365"/>
      <c r="K168" s="365"/>
      <c r="L168" s="365"/>
    </row>
    <row r="169" spans="1:12" ht="16.5">
      <c r="A169" s="383"/>
      <c r="B169" s="384"/>
      <c r="C169" s="364"/>
      <c r="D169" s="383"/>
      <c r="E169" s="383"/>
      <c r="F169" s="365"/>
      <c r="G169" s="365"/>
      <c r="H169" s="365"/>
      <c r="I169" s="365"/>
      <c r="J169" s="365"/>
      <c r="K169" s="365"/>
      <c r="L169" s="365"/>
    </row>
    <row r="170" spans="1:12" ht="16.5">
      <c r="A170" s="383"/>
      <c r="B170" s="384"/>
      <c r="C170" s="364"/>
      <c r="D170" s="383"/>
      <c r="E170" s="383"/>
      <c r="F170" s="365"/>
      <c r="G170" s="365"/>
      <c r="H170" s="365"/>
      <c r="I170" s="365"/>
      <c r="J170" s="365"/>
      <c r="K170" s="365"/>
      <c r="L170" s="365"/>
    </row>
    <row r="171" spans="1:12" ht="16.5">
      <c r="A171" s="383"/>
      <c r="B171" s="384"/>
      <c r="C171" s="364"/>
      <c r="D171" s="383"/>
      <c r="E171" s="383"/>
      <c r="F171" s="365"/>
      <c r="G171" s="365"/>
      <c r="H171" s="365"/>
      <c r="I171" s="365"/>
      <c r="J171" s="365"/>
      <c r="K171" s="365"/>
      <c r="L171" s="365"/>
    </row>
    <row r="172" spans="1:12" ht="16.5">
      <c r="A172" s="383"/>
      <c r="B172" s="384"/>
      <c r="C172" s="364"/>
      <c r="D172" s="383"/>
      <c r="E172" s="383"/>
      <c r="F172" s="365"/>
      <c r="G172" s="365"/>
      <c r="H172" s="365"/>
      <c r="I172" s="365"/>
      <c r="J172" s="365"/>
      <c r="K172" s="365"/>
      <c r="L172" s="365"/>
    </row>
    <row r="173" spans="1:12" ht="16.5">
      <c r="A173" s="383"/>
      <c r="B173" s="384"/>
      <c r="C173" s="364"/>
      <c r="D173" s="383"/>
      <c r="E173" s="383"/>
      <c r="F173" s="365"/>
      <c r="G173" s="365"/>
      <c r="H173" s="365"/>
      <c r="I173" s="365"/>
      <c r="J173" s="365"/>
      <c r="K173" s="365"/>
      <c r="L173" s="365"/>
    </row>
    <row r="174" spans="1:12" ht="16.5">
      <c r="A174" s="383"/>
      <c r="B174" s="384"/>
      <c r="C174" s="364"/>
      <c r="D174" s="383"/>
      <c r="E174" s="383"/>
      <c r="F174" s="365"/>
      <c r="G174" s="365"/>
      <c r="H174" s="365"/>
      <c r="I174" s="365"/>
      <c r="J174" s="365"/>
      <c r="K174" s="365"/>
      <c r="L174" s="365"/>
    </row>
    <row r="175" spans="1:12" ht="16.5">
      <c r="A175" s="383"/>
      <c r="B175" s="384"/>
      <c r="C175" s="364"/>
      <c r="D175" s="383"/>
      <c r="E175" s="383"/>
      <c r="F175" s="365"/>
      <c r="G175" s="365"/>
      <c r="H175" s="365"/>
      <c r="I175" s="365"/>
      <c r="J175" s="365"/>
      <c r="K175" s="365"/>
      <c r="L175" s="365"/>
    </row>
    <row r="176" spans="1:12" ht="16.5">
      <c r="A176" s="383"/>
      <c r="B176" s="384"/>
      <c r="C176" s="364"/>
      <c r="D176" s="383"/>
      <c r="E176" s="383"/>
      <c r="F176" s="365"/>
      <c r="G176" s="365"/>
      <c r="H176" s="365"/>
      <c r="I176" s="365"/>
      <c r="J176" s="365"/>
      <c r="K176" s="365"/>
      <c r="L176" s="365"/>
    </row>
    <row r="177" spans="1:12" ht="16.5">
      <c r="A177" s="383"/>
      <c r="B177" s="384"/>
      <c r="C177" s="364"/>
      <c r="D177" s="383"/>
      <c r="E177" s="383"/>
      <c r="F177" s="365"/>
      <c r="G177" s="365"/>
      <c r="H177" s="365"/>
      <c r="I177" s="365"/>
      <c r="J177" s="365"/>
      <c r="K177" s="365"/>
      <c r="L177" s="365"/>
    </row>
    <row r="178" spans="1:12" ht="16.5">
      <c r="A178" s="383"/>
      <c r="B178" s="384"/>
      <c r="C178" s="364"/>
      <c r="D178" s="383"/>
      <c r="E178" s="383"/>
      <c r="F178" s="365"/>
      <c r="G178" s="365"/>
      <c r="H178" s="365"/>
      <c r="I178" s="365"/>
      <c r="J178" s="365"/>
      <c r="K178" s="365"/>
      <c r="L178" s="365"/>
    </row>
    <row r="179" spans="1:12" ht="16.5">
      <c r="A179" s="383"/>
      <c r="B179" s="384"/>
      <c r="C179" s="364"/>
      <c r="D179" s="383"/>
      <c r="E179" s="383"/>
      <c r="F179" s="365"/>
      <c r="G179" s="365"/>
      <c r="H179" s="365"/>
      <c r="I179" s="365"/>
      <c r="J179" s="365"/>
      <c r="K179" s="365"/>
      <c r="L179" s="365"/>
    </row>
    <row r="180" spans="1:12" ht="16.5">
      <c r="A180" s="383"/>
      <c r="B180" s="384"/>
      <c r="C180" s="364"/>
      <c r="D180" s="383"/>
      <c r="E180" s="383"/>
      <c r="F180" s="365"/>
      <c r="G180" s="365"/>
      <c r="H180" s="365"/>
      <c r="I180" s="365"/>
      <c r="J180" s="365"/>
      <c r="K180" s="365"/>
      <c r="L180" s="365"/>
    </row>
    <row r="181" spans="1:12" ht="16.5">
      <c r="A181" s="383"/>
      <c r="B181" s="384"/>
      <c r="C181" s="364"/>
      <c r="D181" s="383"/>
      <c r="E181" s="383"/>
      <c r="F181" s="365"/>
      <c r="G181" s="365"/>
      <c r="H181" s="365"/>
      <c r="I181" s="365"/>
      <c r="J181" s="365"/>
      <c r="K181" s="365"/>
      <c r="L181" s="365"/>
    </row>
    <row r="182" spans="1:12" ht="16.5">
      <c r="A182" s="383"/>
      <c r="B182" s="384"/>
      <c r="C182" s="364"/>
      <c r="D182" s="383"/>
      <c r="E182" s="383"/>
      <c r="F182" s="365"/>
      <c r="G182" s="365"/>
      <c r="H182" s="365"/>
      <c r="I182" s="365"/>
      <c r="J182" s="365"/>
      <c r="K182" s="365"/>
      <c r="L182" s="365"/>
    </row>
    <row r="183" spans="1:12" ht="16.5">
      <c r="A183" s="383"/>
      <c r="B183" s="384"/>
      <c r="C183" s="364"/>
      <c r="D183" s="383"/>
      <c r="E183" s="383"/>
      <c r="F183" s="365"/>
      <c r="G183" s="365"/>
      <c r="H183" s="365"/>
      <c r="I183" s="365"/>
      <c r="J183" s="365"/>
      <c r="K183" s="365"/>
      <c r="L183" s="365"/>
    </row>
    <row r="184" spans="1:12" ht="16.5">
      <c r="A184" s="383"/>
      <c r="B184" s="384"/>
      <c r="C184" s="364"/>
      <c r="D184" s="383"/>
      <c r="E184" s="383"/>
      <c r="F184" s="365"/>
      <c r="G184" s="365"/>
      <c r="H184" s="365"/>
      <c r="I184" s="365"/>
      <c r="J184" s="365"/>
      <c r="K184" s="365"/>
      <c r="L184" s="365"/>
    </row>
    <row r="185" spans="1:12" ht="16.5">
      <c r="A185" s="383"/>
      <c r="B185" s="384"/>
      <c r="C185" s="364"/>
      <c r="D185" s="383"/>
      <c r="E185" s="383"/>
      <c r="F185" s="365"/>
      <c r="G185" s="365"/>
      <c r="H185" s="365"/>
      <c r="I185" s="365"/>
      <c r="J185" s="365"/>
      <c r="K185" s="365"/>
      <c r="L185" s="365"/>
    </row>
    <row r="186" spans="1:12" ht="16.5">
      <c r="A186" s="383"/>
      <c r="B186" s="384"/>
      <c r="C186" s="364"/>
      <c r="D186" s="383"/>
      <c r="E186" s="383"/>
      <c r="F186" s="365"/>
      <c r="G186" s="365"/>
      <c r="H186" s="365"/>
      <c r="I186" s="365"/>
      <c r="J186" s="365"/>
      <c r="K186" s="365"/>
      <c r="L186" s="365"/>
    </row>
    <row r="187" spans="1:12" ht="16.5">
      <c r="A187" s="383"/>
      <c r="B187" s="384"/>
      <c r="C187" s="364"/>
      <c r="D187" s="383"/>
      <c r="E187" s="383"/>
      <c r="F187" s="365"/>
      <c r="G187" s="365"/>
      <c r="H187" s="365"/>
      <c r="I187" s="365"/>
      <c r="J187" s="365"/>
      <c r="K187" s="365"/>
      <c r="L187" s="365"/>
    </row>
    <row r="188" spans="1:12" ht="16.5">
      <c r="A188" s="383"/>
      <c r="B188" s="384"/>
      <c r="C188" s="364"/>
      <c r="D188" s="383"/>
      <c r="E188" s="383"/>
      <c r="F188" s="365"/>
      <c r="G188" s="365"/>
      <c r="H188" s="365"/>
      <c r="I188" s="365"/>
      <c r="J188" s="365"/>
      <c r="K188" s="365"/>
      <c r="L188" s="365"/>
    </row>
    <row r="189" spans="1:12" ht="16.5">
      <c r="A189" s="383"/>
      <c r="B189" s="384"/>
      <c r="C189" s="364"/>
      <c r="D189" s="383"/>
      <c r="E189" s="383"/>
      <c r="F189" s="365"/>
      <c r="G189" s="365"/>
      <c r="H189" s="365"/>
      <c r="I189" s="365"/>
      <c r="J189" s="365"/>
      <c r="K189" s="365"/>
      <c r="L189" s="365"/>
    </row>
    <row r="190" spans="1:12" ht="16.5">
      <c r="A190" s="383"/>
      <c r="B190" s="384"/>
      <c r="C190" s="364"/>
      <c r="D190" s="383"/>
      <c r="E190" s="383"/>
      <c r="F190" s="365"/>
      <c r="G190" s="365"/>
      <c r="H190" s="365"/>
      <c r="I190" s="365"/>
      <c r="J190" s="365"/>
      <c r="K190" s="365"/>
      <c r="L190" s="365"/>
    </row>
    <row r="191" spans="1:12" ht="16.5">
      <c r="A191" s="383"/>
      <c r="B191" s="384"/>
      <c r="C191" s="364"/>
      <c r="D191" s="383"/>
      <c r="E191" s="383"/>
      <c r="F191" s="365"/>
      <c r="G191" s="365"/>
      <c r="H191" s="365"/>
      <c r="I191" s="365"/>
      <c r="J191" s="365"/>
      <c r="K191" s="365"/>
      <c r="L191" s="365"/>
    </row>
    <row r="192" spans="1:12" ht="16.5">
      <c r="A192" s="383"/>
      <c r="B192" s="384"/>
      <c r="C192" s="364"/>
      <c r="D192" s="383"/>
      <c r="E192" s="383"/>
      <c r="F192" s="365"/>
      <c r="G192" s="365"/>
      <c r="H192" s="365"/>
      <c r="I192" s="365"/>
      <c r="J192" s="365"/>
      <c r="K192" s="365"/>
      <c r="L192" s="365"/>
    </row>
    <row r="193" spans="1:12" ht="16.5">
      <c r="A193" s="383"/>
      <c r="B193" s="384"/>
      <c r="C193" s="364"/>
      <c r="D193" s="383"/>
      <c r="E193" s="383"/>
      <c r="F193" s="365"/>
      <c r="G193" s="365"/>
      <c r="H193" s="365"/>
      <c r="I193" s="365"/>
      <c r="J193" s="365"/>
      <c r="K193" s="365"/>
      <c r="L193" s="365"/>
    </row>
    <row r="194" spans="1:12" ht="16.5">
      <c r="A194" s="383"/>
      <c r="B194" s="384"/>
      <c r="C194" s="364"/>
      <c r="D194" s="383"/>
      <c r="E194" s="383"/>
      <c r="F194" s="365"/>
      <c r="G194" s="365"/>
      <c r="H194" s="365"/>
      <c r="I194" s="365"/>
      <c r="J194" s="365"/>
      <c r="K194" s="365"/>
      <c r="L194" s="365"/>
    </row>
    <row r="195" spans="1:12" ht="16.5">
      <c r="A195" s="383"/>
      <c r="B195" s="384"/>
      <c r="C195" s="364"/>
      <c r="D195" s="383"/>
      <c r="E195" s="383"/>
      <c r="F195" s="365"/>
      <c r="G195" s="365"/>
      <c r="H195" s="365"/>
      <c r="I195" s="365"/>
      <c r="J195" s="365"/>
      <c r="K195" s="365"/>
      <c r="L195" s="365"/>
    </row>
    <row r="196" spans="1:12" ht="16.5">
      <c r="A196" s="383"/>
      <c r="B196" s="384"/>
      <c r="C196" s="364"/>
      <c r="D196" s="383"/>
      <c r="E196" s="383"/>
      <c r="F196" s="365"/>
      <c r="G196" s="365"/>
      <c r="H196" s="365"/>
      <c r="I196" s="365"/>
      <c r="J196" s="365"/>
      <c r="K196" s="365"/>
      <c r="L196" s="365"/>
    </row>
    <row r="197" spans="1:12" ht="16.5">
      <c r="A197" s="383"/>
      <c r="B197" s="384"/>
      <c r="C197" s="364"/>
      <c r="D197" s="383"/>
      <c r="E197" s="383"/>
      <c r="F197" s="365"/>
      <c r="G197" s="365"/>
      <c r="H197" s="365"/>
      <c r="I197" s="365"/>
      <c r="J197" s="365"/>
      <c r="K197" s="365"/>
      <c r="L197" s="365"/>
    </row>
    <row r="198" spans="1:12" ht="16.5">
      <c r="A198" s="383"/>
      <c r="B198" s="384"/>
      <c r="C198" s="364"/>
      <c r="D198" s="383"/>
      <c r="E198" s="383"/>
      <c r="F198" s="365"/>
      <c r="G198" s="365"/>
      <c r="H198" s="365"/>
      <c r="I198" s="365"/>
      <c r="J198" s="365"/>
      <c r="K198" s="365"/>
      <c r="L198" s="365"/>
    </row>
    <row r="199" spans="1:12" ht="16.5">
      <c r="A199" s="383"/>
      <c r="B199" s="384"/>
      <c r="C199" s="364"/>
      <c r="D199" s="383"/>
      <c r="E199" s="383"/>
      <c r="F199" s="365"/>
      <c r="G199" s="365"/>
      <c r="H199" s="365"/>
      <c r="I199" s="365"/>
      <c r="J199" s="365"/>
      <c r="K199" s="365"/>
      <c r="L199" s="365"/>
    </row>
    <row r="200" spans="1:12" ht="16.5">
      <c r="A200" s="383"/>
      <c r="B200" s="384"/>
      <c r="C200" s="364"/>
      <c r="D200" s="383"/>
      <c r="E200" s="383"/>
      <c r="F200" s="365"/>
      <c r="G200" s="365"/>
      <c r="H200" s="365"/>
      <c r="I200" s="365"/>
      <c r="J200" s="365"/>
      <c r="K200" s="365"/>
      <c r="L200" s="365"/>
    </row>
    <row r="201" spans="1:12" ht="16.5">
      <c r="A201" s="383"/>
      <c r="B201" s="384"/>
      <c r="C201" s="364"/>
      <c r="D201" s="383"/>
      <c r="E201" s="383"/>
      <c r="F201" s="365"/>
      <c r="G201" s="365"/>
      <c r="H201" s="365"/>
      <c r="I201" s="365"/>
      <c r="J201" s="365"/>
      <c r="K201" s="365"/>
      <c r="L201" s="365"/>
    </row>
    <row r="202" spans="1:12" ht="16.5">
      <c r="A202" s="383"/>
      <c r="B202" s="384"/>
      <c r="C202" s="364"/>
      <c r="D202" s="383"/>
      <c r="E202" s="383"/>
      <c r="F202" s="365"/>
      <c r="G202" s="365"/>
      <c r="H202" s="365"/>
      <c r="I202" s="365"/>
      <c r="J202" s="365"/>
      <c r="K202" s="365"/>
      <c r="L202" s="365"/>
    </row>
    <row r="203" spans="1:12" ht="16.5">
      <c r="A203" s="383"/>
      <c r="B203" s="384"/>
      <c r="C203" s="364"/>
      <c r="D203" s="383"/>
      <c r="E203" s="383"/>
      <c r="F203" s="365"/>
      <c r="G203" s="365"/>
      <c r="H203" s="365"/>
      <c r="I203" s="365"/>
      <c r="J203" s="365"/>
      <c r="K203" s="365"/>
      <c r="L203" s="365"/>
    </row>
    <row r="204" spans="1:12" ht="16.5">
      <c r="A204" s="383"/>
      <c r="B204" s="384"/>
      <c r="C204" s="364"/>
      <c r="D204" s="383"/>
      <c r="E204" s="383"/>
      <c r="F204" s="365"/>
      <c r="G204" s="365"/>
      <c r="H204" s="365"/>
      <c r="I204" s="365"/>
      <c r="J204" s="365"/>
      <c r="K204" s="365"/>
      <c r="L204" s="365"/>
    </row>
    <row r="205" spans="1:12" ht="16.5">
      <c r="A205" s="383"/>
      <c r="B205" s="384"/>
      <c r="C205" s="364"/>
      <c r="D205" s="383"/>
      <c r="E205" s="383"/>
      <c r="F205" s="365"/>
      <c r="G205" s="365"/>
      <c r="H205" s="365"/>
      <c r="I205" s="365"/>
      <c r="J205" s="365"/>
      <c r="K205" s="365"/>
      <c r="L205" s="365"/>
    </row>
    <row r="206" spans="1:12" ht="16.5">
      <c r="A206" s="383"/>
      <c r="B206" s="384"/>
      <c r="C206" s="364"/>
      <c r="D206" s="383"/>
      <c r="E206" s="383"/>
      <c r="F206" s="365"/>
      <c r="G206" s="365"/>
      <c r="H206" s="365"/>
      <c r="I206" s="365"/>
      <c r="J206" s="365"/>
      <c r="K206" s="365"/>
      <c r="L206" s="365"/>
    </row>
    <row r="207" spans="1:12" ht="16.5">
      <c r="A207" s="383"/>
      <c r="B207" s="384"/>
      <c r="C207" s="364"/>
      <c r="D207" s="383"/>
      <c r="E207" s="383"/>
      <c r="F207" s="365"/>
      <c r="G207" s="365"/>
      <c r="H207" s="365"/>
      <c r="I207" s="365"/>
      <c r="J207" s="365"/>
      <c r="K207" s="365"/>
      <c r="L207" s="365"/>
    </row>
    <row r="208" spans="1:12" ht="16.5">
      <c r="A208" s="383"/>
      <c r="B208" s="384"/>
      <c r="C208" s="364"/>
      <c r="D208" s="383"/>
      <c r="E208" s="383"/>
      <c r="F208" s="365"/>
      <c r="G208" s="365"/>
      <c r="H208" s="365"/>
      <c r="I208" s="365"/>
      <c r="J208" s="365"/>
      <c r="K208" s="365"/>
      <c r="L208" s="365"/>
    </row>
    <row r="209" spans="1:12" ht="16.5">
      <c r="A209" s="383"/>
      <c r="B209" s="384"/>
      <c r="C209" s="364"/>
      <c r="D209" s="383"/>
      <c r="E209" s="383"/>
      <c r="F209" s="365"/>
      <c r="G209" s="365"/>
      <c r="H209" s="365"/>
      <c r="I209" s="365"/>
      <c r="J209" s="365"/>
      <c r="K209" s="365"/>
      <c r="L209" s="365"/>
    </row>
    <row r="210" spans="1:12" ht="16.5">
      <c r="A210" s="383"/>
      <c r="B210" s="384"/>
      <c r="C210" s="364"/>
      <c r="D210" s="383"/>
      <c r="E210" s="383"/>
      <c r="F210" s="365"/>
      <c r="G210" s="365"/>
      <c r="H210" s="365"/>
      <c r="I210" s="365"/>
      <c r="J210" s="365"/>
      <c r="K210" s="365"/>
      <c r="L210" s="365"/>
    </row>
    <row r="211" spans="1:12" ht="16.5">
      <c r="A211" s="383"/>
      <c r="B211" s="384"/>
      <c r="C211" s="364"/>
      <c r="D211" s="383"/>
      <c r="E211" s="383"/>
      <c r="F211" s="365"/>
      <c r="G211" s="365"/>
      <c r="H211" s="365"/>
      <c r="I211" s="365"/>
      <c r="J211" s="365"/>
      <c r="K211" s="365"/>
      <c r="L211" s="365"/>
    </row>
    <row r="212" spans="1:12" ht="16.5">
      <c r="A212" s="383"/>
      <c r="B212" s="384"/>
      <c r="C212" s="364"/>
      <c r="D212" s="383"/>
      <c r="E212" s="383"/>
      <c r="F212" s="365"/>
      <c r="G212" s="365"/>
      <c r="H212" s="365"/>
      <c r="I212" s="365"/>
      <c r="J212" s="365"/>
      <c r="K212" s="365"/>
      <c r="L212" s="365"/>
    </row>
    <row r="213" spans="1:12" ht="16.5">
      <c r="A213" s="383"/>
      <c r="B213" s="384"/>
      <c r="C213" s="364"/>
      <c r="D213" s="383"/>
      <c r="E213" s="383"/>
      <c r="F213" s="365"/>
      <c r="G213" s="365"/>
      <c r="H213" s="365"/>
      <c r="I213" s="365"/>
      <c r="J213" s="365"/>
      <c r="K213" s="365"/>
      <c r="L213" s="365"/>
    </row>
    <row r="214" spans="1:12" ht="16.5">
      <c r="A214" s="383"/>
      <c r="B214" s="384"/>
      <c r="C214" s="364"/>
      <c r="D214" s="383"/>
      <c r="E214" s="383"/>
      <c r="F214" s="365"/>
      <c r="G214" s="365"/>
      <c r="H214" s="365"/>
      <c r="I214" s="365"/>
      <c r="J214" s="365"/>
      <c r="K214" s="365"/>
      <c r="L214" s="365"/>
    </row>
    <row r="215" spans="1:12" ht="16.5">
      <c r="A215" s="383"/>
      <c r="B215" s="384"/>
      <c r="C215" s="364"/>
      <c r="D215" s="383"/>
      <c r="E215" s="383"/>
      <c r="F215" s="365"/>
      <c r="G215" s="365"/>
      <c r="H215" s="365"/>
      <c r="I215" s="365"/>
      <c r="J215" s="365"/>
      <c r="K215" s="365"/>
      <c r="L215" s="365"/>
    </row>
    <row r="216" spans="1:12" ht="16.5">
      <c r="A216" s="383"/>
      <c r="B216" s="384"/>
      <c r="C216" s="364"/>
      <c r="D216" s="383"/>
      <c r="E216" s="383"/>
      <c r="F216" s="365"/>
      <c r="G216" s="365"/>
      <c r="H216" s="365"/>
      <c r="I216" s="365"/>
      <c r="J216" s="365"/>
      <c r="K216" s="365"/>
      <c r="L216" s="365"/>
    </row>
    <row r="217" spans="1:12" ht="16.5">
      <c r="A217" s="383"/>
      <c r="B217" s="384"/>
      <c r="C217" s="364"/>
      <c r="D217" s="383"/>
      <c r="E217" s="383"/>
      <c r="F217" s="365"/>
      <c r="G217" s="365"/>
      <c r="H217" s="365"/>
      <c r="I217" s="365"/>
      <c r="J217" s="365"/>
      <c r="K217" s="365"/>
      <c r="L217" s="365"/>
    </row>
    <row r="218" spans="1:12" ht="16.5">
      <c r="A218" s="383"/>
      <c r="B218" s="384"/>
      <c r="C218" s="364"/>
      <c r="D218" s="383"/>
      <c r="E218" s="383"/>
      <c r="F218" s="365"/>
      <c r="G218" s="365"/>
      <c r="H218" s="365"/>
      <c r="I218" s="365"/>
      <c r="J218" s="365"/>
      <c r="K218" s="365"/>
      <c r="L218" s="365"/>
    </row>
    <row r="219" spans="1:12" ht="16.5">
      <c r="A219" s="383"/>
      <c r="B219" s="384"/>
      <c r="C219" s="364"/>
      <c r="D219" s="383"/>
      <c r="E219" s="383"/>
      <c r="F219" s="365"/>
      <c r="G219" s="365"/>
      <c r="H219" s="365"/>
      <c r="I219" s="365"/>
      <c r="J219" s="365"/>
      <c r="K219" s="365"/>
      <c r="L219" s="365"/>
    </row>
    <row r="220" spans="1:12" ht="16.5">
      <c r="A220" s="383"/>
      <c r="B220" s="384"/>
      <c r="C220" s="364"/>
      <c r="D220" s="383"/>
      <c r="E220" s="383"/>
      <c r="F220" s="365"/>
      <c r="G220" s="365"/>
      <c r="H220" s="365"/>
      <c r="I220" s="365"/>
      <c r="J220" s="365"/>
      <c r="K220" s="365"/>
      <c r="L220" s="365"/>
    </row>
    <row r="221" spans="1:12" ht="16.5">
      <c r="A221" s="383"/>
      <c r="B221" s="384"/>
      <c r="C221" s="364"/>
      <c r="D221" s="383"/>
      <c r="E221" s="383"/>
      <c r="F221" s="365"/>
      <c r="G221" s="365"/>
      <c r="H221" s="365"/>
      <c r="I221" s="365"/>
      <c r="J221" s="365"/>
      <c r="K221" s="365"/>
      <c r="L221" s="365"/>
    </row>
    <row r="222" spans="1:12" ht="16.5">
      <c r="A222" s="383"/>
      <c r="B222" s="384"/>
      <c r="C222" s="364"/>
      <c r="D222" s="383"/>
      <c r="E222" s="383"/>
      <c r="F222" s="365"/>
      <c r="G222" s="365"/>
      <c r="H222" s="365"/>
      <c r="I222" s="365"/>
      <c r="J222" s="365"/>
      <c r="K222" s="365"/>
      <c r="L222" s="365"/>
    </row>
    <row r="223" spans="1:12" ht="16.5">
      <c r="A223" s="383"/>
      <c r="B223" s="384"/>
      <c r="C223" s="364"/>
      <c r="D223" s="383"/>
      <c r="E223" s="383"/>
      <c r="F223" s="365"/>
      <c r="G223" s="365"/>
      <c r="H223" s="365"/>
      <c r="I223" s="365"/>
      <c r="J223" s="365"/>
      <c r="K223" s="365"/>
      <c r="L223" s="365"/>
    </row>
    <row r="224" spans="1:12" ht="16.5">
      <c r="A224" s="383"/>
      <c r="B224" s="384"/>
      <c r="C224" s="364"/>
      <c r="D224" s="383"/>
      <c r="E224" s="383"/>
      <c r="F224" s="365"/>
      <c r="G224" s="365"/>
      <c r="H224" s="365"/>
      <c r="I224" s="365"/>
      <c r="J224" s="365"/>
      <c r="K224" s="365"/>
      <c r="L224" s="365"/>
    </row>
    <row r="225" spans="1:12" ht="16.5">
      <c r="A225" s="383"/>
      <c r="B225" s="384"/>
      <c r="C225" s="364"/>
      <c r="D225" s="383"/>
      <c r="E225" s="383"/>
      <c r="F225" s="365"/>
      <c r="G225" s="365"/>
      <c r="H225" s="365"/>
      <c r="I225" s="365"/>
      <c r="J225" s="365"/>
      <c r="K225" s="365"/>
      <c r="L225" s="365"/>
    </row>
    <row r="226" spans="1:12" ht="16.5">
      <c r="A226" s="383"/>
      <c r="B226" s="384"/>
      <c r="C226" s="364"/>
      <c r="D226" s="383"/>
      <c r="E226" s="383"/>
      <c r="F226" s="365"/>
      <c r="G226" s="365"/>
      <c r="H226" s="365"/>
      <c r="I226" s="365"/>
      <c r="J226" s="365"/>
      <c r="K226" s="365"/>
      <c r="L226" s="365"/>
    </row>
    <row r="227" spans="1:12" ht="16.5">
      <c r="A227" s="383"/>
      <c r="B227" s="384"/>
      <c r="C227" s="364"/>
      <c r="D227" s="383"/>
      <c r="E227" s="383"/>
      <c r="F227" s="365"/>
      <c r="G227" s="365"/>
      <c r="H227" s="365"/>
      <c r="I227" s="365"/>
      <c r="J227" s="365"/>
      <c r="K227" s="365"/>
      <c r="L227" s="365"/>
    </row>
    <row r="228" spans="1:12" ht="16.5">
      <c r="A228" s="383"/>
      <c r="B228" s="384"/>
      <c r="C228" s="364"/>
      <c r="D228" s="383"/>
      <c r="E228" s="383"/>
      <c r="F228" s="365"/>
      <c r="G228" s="365"/>
      <c r="H228" s="365"/>
      <c r="I228" s="365"/>
      <c r="J228" s="365"/>
      <c r="K228" s="365"/>
      <c r="L228" s="365"/>
    </row>
    <row r="229" spans="1:12" ht="16.5">
      <c r="A229" s="383"/>
      <c r="B229" s="384"/>
      <c r="C229" s="364"/>
      <c r="D229" s="383"/>
      <c r="E229" s="383"/>
      <c r="F229" s="365"/>
      <c r="G229" s="365"/>
      <c r="H229" s="365"/>
      <c r="I229" s="365"/>
      <c r="J229" s="365"/>
      <c r="K229" s="365"/>
      <c r="L229" s="365"/>
    </row>
    <row r="230" spans="1:12" ht="16.5">
      <c r="A230" s="383"/>
      <c r="B230" s="384"/>
      <c r="C230" s="364"/>
      <c r="D230" s="383"/>
      <c r="E230" s="383"/>
      <c r="F230" s="365"/>
      <c r="G230" s="365"/>
      <c r="H230" s="365"/>
      <c r="I230" s="365"/>
      <c r="J230" s="365"/>
      <c r="K230" s="365"/>
      <c r="L230" s="365"/>
    </row>
    <row r="231" spans="1:12" ht="16.5">
      <c r="A231" s="383"/>
      <c r="B231" s="384"/>
      <c r="C231" s="364"/>
      <c r="D231" s="383"/>
      <c r="E231" s="383"/>
      <c r="F231" s="365"/>
      <c r="G231" s="365"/>
      <c r="H231" s="365"/>
      <c r="I231" s="365"/>
      <c r="J231" s="365"/>
      <c r="K231" s="365"/>
      <c r="L231" s="365"/>
    </row>
    <row r="232" spans="1:12" ht="16.5">
      <c r="A232" s="383"/>
      <c r="B232" s="384"/>
      <c r="C232" s="364"/>
      <c r="D232" s="383"/>
      <c r="E232" s="383"/>
      <c r="F232" s="365"/>
      <c r="G232" s="365"/>
      <c r="H232" s="365"/>
      <c r="I232" s="365"/>
      <c r="J232" s="365"/>
      <c r="K232" s="365"/>
      <c r="L232" s="365"/>
    </row>
    <row r="233" spans="1:12" ht="16.5">
      <c r="A233" s="383"/>
      <c r="B233" s="384"/>
      <c r="C233" s="364"/>
      <c r="D233" s="383"/>
      <c r="E233" s="383"/>
      <c r="F233" s="365"/>
      <c r="G233" s="365"/>
      <c r="H233" s="365"/>
      <c r="I233" s="365"/>
      <c r="J233" s="365"/>
      <c r="K233" s="365"/>
      <c r="L233" s="365"/>
    </row>
    <row r="234" spans="1:12" ht="16.5">
      <c r="A234" s="383"/>
      <c r="B234" s="384"/>
      <c r="C234" s="364"/>
      <c r="D234" s="383"/>
      <c r="E234" s="383"/>
      <c r="F234" s="365"/>
      <c r="G234" s="365"/>
      <c r="H234" s="365"/>
      <c r="I234" s="365"/>
      <c r="J234" s="365"/>
      <c r="K234" s="365"/>
      <c r="L234" s="365"/>
    </row>
    <row r="235" spans="1:12" ht="16.5">
      <c r="A235" s="383"/>
      <c r="B235" s="384"/>
      <c r="C235" s="364"/>
      <c r="D235" s="383"/>
      <c r="E235" s="383"/>
      <c r="F235" s="365"/>
      <c r="G235" s="365"/>
      <c r="H235" s="365"/>
      <c r="I235" s="365"/>
      <c r="J235" s="365"/>
      <c r="K235" s="365"/>
      <c r="L235" s="365"/>
    </row>
    <row r="236" spans="1:12" ht="16.5">
      <c r="A236" s="383"/>
      <c r="B236" s="384"/>
      <c r="C236" s="364"/>
      <c r="D236" s="383"/>
      <c r="E236" s="383"/>
      <c r="F236" s="365"/>
      <c r="G236" s="365"/>
      <c r="H236" s="365"/>
      <c r="I236" s="365"/>
      <c r="J236" s="365"/>
      <c r="K236" s="365"/>
      <c r="L236" s="365"/>
    </row>
    <row r="237" spans="1:12" ht="16.5">
      <c r="A237" s="383"/>
      <c r="B237" s="384"/>
      <c r="C237" s="364"/>
      <c r="D237" s="383"/>
      <c r="E237" s="383"/>
      <c r="F237" s="365"/>
      <c r="G237" s="365"/>
      <c r="H237" s="365"/>
      <c r="I237" s="365"/>
      <c r="J237" s="365"/>
      <c r="K237" s="365"/>
      <c r="L237" s="365"/>
    </row>
    <row r="238" spans="1:12" ht="16.5">
      <c r="A238" s="383"/>
      <c r="B238" s="384"/>
      <c r="C238" s="364"/>
      <c r="D238" s="383"/>
      <c r="E238" s="383"/>
      <c r="F238" s="365"/>
      <c r="G238" s="365"/>
      <c r="H238" s="365"/>
      <c r="I238" s="365"/>
      <c r="J238" s="365"/>
      <c r="K238" s="365"/>
      <c r="L238" s="365"/>
    </row>
    <row r="239" spans="1:12" ht="16.5">
      <c r="A239" s="383"/>
      <c r="B239" s="384"/>
      <c r="C239" s="364"/>
      <c r="D239" s="383"/>
      <c r="E239" s="383"/>
      <c r="F239" s="365"/>
      <c r="G239" s="365"/>
      <c r="H239" s="365"/>
      <c r="I239" s="365"/>
      <c r="J239" s="365"/>
      <c r="K239" s="365"/>
      <c r="L239" s="365"/>
    </row>
    <row r="240" spans="1:12" ht="16.5">
      <c r="A240" s="383"/>
      <c r="B240" s="384"/>
      <c r="C240" s="364"/>
      <c r="D240" s="383"/>
      <c r="E240" s="383"/>
      <c r="F240" s="365"/>
      <c r="G240" s="365"/>
      <c r="H240" s="365"/>
      <c r="I240" s="365"/>
      <c r="J240" s="365"/>
      <c r="K240" s="365"/>
      <c r="L240" s="365"/>
    </row>
    <row r="241" spans="1:12" ht="16.5">
      <c r="A241" s="383"/>
      <c r="B241" s="384"/>
      <c r="C241" s="364"/>
      <c r="D241" s="383"/>
      <c r="E241" s="383"/>
      <c r="F241" s="365"/>
      <c r="G241" s="365"/>
      <c r="H241" s="365"/>
      <c r="I241" s="365"/>
      <c r="J241" s="365"/>
      <c r="K241" s="365"/>
      <c r="L241" s="365"/>
    </row>
    <row r="242" spans="1:12" ht="16.5">
      <c r="A242" s="383"/>
      <c r="B242" s="384"/>
      <c r="C242" s="364"/>
      <c r="D242" s="383"/>
      <c r="E242" s="383"/>
      <c r="F242" s="365"/>
      <c r="G242" s="365"/>
      <c r="H242" s="365"/>
      <c r="I242" s="365"/>
      <c r="J242" s="365"/>
      <c r="K242" s="365"/>
      <c r="L242" s="365"/>
    </row>
    <row r="243" spans="1:12" ht="16.5">
      <c r="A243" s="383"/>
      <c r="B243" s="384"/>
      <c r="C243" s="364"/>
      <c r="D243" s="383"/>
      <c r="E243" s="383"/>
      <c r="F243" s="365"/>
      <c r="G243" s="365"/>
      <c r="H243" s="365"/>
      <c r="I243" s="365"/>
      <c r="J243" s="365"/>
      <c r="K243" s="365"/>
      <c r="L243" s="365"/>
    </row>
    <row r="244" spans="1:12" ht="16.5">
      <c r="A244" s="383"/>
      <c r="B244" s="384"/>
      <c r="C244" s="364"/>
      <c r="D244" s="383"/>
      <c r="E244" s="383"/>
      <c r="F244" s="365"/>
      <c r="G244" s="365"/>
      <c r="H244" s="365"/>
      <c r="I244" s="365"/>
      <c r="J244" s="365"/>
      <c r="K244" s="365"/>
      <c r="L244" s="365"/>
    </row>
    <row r="245" spans="1:12" ht="16.5">
      <c r="A245" s="383"/>
      <c r="B245" s="384"/>
      <c r="C245" s="364"/>
      <c r="D245" s="383"/>
      <c r="E245" s="383"/>
      <c r="F245" s="365"/>
      <c r="G245" s="365"/>
      <c r="H245" s="365"/>
      <c r="I245" s="365"/>
      <c r="J245" s="365"/>
      <c r="K245" s="365"/>
      <c r="L245" s="365"/>
    </row>
    <row r="246" spans="1:12" ht="16.5">
      <c r="A246" s="383"/>
      <c r="B246" s="384"/>
      <c r="C246" s="364"/>
      <c r="D246" s="383"/>
      <c r="E246" s="383"/>
      <c r="F246" s="365"/>
      <c r="G246" s="365"/>
      <c r="H246" s="365"/>
      <c r="I246" s="365"/>
      <c r="J246" s="365"/>
      <c r="K246" s="365"/>
      <c r="L246" s="365"/>
    </row>
    <row r="247" spans="1:12" ht="16.5">
      <c r="A247" s="383"/>
      <c r="B247" s="384"/>
      <c r="C247" s="364"/>
      <c r="D247" s="383"/>
      <c r="E247" s="383"/>
      <c r="F247" s="365"/>
      <c r="G247" s="365"/>
      <c r="H247" s="365"/>
      <c r="I247" s="365"/>
      <c r="J247" s="365"/>
      <c r="K247" s="365"/>
      <c r="L247" s="365"/>
    </row>
    <row r="248" spans="1:12" ht="16.5">
      <c r="A248" s="383"/>
      <c r="B248" s="384"/>
      <c r="C248" s="364"/>
      <c r="D248" s="383"/>
      <c r="E248" s="383"/>
      <c r="F248" s="365"/>
      <c r="G248" s="365"/>
      <c r="H248" s="365"/>
      <c r="I248" s="365"/>
      <c r="J248" s="365"/>
      <c r="K248" s="365"/>
      <c r="L248" s="365"/>
    </row>
    <row r="249" spans="1:12" ht="16.5">
      <c r="A249" s="383"/>
      <c r="B249" s="384"/>
      <c r="C249" s="364"/>
      <c r="D249" s="383"/>
      <c r="E249" s="383"/>
      <c r="F249" s="365"/>
      <c r="G249" s="365"/>
      <c r="H249" s="365"/>
      <c r="I249" s="365"/>
      <c r="J249" s="365"/>
      <c r="K249" s="365"/>
      <c r="L249" s="365"/>
    </row>
    <row r="250" spans="1:12" ht="16.5">
      <c r="A250" s="383"/>
      <c r="B250" s="384"/>
      <c r="C250" s="364"/>
      <c r="D250" s="383"/>
      <c r="E250" s="383"/>
      <c r="F250" s="365"/>
      <c r="G250" s="365"/>
      <c r="H250" s="365"/>
      <c r="I250" s="365"/>
      <c r="J250" s="365"/>
      <c r="K250" s="365"/>
      <c r="L250" s="365"/>
    </row>
    <row r="251" spans="1:12" ht="16.5">
      <c r="A251" s="383"/>
      <c r="B251" s="384"/>
      <c r="C251" s="364"/>
      <c r="D251" s="383"/>
      <c r="E251" s="383"/>
      <c r="F251" s="365"/>
      <c r="G251" s="365"/>
      <c r="H251" s="365"/>
      <c r="I251" s="365"/>
      <c r="J251" s="365"/>
      <c r="K251" s="365"/>
      <c r="L251" s="365"/>
    </row>
    <row r="252" spans="1:12" ht="16.5">
      <c r="A252" s="383"/>
      <c r="B252" s="384"/>
      <c r="C252" s="364"/>
      <c r="D252" s="383"/>
      <c r="E252" s="383"/>
      <c r="F252" s="365"/>
      <c r="G252" s="365"/>
      <c r="H252" s="365"/>
      <c r="I252" s="365"/>
      <c r="J252" s="365"/>
      <c r="K252" s="365"/>
      <c r="L252" s="365"/>
    </row>
    <row r="253" spans="1:12" ht="16.5">
      <c r="A253" s="383"/>
      <c r="B253" s="384"/>
      <c r="C253" s="364"/>
      <c r="D253" s="383"/>
      <c r="E253" s="383"/>
      <c r="F253" s="365"/>
      <c r="G253" s="365"/>
      <c r="H253" s="365"/>
      <c r="I253" s="365"/>
      <c r="J253" s="365"/>
      <c r="K253" s="365"/>
      <c r="L253" s="365"/>
    </row>
    <row r="254" spans="1:12" ht="16.5">
      <c r="A254" s="383"/>
      <c r="B254" s="384"/>
      <c r="C254" s="364"/>
      <c r="D254" s="383"/>
      <c r="E254" s="383"/>
      <c r="F254" s="365"/>
      <c r="G254" s="365"/>
      <c r="H254" s="365"/>
      <c r="I254" s="365"/>
      <c r="J254" s="365"/>
      <c r="K254" s="365"/>
      <c r="L254" s="365"/>
    </row>
    <row r="255" spans="1:12" ht="16.5">
      <c r="A255" s="383"/>
      <c r="B255" s="384"/>
      <c r="C255" s="364"/>
      <c r="D255" s="383"/>
      <c r="E255" s="383"/>
      <c r="F255" s="365"/>
      <c r="G255" s="365"/>
      <c r="H255" s="365"/>
      <c r="I255" s="365"/>
      <c r="J255" s="365"/>
      <c r="K255" s="365"/>
      <c r="L255" s="36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/>
  </sheetViews>
  <sheetFormatPr defaultRowHeight="15"/>
  <sheetData>
    <row r="1" spans="1:11" ht="25.5">
      <c r="A1" s="796"/>
      <c r="B1" s="796" t="s">
        <v>822</v>
      </c>
      <c r="C1" s="796"/>
      <c r="D1" s="796"/>
      <c r="E1" s="796"/>
      <c r="F1" s="796"/>
      <c r="G1" s="1165"/>
      <c r="H1" s="1165"/>
      <c r="I1" s="1166"/>
      <c r="J1" s="1166"/>
      <c r="K1" s="796"/>
    </row>
    <row r="2" spans="1:11" ht="187.5">
      <c r="A2" s="1167" t="s">
        <v>571</v>
      </c>
      <c r="B2" s="1167"/>
      <c r="C2" s="1167"/>
      <c r="D2" s="1167"/>
      <c r="E2" s="1167"/>
      <c r="F2" s="1167"/>
      <c r="G2" s="1167"/>
      <c r="H2" s="1167"/>
      <c r="I2" s="1167"/>
      <c r="J2" s="1167"/>
    </row>
    <row r="3" spans="1:11" ht="204.75">
      <c r="A3" s="1168" t="s">
        <v>816</v>
      </c>
      <c r="B3" s="1168"/>
      <c r="C3" s="1168"/>
      <c r="D3" s="1168"/>
      <c r="E3" s="1168"/>
      <c r="F3" s="1168"/>
      <c r="G3" s="1168"/>
      <c r="H3" s="1168"/>
      <c r="I3" s="1168"/>
      <c r="J3" s="1168"/>
    </row>
    <row r="4" spans="1:11" ht="18.75">
      <c r="A4" s="798"/>
      <c r="B4" s="798"/>
      <c r="C4" s="798"/>
      <c r="D4" s="798"/>
      <c r="E4" s="798"/>
      <c r="F4" s="798"/>
      <c r="G4" s="798"/>
      <c r="H4" s="798"/>
      <c r="I4" s="798"/>
    </row>
    <row r="5" spans="1:11" ht="112.5">
      <c r="A5" s="1163" t="s">
        <v>0</v>
      </c>
      <c r="B5" s="1163" t="s">
        <v>287</v>
      </c>
      <c r="C5" s="1163" t="s">
        <v>184</v>
      </c>
      <c r="D5" s="1164" t="s">
        <v>611</v>
      </c>
      <c r="E5" s="1164" t="s">
        <v>602</v>
      </c>
      <c r="F5" s="1068" t="s">
        <v>769</v>
      </c>
      <c r="G5" s="1068"/>
      <c r="H5" s="1068"/>
      <c r="I5" s="1068"/>
      <c r="J5" s="1068"/>
      <c r="K5" s="797"/>
    </row>
    <row r="6" spans="1:11" ht="66">
      <c r="A6" s="1163"/>
      <c r="B6" s="1163"/>
      <c r="C6" s="1163"/>
      <c r="D6" s="1164"/>
      <c r="E6" s="1164"/>
      <c r="F6" s="1031" t="s">
        <v>770</v>
      </c>
      <c r="G6" s="1031" t="s">
        <v>771</v>
      </c>
      <c r="H6" s="1031" t="s">
        <v>772</v>
      </c>
      <c r="I6" s="1031" t="s">
        <v>773</v>
      </c>
      <c r="J6" s="1031" t="s">
        <v>774</v>
      </c>
      <c r="K6" s="797"/>
    </row>
    <row r="7" spans="1:11" ht="37.5">
      <c r="A7" s="1038" t="s">
        <v>101</v>
      </c>
      <c r="B7" s="800" t="s">
        <v>493</v>
      </c>
      <c r="C7" s="1038"/>
      <c r="D7" s="1038"/>
      <c r="E7" s="1038"/>
      <c r="F7" s="1020"/>
      <c r="G7" s="1020"/>
      <c r="H7" s="1020"/>
      <c r="I7" s="1020"/>
      <c r="J7" s="1020"/>
    </row>
    <row r="8" spans="1:11" ht="168.75">
      <c r="A8" s="801">
        <v>1</v>
      </c>
      <c r="B8" s="802" t="s">
        <v>810</v>
      </c>
      <c r="C8" s="803" t="s">
        <v>493</v>
      </c>
      <c r="D8" s="1038">
        <v>34</v>
      </c>
      <c r="E8" s="1038">
        <v>34</v>
      </c>
      <c r="F8" s="1038">
        <v>34</v>
      </c>
      <c r="G8" s="1038">
        <v>34</v>
      </c>
      <c r="H8" s="1038">
        <v>34</v>
      </c>
      <c r="I8" s="1038">
        <v>34</v>
      </c>
      <c r="J8" s="1038">
        <v>34</v>
      </c>
    </row>
    <row r="9" spans="1:11" ht="281.25">
      <c r="A9" s="801">
        <v>2</v>
      </c>
      <c r="B9" s="802" t="s">
        <v>573</v>
      </c>
      <c r="C9" s="803" t="s">
        <v>493</v>
      </c>
      <c r="D9" s="1038"/>
      <c r="E9" s="1038"/>
      <c r="F9" s="1020"/>
      <c r="G9" s="1020"/>
      <c r="H9" s="1020"/>
      <c r="I9" s="1020"/>
      <c r="J9" s="1020"/>
    </row>
    <row r="10" spans="1:11" ht="93.75">
      <c r="A10" s="801">
        <v>2</v>
      </c>
      <c r="B10" s="802" t="s">
        <v>811</v>
      </c>
      <c r="C10" s="803" t="s">
        <v>493</v>
      </c>
      <c r="D10" s="1015">
        <v>16</v>
      </c>
      <c r="E10" s="1015"/>
      <c r="F10" s="1015"/>
      <c r="G10" s="1015"/>
      <c r="H10" s="1015"/>
      <c r="I10" s="1015"/>
      <c r="J10" s="1015"/>
      <c r="K10" s="850">
        <v>0</v>
      </c>
    </row>
    <row r="11" spans="1:11" ht="150">
      <c r="A11" s="803">
        <v>4</v>
      </c>
      <c r="B11" s="802" t="s">
        <v>574</v>
      </c>
      <c r="C11" s="803" t="s">
        <v>544</v>
      </c>
      <c r="D11" s="1038"/>
      <c r="E11" s="1038"/>
      <c r="F11" s="1020"/>
      <c r="G11" s="1020"/>
      <c r="H11" s="1020"/>
      <c r="I11" s="1020"/>
      <c r="J11" s="1020"/>
    </row>
    <row r="12" spans="1:11" ht="131.25">
      <c r="A12" s="801">
        <v>5</v>
      </c>
      <c r="B12" s="802" t="s">
        <v>575</v>
      </c>
      <c r="C12" s="803" t="s">
        <v>572</v>
      </c>
      <c r="D12" s="1038"/>
      <c r="E12" s="1038"/>
      <c r="F12" s="1020"/>
      <c r="G12" s="1020"/>
      <c r="H12" s="1020"/>
      <c r="I12" s="1020"/>
      <c r="J12" s="1020"/>
    </row>
    <row r="13" spans="1:11" ht="37.5">
      <c r="A13" s="1038" t="s">
        <v>102</v>
      </c>
      <c r="B13" s="1014" t="s">
        <v>496</v>
      </c>
      <c r="C13" s="1038"/>
      <c r="D13" s="1038"/>
      <c r="E13" s="1038"/>
      <c r="F13" s="1015"/>
      <c r="G13" s="1015"/>
      <c r="H13" s="1016"/>
      <c r="I13" s="1016"/>
      <c r="J13" s="1038"/>
      <c r="K13" s="797"/>
    </row>
    <row r="14" spans="1:11" ht="75">
      <c r="A14" s="1015">
        <v>1</v>
      </c>
      <c r="B14" s="1016" t="s">
        <v>497</v>
      </c>
      <c r="C14" s="1015" t="s">
        <v>496</v>
      </c>
      <c r="D14" s="1015">
        <v>9</v>
      </c>
      <c r="E14" s="1015">
        <f>J14</f>
        <v>14</v>
      </c>
      <c r="F14" s="1017">
        <v>10</v>
      </c>
      <c r="G14" s="1017">
        <v>11</v>
      </c>
      <c r="H14" s="1017">
        <v>12</v>
      </c>
      <c r="I14" s="1017">
        <v>13</v>
      </c>
      <c r="J14" s="1017">
        <v>14</v>
      </c>
      <c r="K14" s="797"/>
    </row>
    <row r="15" spans="1:11" ht="37.5">
      <c r="A15" s="1015"/>
      <c r="B15" s="1018" t="s">
        <v>214</v>
      </c>
      <c r="C15" s="1015"/>
      <c r="D15" s="1015"/>
      <c r="E15" s="1015"/>
      <c r="F15" s="1015"/>
      <c r="G15" s="1015"/>
      <c r="H15" s="1015"/>
      <c r="I15" s="1015"/>
      <c r="J15" s="1038"/>
      <c r="K15" s="797"/>
    </row>
    <row r="16" spans="1:11" ht="75">
      <c r="A16" s="1019" t="s">
        <v>284</v>
      </c>
      <c r="B16" s="1016" t="s">
        <v>498</v>
      </c>
      <c r="C16" s="1015" t="s">
        <v>496</v>
      </c>
      <c r="D16" s="1015">
        <v>6</v>
      </c>
      <c r="E16" s="1015">
        <f>SUM(F16:J16)</f>
        <v>5</v>
      </c>
      <c r="F16" s="1017">
        <v>1</v>
      </c>
      <c r="G16" s="1017">
        <v>1</v>
      </c>
      <c r="H16" s="1017">
        <v>1</v>
      </c>
      <c r="I16" s="1017">
        <v>1</v>
      </c>
      <c r="J16" s="1017">
        <v>1</v>
      </c>
      <c r="K16" s="797"/>
    </row>
    <row r="17" spans="1:11" ht="56.25">
      <c r="A17" s="1019" t="s">
        <v>284</v>
      </c>
      <c r="B17" s="1016" t="s">
        <v>499</v>
      </c>
      <c r="C17" s="1015" t="s">
        <v>496</v>
      </c>
      <c r="D17" s="1038"/>
      <c r="E17" s="1038"/>
      <c r="F17" s="1017"/>
      <c r="G17" s="1017"/>
      <c r="H17" s="1017"/>
      <c r="I17" s="1017"/>
      <c r="J17" s="1017"/>
      <c r="K17" s="797"/>
    </row>
    <row r="18" spans="1:11" ht="112.5">
      <c r="A18" s="1015">
        <v>2</v>
      </c>
      <c r="B18" s="1016" t="s">
        <v>500</v>
      </c>
      <c r="C18" s="1015" t="s">
        <v>461</v>
      </c>
      <c r="D18" s="1015">
        <v>81</v>
      </c>
      <c r="E18" s="1015">
        <f>J18</f>
        <v>116</v>
      </c>
      <c r="F18" s="1015">
        <f>D18+7</f>
        <v>88</v>
      </c>
      <c r="G18" s="1015">
        <f t="shared" ref="G18:J20" si="0">F18+7</f>
        <v>95</v>
      </c>
      <c r="H18" s="1015">
        <f t="shared" si="0"/>
        <v>102</v>
      </c>
      <c r="I18" s="1015">
        <f t="shared" si="0"/>
        <v>109</v>
      </c>
      <c r="J18" s="1015">
        <f t="shared" si="0"/>
        <v>116</v>
      </c>
      <c r="K18" s="797"/>
    </row>
    <row r="19" spans="1:11" ht="112.5">
      <c r="A19" s="1015">
        <v>3</v>
      </c>
      <c r="B19" s="1016" t="s">
        <v>501</v>
      </c>
      <c r="C19" s="1015" t="s">
        <v>461</v>
      </c>
      <c r="D19" s="1015">
        <v>81</v>
      </c>
      <c r="E19" s="1015">
        <f>J19</f>
        <v>116</v>
      </c>
      <c r="F19" s="1015">
        <f>D19+7</f>
        <v>88</v>
      </c>
      <c r="G19" s="1015">
        <f t="shared" si="0"/>
        <v>95</v>
      </c>
      <c r="H19" s="1015">
        <f t="shared" si="0"/>
        <v>102</v>
      </c>
      <c r="I19" s="1015">
        <f t="shared" si="0"/>
        <v>109</v>
      </c>
      <c r="J19" s="1015">
        <f t="shared" si="0"/>
        <v>116</v>
      </c>
      <c r="K19" s="797"/>
    </row>
    <row r="20" spans="1:11" ht="18.75">
      <c r="A20" s="1015"/>
      <c r="B20" s="1018" t="s">
        <v>516</v>
      </c>
      <c r="C20" s="1015" t="s">
        <v>461</v>
      </c>
      <c r="D20" s="1015">
        <v>81</v>
      </c>
      <c r="E20" s="1015">
        <f>J20</f>
        <v>116</v>
      </c>
      <c r="F20" s="1015">
        <f>D20+7</f>
        <v>88</v>
      </c>
      <c r="G20" s="1015">
        <f t="shared" si="0"/>
        <v>95</v>
      </c>
      <c r="H20" s="1015">
        <f t="shared" si="0"/>
        <v>102</v>
      </c>
      <c r="I20" s="1015">
        <f t="shared" si="0"/>
        <v>109</v>
      </c>
      <c r="J20" s="1015">
        <f t="shared" si="0"/>
        <v>116</v>
      </c>
      <c r="K20" s="797"/>
    </row>
    <row r="21" spans="1:11" ht="75">
      <c r="A21" s="799" t="s">
        <v>102</v>
      </c>
      <c r="B21" s="1014" t="s">
        <v>502</v>
      </c>
      <c r="C21" s="1015"/>
      <c r="D21" s="799"/>
      <c r="E21" s="799"/>
      <c r="F21" s="1015"/>
      <c r="G21" s="1015"/>
      <c r="H21" s="1016"/>
      <c r="I21" s="1016"/>
      <c r="J21" s="1015"/>
      <c r="K21" s="797"/>
    </row>
    <row r="22" spans="1:11" ht="93.75">
      <c r="A22" s="1015">
        <v>1</v>
      </c>
      <c r="B22" s="1016" t="s">
        <v>503</v>
      </c>
      <c r="C22" s="1015" t="s">
        <v>502</v>
      </c>
      <c r="D22" s="799"/>
      <c r="E22" s="799"/>
      <c r="F22" s="1017"/>
      <c r="G22" s="1017"/>
      <c r="H22" s="1017"/>
      <c r="I22" s="1017"/>
      <c r="J22" s="1017"/>
      <c r="K22" s="797"/>
    </row>
    <row r="23" spans="1:11" ht="37.5">
      <c r="A23" s="1015"/>
      <c r="B23" s="1018" t="s">
        <v>214</v>
      </c>
      <c r="C23" s="1015"/>
      <c r="D23" s="799"/>
      <c r="E23" s="799"/>
      <c r="F23" s="1015"/>
      <c r="G23" s="1015"/>
      <c r="H23" s="1016"/>
      <c r="I23" s="1016"/>
      <c r="J23" s="1015"/>
      <c r="K23" s="797"/>
    </row>
    <row r="24" spans="1:11" ht="112.5">
      <c r="A24" s="1019" t="s">
        <v>284</v>
      </c>
      <c r="B24" s="1016" t="s">
        <v>504</v>
      </c>
      <c r="C24" s="1015" t="s">
        <v>502</v>
      </c>
      <c r="D24" s="799"/>
      <c r="E24" s="799"/>
      <c r="F24" s="1017"/>
      <c r="G24" s="1017"/>
      <c r="H24" s="1017"/>
      <c r="I24" s="1017"/>
      <c r="J24" s="1017"/>
      <c r="K24" s="797"/>
    </row>
    <row r="25" spans="1:11" ht="93.75">
      <c r="A25" s="1019" t="s">
        <v>284</v>
      </c>
      <c r="B25" s="1016" t="s">
        <v>505</v>
      </c>
      <c r="C25" s="1015" t="s">
        <v>502</v>
      </c>
      <c r="D25" s="799"/>
      <c r="E25" s="799"/>
      <c r="F25" s="1015"/>
      <c r="G25" s="1015"/>
      <c r="H25" s="1016"/>
      <c r="I25" s="1016"/>
      <c r="J25" s="1015"/>
      <c r="K25" s="797"/>
    </row>
    <row r="26" spans="1:11" ht="93.75">
      <c r="A26" s="1015">
        <v>2</v>
      </c>
      <c r="B26" s="1016" t="s">
        <v>506</v>
      </c>
      <c r="C26" s="1015" t="s">
        <v>496</v>
      </c>
      <c r="D26" s="799"/>
      <c r="E26" s="799"/>
      <c r="F26" s="1017"/>
      <c r="G26" s="1017"/>
      <c r="H26" s="1017"/>
      <c r="I26" s="1017"/>
      <c r="J26" s="1017"/>
      <c r="K26" s="797"/>
    </row>
    <row r="27" spans="1:11" ht="150">
      <c r="A27" s="1015">
        <v>3</v>
      </c>
      <c r="B27" s="1016" t="s">
        <v>507</v>
      </c>
      <c r="C27" s="1015" t="s">
        <v>461</v>
      </c>
      <c r="D27" s="1020"/>
      <c r="E27" s="1020"/>
      <c r="F27" s="1017"/>
      <c r="G27" s="1017"/>
      <c r="H27" s="1017"/>
      <c r="I27" s="1017"/>
      <c r="J27" s="1017"/>
      <c r="K27" s="797"/>
    </row>
    <row r="28" spans="1:11" ht="56.25">
      <c r="A28" s="799" t="s">
        <v>115</v>
      </c>
      <c r="B28" s="1014" t="s">
        <v>508</v>
      </c>
      <c r="C28" s="799"/>
      <c r="D28" s="1020"/>
      <c r="E28" s="1020"/>
      <c r="F28" s="1016"/>
      <c r="G28" s="1016"/>
      <c r="H28" s="1016"/>
      <c r="I28" s="1016"/>
      <c r="J28" s="1016"/>
      <c r="K28" s="797"/>
    </row>
    <row r="29" spans="1:11" ht="75">
      <c r="A29" s="1015">
        <v>1</v>
      </c>
      <c r="B29" s="1016" t="s">
        <v>509</v>
      </c>
      <c r="C29" s="1015" t="s">
        <v>510</v>
      </c>
      <c r="D29" s="1020"/>
      <c r="E29" s="1020"/>
      <c r="F29" s="1017"/>
      <c r="G29" s="1017"/>
      <c r="H29" s="1017"/>
      <c r="I29" s="1017"/>
      <c r="J29" s="1017"/>
      <c r="K29" s="797"/>
    </row>
    <row r="30" spans="1:11" ht="18.75">
      <c r="A30" s="1015"/>
      <c r="B30" s="1018" t="s">
        <v>517</v>
      </c>
      <c r="C30" s="1015"/>
      <c r="D30" s="1020"/>
      <c r="E30" s="1020"/>
      <c r="F30" s="1017"/>
      <c r="G30" s="1017"/>
      <c r="H30" s="1017"/>
      <c r="I30" s="1017"/>
      <c r="J30" s="1017"/>
      <c r="K30" s="797"/>
    </row>
    <row r="31" spans="1:11" ht="112.5">
      <c r="A31" s="1015">
        <v>2</v>
      </c>
      <c r="B31" s="1016" t="s">
        <v>511</v>
      </c>
      <c r="C31" s="1015" t="s">
        <v>512</v>
      </c>
      <c r="D31" s="1021"/>
      <c r="E31" s="1021"/>
      <c r="F31" s="1017"/>
      <c r="G31" s="1017"/>
      <c r="H31" s="1017"/>
      <c r="I31" s="1017"/>
      <c r="J31" s="1017"/>
      <c r="K31" s="797"/>
    </row>
    <row r="32" spans="1:11" ht="18.75">
      <c r="A32" s="1016"/>
      <c r="B32" s="1018" t="s">
        <v>518</v>
      </c>
      <c r="C32" s="1015" t="s">
        <v>461</v>
      </c>
      <c r="D32" s="1021"/>
      <c r="E32" s="1021"/>
      <c r="F32" s="1017"/>
      <c r="G32" s="1017"/>
      <c r="H32" s="1017"/>
      <c r="I32" s="1017"/>
      <c r="J32" s="1017"/>
      <c r="K32" s="797"/>
    </row>
    <row r="33" spans="1:11" ht="112.5">
      <c r="A33" s="1015">
        <v>3</v>
      </c>
      <c r="B33" s="1016" t="s">
        <v>513</v>
      </c>
      <c r="C33" s="1015" t="s">
        <v>461</v>
      </c>
      <c r="D33" s="1021"/>
      <c r="E33" s="1021"/>
      <c r="F33" s="1017"/>
      <c r="G33" s="1017"/>
      <c r="H33" s="1017"/>
      <c r="I33" s="1017"/>
      <c r="J33" s="1017"/>
      <c r="K33" s="1022">
        <v>4390</v>
      </c>
    </row>
    <row r="34" spans="1:11" ht="37.5">
      <c r="A34" s="1016"/>
      <c r="B34" s="1018" t="s">
        <v>214</v>
      </c>
      <c r="C34" s="1015"/>
      <c r="D34" s="1021"/>
      <c r="E34" s="1021"/>
      <c r="F34" s="1017"/>
      <c r="G34" s="1017"/>
      <c r="H34" s="1017"/>
      <c r="I34" s="1017"/>
      <c r="J34" s="1017"/>
      <c r="K34" s="797"/>
    </row>
    <row r="35" spans="1:11" ht="112.5">
      <c r="A35" s="1019" t="s">
        <v>284</v>
      </c>
      <c r="B35" s="1016" t="s">
        <v>514</v>
      </c>
      <c r="C35" s="1015" t="s">
        <v>461</v>
      </c>
      <c r="D35" s="1021"/>
      <c r="E35" s="1021"/>
      <c r="F35" s="1017"/>
      <c r="G35" s="1017"/>
      <c r="H35" s="1017"/>
      <c r="I35" s="1017"/>
      <c r="J35" s="1017"/>
      <c r="K35" s="797"/>
    </row>
    <row r="36" spans="1:11" ht="206.25">
      <c r="A36" s="1019" t="s">
        <v>284</v>
      </c>
      <c r="B36" s="1016" t="s">
        <v>515</v>
      </c>
      <c r="C36" s="1015" t="s">
        <v>461</v>
      </c>
      <c r="D36" s="1021"/>
      <c r="E36" s="1021"/>
      <c r="F36" s="1017"/>
      <c r="G36" s="1017"/>
      <c r="H36" s="1017"/>
      <c r="I36" s="1017"/>
      <c r="J36" s="1017"/>
      <c r="K36" s="79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/>
  </sheetViews>
  <sheetFormatPr defaultRowHeight="15"/>
  <sheetData>
    <row r="1" spans="1:17" ht="33">
      <c r="A1" s="365"/>
      <c r="B1" s="390" t="s">
        <v>718</v>
      </c>
      <c r="D1" s="364"/>
      <c r="E1" s="364"/>
      <c r="H1" s="1059"/>
      <c r="I1" s="1059"/>
      <c r="J1" s="1048"/>
      <c r="K1" s="1048"/>
    </row>
    <row r="2" spans="1:17" ht="16.5">
      <c r="A2" s="1063" t="s">
        <v>762</v>
      </c>
      <c r="B2" s="1063"/>
      <c r="C2" s="1063"/>
      <c r="D2" s="1063"/>
      <c r="E2" s="1063"/>
      <c r="F2" s="1063"/>
      <c r="G2" s="1063"/>
      <c r="H2" s="1063"/>
      <c r="I2" s="1063"/>
      <c r="J2" s="1063"/>
    </row>
    <row r="3" spans="1:17" ht="16.5">
      <c r="A3" s="1060" t="s">
        <v>812</v>
      </c>
      <c r="B3" s="1060"/>
      <c r="C3" s="1060"/>
      <c r="D3" s="1060"/>
      <c r="E3" s="1060"/>
      <c r="F3" s="1060"/>
      <c r="G3" s="1060"/>
      <c r="H3" s="1060"/>
      <c r="I3" s="1060"/>
      <c r="J3" s="1060"/>
      <c r="K3" s="1060"/>
      <c r="L3" s="1060"/>
    </row>
    <row r="4" spans="1:17" ht="16.5">
      <c r="A4" s="672"/>
      <c r="B4" s="672"/>
      <c r="C4" s="672"/>
      <c r="D4" s="672"/>
      <c r="E4" s="672"/>
      <c r="F4" s="672"/>
      <c r="G4" s="672"/>
      <c r="H4" s="672"/>
      <c r="I4" s="672"/>
      <c r="J4" s="672"/>
    </row>
    <row r="5" spans="1:17" ht="165">
      <c r="A5" s="1061" t="s">
        <v>0</v>
      </c>
      <c r="B5" s="1053" t="s">
        <v>287</v>
      </c>
      <c r="C5" s="1053" t="s">
        <v>184</v>
      </c>
      <c r="D5" s="1053" t="s">
        <v>317</v>
      </c>
      <c r="E5" s="1053" t="s">
        <v>323</v>
      </c>
      <c r="F5" s="1056" t="s">
        <v>760</v>
      </c>
      <c r="G5" s="1057"/>
      <c r="H5" s="1057"/>
      <c r="I5" s="1057"/>
      <c r="J5" s="1058"/>
      <c r="K5" s="1049" t="s">
        <v>531</v>
      </c>
      <c r="L5" s="1049" t="s">
        <v>532</v>
      </c>
    </row>
    <row r="6" spans="1:17" ht="66">
      <c r="A6" s="1062"/>
      <c r="B6" s="1054"/>
      <c r="C6" s="1054"/>
      <c r="D6" s="1054"/>
      <c r="E6" s="1054"/>
      <c r="F6" s="332" t="s">
        <v>706</v>
      </c>
      <c r="G6" s="332" t="s">
        <v>707</v>
      </c>
      <c r="H6" s="332" t="s">
        <v>708</v>
      </c>
      <c r="I6" s="332" t="s">
        <v>709</v>
      </c>
      <c r="J6" s="332" t="s">
        <v>710</v>
      </c>
      <c r="K6" s="1049"/>
      <c r="L6" s="1049"/>
    </row>
    <row r="7" spans="1:17" ht="82.5">
      <c r="A7" s="853" t="s">
        <v>101</v>
      </c>
      <c r="B7" s="375" t="s">
        <v>668</v>
      </c>
      <c r="C7" s="366" t="s">
        <v>342</v>
      </c>
      <c r="D7" s="332"/>
      <c r="E7" s="332"/>
      <c r="F7" s="332"/>
      <c r="G7" s="332"/>
      <c r="H7" s="332"/>
      <c r="I7" s="332"/>
      <c r="J7" s="332"/>
      <c r="K7" s="369"/>
      <c r="L7" s="369"/>
      <c r="M7" s="390" t="s">
        <v>669</v>
      </c>
    </row>
    <row r="8" spans="1:17" ht="82.5">
      <c r="A8" s="765"/>
      <c r="B8" s="767" t="s">
        <v>670</v>
      </c>
      <c r="C8" s="768" t="s">
        <v>342</v>
      </c>
      <c r="D8" s="756"/>
      <c r="E8" s="756"/>
      <c r="F8" s="756"/>
      <c r="G8" s="756"/>
      <c r="H8" s="756"/>
      <c r="I8" s="756"/>
      <c r="J8" s="756"/>
      <c r="K8" s="766"/>
      <c r="L8" s="766"/>
      <c r="M8" s="757" t="s">
        <v>669</v>
      </c>
    </row>
    <row r="9" spans="1:17" ht="66">
      <c r="A9" s="765"/>
      <c r="B9" s="767" t="s">
        <v>671</v>
      </c>
      <c r="C9" s="768" t="s">
        <v>342</v>
      </c>
      <c r="D9" s="756"/>
      <c r="E9" s="756"/>
      <c r="F9" s="756"/>
      <c r="G9" s="756"/>
      <c r="H9" s="756"/>
      <c r="I9" s="756"/>
      <c r="J9" s="756"/>
      <c r="K9" s="766"/>
      <c r="L9" s="766"/>
      <c r="M9" s="757" t="s">
        <v>669</v>
      </c>
    </row>
    <row r="10" spans="1:17" ht="115.5">
      <c r="A10" s="765"/>
      <c r="B10" s="767" t="s">
        <v>672</v>
      </c>
      <c r="C10" s="768" t="s">
        <v>342</v>
      </c>
      <c r="D10" s="756"/>
      <c r="E10" s="756"/>
      <c r="F10" s="756"/>
      <c r="G10" s="756"/>
      <c r="H10" s="756"/>
      <c r="I10" s="756"/>
      <c r="J10" s="756"/>
      <c r="K10" s="766"/>
      <c r="L10" s="766"/>
      <c r="M10" s="757" t="s">
        <v>669</v>
      </c>
    </row>
    <row r="11" spans="1:17" ht="66">
      <c r="A11" s="765"/>
      <c r="B11" s="767" t="s">
        <v>673</v>
      </c>
      <c r="C11" s="768" t="s">
        <v>342</v>
      </c>
      <c r="D11" s="756"/>
      <c r="E11" s="756"/>
      <c r="F11" s="756"/>
      <c r="G11" s="756"/>
      <c r="H11" s="756"/>
      <c r="I11" s="756"/>
      <c r="J11" s="756"/>
      <c r="K11" s="766"/>
      <c r="L11" s="766"/>
      <c r="M11" s="757" t="s">
        <v>669</v>
      </c>
    </row>
    <row r="12" spans="1:17" ht="99">
      <c r="A12" s="729" t="s">
        <v>102</v>
      </c>
      <c r="B12" s="337" t="s">
        <v>568</v>
      </c>
      <c r="C12" s="722" t="s">
        <v>5</v>
      </c>
      <c r="D12" s="391"/>
      <c r="E12" s="391"/>
      <c r="F12" s="391"/>
      <c r="G12" s="391"/>
      <c r="H12" s="391"/>
      <c r="I12" s="391"/>
      <c r="J12" s="391"/>
      <c r="K12" s="462"/>
      <c r="L12" s="620"/>
      <c r="N12" s="394"/>
      <c r="O12" s="392"/>
      <c r="Q12" s="394"/>
    </row>
    <row r="13" spans="1:17" ht="66">
      <c r="A13" s="722"/>
      <c r="B13" s="341" t="s">
        <v>569</v>
      </c>
      <c r="C13" s="722" t="s">
        <v>5</v>
      </c>
      <c r="D13" s="391"/>
      <c r="E13" s="391"/>
      <c r="F13" s="391"/>
      <c r="G13" s="391"/>
      <c r="H13" s="391"/>
      <c r="I13" s="391"/>
      <c r="J13" s="391"/>
      <c r="K13" s="462"/>
      <c r="L13" s="620"/>
      <c r="N13" s="394"/>
      <c r="O13" s="392"/>
      <c r="Q13" s="394"/>
    </row>
    <row r="14" spans="1:17" ht="115.5">
      <c r="A14" s="729" t="s">
        <v>115</v>
      </c>
      <c r="B14" s="337" t="s">
        <v>570</v>
      </c>
      <c r="C14" s="722" t="s">
        <v>5</v>
      </c>
      <c r="D14" s="391"/>
      <c r="E14" s="391"/>
      <c r="F14" s="391"/>
      <c r="G14" s="391"/>
      <c r="H14" s="391"/>
      <c r="I14" s="391"/>
      <c r="J14" s="391"/>
      <c r="K14" s="462"/>
      <c r="L14" s="620"/>
      <c r="N14" s="394"/>
      <c r="O14" s="392"/>
      <c r="Q14" s="394"/>
    </row>
    <row r="15" spans="1:17" ht="51">
      <c r="A15" s="769"/>
      <c r="B15" s="758" t="s">
        <v>674</v>
      </c>
      <c r="C15" s="759"/>
      <c r="D15" s="760"/>
      <c r="E15" s="760"/>
      <c r="F15" s="760"/>
      <c r="G15" s="760"/>
      <c r="H15" s="760"/>
      <c r="I15" s="760"/>
      <c r="J15" s="760"/>
      <c r="K15" s="770"/>
      <c r="L15" s="771"/>
      <c r="M15" s="763"/>
      <c r="O15" s="762"/>
    </row>
    <row r="16" spans="1:17" ht="63.75">
      <c r="A16" s="769"/>
      <c r="B16" s="764" t="s">
        <v>675</v>
      </c>
      <c r="C16" s="759" t="s">
        <v>5</v>
      </c>
      <c r="D16" s="760"/>
      <c r="E16" s="760"/>
      <c r="F16" s="760"/>
      <c r="G16" s="760"/>
      <c r="H16" s="760"/>
      <c r="I16" s="760"/>
      <c r="J16" s="760"/>
      <c r="K16" s="770"/>
      <c r="L16" s="771"/>
      <c r="M16" s="761" t="s">
        <v>676</v>
      </c>
      <c r="O16" s="762"/>
    </row>
    <row r="17" spans="1:15" ht="38.25">
      <c r="A17" s="769"/>
      <c r="B17" s="764" t="s">
        <v>677</v>
      </c>
      <c r="C17" s="759" t="s">
        <v>5</v>
      </c>
      <c r="D17" s="760"/>
      <c r="E17" s="760"/>
      <c r="F17" s="760"/>
      <c r="G17" s="760"/>
      <c r="H17" s="760"/>
      <c r="I17" s="760"/>
      <c r="J17" s="760"/>
      <c r="K17" s="770"/>
      <c r="L17" s="771"/>
      <c r="M17" s="763"/>
      <c r="O17" s="762"/>
    </row>
    <row r="18" spans="1:15" ht="82.5">
      <c r="A18" s="617" t="s">
        <v>116</v>
      </c>
      <c r="B18" s="523" t="s">
        <v>350</v>
      </c>
      <c r="C18" s="524"/>
      <c r="D18" s="395"/>
      <c r="E18" s="395"/>
      <c r="F18" s="395"/>
      <c r="G18" s="395"/>
      <c r="H18" s="395"/>
      <c r="I18" s="395"/>
      <c r="J18" s="395"/>
      <c r="K18" s="372"/>
      <c r="L18" s="372"/>
    </row>
    <row r="19" spans="1:15" ht="33">
      <c r="A19" s="618">
        <v>1</v>
      </c>
      <c r="B19" s="525" t="s">
        <v>351</v>
      </c>
      <c r="C19" s="524" t="s">
        <v>352</v>
      </c>
      <c r="D19" s="395"/>
      <c r="E19" s="395"/>
      <c r="F19" s="395"/>
      <c r="G19" s="395"/>
      <c r="H19" s="395"/>
      <c r="I19" s="395"/>
      <c r="J19" s="395"/>
      <c r="K19" s="372"/>
      <c r="L19" s="372"/>
    </row>
    <row r="20" spans="1:15" ht="49.5">
      <c r="A20" s="618">
        <v>2</v>
      </c>
      <c r="B20" s="525" t="s">
        <v>353</v>
      </c>
      <c r="C20" s="524" t="s">
        <v>522</v>
      </c>
      <c r="D20" s="395"/>
      <c r="E20" s="395"/>
      <c r="F20" s="526"/>
      <c r="G20" s="526"/>
      <c r="H20" s="526"/>
      <c r="I20" s="526"/>
      <c r="J20" s="396"/>
      <c r="K20" s="372"/>
      <c r="L20" s="372"/>
    </row>
    <row r="21" spans="1:15" ht="33">
      <c r="A21" s="618">
        <v>1</v>
      </c>
      <c r="B21" s="525" t="s">
        <v>355</v>
      </c>
      <c r="C21" s="524" t="s">
        <v>356</v>
      </c>
      <c r="D21" s="395"/>
      <c r="E21" s="395"/>
      <c r="F21" s="830"/>
      <c r="G21" s="830"/>
      <c r="H21" s="1039">
        <v>20.100000000000001</v>
      </c>
      <c r="I21" s="1040">
        <v>23</v>
      </c>
      <c r="J21" s="1040">
        <v>15</v>
      </c>
      <c r="K21" s="949">
        <f>SUM(F21:J21)</f>
        <v>58.1</v>
      </c>
      <c r="L21" s="372"/>
    </row>
    <row r="22" spans="1:15" ht="33">
      <c r="A22" s="618">
        <v>2</v>
      </c>
      <c r="B22" s="525" t="s">
        <v>357</v>
      </c>
      <c r="C22" s="524" t="s">
        <v>358</v>
      </c>
      <c r="D22" s="395"/>
      <c r="E22" s="395"/>
      <c r="F22" s="949">
        <v>2.8</v>
      </c>
      <c r="G22" s="950">
        <v>3</v>
      </c>
      <c r="H22" s="950">
        <v>6</v>
      </c>
      <c r="I22" s="950">
        <v>6</v>
      </c>
      <c r="J22" s="949">
        <v>6.5</v>
      </c>
      <c r="K22" s="949">
        <f>SUM(F22:J22)</f>
        <v>24.3</v>
      </c>
      <c r="L22" s="372"/>
    </row>
    <row r="23" spans="1:15" ht="49.5">
      <c r="A23" s="618">
        <v>3</v>
      </c>
      <c r="B23" s="525" t="s">
        <v>359</v>
      </c>
      <c r="C23" s="524" t="s">
        <v>360</v>
      </c>
      <c r="D23" s="395"/>
      <c r="E23" s="395"/>
      <c r="F23" s="1041">
        <v>0.38</v>
      </c>
      <c r="G23" s="1041">
        <v>0.39</v>
      </c>
      <c r="H23" s="949">
        <v>0.4</v>
      </c>
      <c r="I23" s="1042">
        <v>0.44800000000000001</v>
      </c>
      <c r="J23" s="949">
        <v>0.5</v>
      </c>
      <c r="K23" s="949">
        <f>SUM(F23:J23)</f>
        <v>2.1179999999999999</v>
      </c>
      <c r="L23" s="372"/>
    </row>
    <row r="24" spans="1:15" ht="33">
      <c r="A24" s="618">
        <v>6</v>
      </c>
      <c r="B24" s="525" t="s">
        <v>361</v>
      </c>
      <c r="C24" s="524" t="s">
        <v>362</v>
      </c>
      <c r="D24" s="395"/>
      <c r="E24" s="395"/>
      <c r="F24" s="395"/>
      <c r="G24" s="395"/>
      <c r="H24" s="395"/>
      <c r="I24" s="395"/>
      <c r="J24" s="395"/>
      <c r="K24" s="372"/>
      <c r="L24" s="372"/>
    </row>
    <row r="25" spans="1:15" ht="49.5">
      <c r="A25" s="618">
        <v>7</v>
      </c>
      <c r="B25" s="525" t="s">
        <v>363</v>
      </c>
      <c r="C25" s="524" t="s">
        <v>364</v>
      </c>
      <c r="D25" s="398"/>
      <c r="E25" s="398"/>
      <c r="F25" s="398"/>
      <c r="G25" s="397"/>
      <c r="H25" s="397"/>
      <c r="I25" s="397"/>
      <c r="J25" s="397"/>
      <c r="K25" s="372"/>
      <c r="L25" s="372"/>
    </row>
    <row r="26" spans="1:15" ht="99">
      <c r="A26" s="618">
        <v>8</v>
      </c>
      <c r="B26" s="525" t="s">
        <v>365</v>
      </c>
      <c r="C26" s="524" t="s">
        <v>354</v>
      </c>
      <c r="D26" s="398"/>
      <c r="E26" s="398"/>
      <c r="F26" s="398"/>
      <c r="G26" s="397"/>
      <c r="H26" s="397"/>
      <c r="I26" s="397"/>
      <c r="J26" s="397"/>
      <c r="K26" s="372"/>
      <c r="L26" s="372"/>
    </row>
    <row r="27" spans="1:15" ht="66">
      <c r="A27" s="619">
        <v>9</v>
      </c>
      <c r="B27" s="525" t="s">
        <v>366</v>
      </c>
      <c r="C27" s="524" t="s">
        <v>367</v>
      </c>
      <c r="D27" s="527"/>
      <c r="E27" s="527"/>
      <c r="F27" s="527"/>
      <c r="G27" s="527"/>
      <c r="H27" s="527"/>
      <c r="I27" s="527"/>
      <c r="J27" s="399"/>
      <c r="K27" s="372"/>
      <c r="L27" s="372"/>
    </row>
    <row r="28" spans="1:15" ht="66">
      <c r="A28" s="619">
        <v>10</v>
      </c>
      <c r="B28" s="525" t="s">
        <v>368</v>
      </c>
      <c r="C28" s="524" t="s">
        <v>354</v>
      </c>
      <c r="D28" s="398"/>
      <c r="E28" s="398"/>
      <c r="F28" s="398"/>
      <c r="G28" s="398"/>
      <c r="H28" s="398"/>
      <c r="I28" s="398"/>
      <c r="J28" s="398"/>
      <c r="K28" s="372"/>
      <c r="L28" s="372"/>
    </row>
    <row r="29" spans="1:15" ht="82.5">
      <c r="A29" s="618">
        <v>4</v>
      </c>
      <c r="B29" s="525" t="s">
        <v>369</v>
      </c>
      <c r="C29" s="524" t="s">
        <v>370</v>
      </c>
      <c r="D29" s="398"/>
      <c r="E29" s="950">
        <v>12</v>
      </c>
      <c r="F29" s="950">
        <v>12</v>
      </c>
      <c r="G29" s="950">
        <v>12</v>
      </c>
      <c r="H29" s="950">
        <v>12</v>
      </c>
      <c r="I29" s="950">
        <v>12</v>
      </c>
      <c r="J29" s="950">
        <v>12</v>
      </c>
      <c r="K29" s="950">
        <v>12</v>
      </c>
      <c r="L29" s="1043" t="s">
        <v>36</v>
      </c>
    </row>
    <row r="30" spans="1:15" ht="66">
      <c r="A30" s="618">
        <v>5</v>
      </c>
      <c r="B30" s="525" t="s">
        <v>371</v>
      </c>
      <c r="C30" s="524" t="s">
        <v>5</v>
      </c>
      <c r="D30" s="398"/>
      <c r="E30" s="398"/>
      <c r="F30" s="1041">
        <v>67.95</v>
      </c>
      <c r="G30" s="1041">
        <v>70.52</v>
      </c>
      <c r="H30" s="949">
        <v>78.7</v>
      </c>
      <c r="I30" s="1041">
        <v>80.58</v>
      </c>
      <c r="J30" s="950">
        <v>84</v>
      </c>
      <c r="K30" s="950">
        <f>J30</f>
        <v>84</v>
      </c>
      <c r="L30" s="372"/>
    </row>
    <row r="31" spans="1:15" ht="16.5">
      <c r="B31" s="400"/>
      <c r="C31" s="400"/>
      <c r="D31" s="400"/>
      <c r="E31" s="400"/>
      <c r="F31" s="400"/>
      <c r="G31" s="400"/>
      <c r="H31" s="400"/>
      <c r="I31" s="400"/>
      <c r="J31" s="400"/>
      <c r="K31" s="400"/>
      <c r="L31" s="40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workbookViewId="0"/>
  </sheetViews>
  <sheetFormatPr defaultRowHeight="15"/>
  <sheetData>
    <row r="1" spans="1:25" ht="33">
      <c r="B1" s="390" t="s">
        <v>711</v>
      </c>
      <c r="J1" s="546"/>
      <c r="K1" s="546" t="s">
        <v>326</v>
      </c>
      <c r="L1" s="1048" t="s">
        <v>612</v>
      </c>
      <c r="M1" s="1048"/>
    </row>
    <row r="2" spans="1:25" ht="17.25">
      <c r="B2" s="1064" t="s">
        <v>678</v>
      </c>
      <c r="C2" s="1064"/>
      <c r="D2" s="1064"/>
      <c r="E2" s="1064"/>
      <c r="F2" s="1064"/>
      <c r="G2" s="1064"/>
      <c r="H2" s="1064"/>
      <c r="I2" s="1064"/>
      <c r="J2" s="1064"/>
      <c r="K2" s="1064"/>
      <c r="L2" s="1064"/>
      <c r="M2" s="1064"/>
    </row>
    <row r="3" spans="1:25" ht="16.5">
      <c r="A3" s="1063" t="s">
        <v>372</v>
      </c>
      <c r="B3" s="1063"/>
      <c r="C3" s="1063"/>
      <c r="D3" s="1063"/>
      <c r="E3" s="1063"/>
      <c r="F3" s="1063"/>
      <c r="G3" s="1063"/>
      <c r="H3" s="1063"/>
      <c r="I3" s="1063"/>
      <c r="J3" s="1063"/>
      <c r="K3" s="1063"/>
      <c r="L3" s="1063"/>
      <c r="M3" s="1063"/>
    </row>
    <row r="4" spans="1:25" ht="12.75"/>
    <row r="5" spans="1:25" ht="165">
      <c r="A5" s="1066" t="s">
        <v>0</v>
      </c>
      <c r="B5" s="1066" t="s">
        <v>373</v>
      </c>
      <c r="C5" s="1066" t="s">
        <v>184</v>
      </c>
      <c r="D5" s="1066" t="s">
        <v>374</v>
      </c>
      <c r="E5" s="1053" t="s">
        <v>317</v>
      </c>
      <c r="F5" s="1061" t="s">
        <v>323</v>
      </c>
      <c r="G5" s="1067" t="s">
        <v>375</v>
      </c>
      <c r="H5" s="1067"/>
      <c r="I5" s="1067"/>
      <c r="J5" s="1067"/>
      <c r="K5" s="1067"/>
      <c r="L5" s="1049" t="s">
        <v>531</v>
      </c>
      <c r="M5" s="1049" t="s">
        <v>532</v>
      </c>
      <c r="N5" s="401"/>
    </row>
    <row r="6" spans="1:25" ht="66">
      <c r="A6" s="1066"/>
      <c r="B6" s="1066"/>
      <c r="C6" s="1066"/>
      <c r="D6" s="1066"/>
      <c r="E6" s="1054"/>
      <c r="F6" s="1062"/>
      <c r="G6" s="332" t="s">
        <v>706</v>
      </c>
      <c r="H6" s="332" t="s">
        <v>707</v>
      </c>
      <c r="I6" s="332" t="s">
        <v>708</v>
      </c>
      <c r="J6" s="332" t="s">
        <v>709</v>
      </c>
      <c r="K6" s="332" t="s">
        <v>710</v>
      </c>
      <c r="L6" s="1049"/>
      <c r="M6" s="1049"/>
      <c r="N6" s="401"/>
    </row>
    <row r="7" spans="1:25" ht="16.5">
      <c r="A7" s="402" t="s">
        <v>376</v>
      </c>
      <c r="B7" s="402" t="s">
        <v>377</v>
      </c>
      <c r="C7" s="402" t="s">
        <v>378</v>
      </c>
      <c r="D7" s="402" t="s">
        <v>379</v>
      </c>
      <c r="E7" s="402"/>
      <c r="F7" s="402"/>
      <c r="G7" s="402" t="s">
        <v>380</v>
      </c>
      <c r="H7" s="402" t="s">
        <v>381</v>
      </c>
      <c r="I7" s="402" t="s">
        <v>382</v>
      </c>
      <c r="J7" s="402" t="s">
        <v>383</v>
      </c>
      <c r="K7" s="402" t="s">
        <v>384</v>
      </c>
      <c r="L7" s="402"/>
      <c r="M7" s="402"/>
      <c r="N7" s="403"/>
    </row>
    <row r="8" spans="1:25" ht="33">
      <c r="A8" s="404">
        <v>1</v>
      </c>
      <c r="B8" s="405" t="s">
        <v>385</v>
      </c>
      <c r="C8" s="406" t="s">
        <v>386</v>
      </c>
      <c r="D8" s="407">
        <v>80.540000000000006</v>
      </c>
      <c r="E8" s="407"/>
      <c r="F8" s="407"/>
      <c r="G8" s="407"/>
      <c r="H8" s="407"/>
      <c r="I8" s="407"/>
      <c r="J8" s="407"/>
      <c r="K8" s="407"/>
      <c r="L8" s="407"/>
      <c r="M8" s="407"/>
      <c r="N8" s="408"/>
    </row>
    <row r="9" spans="1:25" ht="49.5">
      <c r="A9" s="409" t="s">
        <v>377</v>
      </c>
      <c r="B9" s="410" t="s">
        <v>387</v>
      </c>
      <c r="C9" s="411" t="s">
        <v>344</v>
      </c>
      <c r="D9" s="412">
        <v>360</v>
      </c>
      <c r="E9" s="412"/>
      <c r="F9" s="412"/>
      <c r="G9" s="413"/>
      <c r="H9" s="413"/>
      <c r="I9" s="413"/>
      <c r="J9" s="413"/>
      <c r="K9" s="413"/>
      <c r="L9" s="413"/>
      <c r="M9" s="413"/>
      <c r="N9" s="414"/>
      <c r="P9" s="394"/>
      <c r="Q9" s="392"/>
      <c r="S9" s="394"/>
      <c r="T9" s="392"/>
      <c r="V9" s="394"/>
      <c r="W9" s="392"/>
      <c r="Y9" s="394"/>
    </row>
    <row r="10" spans="1:25" ht="82.5">
      <c r="A10" s="409" t="s">
        <v>378</v>
      </c>
      <c r="B10" s="410" t="s">
        <v>388</v>
      </c>
      <c r="C10" s="415"/>
      <c r="D10" s="416"/>
      <c r="E10" s="416"/>
      <c r="F10" s="416"/>
      <c r="G10" s="413"/>
      <c r="H10" s="413"/>
      <c r="I10" s="413"/>
      <c r="J10" s="413"/>
      <c r="K10" s="413"/>
      <c r="L10" s="413"/>
      <c r="M10" s="413"/>
      <c r="N10" s="417"/>
    </row>
    <row r="11" spans="1:25" ht="49.5">
      <c r="A11" s="418"/>
      <c r="B11" s="419" t="s">
        <v>389</v>
      </c>
      <c r="C11" s="415" t="s">
        <v>390</v>
      </c>
      <c r="D11" s="416">
        <v>15</v>
      </c>
      <c r="E11" s="416"/>
      <c r="F11" s="416"/>
      <c r="G11" s="420"/>
      <c r="H11" s="420"/>
      <c r="I11" s="420"/>
      <c r="J11" s="420"/>
      <c r="K11" s="420"/>
      <c r="L11" s="420"/>
      <c r="M11" s="420"/>
      <c r="N11" s="417"/>
    </row>
    <row r="12" spans="1:25" ht="33">
      <c r="A12" s="418"/>
      <c r="B12" s="421" t="s">
        <v>391</v>
      </c>
      <c r="C12" s="422" t="s">
        <v>392</v>
      </c>
      <c r="D12" s="416">
        <v>650</v>
      </c>
      <c r="E12" s="416"/>
      <c r="F12" s="416"/>
      <c r="G12" s="806" t="s">
        <v>683</v>
      </c>
      <c r="H12" s="806" t="s">
        <v>683</v>
      </c>
      <c r="I12" s="807">
        <v>20.100000000000001</v>
      </c>
      <c r="J12" s="808">
        <v>23</v>
      </c>
      <c r="K12" s="526">
        <v>15</v>
      </c>
      <c r="L12" s="420">
        <f>I12+J12+K12</f>
        <v>58.1</v>
      </c>
      <c r="M12" s="537"/>
      <c r="N12" s="417"/>
    </row>
    <row r="13" spans="1:25" ht="49.5">
      <c r="A13" s="423"/>
      <c r="B13" s="419" t="s">
        <v>393</v>
      </c>
      <c r="C13" s="422" t="s">
        <v>394</v>
      </c>
      <c r="D13" s="424"/>
      <c r="E13" s="424"/>
      <c r="F13" s="424"/>
      <c r="G13" s="425"/>
      <c r="H13" s="425"/>
      <c r="I13" s="426"/>
      <c r="J13" s="425"/>
      <c r="K13" s="425"/>
      <c r="L13" s="425"/>
      <c r="M13" s="425"/>
      <c r="N13" s="414"/>
      <c r="P13" s="394"/>
      <c r="Q13" s="392"/>
      <c r="S13" s="394"/>
      <c r="T13" s="392"/>
      <c r="V13" s="394"/>
      <c r="W13" s="392"/>
      <c r="Y13" s="394"/>
    </row>
    <row r="14" spans="1:25" ht="49.5">
      <c r="A14" s="423"/>
      <c r="B14" s="419" t="s">
        <v>395</v>
      </c>
      <c r="C14" s="415" t="s">
        <v>396</v>
      </c>
      <c r="D14" s="424"/>
      <c r="E14" s="424"/>
      <c r="F14" s="424"/>
      <c r="G14" s="425"/>
      <c r="H14" s="425"/>
      <c r="I14" s="425"/>
      <c r="J14" s="426"/>
      <c r="K14" s="426"/>
      <c r="L14" s="426"/>
      <c r="M14" s="426"/>
      <c r="N14" s="427"/>
    </row>
    <row r="15" spans="1:25" ht="49.5">
      <c r="A15" s="428" t="s">
        <v>379</v>
      </c>
      <c r="B15" s="429" t="s">
        <v>397</v>
      </c>
      <c r="C15" s="430"/>
      <c r="D15" s="431"/>
      <c r="E15" s="431"/>
      <c r="F15" s="431"/>
      <c r="G15" s="432"/>
      <c r="H15" s="432"/>
      <c r="I15" s="432"/>
      <c r="J15" s="432"/>
      <c r="K15" s="432"/>
      <c r="L15" s="432"/>
      <c r="M15" s="432"/>
      <c r="N15" s="427"/>
    </row>
    <row r="16" spans="1:25" ht="16.5">
      <c r="A16" s="433"/>
      <c r="B16" s="375"/>
      <c r="C16" s="370"/>
      <c r="D16" s="434"/>
      <c r="E16" s="434"/>
      <c r="F16" s="434"/>
      <c r="G16" s="435"/>
      <c r="H16" s="435"/>
      <c r="I16" s="435"/>
      <c r="J16" s="435"/>
      <c r="K16" s="435"/>
      <c r="L16" s="435"/>
      <c r="M16" s="435"/>
      <c r="N16" s="427"/>
    </row>
    <row r="17" spans="1:25" ht="16.5">
      <c r="A17" s="436"/>
      <c r="B17" s="437"/>
      <c r="C17" s="438"/>
      <c r="D17" s="439"/>
      <c r="E17" s="439"/>
      <c r="F17" s="439"/>
      <c r="G17" s="440"/>
      <c r="H17" s="440"/>
      <c r="I17" s="440"/>
      <c r="J17" s="440"/>
      <c r="K17" s="440"/>
      <c r="L17" s="440"/>
      <c r="M17" s="440"/>
      <c r="N17" s="363"/>
    </row>
    <row r="18" spans="1:25" ht="16.5">
      <c r="D18" s="441"/>
      <c r="E18" s="441"/>
      <c r="F18" s="441"/>
      <c r="G18" s="442"/>
      <c r="H18" s="442"/>
      <c r="I18" s="442"/>
      <c r="J18" s="442"/>
      <c r="K18" s="442"/>
      <c r="L18" s="442"/>
      <c r="M18" s="442"/>
    </row>
    <row r="19" spans="1:25" ht="409.5">
      <c r="B19" s="1065" t="s">
        <v>398</v>
      </c>
      <c r="C19" s="1065"/>
      <c r="D19" s="1065"/>
      <c r="E19" s="1065"/>
      <c r="F19" s="1065"/>
      <c r="G19" s="1065"/>
      <c r="H19" s="1065"/>
      <c r="I19" s="1065"/>
      <c r="J19" s="1065"/>
      <c r="K19" s="1065"/>
      <c r="L19" s="1065"/>
      <c r="M19" s="1065"/>
    </row>
    <row r="20" spans="1:25" ht="16.5">
      <c r="G20" s="389"/>
      <c r="H20" s="389"/>
      <c r="I20" s="389"/>
      <c r="J20" s="389"/>
      <c r="K20" s="389"/>
      <c r="L20" s="389"/>
      <c r="M20" s="389"/>
    </row>
    <row r="21" spans="1:25" ht="16.5">
      <c r="G21" s="389"/>
      <c r="H21" s="389"/>
      <c r="I21" s="389"/>
      <c r="J21" s="389"/>
      <c r="K21" s="389"/>
      <c r="L21" s="389"/>
      <c r="M21" s="389"/>
    </row>
    <row r="22" spans="1:25" ht="16.5">
      <c r="B22" s="387"/>
      <c r="G22" s="443"/>
      <c r="N22" s="444"/>
      <c r="P22" s="443"/>
      <c r="Q22" s="444"/>
      <c r="S22" s="443"/>
      <c r="T22" s="444"/>
      <c r="V22" s="443"/>
      <c r="W22" s="444"/>
      <c r="Y22" s="443"/>
    </row>
    <row r="23" spans="1:25" ht="16.5">
      <c r="B23" s="445"/>
    </row>
    <row r="28" spans="1:25" ht="12.7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5"/>
  <sheetViews>
    <sheetView workbookViewId="0"/>
  </sheetViews>
  <sheetFormatPr defaultRowHeight="15"/>
  <sheetData>
    <row r="1" spans="1:22" ht="31.5">
      <c r="A1" s="360"/>
      <c r="B1" s="367" t="s">
        <v>719</v>
      </c>
      <c r="D1" s="362"/>
      <c r="E1" s="362"/>
      <c r="I1" s="547"/>
      <c r="J1" s="547"/>
      <c r="K1" s="547"/>
      <c r="L1" s="548"/>
    </row>
    <row r="2" spans="1:22" ht="16.5">
      <c r="A2" s="1063" t="s">
        <v>399</v>
      </c>
      <c r="B2" s="1063"/>
      <c r="C2" s="1063"/>
      <c r="D2" s="1063"/>
      <c r="E2" s="1063"/>
      <c r="F2" s="1063"/>
      <c r="G2" s="1063"/>
      <c r="H2" s="1063"/>
      <c r="I2" s="1063"/>
      <c r="J2" s="1063"/>
      <c r="K2" s="1063"/>
      <c r="L2" s="1063"/>
    </row>
    <row r="3" spans="1:22" ht="16.5">
      <c r="A3" s="1060" t="s">
        <v>812</v>
      </c>
      <c r="B3" s="1060"/>
      <c r="C3" s="1060"/>
      <c r="D3" s="1060"/>
      <c r="E3" s="1060"/>
      <c r="F3" s="1060"/>
      <c r="G3" s="1060"/>
      <c r="H3" s="1060"/>
      <c r="I3" s="1060"/>
      <c r="J3" s="1060"/>
      <c r="K3" s="1060"/>
      <c r="L3" s="1060"/>
    </row>
    <row r="4" spans="1:22" ht="16.5">
      <c r="A4" s="672"/>
      <c r="B4" s="672"/>
      <c r="C4" s="672"/>
      <c r="D4" s="672"/>
      <c r="E4" s="672"/>
      <c r="F4" s="672"/>
      <c r="G4" s="672"/>
      <c r="H4" s="672"/>
      <c r="I4" s="672"/>
      <c r="J4" s="672"/>
      <c r="K4" s="672"/>
      <c r="L4" s="672"/>
    </row>
    <row r="5" spans="1:22" ht="165">
      <c r="A5" s="1067" t="s">
        <v>0</v>
      </c>
      <c r="B5" s="1067" t="s">
        <v>287</v>
      </c>
      <c r="C5" s="1067" t="s">
        <v>184</v>
      </c>
      <c r="D5" s="1067" t="s">
        <v>339</v>
      </c>
      <c r="E5" s="1067" t="s">
        <v>323</v>
      </c>
      <c r="F5" s="1068" t="s">
        <v>760</v>
      </c>
      <c r="G5" s="1068"/>
      <c r="H5" s="1068"/>
      <c r="I5" s="1068"/>
      <c r="J5" s="1068"/>
      <c r="K5" s="1049" t="s">
        <v>531</v>
      </c>
      <c r="L5" s="1049" t="s">
        <v>532</v>
      </c>
    </row>
    <row r="6" spans="1:22" ht="66">
      <c r="A6" s="1067"/>
      <c r="B6" s="1067"/>
      <c r="C6" s="1067"/>
      <c r="D6" s="1067"/>
      <c r="E6" s="1067"/>
      <c r="F6" s="1031" t="s">
        <v>706</v>
      </c>
      <c r="G6" s="1031" t="s">
        <v>707</v>
      </c>
      <c r="H6" s="1031" t="s">
        <v>708</v>
      </c>
      <c r="I6" s="1031" t="s">
        <v>709</v>
      </c>
      <c r="J6" s="1031" t="s">
        <v>710</v>
      </c>
      <c r="K6" s="1049"/>
      <c r="L6" s="1049"/>
    </row>
    <row r="7" spans="1:22" ht="33">
      <c r="A7" s="1033">
        <v>1</v>
      </c>
      <c r="B7" s="375" t="s">
        <v>401</v>
      </c>
      <c r="C7" s="1032"/>
      <c r="D7" s="459"/>
      <c r="E7" s="459"/>
      <c r="F7" s="460"/>
      <c r="G7" s="435"/>
      <c r="H7" s="435"/>
      <c r="I7" s="435"/>
      <c r="J7" s="435"/>
      <c r="K7" s="435"/>
      <c r="L7" s="462"/>
      <c r="M7" s="452"/>
      <c r="N7" s="453"/>
      <c r="P7" s="452"/>
      <c r="Q7" s="453"/>
      <c r="S7" s="452"/>
      <c r="T7" s="453"/>
      <c r="V7" s="452"/>
    </row>
    <row r="8" spans="1:22" ht="148.5">
      <c r="A8" s="931" t="s">
        <v>284</v>
      </c>
      <c r="B8" s="377" t="s">
        <v>667</v>
      </c>
      <c r="C8" s="370" t="s">
        <v>342</v>
      </c>
      <c r="D8" s="871">
        <v>1280071</v>
      </c>
      <c r="E8" s="871">
        <v>1950000</v>
      </c>
      <c r="F8" s="955">
        <v>332.65899999999999</v>
      </c>
      <c r="G8" s="933">
        <v>404.37</v>
      </c>
      <c r="H8" s="932">
        <v>514.1</v>
      </c>
      <c r="I8" s="933">
        <v>558.54999999999995</v>
      </c>
      <c r="J8" s="871">
        <v>630</v>
      </c>
      <c r="K8" s="955">
        <f>SUM(F8:J8)</f>
        <v>2439.6790000000001</v>
      </c>
      <c r="L8" s="484" t="s">
        <v>661</v>
      </c>
      <c r="N8" s="379"/>
      <c r="O8" s="378"/>
      <c r="Q8" s="379"/>
      <c r="R8" s="378"/>
      <c r="T8" s="379"/>
    </row>
    <row r="9" spans="1:22" ht="181.5">
      <c r="A9" s="454"/>
      <c r="B9" s="455" t="s">
        <v>402</v>
      </c>
      <c r="C9" s="456" t="s">
        <v>301</v>
      </c>
      <c r="D9" s="888"/>
      <c r="E9" s="888"/>
      <c r="F9" s="888"/>
      <c r="G9" s="888"/>
      <c r="H9" s="888"/>
      <c r="I9" s="888"/>
      <c r="J9" s="888"/>
      <c r="K9" s="888"/>
      <c r="L9" s="1044"/>
      <c r="M9" s="379"/>
      <c r="N9" s="458"/>
      <c r="P9" s="379"/>
      <c r="Q9" s="378"/>
      <c r="R9" s="361"/>
      <c r="S9" s="361"/>
      <c r="T9" s="361"/>
      <c r="U9" s="361"/>
      <c r="V9" s="361"/>
    </row>
    <row r="10" spans="1:22" ht="181.5">
      <c r="A10" s="454"/>
      <c r="B10" s="455" t="s">
        <v>402</v>
      </c>
      <c r="C10" s="456" t="s">
        <v>301</v>
      </c>
      <c r="D10" s="888"/>
      <c r="E10" s="888"/>
      <c r="F10" s="888"/>
      <c r="G10" s="888"/>
      <c r="H10" s="888"/>
      <c r="I10" s="888"/>
      <c r="J10" s="888"/>
      <c r="K10" s="888"/>
      <c r="L10" s="1044"/>
      <c r="M10" s="379"/>
      <c r="N10" s="458"/>
      <c r="P10" s="379"/>
      <c r="Q10" s="378"/>
      <c r="R10" s="361"/>
      <c r="S10" s="361"/>
      <c r="T10" s="361"/>
      <c r="U10" s="361"/>
      <c r="V10" s="361"/>
    </row>
    <row r="11" spans="1:22" ht="16.5">
      <c r="A11" s="1033" t="s">
        <v>403</v>
      </c>
      <c r="B11" s="375" t="s">
        <v>404</v>
      </c>
      <c r="C11" s="1032"/>
      <c r="D11" s="889"/>
      <c r="E11" s="889"/>
      <c r="F11" s="890"/>
      <c r="G11" s="890"/>
      <c r="H11" s="890"/>
      <c r="I11" s="890"/>
      <c r="J11" s="890"/>
      <c r="K11" s="890"/>
      <c r="L11" s="1033"/>
      <c r="M11" s="367"/>
      <c r="N11" s="367"/>
      <c r="O11" s="367"/>
      <c r="P11" s="367"/>
      <c r="Q11" s="367"/>
      <c r="R11" s="367"/>
      <c r="S11" s="367"/>
      <c r="T11" s="367"/>
      <c r="U11" s="367"/>
      <c r="V11" s="367"/>
    </row>
    <row r="12" spans="1:22" ht="115.5">
      <c r="A12" s="454"/>
      <c r="B12" s="461" t="s">
        <v>405</v>
      </c>
      <c r="C12" s="456" t="s">
        <v>301</v>
      </c>
      <c r="D12" s="888"/>
      <c r="E12" s="888"/>
      <c r="F12" s="888"/>
      <c r="G12" s="888"/>
      <c r="H12" s="888"/>
      <c r="I12" s="888"/>
      <c r="J12" s="888"/>
      <c r="K12" s="888"/>
      <c r="L12" s="457"/>
      <c r="M12" s="367"/>
      <c r="N12" s="367"/>
      <c r="O12" s="367"/>
      <c r="P12" s="367"/>
      <c r="Q12" s="367"/>
      <c r="R12" s="367"/>
      <c r="S12" s="367"/>
      <c r="T12" s="367"/>
      <c r="U12" s="367"/>
      <c r="V12" s="367"/>
    </row>
    <row r="13" spans="1:22" ht="132">
      <c r="A13" s="454"/>
      <c r="B13" s="461" t="s">
        <v>406</v>
      </c>
      <c r="C13" s="456" t="s">
        <v>301</v>
      </c>
      <c r="D13" s="888"/>
      <c r="E13" s="888"/>
      <c r="F13" s="888"/>
      <c r="G13" s="888"/>
      <c r="H13" s="888"/>
      <c r="I13" s="888"/>
      <c r="J13" s="888"/>
      <c r="K13" s="888"/>
      <c r="L13" s="457"/>
      <c r="M13" s="367"/>
      <c r="N13" s="367"/>
      <c r="O13" s="367"/>
      <c r="P13" s="367"/>
      <c r="Q13" s="367"/>
      <c r="R13" s="367"/>
      <c r="S13" s="367"/>
      <c r="T13" s="367"/>
      <c r="U13" s="367"/>
      <c r="V13" s="367"/>
    </row>
    <row r="14" spans="1:22" ht="132">
      <c r="A14" s="454"/>
      <c r="B14" s="461" t="s">
        <v>407</v>
      </c>
      <c r="C14" s="456" t="s">
        <v>301</v>
      </c>
      <c r="D14" s="888"/>
      <c r="E14" s="888"/>
      <c r="F14" s="888"/>
      <c r="G14" s="888"/>
      <c r="H14" s="888"/>
      <c r="I14" s="888"/>
      <c r="J14" s="888"/>
      <c r="K14" s="888"/>
      <c r="L14" s="457"/>
      <c r="M14" s="367"/>
      <c r="N14" s="367"/>
      <c r="O14" s="367"/>
      <c r="P14" s="367"/>
      <c r="Q14" s="367"/>
      <c r="R14" s="367"/>
      <c r="S14" s="367"/>
      <c r="T14" s="367"/>
      <c r="U14" s="367"/>
      <c r="V14" s="367"/>
    </row>
    <row r="15" spans="1:22" ht="132">
      <c r="A15" s="454"/>
      <c r="B15" s="461" t="s">
        <v>408</v>
      </c>
      <c r="C15" s="456" t="s">
        <v>301</v>
      </c>
      <c r="D15" s="888"/>
      <c r="E15" s="888"/>
      <c r="F15" s="888"/>
      <c r="G15" s="888"/>
      <c r="H15" s="888"/>
      <c r="I15" s="888"/>
      <c r="J15" s="888"/>
      <c r="K15" s="888"/>
      <c r="L15" s="457"/>
      <c r="M15" s="367"/>
      <c r="N15" s="367"/>
      <c r="O15" s="367"/>
      <c r="P15" s="367"/>
      <c r="Q15" s="367"/>
      <c r="R15" s="367"/>
      <c r="S15" s="367"/>
      <c r="T15" s="367"/>
      <c r="U15" s="367"/>
      <c r="V15" s="367"/>
    </row>
    <row r="16" spans="1:22" ht="66">
      <c r="A16" s="1033">
        <v>2</v>
      </c>
      <c r="B16" s="369" t="s">
        <v>410</v>
      </c>
      <c r="C16" s="1032"/>
      <c r="D16" s="889"/>
      <c r="E16" s="889"/>
      <c r="F16" s="890"/>
      <c r="G16" s="890"/>
      <c r="H16" s="890"/>
      <c r="I16" s="890"/>
      <c r="J16" s="890"/>
      <c r="K16" s="890"/>
      <c r="L16" s="1033"/>
      <c r="R16" s="367"/>
      <c r="S16" s="367"/>
      <c r="T16" s="367"/>
      <c r="U16" s="367"/>
      <c r="V16" s="367"/>
    </row>
    <row r="17" spans="1:22" ht="82.5">
      <c r="A17" s="956" t="s">
        <v>284</v>
      </c>
      <c r="B17" s="461" t="s">
        <v>753</v>
      </c>
      <c r="C17" s="456" t="s">
        <v>304</v>
      </c>
      <c r="D17" s="871">
        <v>42</v>
      </c>
      <c r="E17" s="871">
        <v>50</v>
      </c>
      <c r="F17" s="932">
        <f>22000*100/52539</f>
        <v>41.873655760482691</v>
      </c>
      <c r="G17" s="932">
        <f>28445*100/53135</f>
        <v>53.533452526583233</v>
      </c>
      <c r="H17" s="932">
        <f>39702*100/53738</f>
        <v>73.880680337935914</v>
      </c>
      <c r="I17" s="932">
        <f>33520*100/57729</f>
        <v>58.064404372152644</v>
      </c>
      <c r="J17" s="932">
        <v>57.8</v>
      </c>
      <c r="K17" s="932">
        <f>J17</f>
        <v>57.8</v>
      </c>
      <c r="L17" s="376" t="s">
        <v>78</v>
      </c>
    </row>
    <row r="18" spans="1:22" ht="115.5">
      <c r="A18" s="931" t="s">
        <v>284</v>
      </c>
      <c r="B18" s="461" t="s">
        <v>754</v>
      </c>
      <c r="C18" s="456" t="s">
        <v>304</v>
      </c>
      <c r="D18" s="932">
        <v>1.2</v>
      </c>
      <c r="E18" s="871">
        <v>5</v>
      </c>
      <c r="F18" s="932">
        <f>878*100/52539</f>
        <v>1.6711395344410818</v>
      </c>
      <c r="G18" s="932">
        <f>2355*100/53135</f>
        <v>4.4321068975251716</v>
      </c>
      <c r="H18" s="932">
        <f>1290*100/53738</f>
        <v>2.4005359336037815</v>
      </c>
      <c r="I18" s="932">
        <f>1767*100/57729</f>
        <v>3.0608532973029154</v>
      </c>
      <c r="J18" s="932">
        <v>3.4</v>
      </c>
      <c r="K18" s="932">
        <v>3.4</v>
      </c>
      <c r="L18" s="376" t="s">
        <v>42</v>
      </c>
    </row>
    <row r="19" spans="1:22" ht="16.5">
      <c r="A19" s="1033">
        <v>3</v>
      </c>
      <c r="B19" s="369" t="s">
        <v>412</v>
      </c>
      <c r="C19" s="1032"/>
      <c r="D19" s="889"/>
      <c r="E19" s="889"/>
      <c r="F19" s="890"/>
      <c r="G19" s="890"/>
      <c r="H19" s="890"/>
      <c r="I19" s="890"/>
      <c r="J19" s="890"/>
      <c r="K19" s="890"/>
      <c r="L19" s="1033"/>
    </row>
    <row r="20" spans="1:22" ht="99">
      <c r="A20" s="957" t="s">
        <v>284</v>
      </c>
      <c r="B20" s="461" t="s">
        <v>755</v>
      </c>
      <c r="C20" s="884" t="s">
        <v>685</v>
      </c>
      <c r="D20" s="871">
        <f>D21+D22</f>
        <v>1350</v>
      </c>
      <c r="E20" s="871">
        <f>E21+E22</f>
        <v>3800</v>
      </c>
      <c r="F20" s="871"/>
      <c r="G20" s="871"/>
      <c r="H20" s="871">
        <v>10500</v>
      </c>
      <c r="I20" s="871">
        <f>SUM(I21:I22)</f>
        <v>12000</v>
      </c>
      <c r="J20" s="871">
        <f>SUM(J21:J22)</f>
        <v>5530</v>
      </c>
      <c r="K20" s="871">
        <f>SUM(H20:J20)</f>
        <v>28030</v>
      </c>
      <c r="L20" s="885" t="s">
        <v>78</v>
      </c>
    </row>
    <row r="21" spans="1:22" ht="49.5">
      <c r="A21" s="957" t="s">
        <v>756</v>
      </c>
      <c r="B21" s="461" t="s">
        <v>757</v>
      </c>
      <c r="C21" s="884" t="s">
        <v>685</v>
      </c>
      <c r="D21" s="891"/>
      <c r="E21" s="871">
        <v>250</v>
      </c>
      <c r="F21" s="892"/>
      <c r="G21" s="892"/>
      <c r="H21" s="892"/>
      <c r="I21" s="892"/>
      <c r="J21" s="892"/>
      <c r="K21" s="892"/>
      <c r="L21" s="885"/>
    </row>
    <row r="22" spans="1:22" ht="66">
      <c r="A22" s="957" t="s">
        <v>756</v>
      </c>
      <c r="B22" s="461" t="s">
        <v>758</v>
      </c>
      <c r="C22" s="884" t="s">
        <v>685</v>
      </c>
      <c r="D22" s="871">
        <v>1350</v>
      </c>
      <c r="E22" s="871">
        <v>3550</v>
      </c>
      <c r="F22" s="871"/>
      <c r="G22" s="871"/>
      <c r="H22" s="871">
        <v>10500</v>
      </c>
      <c r="I22" s="871">
        <v>12000</v>
      </c>
      <c r="J22" s="871">
        <v>5530</v>
      </c>
      <c r="K22" s="871">
        <f>SUM(H22:J22)</f>
        <v>28030</v>
      </c>
      <c r="L22" s="885" t="s">
        <v>78</v>
      </c>
    </row>
    <row r="23" spans="1:22" ht="66">
      <c r="A23" s="957" t="s">
        <v>284</v>
      </c>
      <c r="B23" s="461" t="s">
        <v>759</v>
      </c>
      <c r="C23" s="884" t="s">
        <v>342</v>
      </c>
      <c r="D23" s="886"/>
      <c r="E23" s="886"/>
      <c r="F23" s="887"/>
      <c r="G23" s="887"/>
      <c r="H23" s="887"/>
      <c r="I23" s="887"/>
      <c r="J23" s="887"/>
      <c r="K23" s="887"/>
      <c r="L23" s="885"/>
    </row>
    <row r="24" spans="1:22" ht="16.5">
      <c r="A24" s="511"/>
      <c r="B24" s="512"/>
      <c r="C24" s="513"/>
      <c r="D24" s="511"/>
      <c r="E24" s="511"/>
      <c r="F24" s="514"/>
      <c r="G24" s="514"/>
      <c r="H24" s="514"/>
      <c r="I24" s="514"/>
      <c r="J24" s="514"/>
      <c r="K24" s="514"/>
      <c r="L24" s="514"/>
    </row>
    <row r="25" spans="1:22" ht="16.5">
      <c r="A25" s="511"/>
      <c r="B25" s="512"/>
      <c r="C25" s="513"/>
      <c r="D25" s="511"/>
      <c r="E25" s="511"/>
      <c r="F25" s="514"/>
      <c r="G25" s="514"/>
      <c r="H25" s="514"/>
      <c r="I25" s="514"/>
      <c r="J25" s="514"/>
      <c r="K25" s="514"/>
      <c r="L25" s="514"/>
    </row>
    <row r="26" spans="1:22" ht="16.5">
      <c r="A26" s="511"/>
      <c r="B26" s="512"/>
      <c r="C26" s="513"/>
      <c r="D26" s="511"/>
      <c r="E26" s="511"/>
      <c r="F26" s="514"/>
      <c r="G26" s="514"/>
      <c r="H26" s="514"/>
      <c r="I26" s="514"/>
      <c r="J26" s="514"/>
      <c r="K26" s="514"/>
      <c r="L26" s="514"/>
    </row>
    <row r="27" spans="1:22" ht="16.5">
      <c r="A27" s="511"/>
      <c r="B27" s="512"/>
      <c r="C27" s="513"/>
      <c r="D27" s="511"/>
      <c r="E27" s="511"/>
      <c r="F27" s="514"/>
      <c r="G27" s="514"/>
      <c r="H27" s="514"/>
      <c r="I27" s="514"/>
      <c r="J27" s="514"/>
      <c r="K27" s="514"/>
      <c r="L27" s="514"/>
    </row>
    <row r="28" spans="1:22" ht="16.5">
      <c r="A28" s="511"/>
      <c r="B28" s="515"/>
      <c r="C28" s="513"/>
      <c r="D28" s="511"/>
      <c r="E28" s="511"/>
      <c r="F28" s="516"/>
      <c r="G28" s="514"/>
      <c r="H28" s="514"/>
      <c r="I28" s="514"/>
      <c r="J28" s="514"/>
      <c r="K28" s="514"/>
      <c r="L28" s="514"/>
      <c r="M28" s="379"/>
      <c r="N28" s="378"/>
      <c r="P28" s="379"/>
      <c r="Q28" s="378"/>
      <c r="S28" s="379"/>
      <c r="T28" s="378"/>
      <c r="V28" s="379"/>
    </row>
    <row r="29" spans="1:22" ht="16.5">
      <c r="A29" s="511"/>
      <c r="B29" s="512"/>
      <c r="C29" s="513"/>
      <c r="D29" s="511"/>
      <c r="E29" s="511"/>
      <c r="F29" s="514"/>
      <c r="G29" s="514"/>
      <c r="H29" s="514"/>
      <c r="I29" s="514"/>
      <c r="J29" s="514"/>
      <c r="K29" s="514"/>
      <c r="L29" s="514"/>
    </row>
    <row r="30" spans="1:22" ht="16.5">
      <c r="A30" s="511"/>
      <c r="B30" s="512"/>
      <c r="C30" s="513"/>
      <c r="D30" s="511"/>
      <c r="E30" s="511"/>
      <c r="F30" s="514"/>
      <c r="G30" s="514"/>
      <c r="H30" s="514"/>
      <c r="I30" s="514"/>
      <c r="J30" s="514"/>
      <c r="K30" s="514"/>
      <c r="L30" s="514"/>
    </row>
    <row r="31" spans="1:22" ht="16.5">
      <c r="A31" s="511"/>
      <c r="B31" s="512"/>
      <c r="C31" s="513"/>
      <c r="D31" s="511"/>
      <c r="E31" s="511"/>
      <c r="F31" s="514"/>
      <c r="G31" s="514"/>
      <c r="H31" s="514"/>
      <c r="I31" s="514"/>
      <c r="J31" s="514"/>
      <c r="K31" s="514"/>
      <c r="L31" s="514"/>
    </row>
    <row r="32" spans="1:22" ht="16.5">
      <c r="A32" s="511"/>
      <c r="B32" s="512"/>
      <c r="C32" s="513"/>
      <c r="D32" s="511"/>
      <c r="E32" s="511"/>
      <c r="F32" s="514"/>
      <c r="G32" s="514"/>
      <c r="H32" s="514"/>
      <c r="I32" s="514"/>
      <c r="J32" s="514"/>
      <c r="K32" s="514"/>
      <c r="L32" s="514"/>
    </row>
    <row r="33" spans="1:12" ht="16.5">
      <c r="A33" s="511"/>
      <c r="B33" s="512"/>
      <c r="C33" s="513"/>
      <c r="D33" s="511"/>
      <c r="E33" s="511"/>
      <c r="F33" s="514"/>
      <c r="G33" s="514"/>
      <c r="H33" s="514"/>
      <c r="I33" s="514"/>
      <c r="J33" s="514"/>
      <c r="K33" s="514"/>
      <c r="L33" s="514"/>
    </row>
    <row r="34" spans="1:12" ht="16.5">
      <c r="A34" s="511"/>
      <c r="B34" s="512"/>
      <c r="C34" s="513"/>
      <c r="D34" s="511"/>
      <c r="E34" s="511"/>
      <c r="F34" s="514"/>
      <c r="G34" s="514"/>
      <c r="H34" s="514"/>
      <c r="I34" s="514"/>
      <c r="J34" s="514"/>
      <c r="K34" s="514"/>
      <c r="L34" s="514"/>
    </row>
    <row r="35" spans="1:12" ht="16.5">
      <c r="A35" s="511"/>
      <c r="B35" s="512"/>
      <c r="C35" s="513"/>
      <c r="D35" s="511"/>
      <c r="E35" s="511"/>
      <c r="F35" s="514"/>
      <c r="G35" s="514"/>
      <c r="H35" s="514"/>
      <c r="I35" s="514"/>
      <c r="J35" s="514"/>
      <c r="K35" s="514"/>
      <c r="L35" s="514"/>
    </row>
    <row r="36" spans="1:12" ht="16.5">
      <c r="A36" s="511"/>
      <c r="B36" s="512"/>
      <c r="C36" s="513"/>
      <c r="D36" s="511"/>
      <c r="E36" s="511"/>
      <c r="F36" s="514"/>
      <c r="G36" s="514"/>
      <c r="H36" s="514"/>
      <c r="I36" s="514"/>
      <c r="J36" s="514"/>
      <c r="K36" s="514"/>
      <c r="L36" s="514"/>
    </row>
    <row r="37" spans="1:12" ht="16.5">
      <c r="A37" s="511"/>
      <c r="B37" s="512"/>
      <c r="C37" s="513"/>
      <c r="D37" s="511"/>
      <c r="E37" s="511"/>
      <c r="F37" s="514"/>
      <c r="G37" s="514"/>
      <c r="H37" s="514"/>
      <c r="I37" s="514"/>
      <c r="J37" s="514"/>
      <c r="K37" s="514"/>
      <c r="L37" s="514"/>
    </row>
    <row r="38" spans="1:12" ht="16.5">
      <c r="A38" s="511"/>
      <c r="B38" s="512"/>
      <c r="C38" s="513"/>
      <c r="D38" s="511"/>
      <c r="E38" s="511"/>
      <c r="F38" s="514"/>
      <c r="G38" s="514"/>
      <c r="H38" s="514"/>
      <c r="I38" s="514"/>
      <c r="J38" s="514"/>
      <c r="K38" s="514"/>
      <c r="L38" s="514"/>
    </row>
    <row r="39" spans="1:12" ht="16.5">
      <c r="A39" s="511"/>
      <c r="B39" s="512"/>
      <c r="C39" s="513"/>
      <c r="D39" s="511"/>
      <c r="E39" s="511"/>
      <c r="F39" s="514"/>
      <c r="G39" s="514"/>
      <c r="H39" s="514"/>
      <c r="I39" s="514"/>
      <c r="J39" s="514"/>
      <c r="K39" s="514"/>
      <c r="L39" s="514"/>
    </row>
    <row r="40" spans="1:12" ht="16.5">
      <c r="A40" s="511"/>
      <c r="B40" s="512"/>
      <c r="C40" s="513"/>
      <c r="D40" s="511"/>
      <c r="E40" s="511"/>
      <c r="F40" s="514"/>
      <c r="G40" s="514"/>
      <c r="H40" s="514"/>
      <c r="I40" s="514"/>
      <c r="J40" s="514"/>
      <c r="K40" s="514"/>
      <c r="L40" s="514"/>
    </row>
    <row r="41" spans="1:12" ht="16.5">
      <c r="A41" s="511"/>
      <c r="B41" s="512"/>
      <c r="C41" s="513"/>
      <c r="D41" s="511"/>
      <c r="E41" s="511"/>
      <c r="F41" s="514"/>
      <c r="G41" s="514"/>
      <c r="H41" s="514"/>
      <c r="I41" s="514"/>
      <c r="J41" s="514"/>
      <c r="K41" s="514"/>
      <c r="L41" s="514"/>
    </row>
    <row r="42" spans="1:12" ht="16.5">
      <c r="A42" s="511"/>
      <c r="B42" s="512"/>
      <c r="C42" s="513"/>
      <c r="D42" s="511"/>
      <c r="E42" s="511"/>
      <c r="F42" s="514"/>
      <c r="G42" s="514"/>
      <c r="H42" s="514"/>
      <c r="I42" s="514"/>
      <c r="J42" s="514"/>
      <c r="K42" s="514"/>
      <c r="L42" s="514"/>
    </row>
    <row r="43" spans="1:12" ht="16.5">
      <c r="A43" s="511"/>
      <c r="B43" s="512"/>
      <c r="C43" s="513"/>
      <c r="D43" s="511"/>
      <c r="E43" s="511"/>
      <c r="F43" s="514"/>
      <c r="G43" s="514"/>
      <c r="H43" s="514"/>
      <c r="I43" s="514"/>
      <c r="J43" s="514"/>
      <c r="K43" s="514"/>
      <c r="L43" s="514"/>
    </row>
    <row r="44" spans="1:12" ht="16.5">
      <c r="A44" s="511"/>
      <c r="B44" s="512"/>
      <c r="C44" s="513"/>
      <c r="D44" s="511"/>
      <c r="E44" s="511"/>
      <c r="F44" s="514"/>
      <c r="G44" s="514"/>
      <c r="H44" s="514"/>
      <c r="I44" s="514"/>
      <c r="J44" s="514"/>
      <c r="K44" s="514"/>
      <c r="L44" s="514"/>
    </row>
    <row r="45" spans="1:12" ht="16.5">
      <c r="A45" s="511"/>
      <c r="B45" s="512"/>
      <c r="C45" s="513"/>
      <c r="D45" s="511"/>
      <c r="E45" s="511"/>
      <c r="F45" s="514"/>
      <c r="G45" s="514"/>
      <c r="H45" s="514"/>
      <c r="I45" s="514"/>
      <c r="J45" s="514"/>
      <c r="K45" s="514"/>
      <c r="L45" s="514"/>
    </row>
    <row r="46" spans="1:12" ht="16.5">
      <c r="A46" s="511"/>
      <c r="B46" s="512"/>
      <c r="C46" s="513"/>
      <c r="D46" s="511"/>
      <c r="E46" s="511"/>
      <c r="F46" s="514"/>
      <c r="G46" s="514"/>
      <c r="H46" s="514"/>
      <c r="I46" s="514"/>
      <c r="J46" s="514"/>
      <c r="K46" s="514"/>
      <c r="L46" s="514"/>
    </row>
    <row r="47" spans="1:12" ht="16.5">
      <c r="A47" s="511"/>
      <c r="B47" s="512"/>
      <c r="C47" s="513"/>
      <c r="D47" s="511"/>
      <c r="E47" s="511"/>
      <c r="F47" s="514"/>
      <c r="G47" s="514"/>
      <c r="H47" s="514"/>
      <c r="I47" s="514"/>
      <c r="J47" s="514"/>
      <c r="K47" s="514"/>
      <c r="L47" s="514"/>
    </row>
    <row r="48" spans="1:12" ht="16.5">
      <c r="A48" s="511"/>
      <c r="B48" s="512"/>
      <c r="C48" s="513"/>
      <c r="D48" s="511"/>
      <c r="E48" s="511"/>
      <c r="F48" s="514"/>
      <c r="G48" s="514"/>
      <c r="H48" s="514"/>
      <c r="I48" s="514"/>
      <c r="J48" s="514"/>
      <c r="K48" s="514"/>
      <c r="L48" s="514"/>
    </row>
    <row r="49" spans="1:12" ht="16.5">
      <c r="A49" s="511"/>
      <c r="B49" s="512"/>
      <c r="C49" s="513"/>
      <c r="D49" s="511"/>
      <c r="E49" s="511"/>
      <c r="F49" s="514"/>
      <c r="G49" s="514"/>
      <c r="H49" s="514"/>
      <c r="I49" s="514"/>
      <c r="J49" s="514"/>
      <c r="K49" s="514"/>
      <c r="L49" s="514"/>
    </row>
    <row r="50" spans="1:12" ht="16.5">
      <c r="A50" s="511"/>
      <c r="B50" s="512"/>
      <c r="C50" s="513"/>
      <c r="D50" s="511"/>
      <c r="E50" s="511"/>
      <c r="F50" s="514"/>
      <c r="G50" s="514"/>
      <c r="H50" s="514"/>
      <c r="I50" s="514"/>
      <c r="J50" s="514"/>
      <c r="K50" s="514"/>
      <c r="L50" s="514"/>
    </row>
    <row r="51" spans="1:12" ht="16.5">
      <c r="A51" s="511"/>
      <c r="B51" s="512"/>
      <c r="C51" s="513"/>
      <c r="D51" s="511"/>
      <c r="E51" s="511"/>
      <c r="F51" s="514"/>
      <c r="G51" s="514"/>
      <c r="H51" s="514"/>
      <c r="I51" s="514"/>
      <c r="J51" s="514"/>
      <c r="K51" s="514"/>
      <c r="L51" s="514"/>
    </row>
    <row r="52" spans="1:12" ht="16.5">
      <c r="A52" s="511"/>
      <c r="B52" s="512"/>
      <c r="C52" s="513"/>
      <c r="D52" s="511"/>
      <c r="E52" s="511"/>
      <c r="F52" s="514"/>
      <c r="G52" s="514"/>
      <c r="H52" s="514"/>
      <c r="I52" s="514"/>
      <c r="J52" s="514"/>
      <c r="K52" s="514"/>
      <c r="L52" s="514"/>
    </row>
    <row r="53" spans="1:12" ht="16.5">
      <c r="A53" s="511"/>
      <c r="B53" s="512"/>
      <c r="C53" s="513"/>
      <c r="D53" s="511"/>
      <c r="E53" s="511"/>
      <c r="F53" s="514"/>
      <c r="G53" s="514"/>
      <c r="H53" s="514"/>
      <c r="I53" s="514"/>
      <c r="J53" s="514"/>
      <c r="K53" s="514"/>
      <c r="L53" s="514"/>
    </row>
    <row r="54" spans="1:12" ht="16.5">
      <c r="A54" s="511"/>
      <c r="B54" s="512"/>
      <c r="C54" s="513"/>
      <c r="D54" s="511"/>
      <c r="E54" s="511"/>
      <c r="F54" s="514"/>
      <c r="G54" s="514"/>
      <c r="H54" s="514"/>
      <c r="I54" s="514"/>
      <c r="J54" s="514"/>
      <c r="K54" s="514"/>
      <c r="L54" s="514"/>
    </row>
    <row r="55" spans="1:12" ht="16.5">
      <c r="A55" s="511"/>
      <c r="B55" s="512"/>
      <c r="C55" s="513"/>
      <c r="D55" s="511"/>
      <c r="E55" s="511"/>
      <c r="F55" s="514"/>
      <c r="G55" s="514"/>
      <c r="H55" s="514"/>
      <c r="I55" s="514"/>
      <c r="J55" s="514"/>
      <c r="K55" s="514"/>
      <c r="L55" s="514"/>
    </row>
    <row r="56" spans="1:12" ht="16.5">
      <c r="A56" s="511"/>
      <c r="B56" s="512"/>
      <c r="C56" s="513"/>
      <c r="D56" s="511"/>
      <c r="E56" s="511"/>
      <c r="F56" s="514"/>
      <c r="G56" s="514"/>
      <c r="H56" s="514"/>
      <c r="I56" s="514"/>
      <c r="J56" s="514"/>
      <c r="K56" s="514"/>
      <c r="L56" s="514"/>
    </row>
    <row r="57" spans="1:12" ht="16.5">
      <c r="A57" s="511"/>
      <c r="B57" s="512"/>
      <c r="C57" s="513"/>
      <c r="D57" s="511"/>
      <c r="E57" s="511"/>
      <c r="F57" s="514"/>
      <c r="G57" s="514"/>
      <c r="H57" s="514"/>
      <c r="I57" s="514"/>
      <c r="J57" s="514"/>
      <c r="K57" s="514"/>
      <c r="L57" s="514"/>
    </row>
    <row r="58" spans="1:12" ht="16.5">
      <c r="A58" s="511"/>
      <c r="B58" s="512"/>
      <c r="C58" s="513"/>
      <c r="D58" s="511"/>
      <c r="E58" s="511"/>
      <c r="F58" s="514"/>
      <c r="G58" s="514"/>
      <c r="H58" s="514"/>
      <c r="I58" s="514"/>
      <c r="J58" s="514"/>
      <c r="K58" s="514"/>
      <c r="L58" s="514"/>
    </row>
    <row r="59" spans="1:12" ht="16.5">
      <c r="A59" s="511"/>
      <c r="B59" s="512"/>
      <c r="C59" s="513"/>
      <c r="D59" s="511"/>
      <c r="E59" s="511"/>
      <c r="F59" s="514"/>
      <c r="G59" s="514"/>
      <c r="H59" s="514"/>
      <c r="I59" s="514"/>
      <c r="J59" s="514"/>
      <c r="K59" s="514"/>
      <c r="L59" s="514"/>
    </row>
    <row r="60" spans="1:12" ht="16.5">
      <c r="A60" s="511"/>
      <c r="B60" s="512"/>
      <c r="C60" s="513"/>
      <c r="D60" s="511"/>
      <c r="E60" s="511"/>
      <c r="F60" s="514"/>
      <c r="G60" s="514"/>
      <c r="H60" s="514"/>
      <c r="I60" s="514"/>
      <c r="J60" s="514"/>
      <c r="K60" s="514"/>
      <c r="L60" s="514"/>
    </row>
    <row r="61" spans="1:12" ht="16.5">
      <c r="A61" s="511"/>
      <c r="B61" s="512"/>
      <c r="C61" s="513"/>
      <c r="D61" s="511"/>
      <c r="E61" s="511"/>
      <c r="F61" s="514"/>
      <c r="G61" s="514"/>
      <c r="H61" s="514"/>
      <c r="I61" s="514"/>
      <c r="J61" s="514"/>
      <c r="K61" s="514"/>
      <c r="L61" s="514"/>
    </row>
    <row r="62" spans="1:12" ht="16.5">
      <c r="A62" s="511"/>
      <c r="B62" s="512"/>
      <c r="C62" s="513"/>
      <c r="D62" s="511"/>
      <c r="E62" s="511"/>
      <c r="F62" s="514"/>
      <c r="G62" s="514"/>
      <c r="H62" s="514"/>
      <c r="I62" s="514"/>
      <c r="J62" s="514"/>
      <c r="K62" s="514"/>
      <c r="L62" s="514"/>
    </row>
    <row r="63" spans="1:12" ht="16.5">
      <c r="A63" s="511"/>
      <c r="B63" s="512"/>
      <c r="C63" s="513"/>
      <c r="D63" s="511"/>
      <c r="E63" s="511"/>
      <c r="F63" s="514"/>
      <c r="G63" s="514"/>
      <c r="H63" s="514"/>
      <c r="I63" s="514"/>
      <c r="J63" s="514"/>
      <c r="K63" s="514"/>
      <c r="L63" s="514"/>
    </row>
    <row r="64" spans="1:12" ht="16.5">
      <c r="A64" s="511"/>
      <c r="B64" s="512"/>
      <c r="C64" s="513"/>
      <c r="D64" s="511"/>
      <c r="E64" s="511"/>
      <c r="F64" s="514"/>
      <c r="G64" s="514"/>
      <c r="H64" s="514"/>
      <c r="I64" s="514"/>
      <c r="J64" s="514"/>
      <c r="K64" s="514"/>
      <c r="L64" s="514"/>
    </row>
    <row r="65" spans="1:12" ht="16.5">
      <c r="A65" s="511"/>
      <c r="B65" s="512"/>
      <c r="C65" s="513"/>
      <c r="D65" s="511"/>
      <c r="E65" s="511"/>
      <c r="F65" s="514"/>
      <c r="G65" s="514"/>
      <c r="H65" s="514"/>
      <c r="I65" s="514"/>
      <c r="J65" s="514"/>
      <c r="K65" s="514"/>
      <c r="L65" s="514"/>
    </row>
    <row r="66" spans="1:12" ht="16.5">
      <c r="A66" s="511"/>
      <c r="B66" s="512"/>
      <c r="C66" s="513"/>
      <c r="D66" s="511"/>
      <c r="E66" s="511"/>
      <c r="F66" s="514"/>
      <c r="G66" s="514"/>
      <c r="H66" s="514"/>
      <c r="I66" s="514"/>
      <c r="J66" s="514"/>
      <c r="K66" s="514"/>
      <c r="L66" s="514"/>
    </row>
    <row r="67" spans="1:12" ht="16.5">
      <c r="A67" s="511"/>
      <c r="B67" s="512"/>
      <c r="C67" s="513"/>
      <c r="D67" s="511"/>
      <c r="E67" s="511"/>
      <c r="F67" s="514"/>
      <c r="G67" s="514"/>
      <c r="H67" s="514"/>
      <c r="I67" s="514"/>
      <c r="J67" s="514"/>
      <c r="K67" s="514"/>
      <c r="L67" s="514"/>
    </row>
    <row r="68" spans="1:12" ht="16.5">
      <c r="A68" s="511"/>
      <c r="B68" s="512"/>
      <c r="C68" s="513"/>
      <c r="D68" s="511"/>
      <c r="E68" s="511"/>
      <c r="F68" s="514"/>
      <c r="G68" s="514"/>
      <c r="H68" s="514"/>
      <c r="I68" s="514"/>
      <c r="J68" s="514"/>
      <c r="K68" s="514"/>
      <c r="L68" s="514"/>
    </row>
    <row r="69" spans="1:12" ht="16.5">
      <c r="A69" s="511"/>
      <c r="B69" s="512"/>
      <c r="C69" s="513"/>
      <c r="D69" s="511"/>
      <c r="E69" s="511"/>
      <c r="F69" s="514"/>
      <c r="G69" s="514"/>
      <c r="H69" s="514"/>
      <c r="I69" s="514"/>
      <c r="J69" s="514"/>
      <c r="K69" s="514"/>
      <c r="L69" s="514"/>
    </row>
    <row r="70" spans="1:12" ht="16.5">
      <c r="A70" s="511"/>
      <c r="B70" s="512"/>
      <c r="C70" s="513"/>
      <c r="D70" s="511"/>
      <c r="E70" s="511"/>
      <c r="F70" s="514"/>
      <c r="G70" s="514"/>
      <c r="H70" s="514"/>
      <c r="I70" s="514"/>
      <c r="J70" s="514"/>
      <c r="K70" s="514"/>
      <c r="L70" s="514"/>
    </row>
    <row r="71" spans="1:12" ht="16.5">
      <c r="A71" s="511"/>
      <c r="B71" s="512"/>
      <c r="C71" s="513"/>
      <c r="D71" s="511"/>
      <c r="E71" s="511"/>
      <c r="F71" s="514"/>
      <c r="G71" s="514"/>
      <c r="H71" s="514"/>
      <c r="I71" s="514"/>
      <c r="J71" s="514"/>
      <c r="K71" s="514"/>
      <c r="L71" s="514"/>
    </row>
    <row r="72" spans="1:12" ht="16.5">
      <c r="A72" s="511"/>
      <c r="B72" s="512"/>
      <c r="C72" s="513"/>
      <c r="D72" s="511"/>
      <c r="E72" s="511"/>
      <c r="F72" s="514"/>
      <c r="G72" s="514"/>
      <c r="H72" s="514"/>
      <c r="I72" s="514"/>
      <c r="J72" s="514"/>
      <c r="K72" s="514"/>
      <c r="L72" s="514"/>
    </row>
    <row r="73" spans="1:12" ht="16.5">
      <c r="A73" s="511"/>
      <c r="B73" s="512"/>
      <c r="C73" s="513"/>
      <c r="D73" s="511"/>
      <c r="E73" s="511"/>
      <c r="F73" s="514"/>
      <c r="G73" s="514"/>
      <c r="H73" s="514"/>
      <c r="I73" s="514"/>
      <c r="J73" s="514"/>
      <c r="K73" s="514"/>
      <c r="L73" s="514"/>
    </row>
    <row r="74" spans="1:12" ht="16.5">
      <c r="A74" s="511"/>
      <c r="B74" s="512"/>
      <c r="C74" s="513"/>
      <c r="D74" s="511"/>
      <c r="E74" s="511"/>
      <c r="F74" s="514"/>
      <c r="G74" s="514"/>
      <c r="H74" s="514"/>
      <c r="I74" s="514"/>
      <c r="J74" s="514"/>
      <c r="K74" s="514"/>
      <c r="L74" s="514"/>
    </row>
    <row r="75" spans="1:12" ht="16.5">
      <c r="A75" s="511"/>
      <c r="B75" s="512"/>
      <c r="C75" s="513"/>
      <c r="D75" s="511"/>
      <c r="E75" s="511"/>
      <c r="F75" s="514"/>
      <c r="G75" s="514"/>
      <c r="H75" s="514"/>
      <c r="I75" s="514"/>
      <c r="J75" s="514"/>
      <c r="K75" s="514"/>
      <c r="L75" s="514"/>
    </row>
    <row r="76" spans="1:12" ht="16.5">
      <c r="A76" s="511"/>
      <c r="B76" s="512"/>
      <c r="C76" s="513"/>
      <c r="D76" s="511"/>
      <c r="E76" s="511"/>
      <c r="F76" s="514"/>
      <c r="G76" s="514"/>
      <c r="H76" s="514"/>
      <c r="I76" s="514"/>
      <c r="J76" s="514"/>
      <c r="K76" s="514"/>
      <c r="L76" s="514"/>
    </row>
    <row r="77" spans="1:12" ht="16.5">
      <c r="A77" s="511"/>
      <c r="B77" s="512"/>
      <c r="C77" s="513"/>
      <c r="D77" s="511"/>
      <c r="E77" s="511"/>
      <c r="F77" s="514"/>
      <c r="G77" s="514"/>
      <c r="H77" s="514"/>
      <c r="I77" s="514"/>
      <c r="J77" s="514"/>
      <c r="K77" s="514"/>
      <c r="L77" s="514"/>
    </row>
    <row r="78" spans="1:12" ht="16.5">
      <c r="A78" s="511"/>
      <c r="B78" s="512"/>
      <c r="C78" s="513"/>
      <c r="D78" s="511"/>
      <c r="E78" s="511"/>
      <c r="F78" s="514"/>
      <c r="G78" s="514"/>
      <c r="H78" s="514"/>
      <c r="I78" s="514"/>
      <c r="J78" s="514"/>
      <c r="K78" s="514"/>
      <c r="L78" s="514"/>
    </row>
    <row r="79" spans="1:12" ht="16.5">
      <c r="A79" s="511"/>
      <c r="B79" s="512"/>
      <c r="C79" s="513"/>
      <c r="D79" s="511"/>
      <c r="E79" s="511"/>
      <c r="F79" s="514"/>
      <c r="G79" s="514"/>
      <c r="H79" s="514"/>
      <c r="I79" s="514"/>
      <c r="J79" s="514"/>
      <c r="K79" s="514"/>
      <c r="L79" s="514"/>
    </row>
    <row r="80" spans="1:12" ht="16.5">
      <c r="A80" s="511"/>
      <c r="B80" s="512"/>
      <c r="C80" s="513"/>
      <c r="D80" s="511"/>
      <c r="E80" s="511"/>
      <c r="F80" s="514"/>
      <c r="G80" s="514"/>
      <c r="H80" s="514"/>
      <c r="I80" s="514"/>
      <c r="J80" s="514"/>
      <c r="K80" s="514"/>
      <c r="L80" s="514"/>
    </row>
    <row r="81" spans="1:12" ht="16.5">
      <c r="A81" s="511"/>
      <c r="B81" s="512"/>
      <c r="C81" s="513"/>
      <c r="D81" s="511"/>
      <c r="E81" s="511"/>
      <c r="F81" s="514"/>
      <c r="G81" s="514"/>
      <c r="H81" s="514"/>
      <c r="I81" s="514"/>
      <c r="J81" s="514"/>
      <c r="K81" s="514"/>
      <c r="L81" s="514"/>
    </row>
    <row r="82" spans="1:12" ht="16.5">
      <c r="A82" s="511"/>
      <c r="B82" s="512"/>
      <c r="C82" s="513"/>
      <c r="D82" s="511"/>
      <c r="E82" s="511"/>
      <c r="F82" s="514"/>
      <c r="G82" s="514"/>
      <c r="H82" s="514"/>
      <c r="I82" s="514"/>
      <c r="J82" s="514"/>
      <c r="K82" s="514"/>
      <c r="L82" s="514"/>
    </row>
    <row r="83" spans="1:12" ht="16.5">
      <c r="A83" s="511"/>
      <c r="B83" s="512"/>
      <c r="C83" s="513"/>
      <c r="D83" s="511"/>
      <c r="E83" s="511"/>
      <c r="F83" s="514"/>
      <c r="G83" s="514"/>
      <c r="H83" s="514"/>
      <c r="I83" s="514"/>
      <c r="J83" s="514"/>
      <c r="K83" s="514"/>
      <c r="L83" s="514"/>
    </row>
    <row r="84" spans="1:12" ht="16.5">
      <c r="A84" s="511"/>
      <c r="B84" s="512"/>
      <c r="C84" s="513"/>
      <c r="D84" s="511"/>
      <c r="E84" s="511"/>
      <c r="F84" s="514"/>
      <c r="G84" s="514"/>
      <c r="H84" s="514"/>
      <c r="I84" s="514"/>
      <c r="J84" s="514"/>
      <c r="K84" s="514"/>
      <c r="L84" s="514"/>
    </row>
    <row r="85" spans="1:12" ht="16.5">
      <c r="A85" s="511"/>
      <c r="B85" s="512"/>
      <c r="C85" s="513"/>
      <c r="D85" s="511"/>
      <c r="E85" s="511"/>
      <c r="F85" s="514"/>
      <c r="G85" s="514"/>
      <c r="H85" s="514"/>
      <c r="I85" s="514"/>
      <c r="J85" s="514"/>
      <c r="K85" s="514"/>
      <c r="L85" s="514"/>
    </row>
    <row r="86" spans="1:12" ht="16.5">
      <c r="A86" s="511"/>
      <c r="B86" s="512"/>
      <c r="C86" s="513"/>
      <c r="D86" s="511"/>
      <c r="E86" s="511"/>
      <c r="F86" s="514"/>
      <c r="G86" s="514"/>
      <c r="H86" s="514"/>
      <c r="I86" s="514"/>
      <c r="J86" s="514"/>
      <c r="K86" s="514"/>
      <c r="L86" s="514"/>
    </row>
    <row r="87" spans="1:12" ht="16.5">
      <c r="A87" s="511"/>
      <c r="B87" s="512"/>
      <c r="C87" s="513"/>
      <c r="D87" s="511"/>
      <c r="E87" s="511"/>
      <c r="F87" s="514"/>
      <c r="G87" s="514"/>
      <c r="H87" s="514"/>
      <c r="I87" s="514"/>
      <c r="J87" s="514"/>
      <c r="K87" s="514"/>
      <c r="L87" s="514"/>
    </row>
    <row r="88" spans="1:12" ht="16.5">
      <c r="A88" s="511"/>
      <c r="B88" s="512"/>
      <c r="C88" s="513"/>
      <c r="D88" s="511"/>
      <c r="E88" s="511"/>
      <c r="F88" s="514"/>
      <c r="G88" s="514"/>
      <c r="H88" s="514"/>
      <c r="I88" s="514"/>
      <c r="J88" s="514"/>
      <c r="K88" s="514"/>
      <c r="L88" s="514"/>
    </row>
    <row r="89" spans="1:12" ht="16.5">
      <c r="A89" s="511"/>
      <c r="B89" s="512"/>
      <c r="C89" s="513"/>
      <c r="D89" s="511"/>
      <c r="E89" s="511"/>
      <c r="F89" s="514"/>
      <c r="G89" s="514"/>
      <c r="H89" s="514"/>
      <c r="I89" s="514"/>
      <c r="J89" s="514"/>
      <c r="K89" s="514"/>
      <c r="L89" s="514"/>
    </row>
    <row r="90" spans="1:12" ht="16.5">
      <c r="A90" s="511"/>
      <c r="B90" s="512"/>
      <c r="C90" s="513"/>
      <c r="D90" s="511"/>
      <c r="E90" s="511"/>
      <c r="F90" s="514"/>
      <c r="G90" s="514"/>
      <c r="H90" s="514"/>
      <c r="I90" s="514"/>
      <c r="J90" s="514"/>
      <c r="K90" s="514"/>
      <c r="L90" s="514"/>
    </row>
    <row r="91" spans="1:12" ht="16.5">
      <c r="A91" s="511"/>
      <c r="B91" s="512"/>
      <c r="C91" s="513"/>
      <c r="D91" s="511"/>
      <c r="E91" s="511"/>
      <c r="F91" s="514"/>
      <c r="G91" s="514"/>
      <c r="H91" s="514"/>
      <c r="I91" s="514"/>
      <c r="J91" s="514"/>
      <c r="K91" s="514"/>
      <c r="L91" s="514"/>
    </row>
    <row r="92" spans="1:12" ht="16.5">
      <c r="A92" s="511"/>
      <c r="B92" s="512"/>
      <c r="C92" s="513"/>
      <c r="D92" s="511"/>
      <c r="E92" s="511"/>
      <c r="F92" s="514"/>
      <c r="G92" s="514"/>
      <c r="H92" s="514"/>
      <c r="I92" s="514"/>
      <c r="J92" s="514"/>
      <c r="K92" s="514"/>
      <c r="L92" s="514"/>
    </row>
    <row r="93" spans="1:12" ht="16.5">
      <c r="A93" s="511"/>
      <c r="B93" s="512"/>
      <c r="C93" s="513"/>
      <c r="D93" s="511"/>
      <c r="E93" s="511"/>
      <c r="F93" s="514"/>
      <c r="G93" s="514"/>
      <c r="H93" s="514"/>
      <c r="I93" s="514"/>
      <c r="J93" s="514"/>
      <c r="K93" s="514"/>
      <c r="L93" s="514"/>
    </row>
    <row r="94" spans="1:12" ht="16.5">
      <c r="A94" s="511"/>
      <c r="B94" s="512"/>
      <c r="C94" s="513"/>
      <c r="D94" s="511"/>
      <c r="E94" s="511"/>
      <c r="F94" s="514"/>
      <c r="G94" s="514"/>
      <c r="H94" s="514"/>
      <c r="I94" s="514"/>
      <c r="J94" s="514"/>
      <c r="K94" s="514"/>
      <c r="L94" s="514"/>
    </row>
    <row r="95" spans="1:12" ht="16.5">
      <c r="A95" s="511"/>
      <c r="B95" s="512"/>
      <c r="C95" s="513"/>
      <c r="D95" s="511"/>
      <c r="E95" s="511"/>
      <c r="F95" s="514"/>
      <c r="G95" s="514"/>
      <c r="H95" s="514"/>
      <c r="I95" s="514"/>
      <c r="J95" s="514"/>
      <c r="K95" s="514"/>
      <c r="L95" s="514"/>
    </row>
    <row r="96" spans="1:12" ht="16.5">
      <c r="A96" s="511"/>
      <c r="B96" s="512"/>
      <c r="C96" s="513"/>
      <c r="D96" s="511"/>
      <c r="E96" s="511"/>
      <c r="F96" s="514"/>
      <c r="G96" s="514"/>
      <c r="H96" s="514"/>
      <c r="I96" s="514"/>
      <c r="J96" s="514"/>
      <c r="K96" s="514"/>
      <c r="L96" s="514"/>
    </row>
    <row r="97" spans="1:12" ht="16.5">
      <c r="A97" s="511"/>
      <c r="B97" s="512"/>
      <c r="C97" s="513"/>
      <c r="D97" s="511"/>
      <c r="E97" s="511"/>
      <c r="F97" s="514"/>
      <c r="G97" s="514"/>
      <c r="H97" s="514"/>
      <c r="I97" s="514"/>
      <c r="J97" s="514"/>
      <c r="K97" s="514"/>
      <c r="L97" s="514"/>
    </row>
    <row r="98" spans="1:12" ht="16.5">
      <c r="A98" s="511"/>
      <c r="B98" s="512"/>
      <c r="C98" s="513"/>
      <c r="D98" s="511"/>
      <c r="E98" s="511"/>
      <c r="F98" s="514"/>
      <c r="G98" s="514"/>
      <c r="H98" s="514"/>
      <c r="I98" s="514"/>
      <c r="J98" s="514"/>
      <c r="K98" s="514"/>
      <c r="L98" s="514"/>
    </row>
    <row r="99" spans="1:12" ht="16.5">
      <c r="A99" s="511"/>
      <c r="B99" s="512"/>
      <c r="C99" s="513"/>
      <c r="D99" s="511"/>
      <c r="E99" s="511"/>
      <c r="F99" s="514"/>
      <c r="G99" s="514"/>
      <c r="H99" s="514"/>
      <c r="I99" s="514"/>
      <c r="J99" s="514"/>
      <c r="K99" s="514"/>
      <c r="L99" s="514"/>
    </row>
    <row r="100" spans="1:12" ht="16.5">
      <c r="A100" s="511"/>
      <c r="B100" s="512"/>
      <c r="C100" s="513"/>
      <c r="D100" s="511"/>
      <c r="E100" s="511"/>
      <c r="F100" s="514"/>
      <c r="G100" s="514"/>
      <c r="H100" s="514"/>
      <c r="I100" s="514"/>
      <c r="J100" s="514"/>
      <c r="K100" s="514"/>
      <c r="L100" s="514"/>
    </row>
    <row r="101" spans="1:12" ht="16.5">
      <c r="A101" s="511"/>
      <c r="B101" s="512"/>
      <c r="C101" s="513"/>
      <c r="D101" s="511"/>
      <c r="E101" s="511"/>
      <c r="F101" s="514"/>
      <c r="G101" s="514"/>
      <c r="H101" s="514"/>
      <c r="I101" s="514"/>
      <c r="J101" s="514"/>
      <c r="K101" s="514"/>
      <c r="L101" s="514"/>
    </row>
    <row r="102" spans="1:12" ht="16.5">
      <c r="A102" s="511"/>
      <c r="B102" s="512"/>
      <c r="C102" s="513"/>
      <c r="D102" s="511"/>
      <c r="E102" s="511"/>
      <c r="F102" s="514"/>
      <c r="G102" s="514"/>
      <c r="H102" s="514"/>
      <c r="I102" s="514"/>
      <c r="J102" s="514"/>
      <c r="K102" s="514"/>
      <c r="L102" s="514"/>
    </row>
    <row r="103" spans="1:12" ht="16.5">
      <c r="A103" s="511"/>
      <c r="B103" s="512"/>
      <c r="C103" s="513"/>
      <c r="D103" s="511"/>
      <c r="E103" s="511"/>
      <c r="F103" s="514"/>
      <c r="G103" s="514"/>
      <c r="H103" s="514"/>
      <c r="I103" s="514"/>
      <c r="J103" s="514"/>
      <c r="K103" s="514"/>
      <c r="L103" s="514"/>
    </row>
    <row r="104" spans="1:12" ht="16.5">
      <c r="A104" s="511"/>
      <c r="B104" s="512"/>
      <c r="C104" s="513"/>
      <c r="D104" s="511"/>
      <c r="E104" s="511"/>
      <c r="F104" s="514"/>
      <c r="G104" s="514"/>
      <c r="H104" s="514"/>
      <c r="I104" s="514"/>
      <c r="J104" s="514"/>
      <c r="K104" s="514"/>
      <c r="L104" s="514"/>
    </row>
    <row r="105" spans="1:12" ht="16.5">
      <c r="A105" s="511"/>
      <c r="B105" s="512"/>
      <c r="C105" s="513"/>
      <c r="D105" s="511"/>
      <c r="E105" s="511"/>
      <c r="F105" s="514"/>
      <c r="G105" s="514"/>
      <c r="H105" s="514"/>
      <c r="I105" s="514"/>
      <c r="J105" s="514"/>
      <c r="K105" s="514"/>
      <c r="L105" s="514"/>
    </row>
    <row r="106" spans="1:12" ht="16.5">
      <c r="A106" s="511"/>
      <c r="B106" s="512"/>
      <c r="C106" s="513"/>
      <c r="D106" s="511"/>
      <c r="E106" s="511"/>
      <c r="F106" s="514"/>
      <c r="G106" s="514"/>
      <c r="H106" s="514"/>
      <c r="I106" s="514"/>
      <c r="J106" s="514"/>
      <c r="K106" s="514"/>
      <c r="L106" s="514"/>
    </row>
    <row r="107" spans="1:12" ht="16.5">
      <c r="A107" s="511"/>
      <c r="B107" s="512"/>
      <c r="C107" s="513"/>
      <c r="D107" s="511"/>
      <c r="E107" s="511"/>
      <c r="F107" s="514"/>
      <c r="G107" s="514"/>
      <c r="H107" s="514"/>
      <c r="I107" s="514"/>
      <c r="J107" s="514"/>
      <c r="K107" s="514"/>
      <c r="L107" s="514"/>
    </row>
    <row r="108" spans="1:12" ht="16.5">
      <c r="A108" s="511"/>
      <c r="B108" s="512"/>
      <c r="C108" s="513"/>
      <c r="D108" s="511"/>
      <c r="E108" s="511"/>
      <c r="F108" s="514"/>
      <c r="G108" s="514"/>
      <c r="H108" s="514"/>
      <c r="I108" s="514"/>
      <c r="J108" s="514"/>
      <c r="K108" s="514"/>
      <c r="L108" s="514"/>
    </row>
    <row r="109" spans="1:12" ht="16.5">
      <c r="A109" s="511"/>
      <c r="B109" s="512"/>
      <c r="C109" s="513"/>
      <c r="D109" s="511"/>
      <c r="E109" s="511"/>
      <c r="F109" s="514"/>
      <c r="G109" s="514"/>
      <c r="H109" s="514"/>
      <c r="I109" s="514"/>
      <c r="J109" s="514"/>
      <c r="K109" s="514"/>
      <c r="L109" s="514"/>
    </row>
    <row r="110" spans="1:12" ht="16.5">
      <c r="A110" s="511"/>
      <c r="B110" s="512"/>
      <c r="C110" s="513"/>
      <c r="D110" s="511"/>
      <c r="E110" s="511"/>
      <c r="F110" s="514"/>
      <c r="G110" s="514"/>
      <c r="H110" s="514"/>
      <c r="I110" s="514"/>
      <c r="J110" s="514"/>
      <c r="K110" s="514"/>
      <c r="L110" s="514"/>
    </row>
    <row r="111" spans="1:12" ht="16.5">
      <c r="A111" s="511"/>
      <c r="B111" s="512"/>
      <c r="C111" s="513"/>
      <c r="D111" s="511"/>
      <c r="E111" s="511"/>
      <c r="F111" s="514"/>
      <c r="G111" s="514"/>
      <c r="H111" s="514"/>
      <c r="I111" s="514"/>
      <c r="J111" s="514"/>
      <c r="K111" s="514"/>
      <c r="L111" s="514"/>
    </row>
    <row r="112" spans="1:12" ht="16.5">
      <c r="A112" s="511"/>
      <c r="B112" s="512"/>
      <c r="C112" s="513"/>
      <c r="D112" s="511"/>
      <c r="E112" s="511"/>
      <c r="F112" s="514"/>
      <c r="G112" s="514"/>
      <c r="H112" s="514"/>
      <c r="I112" s="514"/>
      <c r="J112" s="514"/>
      <c r="K112" s="514"/>
      <c r="L112" s="514"/>
    </row>
    <row r="113" spans="1:12" ht="16.5">
      <c r="A113" s="511"/>
      <c r="B113" s="512"/>
      <c r="C113" s="513"/>
      <c r="D113" s="511"/>
      <c r="E113" s="511"/>
      <c r="F113" s="514"/>
      <c r="G113" s="514"/>
      <c r="H113" s="514"/>
      <c r="I113" s="514"/>
      <c r="J113" s="514"/>
      <c r="K113" s="514"/>
      <c r="L113" s="514"/>
    </row>
    <row r="114" spans="1:12" ht="16.5">
      <c r="A114" s="511"/>
      <c r="B114" s="512"/>
      <c r="C114" s="513"/>
      <c r="D114" s="511"/>
      <c r="E114" s="511"/>
      <c r="F114" s="514"/>
      <c r="G114" s="514"/>
      <c r="H114" s="514"/>
      <c r="I114" s="514"/>
      <c r="J114" s="514"/>
      <c r="K114" s="514"/>
      <c r="L114" s="514"/>
    </row>
    <row r="115" spans="1:12" ht="16.5">
      <c r="A115" s="511"/>
      <c r="B115" s="512"/>
      <c r="C115" s="513"/>
      <c r="D115" s="511"/>
      <c r="E115" s="511"/>
      <c r="F115" s="514"/>
      <c r="G115" s="514"/>
      <c r="H115" s="514"/>
      <c r="I115" s="514"/>
      <c r="J115" s="514"/>
      <c r="K115" s="514"/>
      <c r="L115" s="514"/>
    </row>
    <row r="116" spans="1:12" ht="16.5">
      <c r="A116" s="511"/>
      <c r="B116" s="512"/>
      <c r="C116" s="513"/>
      <c r="D116" s="511"/>
      <c r="E116" s="511"/>
      <c r="F116" s="514"/>
      <c r="G116" s="514"/>
      <c r="H116" s="514"/>
      <c r="I116" s="514"/>
      <c r="J116" s="514"/>
      <c r="K116" s="514"/>
      <c r="L116" s="514"/>
    </row>
    <row r="117" spans="1:12" ht="16.5">
      <c r="A117" s="511"/>
      <c r="B117" s="512"/>
      <c r="C117" s="513"/>
      <c r="D117" s="511"/>
      <c r="E117" s="511"/>
      <c r="F117" s="514"/>
      <c r="G117" s="514"/>
      <c r="H117" s="514"/>
      <c r="I117" s="514"/>
      <c r="J117" s="514"/>
      <c r="K117" s="514"/>
      <c r="L117" s="514"/>
    </row>
    <row r="118" spans="1:12" ht="16.5">
      <c r="A118" s="511"/>
      <c r="B118" s="512"/>
      <c r="C118" s="513"/>
      <c r="D118" s="511"/>
      <c r="E118" s="511"/>
      <c r="F118" s="514"/>
      <c r="G118" s="514"/>
      <c r="H118" s="514"/>
      <c r="I118" s="514"/>
      <c r="J118" s="514"/>
      <c r="K118" s="514"/>
      <c r="L118" s="514"/>
    </row>
    <row r="119" spans="1:12" ht="16.5">
      <c r="A119" s="511"/>
      <c r="B119" s="512"/>
      <c r="C119" s="513"/>
      <c r="D119" s="511"/>
      <c r="E119" s="511"/>
      <c r="F119" s="514"/>
      <c r="G119" s="514"/>
      <c r="H119" s="514"/>
      <c r="I119" s="514"/>
      <c r="J119" s="514"/>
      <c r="K119" s="514"/>
      <c r="L119" s="514"/>
    </row>
    <row r="120" spans="1:12" ht="16.5">
      <c r="A120" s="511"/>
      <c r="B120" s="512"/>
      <c r="C120" s="513"/>
      <c r="D120" s="511"/>
      <c r="E120" s="511"/>
      <c r="F120" s="514"/>
      <c r="G120" s="514"/>
      <c r="H120" s="514"/>
      <c r="I120" s="514"/>
      <c r="J120" s="514"/>
      <c r="K120" s="514"/>
      <c r="L120" s="514"/>
    </row>
    <row r="121" spans="1:12" ht="16.5">
      <c r="A121" s="511"/>
      <c r="B121" s="512"/>
      <c r="C121" s="513"/>
      <c r="D121" s="511"/>
      <c r="E121" s="511"/>
      <c r="F121" s="514"/>
      <c r="G121" s="514"/>
      <c r="H121" s="514"/>
      <c r="I121" s="514"/>
      <c r="J121" s="514"/>
      <c r="K121" s="514"/>
      <c r="L121" s="514"/>
    </row>
    <row r="122" spans="1:12" ht="16.5">
      <c r="A122" s="511"/>
      <c r="B122" s="512"/>
      <c r="C122" s="513"/>
      <c r="D122" s="511"/>
      <c r="E122" s="511"/>
      <c r="F122" s="514"/>
      <c r="G122" s="514"/>
      <c r="H122" s="514"/>
      <c r="I122" s="514"/>
      <c r="J122" s="514"/>
      <c r="K122" s="514"/>
      <c r="L122" s="514"/>
    </row>
    <row r="123" spans="1:12" ht="16.5">
      <c r="A123" s="511"/>
      <c r="B123" s="512"/>
      <c r="C123" s="513"/>
      <c r="D123" s="511"/>
      <c r="E123" s="511"/>
      <c r="F123" s="514"/>
      <c r="G123" s="514"/>
      <c r="H123" s="514"/>
      <c r="I123" s="514"/>
      <c r="J123" s="514"/>
      <c r="K123" s="514"/>
      <c r="L123" s="514"/>
    </row>
    <row r="124" spans="1:12" ht="16.5">
      <c r="A124" s="511"/>
      <c r="B124" s="512"/>
      <c r="C124" s="513"/>
      <c r="D124" s="511"/>
      <c r="E124" s="511"/>
      <c r="F124" s="514"/>
      <c r="G124" s="514"/>
      <c r="H124" s="514"/>
      <c r="I124" s="514"/>
      <c r="J124" s="514"/>
      <c r="K124" s="514"/>
      <c r="L124" s="514"/>
    </row>
    <row r="125" spans="1:12" ht="16.5">
      <c r="A125" s="511"/>
      <c r="B125" s="512"/>
      <c r="C125" s="513"/>
      <c r="D125" s="511"/>
      <c r="E125" s="511"/>
      <c r="F125" s="514"/>
      <c r="G125" s="514"/>
      <c r="H125" s="514"/>
      <c r="I125" s="514"/>
      <c r="J125" s="514"/>
      <c r="K125" s="514"/>
      <c r="L125" s="514"/>
    </row>
    <row r="126" spans="1:12" ht="16.5">
      <c r="A126" s="511"/>
      <c r="B126" s="512"/>
      <c r="C126" s="513"/>
      <c r="D126" s="511"/>
      <c r="E126" s="511"/>
      <c r="F126" s="514"/>
      <c r="G126" s="514"/>
      <c r="H126" s="514"/>
      <c r="I126" s="514"/>
      <c r="J126" s="514"/>
      <c r="K126" s="514"/>
      <c r="L126" s="514"/>
    </row>
    <row r="127" spans="1:12" ht="16.5">
      <c r="A127" s="511"/>
      <c r="B127" s="512"/>
      <c r="C127" s="513"/>
      <c r="D127" s="511"/>
      <c r="E127" s="511"/>
      <c r="F127" s="514"/>
      <c r="G127" s="514"/>
      <c r="H127" s="514"/>
      <c r="I127" s="514"/>
      <c r="J127" s="514"/>
      <c r="K127" s="514"/>
      <c r="L127" s="514"/>
    </row>
    <row r="128" spans="1:12" ht="16.5">
      <c r="A128" s="511"/>
      <c r="B128" s="512"/>
      <c r="C128" s="513"/>
      <c r="D128" s="511"/>
      <c r="E128" s="511"/>
      <c r="F128" s="514"/>
      <c r="G128" s="514"/>
      <c r="H128" s="514"/>
      <c r="I128" s="514"/>
      <c r="J128" s="514"/>
      <c r="K128" s="514"/>
      <c r="L128" s="514"/>
    </row>
    <row r="129" spans="1:12" ht="16.5">
      <c r="A129" s="511"/>
      <c r="B129" s="512"/>
      <c r="C129" s="513"/>
      <c r="D129" s="511"/>
      <c r="E129" s="511"/>
      <c r="F129" s="514"/>
      <c r="G129" s="514"/>
      <c r="H129" s="514"/>
      <c r="I129" s="514"/>
      <c r="J129" s="514"/>
      <c r="K129" s="514"/>
      <c r="L129" s="514"/>
    </row>
    <row r="130" spans="1:12" ht="16.5">
      <c r="A130" s="511"/>
      <c r="B130" s="512"/>
      <c r="C130" s="513"/>
      <c r="D130" s="511"/>
      <c r="E130" s="511"/>
      <c r="F130" s="514"/>
      <c r="G130" s="514"/>
      <c r="H130" s="514"/>
      <c r="I130" s="514"/>
      <c r="J130" s="514"/>
      <c r="K130" s="514"/>
      <c r="L130" s="514"/>
    </row>
    <row r="131" spans="1:12" ht="16.5">
      <c r="A131" s="511"/>
      <c r="B131" s="512"/>
      <c r="C131" s="513"/>
      <c r="D131" s="511"/>
      <c r="E131" s="511"/>
      <c r="F131" s="514"/>
      <c r="G131" s="514"/>
      <c r="H131" s="514"/>
      <c r="I131" s="514"/>
      <c r="J131" s="514"/>
      <c r="K131" s="514"/>
      <c r="L131" s="514"/>
    </row>
    <row r="132" spans="1:12" ht="16.5">
      <c r="A132" s="511"/>
      <c r="B132" s="512"/>
      <c r="C132" s="513"/>
      <c r="D132" s="511"/>
      <c r="E132" s="511"/>
      <c r="F132" s="514"/>
      <c r="G132" s="514"/>
      <c r="H132" s="514"/>
      <c r="I132" s="514"/>
      <c r="J132" s="514"/>
      <c r="K132" s="514"/>
      <c r="L132" s="514"/>
    </row>
    <row r="133" spans="1:12" ht="16.5">
      <c r="A133" s="511"/>
      <c r="B133" s="512"/>
      <c r="C133" s="513"/>
      <c r="D133" s="511"/>
      <c r="E133" s="511"/>
      <c r="F133" s="514"/>
      <c r="G133" s="514"/>
      <c r="H133" s="514"/>
      <c r="I133" s="514"/>
      <c r="J133" s="514"/>
      <c r="K133" s="514"/>
      <c r="L133" s="514"/>
    </row>
    <row r="134" spans="1:12" ht="16.5">
      <c r="A134" s="511"/>
      <c r="B134" s="512"/>
      <c r="C134" s="513"/>
      <c r="D134" s="511"/>
      <c r="E134" s="511"/>
      <c r="F134" s="514"/>
      <c r="G134" s="514"/>
      <c r="H134" s="514"/>
      <c r="I134" s="514"/>
      <c r="J134" s="514"/>
      <c r="K134" s="514"/>
      <c r="L134" s="514"/>
    </row>
    <row r="135" spans="1:12" ht="16.5">
      <c r="A135" s="511"/>
      <c r="B135" s="512"/>
      <c r="C135" s="513"/>
      <c r="D135" s="511"/>
      <c r="E135" s="511"/>
      <c r="F135" s="514"/>
      <c r="G135" s="514"/>
      <c r="H135" s="514"/>
      <c r="I135" s="514"/>
      <c r="J135" s="514"/>
      <c r="K135" s="514"/>
      <c r="L135" s="514"/>
    </row>
    <row r="136" spans="1:12" ht="16.5">
      <c r="A136" s="511"/>
      <c r="B136" s="512"/>
      <c r="C136" s="513"/>
      <c r="D136" s="511"/>
      <c r="E136" s="511"/>
      <c r="F136" s="514"/>
      <c r="G136" s="514"/>
      <c r="H136" s="514"/>
      <c r="I136" s="514"/>
      <c r="J136" s="514"/>
      <c r="K136" s="514"/>
      <c r="L136" s="514"/>
    </row>
    <row r="137" spans="1:12" ht="16.5">
      <c r="A137" s="511"/>
      <c r="B137" s="512"/>
      <c r="C137" s="513"/>
      <c r="D137" s="511"/>
      <c r="E137" s="511"/>
      <c r="F137" s="514"/>
      <c r="G137" s="514"/>
      <c r="H137" s="514"/>
      <c r="I137" s="514"/>
      <c r="J137" s="514"/>
      <c r="K137" s="514"/>
      <c r="L137" s="514"/>
    </row>
    <row r="138" spans="1:12" ht="16.5">
      <c r="A138" s="511"/>
      <c r="B138" s="512"/>
      <c r="C138" s="513"/>
      <c r="D138" s="511"/>
      <c r="E138" s="511"/>
      <c r="F138" s="514"/>
      <c r="G138" s="514"/>
      <c r="H138" s="514"/>
      <c r="I138" s="514"/>
      <c r="J138" s="514"/>
      <c r="K138" s="514"/>
      <c r="L138" s="514"/>
    </row>
    <row r="139" spans="1:12" ht="16.5">
      <c r="A139" s="511"/>
      <c r="B139" s="512"/>
      <c r="C139" s="513"/>
      <c r="D139" s="511"/>
      <c r="E139" s="511"/>
      <c r="F139" s="514"/>
      <c r="G139" s="514"/>
      <c r="H139" s="514"/>
      <c r="I139" s="514"/>
      <c r="J139" s="514"/>
      <c r="K139" s="514"/>
      <c r="L139" s="514"/>
    </row>
    <row r="140" spans="1:12" ht="16.5">
      <c r="A140" s="511"/>
      <c r="B140" s="512"/>
      <c r="C140" s="513"/>
      <c r="D140" s="511"/>
      <c r="E140" s="511"/>
      <c r="F140" s="514"/>
      <c r="G140" s="514"/>
      <c r="H140" s="514"/>
      <c r="I140" s="514"/>
      <c r="J140" s="514"/>
      <c r="K140" s="514"/>
      <c r="L140" s="514"/>
    </row>
    <row r="141" spans="1:12" ht="16.5">
      <c r="A141" s="511"/>
      <c r="B141" s="512"/>
      <c r="C141" s="513"/>
      <c r="D141" s="511"/>
      <c r="E141" s="511"/>
      <c r="F141" s="514"/>
      <c r="G141" s="514"/>
      <c r="H141" s="514"/>
      <c r="I141" s="514"/>
      <c r="J141" s="514"/>
      <c r="K141" s="514"/>
      <c r="L141" s="514"/>
    </row>
    <row r="142" spans="1:12" ht="16.5">
      <c r="A142" s="511"/>
      <c r="B142" s="512"/>
      <c r="C142" s="513"/>
      <c r="D142" s="511"/>
      <c r="E142" s="511"/>
      <c r="F142" s="514"/>
      <c r="G142" s="514"/>
      <c r="H142" s="514"/>
      <c r="I142" s="514"/>
      <c r="J142" s="514"/>
      <c r="K142" s="514"/>
      <c r="L142" s="514"/>
    </row>
    <row r="143" spans="1:12" ht="16.5">
      <c r="A143" s="511"/>
      <c r="B143" s="512"/>
      <c r="C143" s="513"/>
      <c r="D143" s="511"/>
      <c r="E143" s="511"/>
      <c r="F143" s="514"/>
      <c r="G143" s="514"/>
      <c r="H143" s="514"/>
      <c r="I143" s="514"/>
      <c r="J143" s="514"/>
      <c r="K143" s="514"/>
      <c r="L143" s="514"/>
    </row>
    <row r="144" spans="1:12" ht="16.5">
      <c r="A144" s="511"/>
      <c r="B144" s="512"/>
      <c r="C144" s="513"/>
      <c r="D144" s="511"/>
      <c r="E144" s="511"/>
      <c r="F144" s="514"/>
      <c r="G144" s="514"/>
      <c r="H144" s="514"/>
      <c r="I144" s="514"/>
      <c r="J144" s="514"/>
      <c r="K144" s="514"/>
      <c r="L144" s="514"/>
    </row>
    <row r="145" spans="1:12" ht="16.5">
      <c r="A145" s="511"/>
      <c r="B145" s="512"/>
      <c r="C145" s="513"/>
      <c r="D145" s="511"/>
      <c r="E145" s="511"/>
      <c r="F145" s="514"/>
      <c r="G145" s="514"/>
      <c r="H145" s="514"/>
      <c r="I145" s="514"/>
      <c r="J145" s="514"/>
      <c r="K145" s="514"/>
      <c r="L145" s="514"/>
    </row>
    <row r="146" spans="1:12" ht="16.5">
      <c r="A146" s="511"/>
      <c r="B146" s="512"/>
      <c r="C146" s="513"/>
      <c r="D146" s="511"/>
      <c r="E146" s="511"/>
      <c r="F146" s="514"/>
      <c r="G146" s="514"/>
      <c r="H146" s="514"/>
      <c r="I146" s="514"/>
      <c r="J146" s="514"/>
      <c r="K146" s="514"/>
      <c r="L146" s="514"/>
    </row>
    <row r="147" spans="1:12" ht="16.5">
      <c r="A147" s="511"/>
      <c r="B147" s="512"/>
      <c r="C147" s="513"/>
      <c r="D147" s="511"/>
      <c r="E147" s="511"/>
      <c r="F147" s="514"/>
      <c r="G147" s="514"/>
      <c r="H147" s="514"/>
      <c r="I147" s="514"/>
      <c r="J147" s="514"/>
      <c r="K147" s="514"/>
      <c r="L147" s="514"/>
    </row>
    <row r="148" spans="1:12" ht="16.5">
      <c r="A148" s="511"/>
      <c r="B148" s="512"/>
      <c r="C148" s="513"/>
      <c r="D148" s="511"/>
      <c r="E148" s="511"/>
      <c r="F148" s="514"/>
      <c r="G148" s="514"/>
      <c r="H148" s="514"/>
      <c r="I148" s="514"/>
      <c r="J148" s="514"/>
      <c r="K148" s="514"/>
      <c r="L148" s="514"/>
    </row>
    <row r="149" spans="1:12" ht="16.5">
      <c r="A149" s="511"/>
      <c r="B149" s="512"/>
      <c r="C149" s="513"/>
      <c r="D149" s="511"/>
      <c r="E149" s="511"/>
      <c r="F149" s="514"/>
      <c r="G149" s="514"/>
      <c r="H149" s="514"/>
      <c r="I149" s="514"/>
      <c r="J149" s="514"/>
      <c r="K149" s="514"/>
      <c r="L149" s="514"/>
    </row>
    <row r="150" spans="1:12" ht="16.5">
      <c r="A150" s="511"/>
      <c r="B150" s="512"/>
      <c r="C150" s="513"/>
      <c r="D150" s="511"/>
      <c r="E150" s="511"/>
      <c r="F150" s="514"/>
      <c r="G150" s="514"/>
      <c r="H150" s="514"/>
      <c r="I150" s="514"/>
      <c r="J150" s="514"/>
      <c r="K150" s="514"/>
      <c r="L150" s="514"/>
    </row>
    <row r="151" spans="1:12" ht="16.5">
      <c r="A151" s="511"/>
      <c r="B151" s="512"/>
      <c r="C151" s="513"/>
      <c r="D151" s="511"/>
      <c r="E151" s="511"/>
      <c r="F151" s="514"/>
      <c r="G151" s="514"/>
      <c r="H151" s="514"/>
      <c r="I151" s="514"/>
      <c r="J151" s="514"/>
      <c r="K151" s="514"/>
      <c r="L151" s="514"/>
    </row>
    <row r="152" spans="1:12" ht="16.5">
      <c r="A152" s="511"/>
      <c r="B152" s="512"/>
      <c r="C152" s="513"/>
      <c r="D152" s="511"/>
      <c r="E152" s="511"/>
      <c r="F152" s="514"/>
      <c r="G152" s="514"/>
      <c r="H152" s="514"/>
      <c r="I152" s="514"/>
      <c r="J152" s="514"/>
      <c r="K152" s="514"/>
      <c r="L152" s="514"/>
    </row>
    <row r="153" spans="1:12" ht="16.5">
      <c r="A153" s="511"/>
      <c r="B153" s="512"/>
      <c r="C153" s="513"/>
      <c r="D153" s="511"/>
      <c r="E153" s="511"/>
      <c r="F153" s="514"/>
      <c r="G153" s="514"/>
      <c r="H153" s="514"/>
      <c r="I153" s="514"/>
      <c r="J153" s="514"/>
      <c r="K153" s="514"/>
      <c r="L153" s="514"/>
    </row>
    <row r="154" spans="1:12" ht="16.5">
      <c r="A154" s="511"/>
      <c r="B154" s="512"/>
      <c r="C154" s="513"/>
      <c r="D154" s="511"/>
      <c r="E154" s="511"/>
      <c r="F154" s="514"/>
      <c r="G154" s="514"/>
      <c r="H154" s="514"/>
      <c r="I154" s="514"/>
      <c r="J154" s="514"/>
      <c r="K154" s="514"/>
      <c r="L154" s="514"/>
    </row>
    <row r="155" spans="1:12" ht="16.5">
      <c r="A155" s="511"/>
      <c r="B155" s="512"/>
      <c r="C155" s="513"/>
      <c r="D155" s="511"/>
      <c r="E155" s="511"/>
      <c r="F155" s="514"/>
      <c r="G155" s="514"/>
      <c r="H155" s="514"/>
      <c r="I155" s="514"/>
      <c r="J155" s="514"/>
      <c r="K155" s="514"/>
      <c r="L155" s="514"/>
    </row>
    <row r="156" spans="1:12" ht="16.5">
      <c r="A156" s="511"/>
      <c r="B156" s="512"/>
      <c r="C156" s="513"/>
      <c r="D156" s="511"/>
      <c r="E156" s="511"/>
      <c r="F156" s="514"/>
      <c r="G156" s="514"/>
      <c r="H156" s="514"/>
      <c r="I156" s="514"/>
      <c r="J156" s="514"/>
      <c r="K156" s="514"/>
      <c r="L156" s="514"/>
    </row>
    <row r="157" spans="1:12" ht="16.5">
      <c r="A157" s="511"/>
      <c r="B157" s="512"/>
      <c r="C157" s="513"/>
      <c r="D157" s="511"/>
      <c r="E157" s="511"/>
      <c r="F157" s="514"/>
      <c r="G157" s="514"/>
      <c r="H157" s="514"/>
      <c r="I157" s="514"/>
      <c r="J157" s="514"/>
      <c r="K157" s="514"/>
      <c r="L157" s="514"/>
    </row>
    <row r="158" spans="1:12" ht="16.5">
      <c r="A158" s="511"/>
      <c r="B158" s="512"/>
      <c r="C158" s="513"/>
      <c r="D158" s="511"/>
      <c r="E158" s="511"/>
      <c r="F158" s="514"/>
      <c r="G158" s="514"/>
      <c r="H158" s="514"/>
      <c r="I158" s="514"/>
      <c r="J158" s="514"/>
      <c r="K158" s="514"/>
      <c r="L158" s="514"/>
    </row>
    <row r="159" spans="1:12" ht="16.5">
      <c r="A159" s="511"/>
      <c r="B159" s="512"/>
      <c r="C159" s="513"/>
      <c r="D159" s="511"/>
      <c r="E159" s="511"/>
      <c r="F159" s="514"/>
      <c r="G159" s="514"/>
      <c r="H159" s="514"/>
      <c r="I159" s="514"/>
      <c r="J159" s="514"/>
      <c r="K159" s="514"/>
      <c r="L159" s="514"/>
    </row>
    <row r="160" spans="1:12" ht="16.5">
      <c r="A160" s="511"/>
      <c r="B160" s="512"/>
      <c r="C160" s="513"/>
      <c r="D160" s="511"/>
      <c r="E160" s="511"/>
      <c r="F160" s="514"/>
      <c r="G160" s="514"/>
      <c r="H160" s="514"/>
      <c r="I160" s="514"/>
      <c r="J160" s="514"/>
      <c r="K160" s="514"/>
      <c r="L160" s="514"/>
    </row>
    <row r="161" spans="1:12" ht="16.5">
      <c r="A161" s="511"/>
      <c r="B161" s="512"/>
      <c r="C161" s="513"/>
      <c r="D161" s="511"/>
      <c r="E161" s="511"/>
      <c r="F161" s="514"/>
      <c r="G161" s="514"/>
      <c r="H161" s="514"/>
      <c r="I161" s="514"/>
      <c r="J161" s="514"/>
      <c r="K161" s="514"/>
      <c r="L161" s="514"/>
    </row>
    <row r="162" spans="1:12" ht="16.5">
      <c r="A162" s="511"/>
      <c r="B162" s="512"/>
      <c r="C162" s="513"/>
      <c r="D162" s="511"/>
      <c r="E162" s="511"/>
      <c r="F162" s="514"/>
      <c r="G162" s="514"/>
      <c r="H162" s="514"/>
      <c r="I162" s="514"/>
      <c r="J162" s="514"/>
      <c r="K162" s="514"/>
      <c r="L162" s="514"/>
    </row>
    <row r="163" spans="1:12" ht="16.5">
      <c r="A163" s="511"/>
      <c r="B163" s="512"/>
      <c r="C163" s="513"/>
      <c r="D163" s="511"/>
      <c r="E163" s="511"/>
      <c r="F163" s="514"/>
      <c r="G163" s="514"/>
      <c r="H163" s="514"/>
      <c r="I163" s="514"/>
      <c r="J163" s="514"/>
      <c r="K163" s="514"/>
      <c r="L163" s="514"/>
    </row>
    <row r="164" spans="1:12" ht="16.5">
      <c r="A164" s="511"/>
      <c r="B164" s="512"/>
      <c r="C164" s="513"/>
      <c r="D164" s="511"/>
      <c r="E164" s="511"/>
      <c r="F164" s="514"/>
      <c r="G164" s="514"/>
      <c r="H164" s="514"/>
      <c r="I164" s="514"/>
      <c r="J164" s="514"/>
      <c r="K164" s="514"/>
      <c r="L164" s="514"/>
    </row>
    <row r="165" spans="1:12" ht="16.5">
      <c r="A165" s="511"/>
      <c r="B165" s="512"/>
      <c r="C165" s="513"/>
      <c r="D165" s="511"/>
      <c r="E165" s="511"/>
      <c r="F165" s="514"/>
      <c r="G165" s="514"/>
      <c r="H165" s="514"/>
      <c r="I165" s="514"/>
      <c r="J165" s="514"/>
      <c r="K165" s="514"/>
      <c r="L165" s="514"/>
    </row>
    <row r="166" spans="1:12" ht="16.5">
      <c r="A166" s="511"/>
      <c r="B166" s="512"/>
      <c r="C166" s="513"/>
      <c r="D166" s="511"/>
      <c r="E166" s="511"/>
      <c r="F166" s="514"/>
      <c r="G166" s="514"/>
      <c r="H166" s="514"/>
      <c r="I166" s="514"/>
      <c r="J166" s="514"/>
      <c r="K166" s="514"/>
      <c r="L166" s="514"/>
    </row>
    <row r="167" spans="1:12" ht="16.5">
      <c r="A167" s="511"/>
      <c r="B167" s="512"/>
      <c r="C167" s="513"/>
      <c r="D167" s="511"/>
      <c r="E167" s="511"/>
      <c r="F167" s="514"/>
      <c r="G167" s="514"/>
      <c r="H167" s="514"/>
      <c r="I167" s="514"/>
      <c r="J167" s="514"/>
      <c r="K167" s="514"/>
      <c r="L167" s="514"/>
    </row>
    <row r="168" spans="1:12" ht="16.5">
      <c r="A168" s="511"/>
      <c r="B168" s="512"/>
      <c r="C168" s="513"/>
      <c r="D168" s="511"/>
      <c r="E168" s="511"/>
      <c r="F168" s="514"/>
      <c r="G168" s="514"/>
      <c r="H168" s="514"/>
      <c r="I168" s="514"/>
      <c r="J168" s="514"/>
      <c r="K168" s="514"/>
      <c r="L168" s="514"/>
    </row>
    <row r="169" spans="1:12" ht="16.5">
      <c r="A169" s="511"/>
      <c r="B169" s="512"/>
      <c r="C169" s="513"/>
      <c r="D169" s="511"/>
      <c r="E169" s="511"/>
      <c r="F169" s="514"/>
      <c r="G169" s="514"/>
      <c r="H169" s="514"/>
      <c r="I169" s="514"/>
      <c r="J169" s="514"/>
      <c r="K169" s="514"/>
      <c r="L169" s="514"/>
    </row>
    <row r="170" spans="1:12" ht="16.5">
      <c r="A170" s="511"/>
      <c r="B170" s="512"/>
      <c r="C170" s="513"/>
      <c r="D170" s="511"/>
      <c r="E170" s="511"/>
      <c r="F170" s="514"/>
      <c r="G170" s="514"/>
      <c r="H170" s="514"/>
      <c r="I170" s="514"/>
      <c r="J170" s="514"/>
      <c r="K170" s="514"/>
      <c r="L170" s="514"/>
    </row>
    <row r="171" spans="1:12" ht="16.5">
      <c r="A171" s="511"/>
      <c r="B171" s="512"/>
      <c r="C171" s="513"/>
      <c r="D171" s="511"/>
      <c r="E171" s="511"/>
      <c r="F171" s="514"/>
      <c r="G171" s="514"/>
      <c r="H171" s="514"/>
      <c r="I171" s="514"/>
      <c r="J171" s="514"/>
      <c r="K171" s="514"/>
      <c r="L171" s="514"/>
    </row>
    <row r="172" spans="1:12" ht="16.5">
      <c r="A172" s="511"/>
      <c r="B172" s="512"/>
      <c r="C172" s="513"/>
      <c r="D172" s="511"/>
      <c r="E172" s="511"/>
      <c r="F172" s="514"/>
      <c r="G172" s="514"/>
      <c r="H172" s="514"/>
      <c r="I172" s="514"/>
      <c r="J172" s="514"/>
      <c r="K172" s="514"/>
      <c r="L172" s="514"/>
    </row>
    <row r="173" spans="1:12" ht="16.5">
      <c r="A173" s="511"/>
      <c r="B173" s="512"/>
      <c r="C173" s="513"/>
      <c r="D173" s="511"/>
      <c r="E173" s="511"/>
      <c r="F173" s="514"/>
      <c r="G173" s="514"/>
      <c r="H173" s="514"/>
      <c r="I173" s="514"/>
      <c r="J173" s="514"/>
      <c r="K173" s="514"/>
      <c r="L173" s="514"/>
    </row>
    <row r="174" spans="1:12" ht="16.5">
      <c r="A174" s="511"/>
      <c r="B174" s="512"/>
      <c r="C174" s="513"/>
      <c r="D174" s="511"/>
      <c r="E174" s="511"/>
      <c r="F174" s="514"/>
      <c r="G174" s="514"/>
      <c r="H174" s="514"/>
      <c r="I174" s="514"/>
      <c r="J174" s="514"/>
      <c r="K174" s="514"/>
      <c r="L174" s="514"/>
    </row>
    <row r="175" spans="1:12" ht="16.5">
      <c r="A175" s="511"/>
      <c r="B175" s="512"/>
      <c r="C175" s="513"/>
      <c r="D175" s="511"/>
      <c r="E175" s="511"/>
      <c r="F175" s="514"/>
      <c r="G175" s="514"/>
      <c r="H175" s="514"/>
      <c r="I175" s="514"/>
      <c r="J175" s="514"/>
      <c r="K175" s="514"/>
      <c r="L175" s="514"/>
    </row>
    <row r="176" spans="1:12" ht="16.5">
      <c r="A176" s="511"/>
      <c r="B176" s="512"/>
      <c r="C176" s="513"/>
      <c r="D176" s="511"/>
      <c r="E176" s="511"/>
      <c r="F176" s="514"/>
      <c r="G176" s="514"/>
      <c r="H176" s="514"/>
      <c r="I176" s="514"/>
      <c r="J176" s="514"/>
      <c r="K176" s="514"/>
      <c r="L176" s="514"/>
    </row>
    <row r="177" spans="1:12" ht="16.5">
      <c r="A177" s="511"/>
      <c r="B177" s="512"/>
      <c r="C177" s="513"/>
      <c r="D177" s="511"/>
      <c r="E177" s="511"/>
      <c r="F177" s="514"/>
      <c r="G177" s="514"/>
      <c r="H177" s="514"/>
      <c r="I177" s="514"/>
      <c r="J177" s="514"/>
      <c r="K177" s="514"/>
      <c r="L177" s="514"/>
    </row>
    <row r="178" spans="1:12" ht="16.5">
      <c r="A178" s="511"/>
      <c r="B178" s="512"/>
      <c r="C178" s="513"/>
      <c r="D178" s="511"/>
      <c r="E178" s="511"/>
      <c r="F178" s="514"/>
      <c r="G178" s="514"/>
      <c r="H178" s="514"/>
      <c r="I178" s="514"/>
      <c r="J178" s="514"/>
      <c r="K178" s="514"/>
      <c r="L178" s="514"/>
    </row>
    <row r="179" spans="1:12" ht="16.5">
      <c r="A179" s="511"/>
      <c r="B179" s="512"/>
      <c r="C179" s="513"/>
      <c r="D179" s="511"/>
      <c r="E179" s="511"/>
      <c r="F179" s="514"/>
      <c r="G179" s="514"/>
      <c r="H179" s="514"/>
      <c r="I179" s="514"/>
      <c r="J179" s="514"/>
      <c r="K179" s="514"/>
      <c r="L179" s="514"/>
    </row>
    <row r="180" spans="1:12" ht="16.5">
      <c r="A180" s="511"/>
      <c r="B180" s="512"/>
      <c r="C180" s="513"/>
      <c r="D180" s="511"/>
      <c r="E180" s="511"/>
      <c r="F180" s="514"/>
      <c r="G180" s="514"/>
      <c r="H180" s="514"/>
      <c r="I180" s="514"/>
      <c r="J180" s="514"/>
      <c r="K180" s="514"/>
      <c r="L180" s="514"/>
    </row>
    <row r="181" spans="1:12" ht="16.5">
      <c r="A181" s="511"/>
      <c r="B181" s="512"/>
      <c r="C181" s="513"/>
      <c r="D181" s="511"/>
      <c r="E181" s="511"/>
      <c r="F181" s="514"/>
      <c r="G181" s="514"/>
      <c r="H181" s="514"/>
      <c r="I181" s="514"/>
      <c r="J181" s="514"/>
      <c r="K181" s="514"/>
      <c r="L181" s="514"/>
    </row>
    <row r="182" spans="1:12" ht="16.5">
      <c r="A182" s="511"/>
      <c r="B182" s="512"/>
      <c r="C182" s="513"/>
      <c r="D182" s="511"/>
      <c r="E182" s="511"/>
      <c r="F182" s="514"/>
      <c r="G182" s="514"/>
      <c r="H182" s="514"/>
      <c r="I182" s="514"/>
      <c r="J182" s="514"/>
      <c r="K182" s="514"/>
      <c r="L182" s="514"/>
    </row>
    <row r="183" spans="1:12" ht="16.5">
      <c r="A183" s="511"/>
      <c r="B183" s="512"/>
      <c r="C183" s="513"/>
      <c r="D183" s="511"/>
      <c r="E183" s="511"/>
      <c r="F183" s="514"/>
      <c r="G183" s="514"/>
      <c r="H183" s="514"/>
      <c r="I183" s="514"/>
      <c r="J183" s="514"/>
      <c r="K183" s="514"/>
      <c r="L183" s="514"/>
    </row>
    <row r="184" spans="1:12" ht="16.5">
      <c r="A184" s="511"/>
      <c r="B184" s="512"/>
      <c r="C184" s="513"/>
      <c r="D184" s="511"/>
      <c r="E184" s="511"/>
      <c r="F184" s="514"/>
      <c r="G184" s="514"/>
      <c r="H184" s="514"/>
      <c r="I184" s="514"/>
      <c r="J184" s="514"/>
      <c r="K184" s="514"/>
      <c r="L184" s="514"/>
    </row>
    <row r="185" spans="1:12" ht="16.5">
      <c r="A185" s="511"/>
      <c r="B185" s="512"/>
      <c r="C185" s="513"/>
      <c r="D185" s="511"/>
      <c r="E185" s="511"/>
      <c r="F185" s="514"/>
      <c r="G185" s="514"/>
      <c r="H185" s="514"/>
      <c r="I185" s="514"/>
      <c r="J185" s="514"/>
      <c r="K185" s="514"/>
      <c r="L185" s="514"/>
    </row>
    <row r="186" spans="1:12" ht="16.5">
      <c r="A186" s="511"/>
      <c r="B186" s="512"/>
      <c r="C186" s="513"/>
      <c r="D186" s="511"/>
      <c r="E186" s="511"/>
      <c r="F186" s="514"/>
      <c r="G186" s="514"/>
      <c r="H186" s="514"/>
      <c r="I186" s="514"/>
      <c r="J186" s="514"/>
      <c r="K186" s="514"/>
      <c r="L186" s="514"/>
    </row>
    <row r="187" spans="1:12" ht="16.5">
      <c r="A187" s="511"/>
      <c r="B187" s="512"/>
      <c r="C187" s="513"/>
      <c r="D187" s="511"/>
      <c r="E187" s="511"/>
      <c r="F187" s="514"/>
      <c r="G187" s="514"/>
      <c r="H187" s="514"/>
      <c r="I187" s="514"/>
      <c r="J187" s="514"/>
      <c r="K187" s="514"/>
      <c r="L187" s="514"/>
    </row>
    <row r="188" spans="1:12" ht="16.5">
      <c r="A188" s="511"/>
      <c r="B188" s="512"/>
      <c r="C188" s="513"/>
      <c r="D188" s="511"/>
      <c r="E188" s="511"/>
      <c r="F188" s="514"/>
      <c r="G188" s="514"/>
      <c r="H188" s="514"/>
      <c r="I188" s="514"/>
      <c r="J188" s="514"/>
      <c r="K188" s="514"/>
      <c r="L188" s="514"/>
    </row>
    <row r="189" spans="1:12" ht="16.5">
      <c r="A189" s="511"/>
      <c r="B189" s="512"/>
      <c r="C189" s="513"/>
      <c r="D189" s="511"/>
      <c r="E189" s="511"/>
      <c r="F189" s="514"/>
      <c r="G189" s="514"/>
      <c r="H189" s="514"/>
      <c r="I189" s="514"/>
      <c r="J189" s="514"/>
      <c r="K189" s="514"/>
      <c r="L189" s="514"/>
    </row>
    <row r="190" spans="1:12" ht="16.5">
      <c r="A190" s="511"/>
      <c r="B190" s="512"/>
      <c r="C190" s="513"/>
      <c r="D190" s="511"/>
      <c r="E190" s="511"/>
      <c r="F190" s="514"/>
      <c r="G190" s="514"/>
      <c r="H190" s="514"/>
      <c r="I190" s="514"/>
      <c r="J190" s="514"/>
      <c r="K190" s="514"/>
      <c r="L190" s="514"/>
    </row>
    <row r="191" spans="1:12" ht="16.5">
      <c r="A191" s="511"/>
      <c r="B191" s="512"/>
      <c r="C191" s="513"/>
      <c r="D191" s="511"/>
      <c r="E191" s="511"/>
      <c r="F191" s="514"/>
      <c r="G191" s="514"/>
      <c r="H191" s="514"/>
      <c r="I191" s="514"/>
      <c r="J191" s="514"/>
      <c r="K191" s="514"/>
      <c r="L191" s="514"/>
    </row>
    <row r="192" spans="1:12" ht="16.5">
      <c r="A192" s="511"/>
      <c r="B192" s="512"/>
      <c r="C192" s="513"/>
      <c r="D192" s="511"/>
      <c r="E192" s="511"/>
      <c r="F192" s="514"/>
      <c r="G192" s="514"/>
      <c r="H192" s="514"/>
      <c r="I192" s="514"/>
      <c r="J192" s="514"/>
      <c r="K192" s="514"/>
      <c r="L192" s="514"/>
    </row>
    <row r="193" spans="1:12" ht="16.5">
      <c r="A193" s="511"/>
      <c r="B193" s="512"/>
      <c r="C193" s="513"/>
      <c r="D193" s="511"/>
      <c r="E193" s="511"/>
      <c r="F193" s="514"/>
      <c r="G193" s="514"/>
      <c r="H193" s="514"/>
      <c r="I193" s="514"/>
      <c r="J193" s="514"/>
      <c r="K193" s="514"/>
      <c r="L193" s="514"/>
    </row>
    <row r="194" spans="1:12" ht="16.5">
      <c r="A194" s="511"/>
      <c r="B194" s="512"/>
      <c r="C194" s="513"/>
      <c r="D194" s="511"/>
      <c r="E194" s="511"/>
      <c r="F194" s="514"/>
      <c r="G194" s="514"/>
      <c r="H194" s="514"/>
      <c r="I194" s="514"/>
      <c r="J194" s="514"/>
      <c r="K194" s="514"/>
      <c r="L194" s="514"/>
    </row>
    <row r="195" spans="1:12" ht="16.5">
      <c r="A195" s="511"/>
      <c r="B195" s="512"/>
      <c r="C195" s="513"/>
      <c r="D195" s="511"/>
      <c r="E195" s="511"/>
      <c r="F195" s="514"/>
      <c r="G195" s="514"/>
      <c r="H195" s="514"/>
      <c r="I195" s="514"/>
      <c r="J195" s="514"/>
      <c r="K195" s="514"/>
      <c r="L195" s="514"/>
    </row>
    <row r="196" spans="1:12" ht="16.5">
      <c r="A196" s="511"/>
      <c r="B196" s="512"/>
      <c r="C196" s="513"/>
      <c r="D196" s="511"/>
      <c r="E196" s="511"/>
      <c r="F196" s="514"/>
      <c r="G196" s="514"/>
      <c r="H196" s="514"/>
      <c r="I196" s="514"/>
      <c r="J196" s="514"/>
      <c r="K196" s="514"/>
      <c r="L196" s="514"/>
    </row>
    <row r="197" spans="1:12" ht="16.5">
      <c r="A197" s="511"/>
      <c r="B197" s="512"/>
      <c r="C197" s="513"/>
      <c r="D197" s="511"/>
      <c r="E197" s="511"/>
      <c r="F197" s="514"/>
      <c r="G197" s="514"/>
      <c r="H197" s="514"/>
      <c r="I197" s="514"/>
      <c r="J197" s="514"/>
      <c r="K197" s="514"/>
      <c r="L197" s="514"/>
    </row>
    <row r="198" spans="1:12" ht="16.5">
      <c r="A198" s="511"/>
      <c r="B198" s="512"/>
      <c r="C198" s="513"/>
      <c r="D198" s="511"/>
      <c r="E198" s="511"/>
      <c r="F198" s="514"/>
      <c r="G198" s="514"/>
      <c r="H198" s="514"/>
      <c r="I198" s="514"/>
      <c r="J198" s="514"/>
      <c r="K198" s="514"/>
      <c r="L198" s="514"/>
    </row>
    <row r="199" spans="1:12" ht="16.5">
      <c r="A199" s="511"/>
      <c r="B199" s="512"/>
      <c r="C199" s="513"/>
      <c r="D199" s="511"/>
      <c r="E199" s="511"/>
      <c r="F199" s="514"/>
      <c r="G199" s="514"/>
      <c r="H199" s="514"/>
      <c r="I199" s="514"/>
      <c r="J199" s="514"/>
      <c r="K199" s="514"/>
      <c r="L199" s="514"/>
    </row>
    <row r="200" spans="1:12" ht="16.5">
      <c r="A200" s="511"/>
      <c r="B200" s="512"/>
      <c r="C200" s="513"/>
      <c r="D200" s="511"/>
      <c r="E200" s="511"/>
      <c r="F200" s="514"/>
      <c r="G200" s="514"/>
      <c r="H200" s="514"/>
      <c r="I200" s="514"/>
      <c r="J200" s="514"/>
      <c r="K200" s="514"/>
      <c r="L200" s="514"/>
    </row>
    <row r="201" spans="1:12" ht="16.5">
      <c r="A201" s="511"/>
      <c r="B201" s="512"/>
      <c r="C201" s="513"/>
      <c r="D201" s="511"/>
      <c r="E201" s="511"/>
      <c r="F201" s="514"/>
      <c r="G201" s="514"/>
      <c r="H201" s="514"/>
      <c r="I201" s="514"/>
      <c r="J201" s="514"/>
      <c r="K201" s="514"/>
      <c r="L201" s="514"/>
    </row>
    <row r="202" spans="1:12" ht="16.5">
      <c r="A202" s="511"/>
      <c r="B202" s="512"/>
      <c r="C202" s="513"/>
      <c r="D202" s="511"/>
      <c r="E202" s="511"/>
      <c r="F202" s="514"/>
      <c r="G202" s="514"/>
      <c r="H202" s="514"/>
      <c r="I202" s="514"/>
      <c r="J202" s="514"/>
      <c r="K202" s="514"/>
      <c r="L202" s="514"/>
    </row>
    <row r="203" spans="1:12" ht="16.5">
      <c r="A203" s="511"/>
      <c r="B203" s="512"/>
      <c r="C203" s="513"/>
      <c r="D203" s="511"/>
      <c r="E203" s="511"/>
      <c r="F203" s="514"/>
      <c r="G203" s="514"/>
      <c r="H203" s="514"/>
      <c r="I203" s="514"/>
      <c r="J203" s="514"/>
      <c r="K203" s="514"/>
      <c r="L203" s="514"/>
    </row>
    <row r="204" spans="1:12" ht="16.5">
      <c r="A204" s="511"/>
      <c r="B204" s="512"/>
      <c r="C204" s="513"/>
      <c r="D204" s="511"/>
      <c r="E204" s="511"/>
      <c r="F204" s="514"/>
      <c r="G204" s="514"/>
      <c r="H204" s="514"/>
      <c r="I204" s="514"/>
      <c r="J204" s="514"/>
      <c r="K204" s="514"/>
      <c r="L204" s="514"/>
    </row>
    <row r="205" spans="1:12" ht="16.5">
      <c r="A205" s="511"/>
      <c r="B205" s="512"/>
      <c r="C205" s="513"/>
      <c r="D205" s="511"/>
      <c r="E205" s="511"/>
      <c r="F205" s="514"/>
      <c r="G205" s="514"/>
      <c r="H205" s="514"/>
      <c r="I205" s="514"/>
      <c r="J205" s="514"/>
      <c r="K205" s="514"/>
      <c r="L205" s="514"/>
    </row>
    <row r="206" spans="1:12" ht="16.5">
      <c r="A206" s="511"/>
      <c r="B206" s="512"/>
      <c r="C206" s="513"/>
      <c r="D206" s="511"/>
      <c r="E206" s="511"/>
      <c r="F206" s="514"/>
      <c r="G206" s="514"/>
      <c r="H206" s="514"/>
      <c r="I206" s="514"/>
      <c r="J206" s="514"/>
      <c r="K206" s="514"/>
      <c r="L206" s="514"/>
    </row>
    <row r="207" spans="1:12" ht="16.5">
      <c r="A207" s="511"/>
      <c r="B207" s="512"/>
      <c r="C207" s="513"/>
      <c r="D207" s="511"/>
      <c r="E207" s="511"/>
      <c r="F207" s="514"/>
      <c r="G207" s="514"/>
      <c r="H207" s="514"/>
      <c r="I207" s="514"/>
      <c r="J207" s="514"/>
      <c r="K207" s="514"/>
      <c r="L207" s="514"/>
    </row>
    <row r="208" spans="1:12" ht="16.5">
      <c r="A208" s="511"/>
      <c r="B208" s="512"/>
      <c r="C208" s="513"/>
      <c r="D208" s="511"/>
      <c r="E208" s="511"/>
      <c r="F208" s="514"/>
      <c r="G208" s="514"/>
      <c r="H208" s="514"/>
      <c r="I208" s="514"/>
      <c r="J208" s="514"/>
      <c r="K208" s="514"/>
      <c r="L208" s="514"/>
    </row>
    <row r="209" spans="1:12" ht="16.5">
      <c r="A209" s="511"/>
      <c r="B209" s="512"/>
      <c r="C209" s="513"/>
      <c r="D209" s="511"/>
      <c r="E209" s="511"/>
      <c r="F209" s="514"/>
      <c r="G209" s="514"/>
      <c r="H209" s="514"/>
      <c r="I209" s="514"/>
      <c r="J209" s="514"/>
      <c r="K209" s="514"/>
      <c r="L209" s="514"/>
    </row>
    <row r="210" spans="1:12" ht="16.5">
      <c r="A210" s="511"/>
      <c r="B210" s="512"/>
      <c r="C210" s="513"/>
      <c r="D210" s="511"/>
      <c r="E210" s="511"/>
      <c r="F210" s="514"/>
      <c r="G210" s="514"/>
      <c r="H210" s="514"/>
      <c r="I210" s="514"/>
      <c r="J210" s="514"/>
      <c r="K210" s="514"/>
      <c r="L210" s="514"/>
    </row>
    <row r="211" spans="1:12" ht="16.5">
      <c r="A211" s="511"/>
      <c r="B211" s="512"/>
      <c r="C211" s="513"/>
      <c r="D211" s="511"/>
      <c r="E211" s="511"/>
      <c r="F211" s="514"/>
      <c r="G211" s="514"/>
      <c r="H211" s="514"/>
      <c r="I211" s="514"/>
      <c r="J211" s="514"/>
      <c r="K211" s="514"/>
      <c r="L211" s="514"/>
    </row>
    <row r="212" spans="1:12" ht="16.5">
      <c r="A212" s="511"/>
      <c r="B212" s="512"/>
      <c r="C212" s="513"/>
      <c r="D212" s="511"/>
      <c r="E212" s="511"/>
      <c r="F212" s="514"/>
      <c r="G212" s="514"/>
      <c r="H212" s="514"/>
      <c r="I212" s="514"/>
      <c r="J212" s="514"/>
      <c r="K212" s="514"/>
      <c r="L212" s="514"/>
    </row>
    <row r="213" spans="1:12" ht="16.5">
      <c r="A213" s="511"/>
      <c r="B213" s="512"/>
      <c r="C213" s="513"/>
      <c r="D213" s="511"/>
      <c r="E213" s="511"/>
      <c r="F213" s="514"/>
      <c r="G213" s="514"/>
      <c r="H213" s="514"/>
      <c r="I213" s="514"/>
      <c r="J213" s="514"/>
      <c r="K213" s="514"/>
      <c r="L213" s="514"/>
    </row>
    <row r="214" spans="1:12" ht="16.5">
      <c r="A214" s="511"/>
      <c r="B214" s="512"/>
      <c r="C214" s="513"/>
      <c r="D214" s="511"/>
      <c r="E214" s="511"/>
      <c r="F214" s="514"/>
      <c r="G214" s="514"/>
      <c r="H214" s="514"/>
      <c r="I214" s="514"/>
      <c r="J214" s="514"/>
      <c r="K214" s="514"/>
      <c r="L214" s="514"/>
    </row>
    <row r="215" spans="1:12" ht="16.5">
      <c r="A215" s="511"/>
      <c r="B215" s="512"/>
      <c r="C215" s="513"/>
      <c r="D215" s="511"/>
      <c r="E215" s="511"/>
      <c r="F215" s="514"/>
      <c r="G215" s="514"/>
      <c r="H215" s="514"/>
      <c r="I215" s="514"/>
      <c r="J215" s="514"/>
      <c r="K215" s="514"/>
      <c r="L215" s="514"/>
    </row>
    <row r="216" spans="1:12" ht="16.5">
      <c r="A216" s="511"/>
      <c r="B216" s="512"/>
      <c r="C216" s="513"/>
      <c r="D216" s="511"/>
      <c r="E216" s="511"/>
      <c r="F216" s="514"/>
      <c r="G216" s="514"/>
      <c r="H216" s="514"/>
      <c r="I216" s="514"/>
      <c r="J216" s="514"/>
      <c r="K216" s="514"/>
      <c r="L216" s="514"/>
    </row>
    <row r="217" spans="1:12" ht="16.5">
      <c r="A217" s="511"/>
      <c r="B217" s="512"/>
      <c r="C217" s="513"/>
      <c r="D217" s="511"/>
      <c r="E217" s="511"/>
      <c r="F217" s="514"/>
      <c r="G217" s="514"/>
      <c r="H217" s="514"/>
      <c r="I217" s="514"/>
      <c r="J217" s="514"/>
      <c r="K217" s="514"/>
      <c r="L217" s="514"/>
    </row>
    <row r="218" spans="1:12" ht="16.5">
      <c r="A218" s="511"/>
      <c r="B218" s="512"/>
      <c r="C218" s="513"/>
      <c r="D218" s="511"/>
      <c r="E218" s="511"/>
      <c r="F218" s="514"/>
      <c r="G218" s="514"/>
      <c r="H218" s="514"/>
      <c r="I218" s="514"/>
      <c r="J218" s="514"/>
      <c r="K218" s="514"/>
      <c r="L218" s="514"/>
    </row>
    <row r="219" spans="1:12" ht="16.5">
      <c r="A219" s="511"/>
      <c r="B219" s="512"/>
      <c r="C219" s="513"/>
      <c r="D219" s="511"/>
      <c r="E219" s="511"/>
      <c r="F219" s="514"/>
      <c r="G219" s="514"/>
      <c r="H219" s="514"/>
      <c r="I219" s="514"/>
      <c r="J219" s="514"/>
      <c r="K219" s="514"/>
      <c r="L219" s="514"/>
    </row>
    <row r="220" spans="1:12" ht="16.5">
      <c r="A220" s="511"/>
      <c r="B220" s="512"/>
      <c r="C220" s="513"/>
      <c r="D220" s="511"/>
      <c r="E220" s="511"/>
      <c r="F220" s="514"/>
      <c r="G220" s="514"/>
      <c r="H220" s="514"/>
      <c r="I220" s="514"/>
      <c r="J220" s="514"/>
      <c r="K220" s="514"/>
      <c r="L220" s="514"/>
    </row>
    <row r="221" spans="1:12" ht="16.5">
      <c r="A221" s="511"/>
      <c r="B221" s="512"/>
      <c r="C221" s="513"/>
      <c r="D221" s="511"/>
      <c r="E221" s="511"/>
      <c r="F221" s="514"/>
      <c r="G221" s="514"/>
      <c r="H221" s="514"/>
      <c r="I221" s="514"/>
      <c r="J221" s="514"/>
      <c r="K221" s="514"/>
      <c r="L221" s="514"/>
    </row>
    <row r="222" spans="1:12" ht="16.5">
      <c r="A222" s="511"/>
      <c r="B222" s="512"/>
      <c r="C222" s="513"/>
      <c r="D222" s="511"/>
      <c r="E222" s="511"/>
      <c r="F222" s="514"/>
      <c r="G222" s="514"/>
      <c r="H222" s="514"/>
      <c r="I222" s="514"/>
      <c r="J222" s="514"/>
      <c r="K222" s="514"/>
      <c r="L222" s="514"/>
    </row>
    <row r="223" spans="1:12" ht="16.5">
      <c r="A223" s="511"/>
      <c r="B223" s="512"/>
      <c r="C223" s="513"/>
      <c r="D223" s="511"/>
      <c r="E223" s="511"/>
      <c r="F223" s="514"/>
      <c r="G223" s="514"/>
      <c r="H223" s="514"/>
      <c r="I223" s="514"/>
      <c r="J223" s="514"/>
      <c r="K223" s="514"/>
      <c r="L223" s="514"/>
    </row>
    <row r="224" spans="1:12" ht="16.5">
      <c r="A224" s="511"/>
      <c r="B224" s="512"/>
      <c r="C224" s="513"/>
      <c r="D224" s="511"/>
      <c r="E224" s="511"/>
      <c r="F224" s="514"/>
      <c r="G224" s="514"/>
      <c r="H224" s="514"/>
      <c r="I224" s="514"/>
      <c r="J224" s="514"/>
      <c r="K224" s="514"/>
      <c r="L224" s="514"/>
    </row>
    <row r="225" spans="1:12" ht="16.5">
      <c r="A225" s="511"/>
      <c r="B225" s="512"/>
      <c r="C225" s="513"/>
      <c r="D225" s="511"/>
      <c r="E225" s="511"/>
      <c r="F225" s="514"/>
      <c r="G225" s="514"/>
      <c r="H225" s="514"/>
      <c r="I225" s="514"/>
      <c r="J225" s="514"/>
      <c r="K225" s="514"/>
      <c r="L225" s="514"/>
    </row>
    <row r="226" spans="1:12" ht="16.5">
      <c r="A226" s="511"/>
      <c r="B226" s="512"/>
      <c r="C226" s="513"/>
      <c r="D226" s="511"/>
      <c r="E226" s="511"/>
      <c r="F226" s="514"/>
      <c r="G226" s="514"/>
      <c r="H226" s="514"/>
      <c r="I226" s="514"/>
      <c r="J226" s="514"/>
      <c r="K226" s="514"/>
      <c r="L226" s="514"/>
    </row>
    <row r="227" spans="1:12" ht="16.5">
      <c r="A227" s="511"/>
      <c r="B227" s="512"/>
      <c r="C227" s="513"/>
      <c r="D227" s="511"/>
      <c r="E227" s="511"/>
      <c r="F227" s="514"/>
      <c r="G227" s="514"/>
      <c r="H227" s="514"/>
      <c r="I227" s="514"/>
      <c r="J227" s="514"/>
      <c r="K227" s="514"/>
      <c r="L227" s="514"/>
    </row>
    <row r="228" spans="1:12" ht="16.5">
      <c r="A228" s="511"/>
      <c r="B228" s="512"/>
      <c r="C228" s="513"/>
      <c r="D228" s="511"/>
      <c r="E228" s="511"/>
      <c r="F228" s="514"/>
      <c r="G228" s="514"/>
      <c r="H228" s="514"/>
      <c r="I228" s="514"/>
      <c r="J228" s="514"/>
      <c r="K228" s="514"/>
      <c r="L228" s="514"/>
    </row>
    <row r="229" spans="1:12" ht="16.5">
      <c r="A229" s="511"/>
      <c r="B229" s="512"/>
      <c r="C229" s="513"/>
      <c r="D229" s="511"/>
      <c r="E229" s="511"/>
      <c r="F229" s="514"/>
      <c r="G229" s="514"/>
      <c r="H229" s="514"/>
      <c r="I229" s="514"/>
      <c r="J229" s="514"/>
      <c r="K229" s="514"/>
      <c r="L229" s="514"/>
    </row>
    <row r="230" spans="1:12" ht="16.5">
      <c r="A230" s="511"/>
      <c r="B230" s="512"/>
      <c r="C230" s="513"/>
      <c r="D230" s="511"/>
      <c r="E230" s="511"/>
      <c r="F230" s="514"/>
      <c r="G230" s="514"/>
      <c r="H230" s="514"/>
      <c r="I230" s="514"/>
      <c r="J230" s="514"/>
      <c r="K230" s="514"/>
      <c r="L230" s="514"/>
    </row>
    <row r="231" spans="1:12" ht="16.5">
      <c r="A231" s="511"/>
      <c r="B231" s="512"/>
      <c r="C231" s="513"/>
      <c r="D231" s="511"/>
      <c r="E231" s="511"/>
      <c r="F231" s="514"/>
      <c r="G231" s="514"/>
      <c r="H231" s="514"/>
      <c r="I231" s="514"/>
      <c r="J231" s="514"/>
      <c r="K231" s="514"/>
      <c r="L231" s="514"/>
    </row>
    <row r="232" spans="1:12" ht="16.5">
      <c r="A232" s="511"/>
      <c r="B232" s="512"/>
      <c r="C232" s="513"/>
      <c r="D232" s="511"/>
      <c r="E232" s="511"/>
      <c r="F232" s="514"/>
      <c r="G232" s="514"/>
      <c r="H232" s="514"/>
      <c r="I232" s="514"/>
      <c r="J232" s="514"/>
      <c r="K232" s="514"/>
      <c r="L232" s="514"/>
    </row>
    <row r="233" spans="1:12" ht="16.5">
      <c r="A233" s="511"/>
      <c r="B233" s="512"/>
      <c r="C233" s="513"/>
      <c r="D233" s="511"/>
      <c r="E233" s="511"/>
      <c r="F233" s="514"/>
      <c r="G233" s="514"/>
      <c r="H233" s="514"/>
      <c r="I233" s="514"/>
      <c r="J233" s="514"/>
      <c r="K233" s="514"/>
      <c r="L233" s="514"/>
    </row>
    <row r="234" spans="1:12" ht="16.5">
      <c r="A234" s="511"/>
      <c r="B234" s="512"/>
      <c r="C234" s="513"/>
      <c r="D234" s="511"/>
      <c r="E234" s="511"/>
      <c r="F234" s="514"/>
      <c r="G234" s="514"/>
      <c r="H234" s="514"/>
      <c r="I234" s="514"/>
      <c r="J234" s="514"/>
      <c r="K234" s="514"/>
      <c r="L234" s="514"/>
    </row>
    <row r="235" spans="1:12" ht="16.5">
      <c r="A235" s="511"/>
      <c r="B235" s="512"/>
      <c r="C235" s="513"/>
      <c r="D235" s="511"/>
      <c r="E235" s="511"/>
      <c r="F235" s="514"/>
      <c r="G235" s="514"/>
      <c r="H235" s="514"/>
      <c r="I235" s="514"/>
      <c r="J235" s="514"/>
      <c r="K235" s="514"/>
      <c r="L235" s="514"/>
    </row>
    <row r="236" spans="1:12" ht="16.5">
      <c r="A236" s="511"/>
      <c r="B236" s="512"/>
      <c r="C236" s="513"/>
      <c r="D236" s="511"/>
      <c r="E236" s="511"/>
      <c r="F236" s="514"/>
      <c r="G236" s="514"/>
      <c r="H236" s="514"/>
      <c r="I236" s="514"/>
      <c r="J236" s="514"/>
      <c r="K236" s="514"/>
      <c r="L236" s="514"/>
    </row>
    <row r="237" spans="1:12" ht="16.5">
      <c r="A237" s="511"/>
      <c r="B237" s="512"/>
      <c r="C237" s="513"/>
      <c r="D237" s="511"/>
      <c r="E237" s="511"/>
      <c r="F237" s="514"/>
      <c r="G237" s="514"/>
      <c r="H237" s="514"/>
      <c r="I237" s="514"/>
      <c r="J237" s="514"/>
      <c r="K237" s="514"/>
      <c r="L237" s="514"/>
    </row>
    <row r="238" spans="1:12" ht="16.5">
      <c r="A238" s="511"/>
      <c r="B238" s="512"/>
      <c r="C238" s="513"/>
      <c r="D238" s="511"/>
      <c r="E238" s="511"/>
      <c r="F238" s="514"/>
      <c r="G238" s="514"/>
      <c r="H238" s="514"/>
      <c r="I238" s="514"/>
      <c r="J238" s="514"/>
      <c r="K238" s="514"/>
      <c r="L238" s="514"/>
    </row>
    <row r="239" spans="1:12" ht="16.5">
      <c r="A239" s="511"/>
      <c r="B239" s="512"/>
      <c r="C239" s="513"/>
      <c r="D239" s="511"/>
      <c r="E239" s="511"/>
      <c r="F239" s="514"/>
      <c r="G239" s="514"/>
      <c r="H239" s="514"/>
      <c r="I239" s="514"/>
      <c r="J239" s="514"/>
      <c r="K239" s="514"/>
      <c r="L239" s="514"/>
    </row>
    <row r="240" spans="1:12" ht="16.5">
      <c r="A240" s="511"/>
      <c r="B240" s="512"/>
      <c r="C240" s="513"/>
      <c r="D240" s="511"/>
      <c r="E240" s="511"/>
      <c r="F240" s="514"/>
      <c r="G240" s="514"/>
      <c r="H240" s="514"/>
      <c r="I240" s="514"/>
      <c r="J240" s="514"/>
      <c r="K240" s="514"/>
      <c r="L240" s="514"/>
    </row>
    <row r="241" spans="1:12" ht="16.5">
      <c r="A241" s="511"/>
      <c r="B241" s="512"/>
      <c r="C241" s="513"/>
      <c r="D241" s="511"/>
      <c r="E241" s="511"/>
      <c r="F241" s="514"/>
      <c r="G241" s="514"/>
      <c r="H241" s="514"/>
      <c r="I241" s="514"/>
      <c r="J241" s="514"/>
      <c r="K241" s="514"/>
      <c r="L241" s="514"/>
    </row>
    <row r="242" spans="1:12" ht="16.5">
      <c r="A242" s="511"/>
      <c r="B242" s="512"/>
      <c r="C242" s="513"/>
      <c r="D242" s="511"/>
      <c r="E242" s="511"/>
      <c r="F242" s="514"/>
      <c r="G242" s="514"/>
      <c r="H242" s="514"/>
      <c r="I242" s="514"/>
      <c r="J242" s="514"/>
      <c r="K242" s="514"/>
      <c r="L242" s="514"/>
    </row>
    <row r="243" spans="1:12" ht="16.5">
      <c r="A243" s="511"/>
      <c r="B243" s="512"/>
      <c r="C243" s="513"/>
      <c r="D243" s="511"/>
      <c r="E243" s="511"/>
      <c r="F243" s="514"/>
      <c r="G243" s="514"/>
      <c r="H243" s="514"/>
      <c r="I243" s="514"/>
      <c r="J243" s="514"/>
      <c r="K243" s="514"/>
      <c r="L243" s="514"/>
    </row>
    <row r="244" spans="1:12" ht="16.5">
      <c r="A244" s="511"/>
      <c r="B244" s="512"/>
      <c r="C244" s="513"/>
      <c r="D244" s="511"/>
      <c r="E244" s="511"/>
      <c r="F244" s="514"/>
      <c r="G244" s="514"/>
      <c r="H244" s="514"/>
      <c r="I244" s="514"/>
      <c r="J244" s="514"/>
      <c r="K244" s="514"/>
      <c r="L244" s="514"/>
    </row>
    <row r="245" spans="1:12" ht="16.5">
      <c r="A245" s="511"/>
      <c r="B245" s="512"/>
      <c r="C245" s="513"/>
      <c r="D245" s="511"/>
      <c r="E245" s="511"/>
      <c r="F245" s="514"/>
      <c r="G245" s="514"/>
      <c r="H245" s="514"/>
      <c r="I245" s="514"/>
      <c r="J245" s="514"/>
      <c r="K245" s="514"/>
      <c r="L245" s="51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4"/>
  <sheetViews>
    <sheetView workbookViewId="0"/>
  </sheetViews>
  <sheetFormatPr defaultRowHeight="15"/>
  <sheetData>
    <row r="1" spans="1:12" ht="56.25">
      <c r="B1" s="507" t="s">
        <v>413</v>
      </c>
      <c r="C1" s="517"/>
      <c r="D1" s="517"/>
      <c r="E1" s="517"/>
      <c r="I1" s="1069" t="s">
        <v>326</v>
      </c>
      <c r="J1" s="1069"/>
      <c r="L1" s="584" t="s">
        <v>612</v>
      </c>
    </row>
    <row r="2" spans="1:12" ht="19.5">
      <c r="A2" s="360"/>
      <c r="C2" s="655"/>
      <c r="D2" s="655"/>
      <c r="E2" s="655"/>
      <c r="F2" s="655"/>
      <c r="G2" s="655"/>
      <c r="H2" s="655"/>
      <c r="I2" s="655"/>
      <c r="J2" s="655"/>
      <c r="L2" s="627" t="s">
        <v>678</v>
      </c>
    </row>
    <row r="3" spans="1:12" ht="16.5">
      <c r="A3" s="1063" t="s">
        <v>414</v>
      </c>
      <c r="B3" s="1063"/>
      <c r="C3" s="1063"/>
      <c r="D3" s="1063"/>
      <c r="E3" s="1063"/>
      <c r="F3" s="1063"/>
      <c r="G3" s="1063"/>
      <c r="H3" s="1063"/>
      <c r="I3" s="1063"/>
      <c r="J3" s="1063"/>
      <c r="K3" s="1063"/>
      <c r="L3" s="1063"/>
    </row>
    <row r="4" spans="1:12" ht="16.5">
      <c r="A4" s="383"/>
      <c r="B4" s="384"/>
      <c r="C4" s="364"/>
      <c r="D4" s="383"/>
      <c r="E4" s="383"/>
      <c r="F4" s="383"/>
      <c r="G4" s="365"/>
      <c r="H4" s="365"/>
      <c r="I4" s="365"/>
      <c r="J4" s="383"/>
    </row>
    <row r="5" spans="1:12" ht="165">
      <c r="A5" s="1067" t="s">
        <v>0</v>
      </c>
      <c r="B5" s="1067" t="s">
        <v>287</v>
      </c>
      <c r="C5" s="1067" t="s">
        <v>184</v>
      </c>
      <c r="D5" s="1067" t="s">
        <v>317</v>
      </c>
      <c r="E5" s="1067" t="s">
        <v>323</v>
      </c>
      <c r="F5" s="1068" t="s">
        <v>530</v>
      </c>
      <c r="G5" s="1068"/>
      <c r="H5" s="1068"/>
      <c r="I5" s="1068"/>
      <c r="J5" s="1068"/>
      <c r="K5" s="1070" t="s">
        <v>531</v>
      </c>
      <c r="L5" s="1070" t="s">
        <v>532</v>
      </c>
    </row>
    <row r="6" spans="1:12" ht="33">
      <c r="A6" s="1067"/>
      <c r="B6" s="1067"/>
      <c r="C6" s="1067"/>
      <c r="D6" s="1067"/>
      <c r="E6" s="1067"/>
      <c r="F6" s="366" t="s">
        <v>318</v>
      </c>
      <c r="G6" s="366" t="s">
        <v>319</v>
      </c>
      <c r="H6" s="366" t="s">
        <v>320</v>
      </c>
      <c r="I6" s="366" t="s">
        <v>321</v>
      </c>
      <c r="J6" s="366" t="s">
        <v>322</v>
      </c>
      <c r="K6" s="1071"/>
      <c r="L6" s="1071"/>
    </row>
    <row r="7" spans="1:12" ht="31.5">
      <c r="A7" s="638" t="s">
        <v>101</v>
      </c>
      <c r="B7" s="629" t="s">
        <v>629</v>
      </c>
      <c r="C7" s="487" t="s">
        <v>416</v>
      </c>
      <c r="D7" s="644"/>
      <c r="E7" s="649"/>
      <c r="F7" s="645"/>
      <c r="G7" s="645"/>
      <c r="H7" s="645"/>
      <c r="I7" s="645"/>
      <c r="J7" s="645"/>
      <c r="K7" s="646"/>
      <c r="L7" s="646"/>
    </row>
    <row r="8" spans="1:12" ht="78.75">
      <c r="A8" s="638">
        <v>1</v>
      </c>
      <c r="B8" s="629" t="s">
        <v>417</v>
      </c>
      <c r="C8" s="484" t="s">
        <v>416</v>
      </c>
      <c r="D8" s="644"/>
      <c r="E8" s="649"/>
      <c r="F8" s="645"/>
      <c r="G8" s="645"/>
      <c r="H8" s="645"/>
      <c r="I8" s="645"/>
      <c r="J8" s="645"/>
      <c r="K8" s="646"/>
      <c r="L8" s="646"/>
    </row>
    <row r="9" spans="1:12" ht="110.25">
      <c r="A9" s="638"/>
      <c r="B9" s="630" t="s">
        <v>418</v>
      </c>
      <c r="C9" s="484" t="s">
        <v>416</v>
      </c>
      <c r="D9" s="644"/>
      <c r="E9" s="649"/>
      <c r="F9" s="531"/>
      <c r="G9" s="531"/>
      <c r="H9" s="531"/>
      <c r="I9" s="531"/>
      <c r="J9" s="531"/>
      <c r="K9" s="646"/>
      <c r="L9" s="646"/>
    </row>
    <row r="10" spans="1:12" ht="110.25">
      <c r="A10" s="639"/>
      <c r="B10" s="640" t="s">
        <v>419</v>
      </c>
      <c r="C10" s="605" t="s">
        <v>416</v>
      </c>
      <c r="D10" s="644"/>
      <c r="E10" s="649"/>
      <c r="F10" s="647"/>
      <c r="G10" s="647"/>
      <c r="H10" s="647"/>
      <c r="I10" s="647"/>
      <c r="J10" s="647"/>
      <c r="K10" s="648"/>
      <c r="L10" s="648"/>
    </row>
    <row r="11" spans="1:12" ht="63">
      <c r="A11" s="638" t="s">
        <v>420</v>
      </c>
      <c r="B11" s="629" t="s">
        <v>421</v>
      </c>
      <c r="C11" s="487"/>
      <c r="D11" s="645"/>
      <c r="E11" s="645"/>
      <c r="F11" s="645"/>
      <c r="G11" s="645"/>
      <c r="H11" s="645"/>
      <c r="I11" s="645"/>
      <c r="J11" s="645"/>
      <c r="K11" s="646"/>
      <c r="L11" s="646"/>
    </row>
    <row r="12" spans="1:12" ht="63">
      <c r="A12" s="641"/>
      <c r="B12" s="630" t="s">
        <v>422</v>
      </c>
      <c r="C12" s="484" t="s">
        <v>423</v>
      </c>
      <c r="D12" s="531"/>
      <c r="E12" s="531"/>
      <c r="F12" s="531"/>
      <c r="G12" s="531"/>
      <c r="H12" s="531"/>
      <c r="I12" s="531"/>
      <c r="J12" s="531"/>
      <c r="K12" s="646"/>
      <c r="L12" s="646"/>
    </row>
    <row r="13" spans="1:12" ht="31.5">
      <c r="A13" s="641"/>
      <c r="B13" s="630" t="s">
        <v>424</v>
      </c>
      <c r="C13" s="484" t="s">
        <v>416</v>
      </c>
      <c r="D13" s="649"/>
      <c r="E13" s="649"/>
      <c r="F13" s="531"/>
      <c r="G13" s="531"/>
      <c r="H13" s="531"/>
      <c r="I13" s="531"/>
      <c r="J13" s="531"/>
      <c r="K13" s="646"/>
      <c r="L13" s="646"/>
    </row>
    <row r="14" spans="1:12" ht="31.5">
      <c r="A14" s="641"/>
      <c r="B14" s="630" t="s">
        <v>425</v>
      </c>
      <c r="C14" s="484" t="s">
        <v>416</v>
      </c>
      <c r="D14" s="531"/>
      <c r="E14" s="531"/>
      <c r="F14" s="531"/>
      <c r="G14" s="531"/>
      <c r="H14" s="531"/>
      <c r="I14" s="531"/>
      <c r="J14" s="531"/>
      <c r="K14" s="646"/>
      <c r="L14" s="646"/>
    </row>
    <row r="15" spans="1:12" ht="31.5">
      <c r="A15" s="642"/>
      <c r="B15" s="630" t="s">
        <v>426</v>
      </c>
      <c r="C15" s="484" t="s">
        <v>416</v>
      </c>
      <c r="D15" s="531"/>
      <c r="E15" s="531"/>
      <c r="F15" s="531"/>
      <c r="G15" s="531"/>
      <c r="H15" s="531"/>
      <c r="I15" s="531"/>
      <c r="J15" s="531"/>
      <c r="K15" s="646"/>
      <c r="L15" s="646"/>
    </row>
    <row r="16" spans="1:12" ht="31.5">
      <c r="A16" s="487" t="s">
        <v>409</v>
      </c>
      <c r="B16" s="488" t="s">
        <v>427</v>
      </c>
      <c r="C16" s="608" t="s">
        <v>301</v>
      </c>
      <c r="D16" s="650"/>
      <c r="E16" s="650"/>
      <c r="F16" s="651"/>
      <c r="G16" s="651"/>
      <c r="H16" s="651"/>
      <c r="I16" s="651"/>
      <c r="J16" s="651"/>
      <c r="K16" s="646"/>
      <c r="L16" s="646"/>
    </row>
    <row r="17" spans="1:12" ht="31.5">
      <c r="A17" s="638" t="s">
        <v>102</v>
      </c>
      <c r="B17" s="629" t="s">
        <v>428</v>
      </c>
      <c r="C17" s="487"/>
      <c r="D17" s="652"/>
      <c r="E17" s="739"/>
      <c r="F17" s="645"/>
      <c r="G17" s="645"/>
      <c r="H17" s="645"/>
      <c r="I17" s="645"/>
      <c r="J17" s="645"/>
      <c r="K17" s="646"/>
      <c r="L17" s="646"/>
    </row>
    <row r="18" spans="1:12" ht="78.75">
      <c r="A18" s="638" t="s">
        <v>400</v>
      </c>
      <c r="B18" s="629" t="s">
        <v>429</v>
      </c>
      <c r="C18" s="484" t="s">
        <v>416</v>
      </c>
      <c r="D18" s="644"/>
      <c r="E18" s="649"/>
      <c r="F18" s="645"/>
      <c r="G18" s="645"/>
      <c r="H18" s="645"/>
      <c r="I18" s="645"/>
      <c r="J18" s="645"/>
      <c r="K18" s="646"/>
      <c r="L18" s="646"/>
    </row>
    <row r="19" spans="1:12" ht="47.25">
      <c r="A19" s="641"/>
      <c r="B19" s="630" t="s">
        <v>628</v>
      </c>
      <c r="C19" s="484" t="s">
        <v>416</v>
      </c>
      <c r="D19" s="644"/>
      <c r="E19" s="649"/>
      <c r="F19" s="531"/>
      <c r="G19" s="531"/>
      <c r="H19" s="531"/>
      <c r="I19" s="531"/>
      <c r="J19" s="531"/>
      <c r="K19" s="646"/>
      <c r="L19" s="646"/>
    </row>
    <row r="20" spans="1:12" ht="63">
      <c r="A20" s="643"/>
      <c r="B20" s="640" t="s">
        <v>431</v>
      </c>
      <c r="C20" s="605" t="s">
        <v>416</v>
      </c>
      <c r="D20" s="647"/>
      <c r="E20" s="531"/>
      <c r="F20" s="647"/>
      <c r="G20" s="647"/>
      <c r="H20" s="647"/>
      <c r="I20" s="647"/>
      <c r="J20" s="647"/>
      <c r="K20" s="648"/>
      <c r="L20" s="648"/>
    </row>
    <row r="21" spans="1:12" ht="63">
      <c r="A21" s="638" t="s">
        <v>403</v>
      </c>
      <c r="B21" s="629" t="s">
        <v>432</v>
      </c>
      <c r="C21" s="487"/>
      <c r="D21" s="645"/>
      <c r="E21" s="645"/>
      <c r="F21" s="645"/>
      <c r="G21" s="645"/>
      <c r="H21" s="645"/>
      <c r="I21" s="645"/>
      <c r="J21" s="645"/>
      <c r="K21" s="646"/>
      <c r="L21" s="646"/>
    </row>
    <row r="22" spans="1:12" ht="78.75">
      <c r="A22" s="641"/>
      <c r="B22" s="630" t="s">
        <v>433</v>
      </c>
      <c r="C22" s="484" t="s">
        <v>416</v>
      </c>
      <c r="D22" s="653"/>
      <c r="E22" s="740"/>
      <c r="F22" s="645"/>
      <c r="G22" s="645"/>
      <c r="H22" s="645"/>
      <c r="I22" s="645"/>
      <c r="J22" s="645"/>
      <c r="K22" s="646"/>
      <c r="L22" s="646"/>
    </row>
    <row r="23" spans="1:12" ht="31.5">
      <c r="A23" s="641"/>
      <c r="B23" s="630" t="s">
        <v>425</v>
      </c>
      <c r="C23" s="484" t="s">
        <v>416</v>
      </c>
      <c r="D23" s="653"/>
      <c r="E23" s="740"/>
      <c r="F23" s="531"/>
      <c r="G23" s="531"/>
      <c r="H23" s="531"/>
      <c r="I23" s="531"/>
      <c r="J23" s="531"/>
      <c r="K23" s="646"/>
      <c r="L23" s="646"/>
    </row>
    <row r="24" spans="1:12" ht="47.25">
      <c r="A24" s="641"/>
      <c r="B24" s="630" t="s">
        <v>520</v>
      </c>
      <c r="C24" s="484" t="s">
        <v>416</v>
      </c>
      <c r="D24" s="653"/>
      <c r="E24" s="740"/>
      <c r="F24" s="531"/>
      <c r="G24" s="531"/>
      <c r="H24" s="531"/>
      <c r="I24" s="531"/>
      <c r="J24" s="531"/>
      <c r="K24" s="646"/>
      <c r="L24" s="646"/>
    </row>
    <row r="25" spans="1:12" ht="31.5">
      <c r="A25" s="487" t="s">
        <v>409</v>
      </c>
      <c r="B25" s="488" t="s">
        <v>427</v>
      </c>
      <c r="C25" s="608" t="s">
        <v>301</v>
      </c>
      <c r="D25" s="652"/>
      <c r="E25" s="739"/>
      <c r="F25" s="651"/>
      <c r="G25" s="651"/>
      <c r="H25" s="651"/>
      <c r="I25" s="651"/>
      <c r="J25" s="651"/>
      <c r="K25" s="646"/>
      <c r="L25" s="646"/>
    </row>
    <row r="26" spans="1:12" ht="31.5">
      <c r="A26" s="487" t="s">
        <v>115</v>
      </c>
      <c r="B26" s="488" t="s">
        <v>434</v>
      </c>
      <c r="C26" s="486" t="s">
        <v>302</v>
      </c>
      <c r="D26" s="652"/>
      <c r="E26" s="739"/>
      <c r="F26" s="645"/>
      <c r="G26" s="645"/>
      <c r="H26" s="645"/>
      <c r="I26" s="645"/>
      <c r="J26" s="645"/>
      <c r="K26" s="646"/>
      <c r="L26" s="646"/>
    </row>
    <row r="27" spans="1:12" ht="94.5">
      <c r="A27" s="614"/>
      <c r="B27" s="615" t="s">
        <v>435</v>
      </c>
      <c r="C27" s="608" t="s">
        <v>301</v>
      </c>
      <c r="D27" s="644"/>
      <c r="E27" s="649"/>
      <c r="F27" s="654"/>
      <c r="G27" s="654"/>
      <c r="H27" s="654"/>
      <c r="I27" s="654"/>
      <c r="J27" s="654"/>
      <c r="K27" s="646"/>
      <c r="L27" s="646"/>
    </row>
    <row r="28" spans="1:12" ht="16.5">
      <c r="A28" s="383"/>
      <c r="B28" s="384"/>
      <c r="C28" s="364"/>
      <c r="D28" s="383"/>
      <c r="E28" s="383"/>
      <c r="F28" s="383"/>
      <c r="G28" s="365"/>
      <c r="H28" s="365"/>
      <c r="I28" s="365"/>
      <c r="J28" s="383"/>
    </row>
    <row r="29" spans="1:12" ht="16.5">
      <c r="A29" s="383"/>
      <c r="B29" s="384"/>
      <c r="C29" s="364"/>
      <c r="D29" s="383"/>
      <c r="E29" s="383"/>
      <c r="F29" s="383"/>
      <c r="G29" s="365"/>
      <c r="H29" s="365"/>
      <c r="I29" s="365"/>
      <c r="J29" s="383"/>
    </row>
    <row r="30" spans="1:12" ht="16.5">
      <c r="A30" s="383"/>
      <c r="B30" s="384"/>
      <c r="C30" s="364"/>
      <c r="D30" s="383"/>
      <c r="E30" s="383"/>
      <c r="F30" s="383"/>
      <c r="G30" s="365"/>
      <c r="H30" s="365"/>
      <c r="I30" s="365"/>
      <c r="J30" s="383"/>
    </row>
    <row r="31" spans="1:12" ht="16.5">
      <c r="A31" s="383"/>
      <c r="B31" s="384"/>
      <c r="C31" s="364"/>
      <c r="D31" s="383"/>
      <c r="E31" s="383"/>
      <c r="F31" s="383"/>
      <c r="G31" s="365"/>
      <c r="H31" s="365"/>
      <c r="I31" s="365"/>
      <c r="J31" s="383"/>
    </row>
    <row r="32" spans="1:12" ht="16.5">
      <c r="A32" s="383"/>
      <c r="B32" s="384"/>
      <c r="C32" s="364"/>
      <c r="D32" s="383"/>
      <c r="E32" s="383"/>
      <c r="F32" s="383"/>
      <c r="G32" s="365"/>
      <c r="H32" s="365"/>
      <c r="I32" s="365"/>
      <c r="J32" s="383"/>
    </row>
    <row r="33" spans="1:10" ht="16.5">
      <c r="A33" s="383"/>
      <c r="B33" s="384"/>
      <c r="C33" s="364"/>
      <c r="D33" s="383"/>
      <c r="E33" s="383"/>
      <c r="F33" s="383"/>
      <c r="G33" s="365"/>
      <c r="H33" s="365"/>
      <c r="I33" s="365"/>
      <c r="J33" s="383"/>
    </row>
    <row r="34" spans="1:10" ht="16.5">
      <c r="A34" s="383"/>
      <c r="B34" s="384"/>
      <c r="C34" s="364"/>
      <c r="D34" s="383"/>
      <c r="E34" s="383"/>
      <c r="F34" s="383"/>
      <c r="G34" s="365"/>
      <c r="H34" s="365"/>
      <c r="I34" s="365"/>
      <c r="J34" s="383"/>
    </row>
    <row r="35" spans="1:10" ht="16.5">
      <c r="A35" s="383"/>
      <c r="B35" s="384"/>
      <c r="C35" s="364"/>
      <c r="D35" s="383"/>
      <c r="E35" s="383"/>
      <c r="F35" s="383"/>
      <c r="G35" s="365"/>
      <c r="H35" s="365"/>
      <c r="I35" s="365"/>
      <c r="J35" s="383"/>
    </row>
    <row r="36" spans="1:10" ht="16.5">
      <c r="A36" s="383"/>
      <c r="B36" s="384"/>
      <c r="C36" s="364"/>
      <c r="D36" s="383"/>
      <c r="E36" s="383"/>
      <c r="F36" s="383"/>
      <c r="G36" s="365"/>
      <c r="H36" s="365"/>
      <c r="I36" s="365"/>
      <c r="J36" s="383"/>
    </row>
    <row r="37" spans="1:10" ht="16.5">
      <c r="A37" s="383"/>
      <c r="B37" s="384"/>
      <c r="C37" s="364"/>
      <c r="D37" s="383"/>
      <c r="E37" s="383"/>
      <c r="F37" s="383"/>
      <c r="G37" s="365"/>
      <c r="H37" s="365"/>
      <c r="I37" s="365"/>
      <c r="J37" s="383"/>
    </row>
    <row r="38" spans="1:10" ht="16.5">
      <c r="A38" s="383"/>
      <c r="B38" s="384"/>
      <c r="C38" s="364"/>
      <c r="D38" s="383"/>
      <c r="E38" s="383"/>
      <c r="F38" s="383"/>
      <c r="G38" s="365"/>
      <c r="H38" s="365"/>
      <c r="I38" s="365"/>
      <c r="J38" s="383"/>
    </row>
    <row r="39" spans="1:10" ht="16.5">
      <c r="A39" s="383"/>
      <c r="B39" s="384"/>
      <c r="C39" s="364"/>
      <c r="D39" s="383"/>
      <c r="E39" s="383"/>
      <c r="F39" s="383"/>
      <c r="G39" s="365"/>
      <c r="H39" s="365"/>
      <c r="I39" s="365"/>
      <c r="J39" s="383"/>
    </row>
    <row r="40" spans="1:10" ht="16.5">
      <c r="A40" s="383"/>
      <c r="B40" s="384"/>
      <c r="C40" s="364"/>
      <c r="D40" s="383"/>
      <c r="E40" s="383"/>
      <c r="F40" s="383"/>
      <c r="G40" s="365"/>
      <c r="H40" s="365"/>
      <c r="I40" s="365"/>
      <c r="J40" s="383"/>
    </row>
    <row r="41" spans="1:10" ht="16.5">
      <c r="A41" s="383"/>
      <c r="B41" s="384"/>
      <c r="C41" s="364"/>
      <c r="D41" s="383"/>
      <c r="E41" s="383"/>
      <c r="F41" s="383"/>
      <c r="G41" s="365"/>
      <c r="H41" s="365"/>
      <c r="I41" s="365"/>
      <c r="J41" s="383"/>
    </row>
    <row r="42" spans="1:10" ht="16.5">
      <c r="A42" s="383"/>
      <c r="B42" s="384"/>
      <c r="C42" s="364"/>
      <c r="D42" s="383"/>
      <c r="E42" s="383"/>
      <c r="F42" s="383"/>
      <c r="G42" s="365"/>
      <c r="H42" s="365"/>
      <c r="I42" s="365"/>
      <c r="J42" s="383"/>
    </row>
    <row r="43" spans="1:10" ht="16.5">
      <c r="A43" s="383"/>
      <c r="B43" s="384"/>
      <c r="C43" s="364"/>
      <c r="D43" s="383"/>
      <c r="E43" s="383"/>
      <c r="F43" s="383"/>
      <c r="G43" s="365"/>
      <c r="H43" s="365"/>
      <c r="I43" s="365"/>
      <c r="J43" s="383"/>
    </row>
    <row r="44" spans="1:10" ht="16.5">
      <c r="A44" s="383"/>
      <c r="B44" s="384"/>
      <c r="C44" s="364"/>
      <c r="D44" s="383"/>
      <c r="E44" s="383"/>
      <c r="F44" s="383"/>
      <c r="G44" s="365"/>
      <c r="H44" s="365"/>
      <c r="I44" s="365"/>
      <c r="J44" s="383"/>
    </row>
    <row r="45" spans="1:10" ht="16.5">
      <c r="A45" s="383"/>
      <c r="B45" s="384"/>
      <c r="C45" s="364"/>
      <c r="D45" s="383"/>
      <c r="E45" s="383"/>
      <c r="F45" s="383"/>
      <c r="G45" s="365"/>
      <c r="H45" s="365"/>
      <c r="I45" s="365"/>
      <c r="J45" s="383"/>
    </row>
    <row r="46" spans="1:10" ht="16.5">
      <c r="A46" s="383"/>
      <c r="B46" s="384"/>
      <c r="C46" s="364"/>
      <c r="D46" s="383"/>
      <c r="E46" s="383"/>
      <c r="F46" s="383"/>
      <c r="G46" s="365"/>
      <c r="H46" s="365"/>
      <c r="I46" s="365"/>
      <c r="J46" s="383"/>
    </row>
    <row r="47" spans="1:10" ht="16.5">
      <c r="A47" s="383"/>
      <c r="B47" s="384"/>
      <c r="C47" s="364"/>
      <c r="D47" s="383"/>
      <c r="E47" s="383"/>
      <c r="F47" s="383"/>
      <c r="G47" s="365"/>
      <c r="H47" s="365"/>
      <c r="I47" s="365"/>
      <c r="J47" s="383"/>
    </row>
    <row r="48" spans="1:10" ht="16.5">
      <c r="A48" s="383"/>
      <c r="B48" s="384"/>
      <c r="C48" s="364"/>
      <c r="D48" s="383"/>
      <c r="E48" s="383"/>
      <c r="F48" s="383"/>
      <c r="G48" s="365"/>
      <c r="H48" s="365"/>
      <c r="I48" s="365"/>
      <c r="J48" s="383"/>
    </row>
    <row r="49" spans="1:10" ht="16.5">
      <c r="A49" s="383"/>
      <c r="B49" s="384"/>
      <c r="C49" s="364"/>
      <c r="D49" s="383"/>
      <c r="E49" s="383"/>
      <c r="F49" s="383"/>
      <c r="G49" s="365"/>
      <c r="H49" s="365"/>
      <c r="I49" s="365"/>
      <c r="J49" s="383"/>
    </row>
    <row r="50" spans="1:10" ht="16.5">
      <c r="A50" s="383"/>
      <c r="B50" s="384"/>
      <c r="C50" s="364"/>
      <c r="D50" s="383"/>
      <c r="E50" s="383"/>
      <c r="F50" s="383"/>
      <c r="G50" s="365"/>
      <c r="H50" s="365"/>
      <c r="I50" s="365"/>
      <c r="J50" s="383"/>
    </row>
    <row r="51" spans="1:10" ht="16.5">
      <c r="A51" s="383"/>
      <c r="B51" s="384"/>
      <c r="C51" s="364"/>
      <c r="D51" s="383"/>
      <c r="E51" s="383"/>
      <c r="F51" s="383"/>
      <c r="G51" s="365"/>
      <c r="H51" s="365"/>
      <c r="I51" s="365"/>
      <c r="J51" s="383"/>
    </row>
    <row r="52" spans="1:10" ht="16.5">
      <c r="A52" s="383"/>
      <c r="B52" s="384"/>
      <c r="C52" s="364"/>
      <c r="D52" s="383"/>
      <c r="E52" s="383"/>
      <c r="F52" s="383"/>
      <c r="G52" s="365"/>
      <c r="H52" s="365"/>
      <c r="I52" s="365"/>
      <c r="J52" s="383"/>
    </row>
    <row r="53" spans="1:10" ht="16.5">
      <c r="A53" s="383"/>
      <c r="B53" s="384"/>
      <c r="C53" s="364"/>
      <c r="D53" s="383"/>
      <c r="E53" s="383"/>
      <c r="F53" s="383"/>
      <c r="G53" s="365"/>
      <c r="H53" s="365"/>
      <c r="I53" s="365"/>
      <c r="J53" s="383"/>
    </row>
    <row r="54" spans="1:10" ht="16.5">
      <c r="A54" s="383"/>
      <c r="B54" s="384"/>
      <c r="C54" s="364"/>
      <c r="D54" s="383"/>
      <c r="E54" s="383"/>
      <c r="F54" s="383"/>
      <c r="G54" s="365"/>
      <c r="H54" s="365"/>
      <c r="I54" s="365"/>
      <c r="J54" s="383"/>
    </row>
    <row r="55" spans="1:10" ht="16.5">
      <c r="A55" s="383"/>
      <c r="B55" s="384"/>
      <c r="C55" s="364"/>
      <c r="D55" s="383"/>
      <c r="E55" s="383"/>
      <c r="F55" s="383"/>
      <c r="G55" s="365"/>
      <c r="H55" s="365"/>
      <c r="I55" s="365"/>
      <c r="J55" s="383"/>
    </row>
    <row r="56" spans="1:10" ht="16.5">
      <c r="A56" s="383"/>
      <c r="B56" s="384"/>
      <c r="C56" s="364"/>
      <c r="D56" s="383"/>
      <c r="E56" s="383"/>
      <c r="F56" s="383"/>
      <c r="G56" s="365"/>
      <c r="H56" s="365"/>
      <c r="I56" s="365"/>
      <c r="J56" s="383"/>
    </row>
    <row r="57" spans="1:10" ht="16.5">
      <c r="A57" s="383"/>
      <c r="B57" s="384"/>
      <c r="C57" s="364"/>
      <c r="D57" s="383"/>
      <c r="E57" s="383"/>
      <c r="F57" s="383"/>
      <c r="G57" s="365"/>
      <c r="H57" s="365"/>
      <c r="I57" s="365"/>
      <c r="J57" s="383"/>
    </row>
    <row r="58" spans="1:10" ht="16.5">
      <c r="A58" s="383"/>
      <c r="B58" s="384"/>
      <c r="C58" s="364"/>
      <c r="D58" s="383"/>
      <c r="E58" s="383"/>
      <c r="F58" s="383"/>
      <c r="G58" s="365"/>
      <c r="H58" s="365"/>
      <c r="I58" s="365"/>
      <c r="J58" s="383"/>
    </row>
    <row r="59" spans="1:10" ht="16.5">
      <c r="A59" s="383"/>
      <c r="B59" s="384"/>
      <c r="C59" s="364"/>
      <c r="D59" s="383"/>
      <c r="E59" s="383"/>
      <c r="F59" s="383"/>
      <c r="G59" s="365"/>
      <c r="H59" s="365"/>
      <c r="I59" s="365"/>
      <c r="J59" s="383"/>
    </row>
    <row r="60" spans="1:10" ht="16.5">
      <c r="A60" s="383"/>
      <c r="B60" s="384"/>
      <c r="C60" s="364"/>
      <c r="D60" s="383"/>
      <c r="E60" s="383"/>
      <c r="F60" s="383"/>
      <c r="G60" s="365"/>
      <c r="H60" s="365"/>
      <c r="I60" s="365"/>
      <c r="J60" s="383"/>
    </row>
    <row r="61" spans="1:10" ht="16.5">
      <c r="A61" s="383"/>
      <c r="B61" s="384"/>
      <c r="C61" s="364"/>
      <c r="D61" s="383"/>
      <c r="E61" s="383"/>
      <c r="F61" s="383"/>
      <c r="G61" s="365"/>
      <c r="H61" s="365"/>
      <c r="I61" s="365"/>
      <c r="J61" s="383"/>
    </row>
    <row r="62" spans="1:10" ht="16.5">
      <c r="A62" s="383"/>
      <c r="B62" s="384"/>
      <c r="C62" s="364"/>
      <c r="D62" s="383"/>
      <c r="E62" s="383"/>
      <c r="F62" s="383"/>
      <c r="G62" s="365"/>
      <c r="H62" s="365"/>
      <c r="I62" s="365"/>
      <c r="J62" s="383"/>
    </row>
    <row r="63" spans="1:10" ht="16.5">
      <c r="A63" s="383"/>
      <c r="B63" s="384"/>
      <c r="C63" s="364"/>
      <c r="D63" s="383"/>
      <c r="E63" s="383"/>
      <c r="F63" s="383"/>
      <c r="G63" s="365"/>
      <c r="H63" s="365"/>
      <c r="I63" s="365"/>
      <c r="J63" s="383"/>
    </row>
    <row r="64" spans="1:10" ht="16.5">
      <c r="A64" s="383"/>
      <c r="B64" s="384"/>
      <c r="C64" s="364"/>
      <c r="D64" s="383"/>
      <c r="E64" s="383"/>
      <c r="F64" s="383"/>
      <c r="G64" s="365"/>
      <c r="H64" s="365"/>
      <c r="I64" s="365"/>
      <c r="J64" s="383"/>
    </row>
    <row r="65" spans="1:10" ht="16.5">
      <c r="A65" s="383"/>
      <c r="B65" s="384"/>
      <c r="C65" s="364"/>
      <c r="D65" s="383"/>
      <c r="E65" s="383"/>
      <c r="F65" s="383"/>
      <c r="G65" s="365"/>
      <c r="H65" s="365"/>
      <c r="I65" s="365"/>
      <c r="J65" s="383"/>
    </row>
    <row r="66" spans="1:10" ht="16.5">
      <c r="A66" s="383"/>
      <c r="B66" s="384"/>
      <c r="C66" s="364"/>
      <c r="D66" s="383"/>
      <c r="E66" s="383"/>
      <c r="F66" s="383"/>
      <c r="G66" s="365"/>
      <c r="H66" s="365"/>
      <c r="I66" s="365"/>
      <c r="J66" s="383"/>
    </row>
    <row r="67" spans="1:10" ht="16.5">
      <c r="A67" s="383"/>
      <c r="B67" s="384"/>
      <c r="C67" s="364"/>
      <c r="D67" s="383"/>
      <c r="E67" s="383"/>
      <c r="F67" s="383"/>
      <c r="G67" s="365"/>
      <c r="H67" s="365"/>
      <c r="I67" s="365"/>
      <c r="J67" s="383"/>
    </row>
    <row r="68" spans="1:10" ht="16.5">
      <c r="A68" s="383"/>
      <c r="B68" s="384"/>
      <c r="C68" s="364"/>
      <c r="D68" s="383"/>
      <c r="E68" s="383"/>
      <c r="F68" s="383"/>
      <c r="G68" s="365"/>
      <c r="H68" s="365"/>
      <c r="I68" s="365"/>
      <c r="J68" s="383"/>
    </row>
    <row r="69" spans="1:10" ht="16.5">
      <c r="A69" s="383"/>
      <c r="B69" s="384"/>
      <c r="C69" s="364"/>
      <c r="D69" s="383"/>
      <c r="E69" s="383"/>
      <c r="F69" s="383"/>
      <c r="G69" s="365"/>
      <c r="H69" s="365"/>
      <c r="I69" s="365"/>
      <c r="J69" s="383"/>
    </row>
    <row r="70" spans="1:10" ht="16.5">
      <c r="A70" s="383"/>
      <c r="B70" s="384"/>
      <c r="C70" s="364"/>
      <c r="D70" s="383"/>
      <c r="E70" s="383"/>
      <c r="F70" s="383"/>
      <c r="G70" s="365"/>
      <c r="H70" s="365"/>
      <c r="I70" s="365"/>
      <c r="J70" s="383"/>
    </row>
    <row r="71" spans="1:10" ht="16.5">
      <c r="A71" s="383"/>
      <c r="B71" s="384"/>
      <c r="C71" s="364"/>
      <c r="D71" s="383"/>
      <c r="E71" s="383"/>
      <c r="F71" s="383"/>
      <c r="G71" s="365"/>
      <c r="H71" s="365"/>
      <c r="I71" s="365"/>
      <c r="J71" s="383"/>
    </row>
    <row r="72" spans="1:10" ht="16.5">
      <c r="A72" s="383"/>
      <c r="B72" s="384"/>
      <c r="C72" s="364"/>
      <c r="D72" s="383"/>
      <c r="E72" s="383"/>
      <c r="F72" s="383"/>
      <c r="G72" s="365"/>
      <c r="H72" s="365"/>
      <c r="I72" s="365"/>
      <c r="J72" s="383"/>
    </row>
    <row r="73" spans="1:10" ht="16.5">
      <c r="A73" s="383"/>
      <c r="B73" s="384"/>
      <c r="C73" s="364"/>
      <c r="D73" s="383"/>
      <c r="E73" s="383"/>
      <c r="F73" s="383"/>
      <c r="G73" s="365"/>
      <c r="H73" s="365"/>
      <c r="I73" s="365"/>
      <c r="J73" s="383"/>
    </row>
    <row r="74" spans="1:10" ht="16.5">
      <c r="A74" s="383"/>
      <c r="B74" s="384"/>
      <c r="C74" s="364"/>
      <c r="D74" s="383"/>
      <c r="E74" s="383"/>
      <c r="F74" s="383"/>
      <c r="G74" s="365"/>
      <c r="H74" s="365"/>
      <c r="I74" s="365"/>
      <c r="J74" s="383"/>
    </row>
    <row r="75" spans="1:10" ht="16.5">
      <c r="A75" s="383"/>
      <c r="B75" s="384"/>
      <c r="C75" s="364"/>
      <c r="D75" s="383"/>
      <c r="E75" s="383"/>
      <c r="F75" s="383"/>
      <c r="G75" s="365"/>
      <c r="H75" s="365"/>
      <c r="I75" s="365"/>
      <c r="J75" s="383"/>
    </row>
    <row r="76" spans="1:10" ht="16.5">
      <c r="A76" s="383"/>
      <c r="B76" s="384"/>
      <c r="C76" s="364"/>
      <c r="D76" s="383"/>
      <c r="E76" s="383"/>
      <c r="F76" s="383"/>
      <c r="G76" s="365"/>
      <c r="H76" s="365"/>
      <c r="I76" s="365"/>
      <c r="J76" s="383"/>
    </row>
    <row r="77" spans="1:10" ht="16.5">
      <c r="A77" s="383"/>
      <c r="B77" s="384"/>
      <c r="C77" s="364"/>
      <c r="D77" s="383"/>
      <c r="E77" s="383"/>
      <c r="F77" s="383"/>
      <c r="G77" s="365"/>
      <c r="H77" s="365"/>
      <c r="I77" s="365"/>
      <c r="J77" s="383"/>
    </row>
    <row r="78" spans="1:10" ht="16.5">
      <c r="A78" s="383"/>
      <c r="B78" s="384"/>
      <c r="C78" s="364"/>
      <c r="D78" s="383"/>
      <c r="E78" s="383"/>
      <c r="F78" s="383"/>
      <c r="G78" s="365"/>
      <c r="H78" s="365"/>
      <c r="I78" s="365"/>
      <c r="J78" s="383"/>
    </row>
    <row r="79" spans="1:10" ht="16.5">
      <c r="A79" s="383"/>
      <c r="B79" s="384"/>
      <c r="C79" s="364"/>
      <c r="D79" s="383"/>
      <c r="E79" s="383"/>
      <c r="F79" s="383"/>
      <c r="G79" s="365"/>
      <c r="H79" s="365"/>
      <c r="I79" s="365"/>
      <c r="J79" s="383"/>
    </row>
    <row r="80" spans="1:10" ht="16.5">
      <c r="A80" s="383"/>
      <c r="B80" s="384"/>
      <c r="C80" s="364"/>
      <c r="D80" s="383"/>
      <c r="E80" s="383"/>
      <c r="F80" s="383"/>
      <c r="G80" s="365"/>
      <c r="H80" s="365"/>
      <c r="I80" s="365"/>
      <c r="J80" s="383"/>
    </row>
    <row r="81" spans="1:10" ht="16.5">
      <c r="A81" s="383"/>
      <c r="B81" s="384"/>
      <c r="C81" s="364"/>
      <c r="D81" s="383"/>
      <c r="E81" s="383"/>
      <c r="F81" s="383"/>
      <c r="G81" s="365"/>
      <c r="H81" s="365"/>
      <c r="I81" s="365"/>
      <c r="J81" s="383"/>
    </row>
    <row r="82" spans="1:10" ht="16.5">
      <c r="A82" s="383"/>
      <c r="B82" s="384"/>
      <c r="C82" s="364"/>
      <c r="D82" s="383"/>
      <c r="E82" s="383"/>
      <c r="F82" s="383"/>
      <c r="G82" s="365"/>
      <c r="H82" s="365"/>
      <c r="I82" s="365"/>
      <c r="J82" s="383"/>
    </row>
    <row r="83" spans="1:10" ht="16.5">
      <c r="A83" s="383"/>
      <c r="B83" s="384"/>
      <c r="C83" s="364"/>
      <c r="D83" s="383"/>
      <c r="E83" s="383"/>
      <c r="F83" s="383"/>
      <c r="G83" s="365"/>
      <c r="H83" s="365"/>
      <c r="I83" s="365"/>
      <c r="J83" s="383"/>
    </row>
    <row r="84" spans="1:10" ht="16.5">
      <c r="A84" s="383"/>
      <c r="B84" s="384"/>
      <c r="C84" s="364"/>
      <c r="D84" s="383"/>
      <c r="E84" s="383"/>
      <c r="F84" s="383"/>
      <c r="G84" s="365"/>
      <c r="H84" s="365"/>
      <c r="I84" s="365"/>
      <c r="J84" s="383"/>
    </row>
    <row r="85" spans="1:10" ht="16.5">
      <c r="A85" s="383"/>
      <c r="B85" s="384"/>
      <c r="C85" s="364"/>
      <c r="D85" s="383"/>
      <c r="E85" s="383"/>
      <c r="F85" s="383"/>
      <c r="G85" s="365"/>
      <c r="H85" s="365"/>
      <c r="I85" s="365"/>
      <c r="J85" s="383"/>
    </row>
    <row r="86" spans="1:10" ht="16.5">
      <c r="A86" s="383"/>
      <c r="B86" s="384"/>
      <c r="C86" s="364"/>
      <c r="D86" s="383"/>
      <c r="E86" s="383"/>
      <c r="F86" s="383"/>
      <c r="G86" s="365"/>
      <c r="H86" s="365"/>
      <c r="I86" s="365"/>
      <c r="J86" s="383"/>
    </row>
    <row r="87" spans="1:10" ht="16.5">
      <c r="A87" s="383"/>
      <c r="B87" s="384"/>
      <c r="C87" s="364"/>
      <c r="D87" s="383"/>
      <c r="E87" s="383"/>
      <c r="F87" s="383"/>
      <c r="G87" s="365"/>
      <c r="H87" s="365"/>
      <c r="I87" s="365"/>
      <c r="J87" s="383"/>
    </row>
    <row r="88" spans="1:10" ht="16.5">
      <c r="A88" s="383"/>
      <c r="B88" s="384"/>
      <c r="C88" s="364"/>
      <c r="D88" s="383"/>
      <c r="E88" s="383"/>
      <c r="F88" s="383"/>
      <c r="G88" s="365"/>
      <c r="H88" s="365"/>
      <c r="I88" s="365"/>
      <c r="J88" s="383"/>
    </row>
    <row r="89" spans="1:10" ht="16.5">
      <c r="A89" s="383"/>
      <c r="B89" s="384"/>
      <c r="C89" s="364"/>
      <c r="D89" s="383"/>
      <c r="E89" s="383"/>
      <c r="F89" s="383"/>
      <c r="G89" s="365"/>
      <c r="H89" s="365"/>
      <c r="I89" s="365"/>
      <c r="J89" s="383"/>
    </row>
    <row r="90" spans="1:10" ht="16.5">
      <c r="A90" s="383"/>
      <c r="B90" s="384"/>
      <c r="C90" s="364"/>
      <c r="D90" s="383"/>
      <c r="E90" s="383"/>
      <c r="F90" s="383"/>
      <c r="G90" s="365"/>
      <c r="H90" s="365"/>
      <c r="I90" s="365"/>
      <c r="J90" s="383"/>
    </row>
    <row r="91" spans="1:10" ht="16.5">
      <c r="A91" s="383"/>
      <c r="B91" s="384"/>
      <c r="C91" s="364"/>
      <c r="D91" s="383"/>
      <c r="E91" s="383"/>
      <c r="F91" s="383"/>
      <c r="G91" s="365"/>
      <c r="H91" s="365"/>
      <c r="I91" s="365"/>
      <c r="J91" s="383"/>
    </row>
    <row r="92" spans="1:10" ht="16.5">
      <c r="A92" s="383"/>
      <c r="B92" s="384"/>
      <c r="C92" s="364"/>
      <c r="D92" s="383"/>
      <c r="E92" s="383"/>
      <c r="F92" s="383"/>
      <c r="G92" s="365"/>
      <c r="H92" s="365"/>
      <c r="I92" s="365"/>
      <c r="J92" s="383"/>
    </row>
    <row r="93" spans="1:10" ht="16.5">
      <c r="A93" s="383"/>
      <c r="B93" s="384"/>
      <c r="C93" s="364"/>
      <c r="D93" s="383"/>
      <c r="E93" s="383"/>
      <c r="F93" s="383"/>
      <c r="G93" s="365"/>
      <c r="H93" s="365"/>
      <c r="I93" s="365"/>
      <c r="J93" s="383"/>
    </row>
    <row r="94" spans="1:10" ht="16.5">
      <c r="A94" s="383"/>
      <c r="B94" s="384"/>
      <c r="C94" s="364"/>
      <c r="D94" s="383"/>
      <c r="E94" s="383"/>
      <c r="F94" s="383"/>
      <c r="G94" s="365"/>
      <c r="H94" s="365"/>
      <c r="I94" s="365"/>
      <c r="J94" s="383"/>
    </row>
    <row r="95" spans="1:10" ht="16.5">
      <c r="A95" s="383"/>
      <c r="B95" s="384"/>
      <c r="C95" s="364"/>
      <c r="D95" s="383"/>
      <c r="E95" s="383"/>
      <c r="F95" s="383"/>
      <c r="G95" s="365"/>
      <c r="H95" s="365"/>
      <c r="I95" s="365"/>
      <c r="J95" s="383"/>
    </row>
    <row r="96" spans="1:10" ht="16.5">
      <c r="A96" s="383"/>
      <c r="B96" s="384"/>
      <c r="C96" s="364"/>
      <c r="D96" s="383"/>
      <c r="E96" s="383"/>
      <c r="F96" s="383"/>
      <c r="G96" s="365"/>
      <c r="H96" s="365"/>
      <c r="I96" s="365"/>
      <c r="J96" s="383"/>
    </row>
    <row r="97" spans="1:10" ht="16.5">
      <c r="A97" s="383"/>
      <c r="B97" s="384"/>
      <c r="C97" s="364"/>
      <c r="D97" s="383"/>
      <c r="E97" s="383"/>
      <c r="F97" s="383"/>
      <c r="G97" s="365"/>
      <c r="H97" s="365"/>
      <c r="I97" s="365"/>
      <c r="J97" s="383"/>
    </row>
    <row r="98" spans="1:10" ht="16.5">
      <c r="A98" s="383"/>
      <c r="B98" s="384"/>
      <c r="C98" s="364"/>
      <c r="D98" s="383"/>
      <c r="E98" s="383"/>
      <c r="F98" s="383"/>
      <c r="G98" s="365"/>
      <c r="H98" s="365"/>
      <c r="I98" s="365"/>
      <c r="J98" s="383"/>
    </row>
    <row r="99" spans="1:10" ht="16.5">
      <c r="A99" s="383"/>
      <c r="B99" s="384"/>
      <c r="C99" s="364"/>
      <c r="D99" s="383"/>
      <c r="E99" s="383"/>
      <c r="F99" s="383"/>
      <c r="G99" s="365"/>
      <c r="H99" s="365"/>
      <c r="I99" s="365"/>
      <c r="J99" s="383"/>
    </row>
    <row r="100" spans="1:10" ht="16.5">
      <c r="A100" s="383"/>
      <c r="B100" s="384"/>
      <c r="C100" s="364"/>
      <c r="D100" s="383"/>
      <c r="E100" s="383"/>
      <c r="F100" s="383"/>
      <c r="G100" s="365"/>
      <c r="H100" s="365"/>
      <c r="I100" s="365"/>
      <c r="J100" s="383"/>
    </row>
    <row r="101" spans="1:10" ht="16.5">
      <c r="A101" s="383"/>
      <c r="B101" s="384"/>
      <c r="C101" s="364"/>
      <c r="D101" s="383"/>
      <c r="E101" s="383"/>
      <c r="F101" s="383"/>
      <c r="G101" s="365"/>
      <c r="H101" s="365"/>
      <c r="I101" s="365"/>
      <c r="J101" s="383"/>
    </row>
    <row r="102" spans="1:10" ht="16.5">
      <c r="A102" s="383"/>
      <c r="B102" s="384"/>
      <c r="C102" s="364"/>
      <c r="D102" s="383"/>
      <c r="E102" s="383"/>
      <c r="F102" s="383"/>
      <c r="G102" s="365"/>
      <c r="H102" s="365"/>
      <c r="I102" s="365"/>
      <c r="J102" s="383"/>
    </row>
    <row r="103" spans="1:10" ht="16.5">
      <c r="A103" s="383"/>
      <c r="B103" s="384"/>
      <c r="C103" s="364"/>
      <c r="D103" s="383"/>
      <c r="E103" s="383"/>
      <c r="F103" s="383"/>
      <c r="G103" s="365"/>
      <c r="H103" s="365"/>
      <c r="I103" s="365"/>
      <c r="J103" s="383"/>
    </row>
    <row r="104" spans="1:10" ht="16.5">
      <c r="A104" s="383"/>
      <c r="B104" s="384"/>
      <c r="C104" s="364"/>
      <c r="D104" s="383"/>
      <c r="E104" s="383"/>
      <c r="F104" s="383"/>
      <c r="G104" s="365"/>
      <c r="H104" s="365"/>
      <c r="I104" s="365"/>
      <c r="J104" s="383"/>
    </row>
    <row r="105" spans="1:10" ht="16.5">
      <c r="A105" s="383"/>
      <c r="B105" s="384"/>
      <c r="C105" s="364"/>
      <c r="D105" s="383"/>
      <c r="E105" s="383"/>
      <c r="F105" s="383"/>
      <c r="G105" s="365"/>
      <c r="H105" s="365"/>
      <c r="I105" s="365"/>
      <c r="J105" s="383"/>
    </row>
    <row r="106" spans="1:10" ht="16.5">
      <c r="A106" s="383"/>
      <c r="B106" s="384"/>
      <c r="C106" s="364"/>
      <c r="D106" s="383"/>
      <c r="E106" s="383"/>
      <c r="F106" s="383"/>
      <c r="G106" s="365"/>
      <c r="H106" s="365"/>
      <c r="I106" s="365"/>
      <c r="J106" s="383"/>
    </row>
    <row r="107" spans="1:10" ht="16.5">
      <c r="A107" s="383"/>
      <c r="B107" s="384"/>
      <c r="C107" s="364"/>
      <c r="D107" s="383"/>
      <c r="E107" s="383"/>
      <c r="F107" s="383"/>
      <c r="G107" s="365"/>
      <c r="H107" s="365"/>
      <c r="I107" s="365"/>
      <c r="J107" s="383"/>
    </row>
    <row r="108" spans="1:10" ht="16.5">
      <c r="A108" s="383"/>
      <c r="B108" s="384"/>
      <c r="C108" s="364"/>
      <c r="D108" s="383"/>
      <c r="E108" s="383"/>
      <c r="F108" s="383"/>
      <c r="G108" s="365"/>
      <c r="H108" s="365"/>
      <c r="I108" s="365"/>
      <c r="J108" s="383"/>
    </row>
    <row r="109" spans="1:10" ht="16.5">
      <c r="A109" s="383"/>
      <c r="B109" s="384"/>
      <c r="C109" s="364"/>
      <c r="D109" s="383"/>
      <c r="E109" s="383"/>
      <c r="F109" s="383"/>
      <c r="G109" s="365"/>
      <c r="H109" s="365"/>
      <c r="I109" s="365"/>
      <c r="J109" s="383"/>
    </row>
    <row r="110" spans="1:10" ht="16.5">
      <c r="A110" s="383"/>
      <c r="B110" s="384"/>
      <c r="C110" s="364"/>
      <c r="D110" s="383"/>
      <c r="E110" s="383"/>
      <c r="F110" s="383"/>
      <c r="G110" s="365"/>
      <c r="H110" s="365"/>
      <c r="I110" s="365"/>
      <c r="J110" s="383"/>
    </row>
    <row r="111" spans="1:10" ht="16.5">
      <c r="A111" s="383"/>
      <c r="B111" s="384"/>
      <c r="C111" s="364"/>
      <c r="D111" s="383"/>
      <c r="E111" s="383"/>
      <c r="F111" s="383"/>
      <c r="G111" s="365"/>
      <c r="H111" s="365"/>
      <c r="I111" s="365"/>
      <c r="J111" s="383"/>
    </row>
    <row r="112" spans="1:10" ht="16.5">
      <c r="A112" s="383"/>
      <c r="B112" s="384"/>
      <c r="C112" s="364"/>
      <c r="D112" s="383"/>
      <c r="E112" s="383"/>
      <c r="F112" s="383"/>
      <c r="G112" s="365"/>
      <c r="H112" s="365"/>
      <c r="I112" s="365"/>
      <c r="J112" s="383"/>
    </row>
    <row r="113" spans="1:10" ht="16.5">
      <c r="A113" s="383"/>
      <c r="B113" s="384"/>
      <c r="C113" s="364"/>
      <c r="D113" s="383"/>
      <c r="E113" s="383"/>
      <c r="F113" s="383"/>
      <c r="G113" s="365"/>
      <c r="H113" s="365"/>
      <c r="I113" s="365"/>
      <c r="J113" s="383"/>
    </row>
    <row r="114" spans="1:10" ht="16.5">
      <c r="A114" s="383"/>
      <c r="B114" s="384"/>
      <c r="C114" s="364"/>
      <c r="D114" s="383"/>
      <c r="E114" s="383"/>
      <c r="F114" s="383"/>
      <c r="G114" s="365"/>
      <c r="H114" s="365"/>
      <c r="I114" s="365"/>
      <c r="J114" s="383"/>
    </row>
    <row r="115" spans="1:10" ht="16.5">
      <c r="A115" s="383"/>
      <c r="B115" s="384"/>
      <c r="C115" s="364"/>
      <c r="D115" s="383"/>
      <c r="E115" s="383"/>
      <c r="F115" s="383"/>
      <c r="G115" s="365"/>
      <c r="H115" s="365"/>
      <c r="I115" s="365"/>
      <c r="J115" s="383"/>
    </row>
    <row r="116" spans="1:10" ht="16.5">
      <c r="A116" s="383"/>
      <c r="B116" s="384"/>
      <c r="C116" s="364"/>
      <c r="D116" s="383"/>
      <c r="E116" s="383"/>
      <c r="F116" s="383"/>
      <c r="G116" s="365"/>
      <c r="H116" s="365"/>
      <c r="I116" s="365"/>
      <c r="J116" s="383"/>
    </row>
    <row r="117" spans="1:10" ht="16.5">
      <c r="A117" s="383"/>
      <c r="B117" s="384"/>
      <c r="C117" s="364"/>
      <c r="D117" s="383"/>
      <c r="E117" s="383"/>
      <c r="F117" s="383"/>
      <c r="G117" s="365"/>
      <c r="H117" s="365"/>
      <c r="I117" s="365"/>
      <c r="J117" s="383"/>
    </row>
    <row r="118" spans="1:10" ht="16.5">
      <c r="A118" s="383"/>
      <c r="B118" s="384"/>
      <c r="C118" s="364"/>
      <c r="D118" s="383"/>
      <c r="E118" s="383"/>
      <c r="F118" s="383"/>
      <c r="G118" s="365"/>
      <c r="H118" s="365"/>
      <c r="I118" s="365"/>
      <c r="J118" s="383"/>
    </row>
    <row r="119" spans="1:10" ht="16.5">
      <c r="A119" s="383"/>
      <c r="B119" s="384"/>
      <c r="C119" s="364"/>
      <c r="D119" s="383"/>
      <c r="E119" s="383"/>
      <c r="F119" s="383"/>
      <c r="G119" s="365"/>
      <c r="H119" s="365"/>
      <c r="I119" s="365"/>
      <c r="J119" s="383"/>
    </row>
    <row r="120" spans="1:10" ht="16.5">
      <c r="A120" s="383"/>
      <c r="B120" s="384"/>
      <c r="C120" s="364"/>
      <c r="D120" s="383"/>
      <c r="E120" s="383"/>
      <c r="F120" s="383"/>
      <c r="G120" s="365"/>
      <c r="H120" s="365"/>
      <c r="I120" s="365"/>
      <c r="J120" s="383"/>
    </row>
    <row r="121" spans="1:10" ht="16.5">
      <c r="A121" s="383"/>
      <c r="B121" s="384"/>
      <c r="C121" s="364"/>
      <c r="D121" s="383"/>
      <c r="E121" s="383"/>
      <c r="F121" s="383"/>
      <c r="G121" s="365"/>
      <c r="H121" s="365"/>
      <c r="I121" s="365"/>
      <c r="J121" s="383"/>
    </row>
    <row r="122" spans="1:10" ht="16.5">
      <c r="A122" s="383"/>
      <c r="B122" s="384"/>
      <c r="C122" s="364"/>
      <c r="D122" s="383"/>
      <c r="E122" s="383"/>
      <c r="F122" s="383"/>
      <c r="G122" s="365"/>
      <c r="H122" s="365"/>
      <c r="I122" s="365"/>
      <c r="J122" s="383"/>
    </row>
    <row r="123" spans="1:10" ht="16.5">
      <c r="A123" s="383"/>
      <c r="B123" s="384"/>
      <c r="C123" s="364"/>
      <c r="D123" s="383"/>
      <c r="E123" s="383"/>
      <c r="F123" s="383"/>
      <c r="G123" s="365"/>
      <c r="H123" s="365"/>
      <c r="I123" s="365"/>
      <c r="J123" s="383"/>
    </row>
    <row r="124" spans="1:10" ht="16.5">
      <c r="A124" s="383"/>
      <c r="B124" s="384"/>
      <c r="C124" s="364"/>
      <c r="D124" s="383"/>
      <c r="E124" s="383"/>
      <c r="F124" s="383"/>
      <c r="G124" s="365"/>
      <c r="H124" s="365"/>
      <c r="I124" s="365"/>
      <c r="J124" s="383"/>
    </row>
    <row r="125" spans="1:10" ht="16.5">
      <c r="A125" s="383"/>
      <c r="B125" s="384"/>
      <c r="C125" s="364"/>
      <c r="D125" s="383"/>
      <c r="E125" s="383"/>
      <c r="F125" s="383"/>
      <c r="G125" s="365"/>
      <c r="H125" s="365"/>
      <c r="I125" s="365"/>
      <c r="J125" s="383"/>
    </row>
    <row r="126" spans="1:10" ht="16.5">
      <c r="A126" s="383"/>
      <c r="B126" s="384"/>
      <c r="C126" s="364"/>
      <c r="D126" s="383"/>
      <c r="E126" s="383"/>
      <c r="F126" s="383"/>
      <c r="G126" s="365"/>
      <c r="H126" s="365"/>
      <c r="I126" s="365"/>
      <c r="J126" s="383"/>
    </row>
    <row r="127" spans="1:10" ht="16.5">
      <c r="A127" s="383"/>
      <c r="B127" s="384"/>
      <c r="C127" s="364"/>
      <c r="D127" s="383"/>
      <c r="E127" s="383"/>
      <c r="F127" s="383"/>
      <c r="G127" s="365"/>
      <c r="H127" s="365"/>
      <c r="I127" s="365"/>
      <c r="J127" s="383"/>
    </row>
    <row r="128" spans="1:10" ht="16.5">
      <c r="A128" s="383"/>
      <c r="B128" s="384"/>
      <c r="C128" s="364"/>
      <c r="D128" s="383"/>
      <c r="E128" s="383"/>
      <c r="F128" s="383"/>
      <c r="G128" s="365"/>
      <c r="H128" s="365"/>
      <c r="I128" s="365"/>
      <c r="J128" s="383"/>
    </row>
    <row r="129" spans="1:10" ht="16.5">
      <c r="A129" s="383"/>
      <c r="B129" s="384"/>
      <c r="C129" s="364"/>
      <c r="D129" s="383"/>
      <c r="E129" s="383"/>
      <c r="F129" s="383"/>
      <c r="G129" s="365"/>
      <c r="H129" s="365"/>
      <c r="I129" s="365"/>
      <c r="J129" s="383"/>
    </row>
    <row r="130" spans="1:10" ht="16.5">
      <c r="A130" s="383"/>
      <c r="B130" s="384"/>
      <c r="C130" s="364"/>
      <c r="D130" s="383"/>
      <c r="E130" s="383"/>
      <c r="F130" s="383"/>
      <c r="G130" s="365"/>
      <c r="H130" s="365"/>
      <c r="I130" s="365"/>
      <c r="J130" s="383"/>
    </row>
    <row r="131" spans="1:10" ht="16.5">
      <c r="A131" s="383"/>
      <c r="B131" s="384"/>
      <c r="C131" s="364"/>
      <c r="D131" s="383"/>
      <c r="E131" s="383"/>
      <c r="F131" s="383"/>
      <c r="G131" s="365"/>
      <c r="H131" s="365"/>
      <c r="I131" s="365"/>
      <c r="J131" s="383"/>
    </row>
    <row r="132" spans="1:10" ht="16.5">
      <c r="A132" s="383"/>
      <c r="B132" s="384"/>
      <c r="C132" s="364"/>
      <c r="D132" s="383"/>
      <c r="E132" s="383"/>
      <c r="F132" s="383"/>
      <c r="G132" s="365"/>
      <c r="H132" s="365"/>
      <c r="I132" s="365"/>
      <c r="J132" s="383"/>
    </row>
    <row r="133" spans="1:10" ht="16.5">
      <c r="A133" s="383"/>
      <c r="B133" s="384"/>
      <c r="C133" s="364"/>
      <c r="D133" s="383"/>
      <c r="E133" s="383"/>
      <c r="F133" s="383"/>
      <c r="G133" s="365"/>
      <c r="H133" s="365"/>
      <c r="I133" s="365"/>
      <c r="J133" s="383"/>
    </row>
    <row r="134" spans="1:10" ht="16.5">
      <c r="A134" s="383"/>
      <c r="B134" s="384"/>
      <c r="C134" s="364"/>
      <c r="D134" s="383"/>
      <c r="E134" s="383"/>
      <c r="F134" s="383"/>
      <c r="G134" s="365"/>
      <c r="H134" s="365"/>
      <c r="I134" s="365"/>
      <c r="J134" s="383"/>
    </row>
    <row r="135" spans="1:10" ht="16.5">
      <c r="A135" s="383"/>
      <c r="B135" s="384"/>
      <c r="C135" s="364"/>
      <c r="D135" s="383"/>
      <c r="E135" s="383"/>
      <c r="F135" s="383"/>
      <c r="G135" s="365"/>
      <c r="H135" s="365"/>
      <c r="I135" s="365"/>
      <c r="J135" s="383"/>
    </row>
    <row r="136" spans="1:10" ht="16.5">
      <c r="A136" s="383"/>
      <c r="B136" s="384"/>
      <c r="C136" s="364"/>
      <c r="D136" s="383"/>
      <c r="E136" s="383"/>
      <c r="F136" s="383"/>
      <c r="G136" s="365"/>
      <c r="H136" s="365"/>
      <c r="I136" s="365"/>
      <c r="J136" s="383"/>
    </row>
    <row r="137" spans="1:10" ht="16.5">
      <c r="A137" s="383"/>
      <c r="B137" s="384"/>
      <c r="C137" s="364"/>
      <c r="D137" s="383"/>
      <c r="E137" s="383"/>
      <c r="F137" s="383"/>
      <c r="G137" s="365"/>
      <c r="H137" s="365"/>
      <c r="I137" s="365"/>
      <c r="J137" s="383"/>
    </row>
    <row r="138" spans="1:10" ht="16.5">
      <c r="A138" s="383"/>
      <c r="B138" s="384"/>
      <c r="C138" s="364"/>
      <c r="D138" s="383"/>
      <c r="E138" s="383"/>
      <c r="F138" s="383"/>
      <c r="G138" s="365"/>
      <c r="H138" s="365"/>
      <c r="I138" s="365"/>
      <c r="J138" s="383"/>
    </row>
    <row r="139" spans="1:10" ht="16.5">
      <c r="A139" s="383"/>
      <c r="B139" s="384"/>
      <c r="C139" s="364"/>
      <c r="D139" s="383"/>
      <c r="E139" s="383"/>
      <c r="F139" s="383"/>
      <c r="G139" s="365"/>
      <c r="H139" s="365"/>
      <c r="I139" s="365"/>
      <c r="J139" s="383"/>
    </row>
    <row r="140" spans="1:10" ht="16.5">
      <c r="A140" s="383"/>
      <c r="B140" s="384"/>
      <c r="C140" s="364"/>
      <c r="D140" s="383"/>
      <c r="E140" s="383"/>
      <c r="F140" s="383"/>
      <c r="G140" s="365"/>
      <c r="H140" s="365"/>
      <c r="I140" s="365"/>
      <c r="J140" s="383"/>
    </row>
    <row r="141" spans="1:10" ht="16.5">
      <c r="A141" s="383"/>
      <c r="B141" s="384"/>
      <c r="C141" s="364"/>
      <c r="D141" s="383"/>
      <c r="E141" s="383"/>
      <c r="F141" s="383"/>
      <c r="G141" s="365"/>
      <c r="H141" s="365"/>
      <c r="I141" s="365"/>
      <c r="J141" s="383"/>
    </row>
    <row r="142" spans="1:10" ht="16.5">
      <c r="A142" s="383"/>
      <c r="B142" s="384"/>
      <c r="C142" s="364"/>
      <c r="D142" s="383"/>
      <c r="E142" s="383"/>
      <c r="F142" s="383"/>
      <c r="G142" s="365"/>
      <c r="H142" s="365"/>
      <c r="I142" s="365"/>
      <c r="J142" s="383"/>
    </row>
    <row r="143" spans="1:10" ht="16.5">
      <c r="A143" s="383"/>
      <c r="B143" s="384"/>
      <c r="C143" s="364"/>
      <c r="D143" s="383"/>
      <c r="E143" s="383"/>
      <c r="F143" s="383"/>
      <c r="G143" s="365"/>
      <c r="H143" s="365"/>
      <c r="I143" s="365"/>
      <c r="J143" s="383"/>
    </row>
    <row r="144" spans="1:10" ht="16.5">
      <c r="A144" s="383"/>
      <c r="B144" s="384"/>
      <c r="C144" s="364"/>
      <c r="D144" s="383"/>
      <c r="E144" s="383"/>
      <c r="F144" s="383"/>
      <c r="G144" s="365"/>
      <c r="H144" s="365"/>
      <c r="I144" s="365"/>
      <c r="J144" s="383"/>
    </row>
    <row r="145" spans="1:10" ht="16.5">
      <c r="A145" s="383"/>
      <c r="B145" s="384"/>
      <c r="C145" s="364"/>
      <c r="D145" s="383"/>
      <c r="E145" s="383"/>
      <c r="F145" s="383"/>
      <c r="G145" s="365"/>
      <c r="H145" s="365"/>
      <c r="I145" s="365"/>
      <c r="J145" s="383"/>
    </row>
    <row r="146" spans="1:10" ht="16.5">
      <c r="A146" s="383"/>
      <c r="B146" s="384"/>
      <c r="C146" s="364"/>
      <c r="D146" s="383"/>
      <c r="E146" s="383"/>
      <c r="F146" s="383"/>
      <c r="G146" s="365"/>
      <c r="H146" s="365"/>
      <c r="I146" s="365"/>
      <c r="J146" s="383"/>
    </row>
    <row r="147" spans="1:10" ht="16.5">
      <c r="A147" s="383"/>
      <c r="B147" s="384"/>
      <c r="C147" s="364"/>
      <c r="D147" s="383"/>
      <c r="E147" s="383"/>
      <c r="F147" s="383"/>
      <c r="G147" s="365"/>
      <c r="H147" s="365"/>
      <c r="I147" s="365"/>
      <c r="J147" s="383"/>
    </row>
    <row r="148" spans="1:10" ht="16.5">
      <c r="A148" s="383"/>
      <c r="B148" s="384"/>
      <c r="C148" s="364"/>
      <c r="D148" s="383"/>
      <c r="E148" s="383"/>
      <c r="F148" s="383"/>
      <c r="G148" s="365"/>
      <c r="H148" s="365"/>
      <c r="I148" s="365"/>
      <c r="J148" s="383"/>
    </row>
    <row r="149" spans="1:10" ht="16.5">
      <c r="A149" s="383"/>
      <c r="B149" s="384"/>
      <c r="C149" s="364"/>
      <c r="D149" s="383"/>
      <c r="E149" s="383"/>
      <c r="F149" s="383"/>
      <c r="G149" s="365"/>
      <c r="H149" s="365"/>
      <c r="I149" s="365"/>
      <c r="J149" s="383"/>
    </row>
    <row r="150" spans="1:10" ht="16.5">
      <c r="A150" s="383"/>
      <c r="B150" s="384"/>
      <c r="C150" s="364"/>
      <c r="D150" s="383"/>
      <c r="E150" s="383"/>
      <c r="F150" s="383"/>
      <c r="G150" s="365"/>
      <c r="H150" s="365"/>
      <c r="I150" s="365"/>
      <c r="J150" s="383"/>
    </row>
    <row r="151" spans="1:10" ht="16.5">
      <c r="A151" s="383"/>
      <c r="B151" s="384"/>
      <c r="C151" s="364"/>
      <c r="D151" s="383"/>
      <c r="E151" s="383"/>
      <c r="F151" s="383"/>
      <c r="G151" s="365"/>
      <c r="H151" s="365"/>
      <c r="I151" s="365"/>
      <c r="J151" s="383"/>
    </row>
    <row r="152" spans="1:10" ht="16.5">
      <c r="A152" s="383"/>
      <c r="B152" s="384"/>
      <c r="C152" s="364"/>
      <c r="D152" s="383"/>
      <c r="E152" s="383"/>
      <c r="F152" s="383"/>
      <c r="G152" s="365"/>
      <c r="H152" s="365"/>
      <c r="I152" s="365"/>
      <c r="J152" s="383"/>
    </row>
    <row r="153" spans="1:10" ht="16.5">
      <c r="A153" s="383"/>
      <c r="B153" s="384"/>
      <c r="C153" s="364"/>
      <c r="D153" s="383"/>
      <c r="E153" s="383"/>
      <c r="F153" s="383"/>
      <c r="G153" s="365"/>
      <c r="H153" s="365"/>
      <c r="I153" s="365"/>
      <c r="J153" s="383"/>
    </row>
    <row r="154" spans="1:10" ht="16.5">
      <c r="A154" s="383"/>
      <c r="B154" s="384"/>
      <c r="C154" s="364"/>
      <c r="D154" s="383"/>
      <c r="E154" s="383"/>
      <c r="F154" s="383"/>
      <c r="G154" s="365"/>
      <c r="H154" s="365"/>
      <c r="I154" s="365"/>
      <c r="J154" s="383"/>
    </row>
    <row r="155" spans="1:10" ht="16.5">
      <c r="A155" s="383"/>
      <c r="B155" s="384"/>
      <c r="C155" s="364"/>
      <c r="D155" s="383"/>
      <c r="E155" s="383"/>
      <c r="F155" s="383"/>
      <c r="G155" s="365"/>
      <c r="H155" s="365"/>
      <c r="I155" s="365"/>
      <c r="J155" s="383"/>
    </row>
    <row r="156" spans="1:10" ht="16.5">
      <c r="A156" s="383"/>
      <c r="B156" s="384"/>
      <c r="C156" s="364"/>
      <c r="D156" s="383"/>
      <c r="E156" s="383"/>
      <c r="F156" s="383"/>
      <c r="G156" s="365"/>
      <c r="H156" s="365"/>
      <c r="I156" s="365"/>
      <c r="J156" s="383"/>
    </row>
    <row r="157" spans="1:10" ht="16.5">
      <c r="A157" s="383"/>
      <c r="B157" s="384"/>
      <c r="C157" s="364"/>
      <c r="D157" s="383"/>
      <c r="E157" s="383"/>
      <c r="F157" s="383"/>
      <c r="G157" s="365"/>
      <c r="H157" s="365"/>
      <c r="I157" s="365"/>
      <c r="J157" s="383"/>
    </row>
    <row r="158" spans="1:10" ht="16.5">
      <c r="A158" s="383"/>
      <c r="B158" s="384"/>
      <c r="C158" s="364"/>
      <c r="D158" s="383"/>
      <c r="E158" s="383"/>
      <c r="F158" s="383"/>
      <c r="G158" s="365"/>
      <c r="H158" s="365"/>
      <c r="I158" s="365"/>
      <c r="J158" s="383"/>
    </row>
    <row r="159" spans="1:10" ht="16.5">
      <c r="A159" s="383"/>
      <c r="B159" s="384"/>
      <c r="C159" s="364"/>
      <c r="D159" s="383"/>
      <c r="E159" s="383"/>
      <c r="F159" s="383"/>
      <c r="G159" s="365"/>
      <c r="H159" s="365"/>
      <c r="I159" s="365"/>
      <c r="J159" s="383"/>
    </row>
    <row r="160" spans="1:10" ht="16.5">
      <c r="A160" s="383"/>
      <c r="B160" s="384"/>
      <c r="C160" s="364"/>
      <c r="D160" s="383"/>
      <c r="E160" s="383"/>
      <c r="F160" s="383"/>
      <c r="G160" s="365"/>
      <c r="H160" s="365"/>
      <c r="I160" s="365"/>
      <c r="J160" s="383"/>
    </row>
    <row r="161" spans="1:10" ht="16.5">
      <c r="A161" s="383"/>
      <c r="B161" s="384"/>
      <c r="C161" s="364"/>
      <c r="D161" s="383"/>
      <c r="E161" s="383"/>
      <c r="F161" s="383"/>
      <c r="G161" s="365"/>
      <c r="H161" s="365"/>
      <c r="I161" s="365"/>
      <c r="J161" s="383"/>
    </row>
    <row r="162" spans="1:10" ht="16.5">
      <c r="A162" s="383"/>
      <c r="B162" s="384"/>
      <c r="C162" s="364"/>
      <c r="D162" s="383"/>
      <c r="E162" s="383"/>
      <c r="F162" s="383"/>
      <c r="G162" s="365"/>
      <c r="H162" s="365"/>
      <c r="I162" s="365"/>
      <c r="J162" s="383"/>
    </row>
    <row r="163" spans="1:10" ht="16.5">
      <c r="A163" s="383"/>
      <c r="B163" s="384"/>
      <c r="C163" s="364"/>
      <c r="D163" s="383"/>
      <c r="E163" s="383"/>
      <c r="F163" s="383"/>
      <c r="G163" s="365"/>
      <c r="H163" s="365"/>
      <c r="I163" s="365"/>
      <c r="J163" s="383"/>
    </row>
    <row r="164" spans="1:10" ht="16.5">
      <c r="A164" s="383"/>
      <c r="B164" s="384"/>
      <c r="C164" s="364"/>
      <c r="D164" s="383"/>
      <c r="E164" s="383"/>
      <c r="F164" s="383"/>
      <c r="G164" s="365"/>
      <c r="H164" s="365"/>
      <c r="I164" s="365"/>
      <c r="J164" s="383"/>
    </row>
    <row r="165" spans="1:10" ht="16.5">
      <c r="A165" s="383"/>
      <c r="B165" s="384"/>
      <c r="C165" s="364"/>
      <c r="D165" s="383"/>
      <c r="E165" s="383"/>
      <c r="F165" s="383"/>
      <c r="G165" s="365"/>
      <c r="H165" s="365"/>
      <c r="I165" s="365"/>
      <c r="J165" s="383"/>
    </row>
    <row r="166" spans="1:10" ht="16.5">
      <c r="A166" s="383"/>
      <c r="B166" s="384"/>
      <c r="C166" s="364"/>
      <c r="D166" s="383"/>
      <c r="E166" s="383"/>
      <c r="F166" s="383"/>
      <c r="G166" s="365"/>
      <c r="H166" s="365"/>
      <c r="I166" s="365"/>
      <c r="J166" s="383"/>
    </row>
    <row r="167" spans="1:10" ht="16.5">
      <c r="A167" s="383"/>
      <c r="B167" s="384"/>
      <c r="C167" s="364"/>
      <c r="D167" s="383"/>
      <c r="E167" s="383"/>
      <c r="F167" s="383"/>
      <c r="G167" s="365"/>
      <c r="H167" s="365"/>
      <c r="I167" s="365"/>
      <c r="J167" s="383"/>
    </row>
    <row r="168" spans="1:10" ht="16.5">
      <c r="A168" s="383"/>
      <c r="B168" s="384"/>
      <c r="C168" s="364"/>
      <c r="D168" s="383"/>
      <c r="E168" s="383"/>
      <c r="F168" s="383"/>
      <c r="G168" s="365"/>
      <c r="H168" s="365"/>
      <c r="I168" s="365"/>
      <c r="J168" s="383"/>
    </row>
    <row r="169" spans="1:10" ht="16.5">
      <c r="A169" s="383"/>
      <c r="B169" s="384"/>
      <c r="C169" s="364"/>
      <c r="D169" s="383"/>
      <c r="E169" s="383"/>
      <c r="F169" s="383"/>
      <c r="G169" s="365"/>
      <c r="H169" s="365"/>
      <c r="I169" s="365"/>
      <c r="J169" s="383"/>
    </row>
    <row r="170" spans="1:10" ht="16.5">
      <c r="A170" s="383"/>
      <c r="B170" s="384"/>
      <c r="C170" s="364"/>
      <c r="D170" s="383"/>
      <c r="E170" s="383"/>
      <c r="F170" s="383"/>
      <c r="G170" s="365"/>
      <c r="H170" s="365"/>
      <c r="I170" s="365"/>
      <c r="J170" s="383"/>
    </row>
    <row r="171" spans="1:10" ht="16.5">
      <c r="A171" s="383"/>
      <c r="B171" s="384"/>
      <c r="C171" s="364"/>
      <c r="D171" s="383"/>
      <c r="E171" s="383"/>
      <c r="F171" s="383"/>
      <c r="G171" s="365"/>
      <c r="H171" s="365"/>
      <c r="I171" s="365"/>
      <c r="J171" s="383"/>
    </row>
    <row r="172" spans="1:10" ht="16.5">
      <c r="A172" s="383"/>
      <c r="B172" s="384"/>
      <c r="C172" s="364"/>
      <c r="D172" s="383"/>
      <c r="E172" s="383"/>
      <c r="F172" s="383"/>
      <c r="G172" s="365"/>
      <c r="H172" s="365"/>
      <c r="I172" s="365"/>
      <c r="J172" s="383"/>
    </row>
    <row r="173" spans="1:10" ht="16.5">
      <c r="A173" s="383"/>
      <c r="B173" s="384"/>
      <c r="C173" s="364"/>
      <c r="D173" s="383"/>
      <c r="E173" s="383"/>
      <c r="F173" s="383"/>
      <c r="G173" s="365"/>
      <c r="H173" s="365"/>
      <c r="I173" s="365"/>
      <c r="J173" s="383"/>
    </row>
    <row r="174" spans="1:10" ht="16.5">
      <c r="A174" s="383"/>
      <c r="B174" s="384"/>
      <c r="C174" s="364"/>
      <c r="D174" s="383"/>
      <c r="E174" s="383"/>
      <c r="F174" s="383"/>
      <c r="G174" s="365"/>
      <c r="H174" s="365"/>
      <c r="I174" s="365"/>
      <c r="J174" s="383"/>
    </row>
    <row r="175" spans="1:10" ht="16.5">
      <c r="A175" s="383"/>
      <c r="B175" s="384"/>
      <c r="C175" s="364"/>
      <c r="D175" s="383"/>
      <c r="E175" s="383"/>
      <c r="F175" s="383"/>
      <c r="G175" s="365"/>
      <c r="H175" s="365"/>
      <c r="I175" s="365"/>
      <c r="J175" s="383"/>
    </row>
    <row r="176" spans="1:10" ht="16.5">
      <c r="A176" s="383"/>
      <c r="B176" s="384"/>
      <c r="C176" s="364"/>
      <c r="D176" s="383"/>
      <c r="E176" s="383"/>
      <c r="F176" s="383"/>
      <c r="G176" s="365"/>
      <c r="H176" s="365"/>
      <c r="I176" s="365"/>
      <c r="J176" s="383"/>
    </row>
    <row r="177" spans="1:10" ht="16.5">
      <c r="A177" s="383"/>
      <c r="B177" s="384"/>
      <c r="C177" s="364"/>
      <c r="D177" s="383"/>
      <c r="E177" s="383"/>
      <c r="F177" s="383"/>
      <c r="G177" s="365"/>
      <c r="H177" s="365"/>
      <c r="I177" s="365"/>
      <c r="J177" s="383"/>
    </row>
    <row r="178" spans="1:10" ht="16.5">
      <c r="A178" s="383"/>
      <c r="B178" s="384"/>
      <c r="C178" s="364"/>
      <c r="D178" s="383"/>
      <c r="E178" s="383"/>
      <c r="F178" s="383"/>
      <c r="G178" s="365"/>
      <c r="H178" s="365"/>
      <c r="I178" s="365"/>
      <c r="J178" s="383"/>
    </row>
    <row r="179" spans="1:10" ht="16.5">
      <c r="A179" s="383"/>
      <c r="B179" s="384"/>
      <c r="C179" s="364"/>
      <c r="D179" s="383"/>
      <c r="E179" s="383"/>
      <c r="F179" s="383"/>
      <c r="G179" s="365"/>
      <c r="H179" s="365"/>
      <c r="I179" s="365"/>
      <c r="J179" s="383"/>
    </row>
    <row r="180" spans="1:10" ht="16.5">
      <c r="A180" s="383"/>
      <c r="B180" s="384"/>
      <c r="C180" s="364"/>
      <c r="D180" s="383"/>
      <c r="E180" s="383"/>
      <c r="F180" s="383"/>
      <c r="G180" s="365"/>
      <c r="H180" s="365"/>
      <c r="I180" s="365"/>
      <c r="J180" s="383"/>
    </row>
    <row r="181" spans="1:10" ht="16.5">
      <c r="A181" s="383"/>
      <c r="B181" s="384"/>
      <c r="C181" s="364"/>
      <c r="D181" s="383"/>
      <c r="E181" s="383"/>
      <c r="F181" s="383"/>
      <c r="G181" s="365"/>
      <c r="H181" s="365"/>
      <c r="I181" s="365"/>
      <c r="J181" s="383"/>
    </row>
    <row r="182" spans="1:10" ht="16.5">
      <c r="A182" s="383"/>
      <c r="B182" s="384"/>
      <c r="C182" s="364"/>
      <c r="D182" s="383"/>
      <c r="E182" s="383"/>
      <c r="F182" s="383"/>
      <c r="G182" s="365"/>
      <c r="H182" s="365"/>
      <c r="I182" s="365"/>
      <c r="J182" s="383"/>
    </row>
    <row r="183" spans="1:10" ht="16.5">
      <c r="A183" s="383"/>
      <c r="B183" s="384"/>
      <c r="C183" s="364"/>
      <c r="D183" s="383"/>
      <c r="E183" s="383"/>
      <c r="F183" s="383"/>
      <c r="G183" s="365"/>
      <c r="H183" s="365"/>
      <c r="I183" s="365"/>
      <c r="J183" s="383"/>
    </row>
    <row r="184" spans="1:10" ht="16.5">
      <c r="A184" s="383"/>
      <c r="B184" s="384"/>
      <c r="C184" s="364"/>
      <c r="D184" s="383"/>
      <c r="E184" s="383"/>
      <c r="F184" s="383"/>
      <c r="G184" s="365"/>
      <c r="H184" s="365"/>
      <c r="I184" s="365"/>
      <c r="J184" s="383"/>
    </row>
    <row r="185" spans="1:10" ht="16.5">
      <c r="A185" s="383"/>
      <c r="B185" s="384"/>
      <c r="C185" s="364"/>
      <c r="D185" s="383"/>
      <c r="E185" s="383"/>
      <c r="F185" s="383"/>
      <c r="G185" s="365"/>
      <c r="H185" s="365"/>
      <c r="I185" s="365"/>
      <c r="J185" s="383"/>
    </row>
    <row r="186" spans="1:10" ht="16.5">
      <c r="A186" s="383"/>
      <c r="B186" s="384"/>
      <c r="C186" s="364"/>
      <c r="D186" s="383"/>
      <c r="E186" s="383"/>
      <c r="F186" s="383"/>
      <c r="G186" s="365"/>
      <c r="H186" s="365"/>
      <c r="I186" s="365"/>
      <c r="J186" s="383"/>
    </row>
    <row r="187" spans="1:10" ht="16.5">
      <c r="A187" s="383"/>
      <c r="B187" s="384"/>
      <c r="C187" s="364"/>
      <c r="D187" s="383"/>
      <c r="E187" s="383"/>
      <c r="F187" s="383"/>
      <c r="G187" s="365"/>
      <c r="H187" s="365"/>
      <c r="I187" s="365"/>
      <c r="J187" s="383"/>
    </row>
    <row r="188" spans="1:10" ht="16.5">
      <c r="A188" s="383"/>
      <c r="B188" s="384"/>
      <c r="C188" s="364"/>
      <c r="D188" s="383"/>
      <c r="E188" s="383"/>
      <c r="F188" s="383"/>
      <c r="G188" s="365"/>
      <c r="H188" s="365"/>
      <c r="I188" s="365"/>
      <c r="J188" s="383"/>
    </row>
    <row r="189" spans="1:10" ht="16.5">
      <c r="A189" s="383"/>
      <c r="B189" s="384"/>
      <c r="C189" s="364"/>
      <c r="D189" s="383"/>
      <c r="E189" s="383"/>
      <c r="F189" s="383"/>
      <c r="G189" s="365"/>
      <c r="H189" s="365"/>
      <c r="I189" s="365"/>
      <c r="J189" s="383"/>
    </row>
    <row r="190" spans="1:10" ht="16.5">
      <c r="A190" s="383"/>
      <c r="B190" s="384"/>
      <c r="C190" s="364"/>
      <c r="D190" s="383"/>
      <c r="E190" s="383"/>
      <c r="F190" s="383"/>
      <c r="G190" s="365"/>
      <c r="H190" s="365"/>
      <c r="I190" s="365"/>
      <c r="J190" s="383"/>
    </row>
    <row r="191" spans="1:10" ht="16.5">
      <c r="A191" s="383"/>
      <c r="B191" s="384"/>
      <c r="C191" s="364"/>
      <c r="D191" s="383"/>
      <c r="E191" s="383"/>
      <c r="F191" s="383"/>
      <c r="G191" s="365"/>
      <c r="H191" s="365"/>
      <c r="I191" s="365"/>
      <c r="J191" s="383"/>
    </row>
    <row r="192" spans="1:10" ht="16.5">
      <c r="A192" s="383"/>
      <c r="B192" s="384"/>
      <c r="C192" s="364"/>
      <c r="D192" s="383"/>
      <c r="E192" s="383"/>
      <c r="F192" s="383"/>
      <c r="G192" s="365"/>
      <c r="H192" s="365"/>
      <c r="I192" s="365"/>
      <c r="J192" s="383"/>
    </row>
    <row r="193" spans="1:10" ht="16.5">
      <c r="A193" s="383"/>
      <c r="B193" s="384"/>
      <c r="C193" s="364"/>
      <c r="D193" s="383"/>
      <c r="E193" s="383"/>
      <c r="F193" s="383"/>
      <c r="G193" s="365"/>
      <c r="H193" s="365"/>
      <c r="I193" s="365"/>
      <c r="J193" s="383"/>
    </row>
    <row r="194" spans="1:10" ht="16.5">
      <c r="A194" s="383"/>
      <c r="B194" s="384"/>
      <c r="C194" s="364"/>
      <c r="D194" s="383"/>
      <c r="E194" s="383"/>
      <c r="F194" s="383"/>
      <c r="G194" s="365"/>
      <c r="H194" s="365"/>
      <c r="I194" s="365"/>
      <c r="J194" s="383"/>
    </row>
    <row r="195" spans="1:10" ht="16.5">
      <c r="A195" s="383"/>
      <c r="B195" s="384"/>
      <c r="C195" s="364"/>
      <c r="D195" s="383"/>
      <c r="E195" s="383"/>
      <c r="F195" s="383"/>
      <c r="G195" s="365"/>
      <c r="H195" s="365"/>
      <c r="I195" s="365"/>
      <c r="J195" s="383"/>
    </row>
    <row r="196" spans="1:10" ht="16.5">
      <c r="A196" s="383"/>
      <c r="B196" s="384"/>
      <c r="C196" s="364"/>
      <c r="D196" s="383"/>
      <c r="E196" s="383"/>
      <c r="F196" s="383"/>
      <c r="G196" s="365"/>
      <c r="H196" s="365"/>
      <c r="I196" s="365"/>
      <c r="J196" s="383"/>
    </row>
    <row r="197" spans="1:10" ht="16.5">
      <c r="A197" s="383"/>
      <c r="B197" s="384"/>
      <c r="C197" s="364"/>
      <c r="D197" s="383"/>
      <c r="E197" s="383"/>
      <c r="F197" s="383"/>
      <c r="G197" s="365"/>
      <c r="H197" s="365"/>
      <c r="I197" s="365"/>
      <c r="J197" s="383"/>
    </row>
    <row r="198" spans="1:10" ht="16.5">
      <c r="A198" s="383"/>
      <c r="B198" s="384"/>
      <c r="C198" s="364"/>
      <c r="D198" s="383"/>
      <c r="E198" s="383"/>
      <c r="F198" s="383"/>
      <c r="G198" s="365"/>
      <c r="H198" s="365"/>
      <c r="I198" s="365"/>
      <c r="J198" s="383"/>
    </row>
    <row r="199" spans="1:10" ht="16.5">
      <c r="A199" s="383"/>
      <c r="B199" s="384"/>
      <c r="C199" s="364"/>
      <c r="D199" s="383"/>
      <c r="E199" s="383"/>
      <c r="F199" s="383"/>
      <c r="G199" s="365"/>
      <c r="H199" s="365"/>
      <c r="I199" s="365"/>
      <c r="J199" s="383"/>
    </row>
    <row r="200" spans="1:10" ht="16.5">
      <c r="A200" s="383"/>
      <c r="B200" s="384"/>
      <c r="C200" s="364"/>
      <c r="D200" s="383"/>
      <c r="E200" s="383"/>
      <c r="F200" s="383"/>
      <c r="G200" s="365"/>
      <c r="H200" s="365"/>
      <c r="I200" s="365"/>
      <c r="J200" s="383"/>
    </row>
    <row r="201" spans="1:10" ht="16.5">
      <c r="A201" s="383"/>
      <c r="B201" s="384"/>
      <c r="C201" s="364"/>
      <c r="D201" s="383"/>
      <c r="E201" s="383"/>
      <c r="F201" s="383"/>
      <c r="G201" s="365"/>
      <c r="H201" s="365"/>
      <c r="I201" s="365"/>
      <c r="J201" s="383"/>
    </row>
    <row r="202" spans="1:10" ht="16.5">
      <c r="A202" s="383"/>
      <c r="B202" s="384"/>
      <c r="C202" s="364"/>
      <c r="D202" s="383"/>
      <c r="E202" s="383"/>
      <c r="F202" s="383"/>
      <c r="G202" s="365"/>
      <c r="H202" s="365"/>
      <c r="I202" s="365"/>
      <c r="J202" s="383"/>
    </row>
    <row r="203" spans="1:10" ht="16.5">
      <c r="A203" s="383"/>
      <c r="B203" s="384"/>
      <c r="C203" s="364"/>
      <c r="D203" s="383"/>
      <c r="E203" s="383"/>
      <c r="F203" s="383"/>
      <c r="G203" s="365"/>
      <c r="H203" s="365"/>
      <c r="I203" s="365"/>
      <c r="J203" s="383"/>
    </row>
    <row r="204" spans="1:10" ht="16.5">
      <c r="A204" s="383"/>
      <c r="B204" s="384"/>
      <c r="C204" s="364"/>
      <c r="D204" s="383"/>
      <c r="E204" s="383"/>
      <c r="F204" s="383"/>
      <c r="G204" s="365"/>
      <c r="H204" s="365"/>
      <c r="I204" s="365"/>
      <c r="J204" s="383"/>
    </row>
    <row r="205" spans="1:10" ht="16.5">
      <c r="A205" s="383"/>
      <c r="B205" s="384"/>
      <c r="C205" s="364"/>
      <c r="D205" s="383"/>
      <c r="E205" s="383"/>
      <c r="F205" s="383"/>
      <c r="G205" s="365"/>
      <c r="H205" s="365"/>
      <c r="I205" s="365"/>
      <c r="J205" s="383"/>
    </row>
    <row r="206" spans="1:10" ht="16.5">
      <c r="A206" s="383"/>
      <c r="B206" s="384"/>
      <c r="C206" s="364"/>
      <c r="D206" s="383"/>
      <c r="E206" s="383"/>
      <c r="F206" s="383"/>
      <c r="G206" s="365"/>
      <c r="H206" s="365"/>
      <c r="I206" s="365"/>
      <c r="J206" s="383"/>
    </row>
    <row r="207" spans="1:10" ht="16.5">
      <c r="A207" s="383"/>
      <c r="B207" s="384"/>
      <c r="C207" s="364"/>
      <c r="D207" s="383"/>
      <c r="E207" s="383"/>
      <c r="F207" s="383"/>
      <c r="G207" s="365"/>
      <c r="H207" s="365"/>
      <c r="I207" s="365"/>
      <c r="J207" s="383"/>
    </row>
    <row r="208" spans="1:10" ht="16.5">
      <c r="A208" s="383"/>
      <c r="B208" s="384"/>
      <c r="C208" s="364"/>
      <c r="D208" s="383"/>
      <c r="E208" s="383"/>
      <c r="F208" s="383"/>
      <c r="G208" s="365"/>
      <c r="H208" s="365"/>
      <c r="I208" s="365"/>
      <c r="J208" s="383"/>
    </row>
    <row r="209" spans="1:10" ht="16.5">
      <c r="A209" s="383"/>
      <c r="B209" s="384"/>
      <c r="C209" s="364"/>
      <c r="D209" s="383"/>
      <c r="E209" s="383"/>
      <c r="F209" s="383"/>
      <c r="G209" s="365"/>
      <c r="H209" s="365"/>
      <c r="I209" s="365"/>
      <c r="J209" s="383"/>
    </row>
    <row r="210" spans="1:10" ht="16.5">
      <c r="A210" s="383"/>
      <c r="B210" s="384"/>
      <c r="C210" s="364"/>
      <c r="D210" s="383"/>
      <c r="E210" s="383"/>
      <c r="F210" s="383"/>
      <c r="G210" s="365"/>
      <c r="H210" s="365"/>
      <c r="I210" s="365"/>
      <c r="J210" s="383"/>
    </row>
    <row r="211" spans="1:10" ht="16.5">
      <c r="A211" s="383"/>
      <c r="B211" s="384"/>
      <c r="C211" s="364"/>
      <c r="D211" s="383"/>
      <c r="E211" s="383"/>
      <c r="F211" s="383"/>
      <c r="G211" s="365"/>
      <c r="H211" s="365"/>
      <c r="I211" s="365"/>
      <c r="J211" s="383"/>
    </row>
    <row r="212" spans="1:10" ht="16.5">
      <c r="A212" s="383"/>
      <c r="B212" s="384"/>
      <c r="C212" s="364"/>
      <c r="D212" s="383"/>
      <c r="E212" s="383"/>
      <c r="F212" s="383"/>
      <c r="G212" s="365"/>
      <c r="H212" s="365"/>
      <c r="I212" s="365"/>
      <c r="J212" s="383"/>
    </row>
    <row r="213" spans="1:10" ht="16.5">
      <c r="A213" s="383"/>
      <c r="B213" s="384"/>
      <c r="C213" s="364"/>
      <c r="D213" s="383"/>
      <c r="E213" s="383"/>
      <c r="F213" s="383"/>
      <c r="G213" s="365"/>
      <c r="H213" s="365"/>
      <c r="I213" s="365"/>
      <c r="J213" s="383"/>
    </row>
    <row r="214" spans="1:10" ht="16.5">
      <c r="A214" s="383"/>
      <c r="B214" s="384"/>
      <c r="C214" s="364"/>
      <c r="D214" s="383"/>
      <c r="E214" s="383"/>
      <c r="F214" s="383"/>
      <c r="G214" s="365"/>
      <c r="H214" s="365"/>
      <c r="I214" s="365"/>
      <c r="J214" s="383"/>
    </row>
    <row r="215" spans="1:10" ht="16.5">
      <c r="A215" s="383"/>
      <c r="B215" s="384"/>
      <c r="C215" s="364"/>
      <c r="D215" s="383"/>
      <c r="E215" s="383"/>
      <c r="F215" s="383"/>
      <c r="G215" s="365"/>
      <c r="H215" s="365"/>
      <c r="I215" s="365"/>
      <c r="J215" s="383"/>
    </row>
    <row r="216" spans="1:10" ht="16.5">
      <c r="A216" s="383"/>
      <c r="B216" s="384"/>
      <c r="C216" s="364"/>
      <c r="D216" s="383"/>
      <c r="E216" s="383"/>
      <c r="F216" s="383"/>
      <c r="G216" s="365"/>
      <c r="H216" s="365"/>
      <c r="I216" s="365"/>
      <c r="J216" s="383"/>
    </row>
    <row r="217" spans="1:10" ht="16.5">
      <c r="A217" s="383"/>
      <c r="B217" s="384"/>
      <c r="C217" s="364"/>
      <c r="D217" s="383"/>
      <c r="E217" s="383"/>
      <c r="F217" s="383"/>
      <c r="G217" s="365"/>
      <c r="H217" s="365"/>
      <c r="I217" s="365"/>
      <c r="J217" s="383"/>
    </row>
    <row r="218" spans="1:10" ht="16.5">
      <c r="A218" s="383"/>
      <c r="B218" s="384"/>
      <c r="C218" s="364"/>
      <c r="D218" s="383"/>
      <c r="E218" s="383"/>
      <c r="F218" s="383"/>
      <c r="G218" s="365"/>
      <c r="H218" s="365"/>
      <c r="I218" s="365"/>
      <c r="J218" s="383"/>
    </row>
    <row r="219" spans="1:10" ht="16.5">
      <c r="A219" s="383"/>
      <c r="B219" s="384"/>
      <c r="C219" s="364"/>
      <c r="D219" s="383"/>
      <c r="E219" s="383"/>
      <c r="F219" s="383"/>
      <c r="G219" s="365"/>
      <c r="H219" s="365"/>
      <c r="I219" s="365"/>
      <c r="J219" s="383"/>
    </row>
    <row r="220" spans="1:10" ht="16.5">
      <c r="A220" s="383"/>
      <c r="B220" s="384"/>
      <c r="C220" s="364"/>
      <c r="D220" s="383"/>
      <c r="E220" s="383"/>
      <c r="F220" s="383"/>
      <c r="G220" s="365"/>
      <c r="H220" s="365"/>
      <c r="I220" s="365"/>
      <c r="J220" s="383"/>
    </row>
    <row r="221" spans="1:10" ht="16.5">
      <c r="A221" s="383"/>
      <c r="B221" s="384"/>
      <c r="C221" s="364"/>
      <c r="D221" s="383"/>
      <c r="E221" s="383"/>
      <c r="F221" s="383"/>
      <c r="G221" s="365"/>
      <c r="H221" s="365"/>
      <c r="I221" s="365"/>
      <c r="J221" s="383"/>
    </row>
    <row r="222" spans="1:10" ht="16.5">
      <c r="A222" s="383"/>
      <c r="B222" s="384"/>
      <c r="C222" s="364"/>
      <c r="D222" s="383"/>
      <c r="E222" s="383"/>
      <c r="F222" s="383"/>
      <c r="G222" s="365"/>
      <c r="H222" s="365"/>
      <c r="I222" s="365"/>
      <c r="J222" s="383"/>
    </row>
    <row r="223" spans="1:10" ht="16.5">
      <c r="A223" s="383"/>
      <c r="B223" s="384"/>
      <c r="C223" s="364"/>
      <c r="D223" s="383"/>
      <c r="E223" s="383"/>
      <c r="F223" s="383"/>
      <c r="G223" s="365"/>
      <c r="H223" s="365"/>
      <c r="I223" s="365"/>
      <c r="J223" s="383"/>
    </row>
    <row r="224" spans="1:10" ht="16.5">
      <c r="A224" s="383"/>
      <c r="B224" s="384"/>
      <c r="C224" s="364"/>
      <c r="D224" s="383"/>
      <c r="E224" s="383"/>
      <c r="F224" s="383"/>
      <c r="G224" s="365"/>
      <c r="H224" s="365"/>
      <c r="I224" s="365"/>
      <c r="J224" s="383"/>
    </row>
    <row r="225" spans="1:10" ht="16.5">
      <c r="A225" s="383"/>
      <c r="B225" s="384"/>
      <c r="C225" s="364"/>
      <c r="D225" s="383"/>
      <c r="E225" s="383"/>
      <c r="F225" s="383"/>
      <c r="G225" s="365"/>
      <c r="H225" s="365"/>
      <c r="I225" s="365"/>
      <c r="J225" s="383"/>
    </row>
    <row r="226" spans="1:10" ht="16.5">
      <c r="A226" s="383"/>
      <c r="B226" s="384"/>
      <c r="C226" s="364"/>
      <c r="D226" s="383"/>
      <c r="E226" s="383"/>
      <c r="F226" s="383"/>
      <c r="G226" s="365"/>
      <c r="H226" s="365"/>
      <c r="I226" s="365"/>
      <c r="J226" s="383"/>
    </row>
    <row r="227" spans="1:10" ht="16.5">
      <c r="A227" s="383"/>
      <c r="B227" s="384"/>
      <c r="C227" s="364"/>
      <c r="D227" s="383"/>
      <c r="E227" s="383"/>
      <c r="F227" s="383"/>
      <c r="G227" s="365"/>
      <c r="H227" s="365"/>
      <c r="I227" s="365"/>
      <c r="J227" s="383"/>
    </row>
    <row r="228" spans="1:10" ht="16.5">
      <c r="A228" s="383"/>
      <c r="B228" s="384"/>
      <c r="C228" s="364"/>
      <c r="D228" s="383"/>
      <c r="E228" s="383"/>
      <c r="F228" s="383"/>
      <c r="G228" s="365"/>
      <c r="H228" s="365"/>
      <c r="I228" s="365"/>
      <c r="J228" s="383"/>
    </row>
    <row r="229" spans="1:10" ht="16.5">
      <c r="A229" s="383"/>
      <c r="B229" s="384"/>
      <c r="C229" s="364"/>
      <c r="D229" s="383"/>
      <c r="E229" s="383"/>
      <c r="F229" s="383"/>
      <c r="G229" s="365"/>
      <c r="H229" s="365"/>
      <c r="I229" s="365"/>
      <c r="J229" s="383"/>
    </row>
    <row r="230" spans="1:10" ht="16.5">
      <c r="A230" s="383"/>
      <c r="B230" s="384"/>
      <c r="C230" s="364"/>
      <c r="D230" s="383"/>
      <c r="E230" s="383"/>
      <c r="F230" s="383"/>
      <c r="G230" s="365"/>
      <c r="H230" s="365"/>
      <c r="I230" s="365"/>
      <c r="J230" s="383"/>
    </row>
    <row r="231" spans="1:10" ht="16.5">
      <c r="A231" s="383"/>
      <c r="B231" s="384"/>
      <c r="C231" s="364"/>
      <c r="D231" s="383"/>
      <c r="E231" s="383"/>
      <c r="F231" s="383"/>
      <c r="G231" s="365"/>
      <c r="H231" s="365"/>
      <c r="I231" s="365"/>
      <c r="J231" s="383"/>
    </row>
    <row r="232" spans="1:10" ht="16.5">
      <c r="A232" s="383"/>
      <c r="B232" s="384"/>
      <c r="C232" s="364"/>
      <c r="D232" s="383"/>
      <c r="E232" s="383"/>
      <c r="F232" s="383"/>
      <c r="G232" s="365"/>
      <c r="H232" s="365"/>
      <c r="I232" s="365"/>
      <c r="J232" s="383"/>
    </row>
    <row r="233" spans="1:10" ht="16.5">
      <c r="A233" s="383"/>
      <c r="B233" s="384"/>
      <c r="C233" s="364"/>
      <c r="D233" s="383"/>
      <c r="E233" s="383"/>
      <c r="F233" s="383"/>
      <c r="G233" s="365"/>
      <c r="H233" s="365"/>
      <c r="I233" s="365"/>
      <c r="J233" s="383"/>
    </row>
    <row r="234" spans="1:10" ht="16.5">
      <c r="A234" s="383"/>
      <c r="B234" s="384"/>
      <c r="C234" s="364"/>
      <c r="D234" s="383"/>
      <c r="E234" s="383"/>
      <c r="F234" s="383"/>
      <c r="G234" s="365"/>
      <c r="H234" s="365"/>
      <c r="I234" s="365"/>
      <c r="J234" s="383"/>
    </row>
    <row r="235" spans="1:10" ht="16.5">
      <c r="A235" s="383"/>
      <c r="B235" s="384"/>
      <c r="C235" s="364"/>
      <c r="D235" s="383"/>
      <c r="E235" s="383"/>
      <c r="F235" s="383"/>
      <c r="G235" s="365"/>
      <c r="H235" s="365"/>
      <c r="I235" s="365"/>
      <c r="J235" s="383"/>
    </row>
    <row r="236" spans="1:10" ht="16.5">
      <c r="A236" s="383"/>
      <c r="B236" s="384"/>
      <c r="C236" s="364"/>
      <c r="D236" s="383"/>
      <c r="E236" s="383"/>
      <c r="F236" s="383"/>
      <c r="G236" s="365"/>
      <c r="H236" s="365"/>
      <c r="I236" s="365"/>
      <c r="J236" s="383"/>
    </row>
    <row r="237" spans="1:10" ht="16.5">
      <c r="A237" s="383"/>
      <c r="B237" s="384"/>
      <c r="C237" s="364"/>
      <c r="D237" s="383"/>
      <c r="E237" s="383"/>
      <c r="F237" s="383"/>
      <c r="G237" s="365"/>
      <c r="H237" s="365"/>
      <c r="I237" s="365"/>
      <c r="J237" s="383"/>
    </row>
    <row r="238" spans="1:10" ht="16.5">
      <c r="A238" s="383"/>
      <c r="B238" s="384"/>
      <c r="C238" s="364"/>
      <c r="D238" s="383"/>
      <c r="E238" s="383"/>
      <c r="F238" s="383"/>
      <c r="G238" s="365"/>
      <c r="H238" s="365"/>
      <c r="I238" s="365"/>
      <c r="J238" s="383"/>
    </row>
    <row r="239" spans="1:10" ht="16.5">
      <c r="A239" s="383"/>
      <c r="B239" s="384"/>
      <c r="C239" s="364"/>
      <c r="D239" s="383"/>
      <c r="E239" s="383"/>
      <c r="F239" s="383"/>
      <c r="G239" s="365"/>
      <c r="H239" s="365"/>
      <c r="I239" s="365"/>
      <c r="J239" s="383"/>
    </row>
    <row r="240" spans="1:10" ht="16.5">
      <c r="A240" s="383"/>
      <c r="B240" s="384"/>
      <c r="C240" s="364"/>
      <c r="D240" s="383"/>
      <c r="E240" s="383"/>
      <c r="F240" s="383"/>
      <c r="G240" s="365"/>
      <c r="H240" s="365"/>
      <c r="I240" s="365"/>
      <c r="J240" s="383"/>
    </row>
    <row r="241" spans="1:10" ht="16.5">
      <c r="A241" s="383"/>
      <c r="B241" s="384"/>
      <c r="C241" s="364"/>
      <c r="D241" s="383"/>
      <c r="E241" s="383"/>
      <c r="F241" s="383"/>
      <c r="G241" s="365"/>
      <c r="H241" s="365"/>
      <c r="I241" s="365"/>
      <c r="J241" s="383"/>
    </row>
    <row r="242" spans="1:10" ht="16.5">
      <c r="A242" s="383"/>
      <c r="B242" s="384"/>
      <c r="C242" s="364"/>
      <c r="D242" s="383"/>
      <c r="E242" s="383"/>
      <c r="F242" s="383"/>
      <c r="G242" s="365"/>
      <c r="H242" s="365"/>
      <c r="I242" s="365"/>
      <c r="J242" s="383"/>
    </row>
    <row r="243" spans="1:10" ht="16.5">
      <c r="A243" s="383"/>
      <c r="B243" s="384"/>
      <c r="C243" s="364"/>
      <c r="D243" s="383"/>
      <c r="E243" s="383"/>
      <c r="F243" s="383"/>
      <c r="G243" s="365"/>
      <c r="H243" s="365"/>
      <c r="I243" s="365"/>
      <c r="J243" s="383"/>
    </row>
    <row r="244" spans="1:10" ht="16.5">
      <c r="A244" s="383"/>
      <c r="B244" s="384"/>
      <c r="C244" s="364"/>
      <c r="D244" s="383"/>
      <c r="E244" s="383"/>
      <c r="F244" s="383"/>
      <c r="G244" s="365"/>
      <c r="H244" s="365"/>
      <c r="I244" s="365"/>
      <c r="J244" s="38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workbookViewId="0"/>
  </sheetViews>
  <sheetFormatPr defaultRowHeight="15"/>
  <sheetData>
    <row r="1" spans="1:25" ht="37.5">
      <c r="A1" s="360"/>
      <c r="B1" s="507" t="s">
        <v>720</v>
      </c>
      <c r="C1" s="362"/>
      <c r="I1" s="520"/>
      <c r="J1" s="546"/>
      <c r="K1" s="1048"/>
      <c r="L1" s="1048"/>
      <c r="M1" s="1048"/>
    </row>
    <row r="2" spans="1:25" ht="16.5">
      <c r="A2" s="1063" t="s">
        <v>705</v>
      </c>
      <c r="B2" s="1063"/>
      <c r="C2" s="1063"/>
      <c r="D2" s="1063"/>
      <c r="E2" s="1063"/>
      <c r="F2" s="1063"/>
      <c r="G2" s="1063"/>
      <c r="H2" s="1063"/>
      <c r="I2" s="1063"/>
      <c r="J2" s="1063"/>
      <c r="K2" s="1063"/>
      <c r="L2" s="1063"/>
      <c r="M2" s="1063"/>
    </row>
    <row r="3" spans="1:25" ht="16.5">
      <c r="A3" s="1060" t="s">
        <v>812</v>
      </c>
      <c r="B3" s="1060"/>
      <c r="C3" s="1060"/>
      <c r="D3" s="1060"/>
      <c r="E3" s="1060"/>
      <c r="F3" s="1060"/>
      <c r="G3" s="1060"/>
      <c r="H3" s="1060"/>
      <c r="I3" s="1060"/>
      <c r="J3" s="1060"/>
      <c r="K3" s="1060"/>
      <c r="L3" s="1060"/>
      <c r="M3" s="1060"/>
    </row>
    <row r="4" spans="1:25" ht="16.5">
      <c r="A4" s="383"/>
      <c r="B4" s="384"/>
      <c r="C4" s="384"/>
      <c r="D4" s="364"/>
      <c r="E4" s="364"/>
      <c r="F4" s="364"/>
      <c r="G4" s="365"/>
      <c r="H4" s="365"/>
      <c r="I4" s="365"/>
      <c r="J4" s="365"/>
      <c r="K4" s="365"/>
      <c r="L4" s="365"/>
      <c r="M4" s="365"/>
    </row>
    <row r="5" spans="1:25" ht="165">
      <c r="A5" s="1053" t="s">
        <v>0</v>
      </c>
      <c r="B5" s="1053" t="s">
        <v>287</v>
      </c>
      <c r="C5" s="1053" t="s">
        <v>184</v>
      </c>
      <c r="D5" s="1053" t="s">
        <v>317</v>
      </c>
      <c r="E5" s="370"/>
      <c r="F5" s="1053" t="s">
        <v>323</v>
      </c>
      <c r="G5" s="1056" t="s">
        <v>760</v>
      </c>
      <c r="H5" s="1057"/>
      <c r="I5" s="1057"/>
      <c r="J5" s="1057"/>
      <c r="K5" s="1058"/>
      <c r="L5" s="1070" t="s">
        <v>531</v>
      </c>
      <c r="M5" s="1070" t="s">
        <v>532</v>
      </c>
    </row>
    <row r="6" spans="1:25" ht="66">
      <c r="A6" s="1054"/>
      <c r="B6" s="1054"/>
      <c r="C6" s="1054"/>
      <c r="D6" s="1054"/>
      <c r="E6" s="366" t="s">
        <v>144</v>
      </c>
      <c r="F6" s="1054"/>
      <c r="G6" s="332" t="s">
        <v>706</v>
      </c>
      <c r="H6" s="332" t="s">
        <v>707</v>
      </c>
      <c r="I6" s="332" t="s">
        <v>708</v>
      </c>
      <c r="J6" s="332" t="s">
        <v>709</v>
      </c>
      <c r="K6" s="332" t="s">
        <v>710</v>
      </c>
      <c r="L6" s="1071"/>
      <c r="M6" s="1071"/>
    </row>
    <row r="7" spans="1:25" ht="33">
      <c r="A7" s="368" t="s">
        <v>101</v>
      </c>
      <c r="B7" s="369" t="s">
        <v>437</v>
      </c>
      <c r="C7" s="366"/>
      <c r="D7" s="539"/>
      <c r="E7" s="539"/>
      <c r="F7" s="539"/>
      <c r="G7" s="540"/>
      <c r="H7" s="540"/>
      <c r="I7" s="540"/>
      <c r="J7" s="518"/>
      <c r="K7" s="518"/>
      <c r="L7" s="518"/>
      <c r="M7" s="462"/>
    </row>
    <row r="8" spans="1:25" ht="66">
      <c r="A8" s="368">
        <v>1</v>
      </c>
      <c r="B8" s="375" t="s">
        <v>438</v>
      </c>
      <c r="C8" s="366"/>
      <c r="D8" s="539"/>
      <c r="E8" s="539"/>
      <c r="F8" s="539"/>
      <c r="G8" s="674"/>
      <c r="H8" s="540"/>
      <c r="I8" s="540"/>
      <c r="J8" s="518"/>
      <c r="K8" s="518"/>
      <c r="L8" s="518"/>
      <c r="M8" s="462"/>
      <c r="N8" s="453"/>
      <c r="P8" s="452"/>
      <c r="Q8" s="453"/>
      <c r="S8" s="452"/>
      <c r="T8" s="453"/>
      <c r="V8" s="452"/>
      <c r="W8" s="453"/>
      <c r="Y8" s="452"/>
    </row>
    <row r="9" spans="1:25" ht="82.5">
      <c r="A9" s="376"/>
      <c r="B9" s="455" t="s">
        <v>439</v>
      </c>
      <c r="C9" s="370" t="s">
        <v>440</v>
      </c>
      <c r="D9" s="871">
        <v>4582</v>
      </c>
      <c r="E9" s="682">
        <v>41372</v>
      </c>
      <c r="F9" s="871">
        <v>7813</v>
      </c>
      <c r="G9" s="871">
        <v>4496</v>
      </c>
      <c r="H9" s="871">
        <v>4863</v>
      </c>
      <c r="I9" s="871">
        <v>4879</v>
      </c>
      <c r="J9" s="871">
        <v>4990</v>
      </c>
      <c r="K9" s="871">
        <v>4964</v>
      </c>
      <c r="L9" s="871">
        <f>K9</f>
        <v>4964</v>
      </c>
      <c r="M9" s="958" t="s">
        <v>42</v>
      </c>
      <c r="N9" s="1072"/>
      <c r="P9" s="452"/>
      <c r="Q9" s="453"/>
      <c r="S9" s="452"/>
      <c r="T9" s="453"/>
      <c r="V9" s="452"/>
      <c r="W9" s="453"/>
      <c r="Y9" s="452"/>
    </row>
    <row r="10" spans="1:25" ht="66">
      <c r="A10" s="368">
        <v>2</v>
      </c>
      <c r="B10" s="369" t="s">
        <v>441</v>
      </c>
      <c r="C10" s="370"/>
      <c r="D10" s="682"/>
      <c r="E10" s="545"/>
      <c r="F10" s="545"/>
      <c r="G10" s="545"/>
      <c r="H10" s="545"/>
      <c r="I10" s="545"/>
      <c r="J10" s="545"/>
      <c r="K10" s="545"/>
      <c r="L10" s="545"/>
      <c r="M10" s="484"/>
      <c r="N10" s="1072"/>
    </row>
    <row r="11" spans="1:25" ht="66">
      <c r="A11" s="376"/>
      <c r="B11" s="461" t="s">
        <v>442</v>
      </c>
      <c r="C11" s="370" t="s">
        <v>440</v>
      </c>
      <c r="D11" s="871">
        <v>7298</v>
      </c>
      <c r="E11" s="682">
        <v>64595</v>
      </c>
      <c r="F11" s="871">
        <v>7420</v>
      </c>
      <c r="G11" s="871">
        <v>7185</v>
      </c>
      <c r="H11" s="871">
        <v>7110</v>
      </c>
      <c r="I11" s="871">
        <v>7316</v>
      </c>
      <c r="J11" s="871">
        <v>7555</v>
      </c>
      <c r="K11" s="871">
        <v>7867</v>
      </c>
      <c r="L11" s="871">
        <f>K11</f>
        <v>7867</v>
      </c>
      <c r="M11" s="958" t="s">
        <v>78</v>
      </c>
      <c r="N11" s="1072"/>
    </row>
    <row r="12" spans="1:25" ht="82.5">
      <c r="A12" s="368">
        <v>3</v>
      </c>
      <c r="B12" s="375" t="s">
        <v>443</v>
      </c>
      <c r="C12" s="370"/>
      <c r="D12" s="871"/>
      <c r="E12" s="682"/>
      <c r="F12" s="871"/>
      <c r="G12" s="871"/>
      <c r="H12" s="871"/>
      <c r="I12" s="871"/>
      <c r="J12" s="871"/>
      <c r="K12" s="871"/>
      <c r="L12" s="871"/>
      <c r="M12" s="484"/>
      <c r="N12" s="1072"/>
      <c r="P12" s="452"/>
      <c r="Q12" s="453"/>
      <c r="S12" s="452"/>
      <c r="T12" s="453"/>
      <c r="V12" s="452"/>
      <c r="W12" s="453"/>
      <c r="Y12" s="452"/>
    </row>
    <row r="13" spans="1:25" ht="99">
      <c r="A13" s="376"/>
      <c r="B13" s="461" t="s">
        <v>444</v>
      </c>
      <c r="C13" s="370" t="s">
        <v>440</v>
      </c>
      <c r="D13" s="871">
        <v>3798</v>
      </c>
      <c r="E13" s="682">
        <v>40530</v>
      </c>
      <c r="F13" s="871">
        <v>5800</v>
      </c>
      <c r="G13" s="871">
        <v>3382</v>
      </c>
      <c r="H13" s="871">
        <v>3838</v>
      </c>
      <c r="I13" s="871">
        <v>4511</v>
      </c>
      <c r="J13" s="871">
        <v>4510</v>
      </c>
      <c r="K13" s="871">
        <v>5011</v>
      </c>
      <c r="L13" s="871">
        <f>K13</f>
        <v>5011</v>
      </c>
      <c r="M13" s="958" t="s">
        <v>42</v>
      </c>
      <c r="N13" s="1072"/>
    </row>
    <row r="14" spans="1:25" ht="99">
      <c r="A14" s="368">
        <v>4</v>
      </c>
      <c r="B14" s="369" t="s">
        <v>445</v>
      </c>
      <c r="C14" s="370"/>
      <c r="D14" s="871"/>
      <c r="E14" s="682"/>
      <c r="F14" s="871"/>
      <c r="G14" s="871"/>
      <c r="H14" s="871"/>
      <c r="I14" s="871"/>
      <c r="J14" s="871"/>
      <c r="K14" s="871"/>
      <c r="L14" s="871"/>
      <c r="M14" s="484"/>
      <c r="N14" s="1072"/>
    </row>
    <row r="15" spans="1:25" ht="99">
      <c r="A15" s="376"/>
      <c r="B15" s="461" t="s">
        <v>446</v>
      </c>
      <c r="C15" s="370" t="s">
        <v>440</v>
      </c>
      <c r="D15" s="871">
        <v>1347</v>
      </c>
      <c r="E15" s="682">
        <v>15194</v>
      </c>
      <c r="F15" s="871">
        <v>1422</v>
      </c>
      <c r="G15" s="871">
        <v>1185</v>
      </c>
      <c r="H15" s="871">
        <v>1220</v>
      </c>
      <c r="I15" s="871">
        <v>1212</v>
      </c>
      <c r="J15" s="871">
        <v>1232</v>
      </c>
      <c r="K15" s="871">
        <v>1473</v>
      </c>
      <c r="L15" s="871">
        <f>K15</f>
        <v>1473</v>
      </c>
      <c r="M15" s="958" t="s">
        <v>78</v>
      </c>
      <c r="N15" s="1072"/>
    </row>
    <row r="16" spans="1:25" ht="33">
      <c r="A16" s="467" t="s">
        <v>102</v>
      </c>
      <c r="B16" s="468" t="s">
        <v>447</v>
      </c>
      <c r="C16" s="470"/>
      <c r="D16" s="528"/>
      <c r="E16" s="528"/>
      <c r="F16" s="528"/>
      <c r="G16" s="528"/>
      <c r="H16" s="528"/>
      <c r="I16" s="528"/>
      <c r="J16" s="471"/>
      <c r="K16" s="471"/>
      <c r="L16" s="471"/>
      <c r="M16" s="471"/>
      <c r="N16" s="1072"/>
    </row>
    <row r="17" spans="1:14" ht="66">
      <c r="A17" s="467">
        <v>1</v>
      </c>
      <c r="B17" s="468" t="s">
        <v>448</v>
      </c>
      <c r="C17" s="470"/>
      <c r="D17" s="685"/>
      <c r="E17" s="685"/>
      <c r="F17" s="685"/>
      <c r="G17" s="686"/>
      <c r="H17" s="686"/>
      <c r="I17" s="686"/>
      <c r="J17" s="687"/>
      <c r="K17" s="687"/>
      <c r="L17" s="687"/>
      <c r="M17" s="472"/>
      <c r="N17" s="473"/>
    </row>
    <row r="18" spans="1:14" ht="82.5">
      <c r="A18" s="464"/>
      <c r="B18" s="474" t="s">
        <v>659</v>
      </c>
      <c r="C18" s="466" t="s">
        <v>450</v>
      </c>
      <c r="D18" s="637"/>
      <c r="E18" s="637">
        <v>3668</v>
      </c>
      <c r="F18" s="637"/>
      <c r="G18" s="691"/>
      <c r="H18" s="691"/>
      <c r="I18" s="691"/>
      <c r="J18" s="692"/>
      <c r="K18" s="692"/>
      <c r="L18" s="692"/>
      <c r="M18" s="679"/>
      <c r="N18" s="477"/>
    </row>
    <row r="19" spans="1:14" ht="82.5">
      <c r="A19" s="464"/>
      <c r="B19" s="474" t="s">
        <v>647</v>
      </c>
      <c r="C19" s="466" t="s">
        <v>450</v>
      </c>
      <c r="D19" s="637"/>
      <c r="E19" s="637"/>
      <c r="F19" s="637"/>
      <c r="G19" s="691"/>
      <c r="H19" s="691"/>
      <c r="I19" s="691"/>
      <c r="J19" s="692"/>
      <c r="K19" s="692"/>
      <c r="L19" s="692"/>
      <c r="M19" s="679"/>
      <c r="N19" s="477"/>
    </row>
    <row r="20" spans="1:14" ht="82.5">
      <c r="A20" s="464"/>
      <c r="B20" s="474" t="s">
        <v>648</v>
      </c>
      <c r="C20" s="466" t="s">
        <v>450</v>
      </c>
      <c r="D20" s="637"/>
      <c r="E20" s="637"/>
      <c r="F20" s="637"/>
      <c r="G20" s="691"/>
      <c r="H20" s="691"/>
      <c r="I20" s="691"/>
      <c r="J20" s="692"/>
      <c r="K20" s="692"/>
      <c r="L20" s="692"/>
      <c r="M20" s="679"/>
      <c r="N20" s="477"/>
    </row>
    <row r="21" spans="1:14" ht="82.5">
      <c r="A21" s="464"/>
      <c r="B21" s="474" t="s">
        <v>649</v>
      </c>
      <c r="C21" s="466" t="s">
        <v>450</v>
      </c>
      <c r="D21" s="637"/>
      <c r="E21" s="637"/>
      <c r="F21" s="637"/>
      <c r="G21" s="691"/>
      <c r="H21" s="691"/>
      <c r="I21" s="691"/>
      <c r="J21" s="692"/>
      <c r="K21" s="692"/>
      <c r="L21" s="692"/>
      <c r="M21" s="679"/>
      <c r="N21" s="477"/>
    </row>
    <row r="22" spans="1:14" ht="132">
      <c r="A22" s="467"/>
      <c r="B22" s="475" t="s">
        <v>660</v>
      </c>
      <c r="C22" s="476" t="s">
        <v>452</v>
      </c>
      <c r="D22" s="542"/>
      <c r="E22" s="542"/>
      <c r="F22" s="542"/>
      <c r="G22" s="688"/>
      <c r="H22" s="688"/>
      <c r="I22" s="688"/>
      <c r="J22" s="689"/>
      <c r="K22" s="689"/>
      <c r="L22" s="689"/>
      <c r="M22" s="959"/>
      <c r="N22" s="473"/>
    </row>
    <row r="23" spans="1:14" ht="99">
      <c r="A23" s="467">
        <v>2</v>
      </c>
      <c r="B23" s="468" t="s">
        <v>453</v>
      </c>
      <c r="C23" s="470"/>
      <c r="D23" s="685"/>
      <c r="E23" s="685"/>
      <c r="F23" s="685"/>
      <c r="G23" s="690"/>
      <c r="H23" s="690"/>
      <c r="I23" s="690"/>
      <c r="J23" s="541"/>
      <c r="K23" s="541"/>
      <c r="L23" s="541"/>
      <c r="M23" s="541"/>
      <c r="N23" s="473"/>
    </row>
    <row r="24" spans="1:14" ht="99">
      <c r="A24" s="464"/>
      <c r="B24" s="469" t="s">
        <v>454</v>
      </c>
      <c r="C24" s="466" t="s">
        <v>450</v>
      </c>
      <c r="D24" s="637"/>
      <c r="E24" s="637">
        <v>5183</v>
      </c>
      <c r="F24" s="637"/>
      <c r="G24" s="691"/>
      <c r="H24" s="691"/>
      <c r="I24" s="691"/>
      <c r="J24" s="692"/>
      <c r="K24" s="692"/>
      <c r="L24" s="692"/>
      <c r="M24" s="679"/>
      <c r="N24" s="477"/>
    </row>
    <row r="25" spans="1:14" ht="82.5">
      <c r="A25" s="464"/>
      <c r="B25" s="474" t="s">
        <v>647</v>
      </c>
      <c r="C25" s="466" t="s">
        <v>450</v>
      </c>
      <c r="D25" s="637"/>
      <c r="E25" s="637"/>
      <c r="F25" s="637"/>
      <c r="G25" s="691"/>
      <c r="H25" s="691"/>
      <c r="I25" s="691"/>
      <c r="J25" s="692"/>
      <c r="K25" s="692"/>
      <c r="L25" s="692"/>
      <c r="M25" s="679"/>
      <c r="N25" s="477"/>
    </row>
    <row r="26" spans="1:14" ht="82.5">
      <c r="A26" s="464"/>
      <c r="B26" s="474" t="s">
        <v>648</v>
      </c>
      <c r="C26" s="466" t="s">
        <v>450</v>
      </c>
      <c r="D26" s="637"/>
      <c r="E26" s="637"/>
      <c r="F26" s="637"/>
      <c r="G26" s="691"/>
      <c r="H26" s="691"/>
      <c r="I26" s="691"/>
      <c r="J26" s="692"/>
      <c r="K26" s="692"/>
      <c r="L26" s="692"/>
      <c r="M26" s="679"/>
      <c r="N26" s="477"/>
    </row>
    <row r="27" spans="1:14" ht="82.5">
      <c r="A27" s="464"/>
      <c r="B27" s="474" t="s">
        <v>649</v>
      </c>
      <c r="C27" s="466" t="s">
        <v>450</v>
      </c>
      <c r="D27" s="637"/>
      <c r="E27" s="637"/>
      <c r="F27" s="637"/>
      <c r="G27" s="691"/>
      <c r="H27" s="691"/>
      <c r="I27" s="691"/>
      <c r="J27" s="692"/>
      <c r="K27" s="692"/>
      <c r="L27" s="692"/>
      <c r="M27" s="679"/>
      <c r="N27" s="477"/>
    </row>
    <row r="28" spans="1:14" ht="132">
      <c r="A28" s="478"/>
      <c r="B28" s="475" t="s">
        <v>73</v>
      </c>
      <c r="C28" s="476" t="s">
        <v>301</v>
      </c>
      <c r="D28" s="542"/>
      <c r="E28" s="542"/>
      <c r="F28" s="542"/>
      <c r="G28" s="529"/>
      <c r="H28" s="529"/>
      <c r="I28" s="529"/>
      <c r="J28" s="479"/>
      <c r="K28" s="479"/>
      <c r="L28" s="479"/>
      <c r="M28" s="679"/>
      <c r="N28" s="480"/>
    </row>
    <row r="29" spans="1:14" ht="82.5">
      <c r="A29" s="464"/>
      <c r="B29" s="474" t="s">
        <v>647</v>
      </c>
      <c r="C29" s="466" t="s">
        <v>450</v>
      </c>
      <c r="D29" s="637"/>
      <c r="E29" s="637"/>
      <c r="F29" s="637"/>
      <c r="G29" s="691"/>
      <c r="H29" s="691"/>
      <c r="I29" s="691"/>
      <c r="J29" s="692"/>
      <c r="K29" s="692"/>
      <c r="L29" s="692"/>
      <c r="M29" s="679"/>
      <c r="N29" s="477"/>
    </row>
    <row r="30" spans="1:14" ht="82.5">
      <c r="A30" s="464"/>
      <c r="B30" s="474" t="s">
        <v>648</v>
      </c>
      <c r="C30" s="466" t="s">
        <v>450</v>
      </c>
      <c r="D30" s="637"/>
      <c r="E30" s="637"/>
      <c r="F30" s="637"/>
      <c r="G30" s="691"/>
      <c r="H30" s="691"/>
      <c r="I30" s="691"/>
      <c r="J30" s="692"/>
      <c r="K30" s="692"/>
      <c r="L30" s="692"/>
      <c r="M30" s="679"/>
      <c r="N30" s="477"/>
    </row>
    <row r="31" spans="1:14" ht="82.5">
      <c r="A31" s="464"/>
      <c r="B31" s="474" t="s">
        <v>649</v>
      </c>
      <c r="C31" s="466" t="s">
        <v>450</v>
      </c>
      <c r="D31" s="637"/>
      <c r="E31" s="637"/>
      <c r="F31" s="637"/>
      <c r="G31" s="691"/>
      <c r="H31" s="691"/>
      <c r="I31" s="691"/>
      <c r="J31" s="692"/>
      <c r="K31" s="692"/>
      <c r="L31" s="692"/>
      <c r="M31" s="679"/>
      <c r="N31" s="477"/>
    </row>
    <row r="32" spans="1:14" ht="115.5">
      <c r="A32" s="464"/>
      <c r="B32" s="469" t="s">
        <v>455</v>
      </c>
      <c r="C32" s="476" t="str">
        <f>C18</f>
        <v xml:space="preserve"> Người </v>
      </c>
      <c r="D32" s="530"/>
      <c r="E32" s="530">
        <f>2007+807</f>
        <v>2814</v>
      </c>
      <c r="F32" s="530"/>
      <c r="G32" s="531"/>
      <c r="H32" s="531"/>
      <c r="I32" s="530"/>
      <c r="J32" s="481"/>
      <c r="K32" s="481"/>
      <c r="L32" s="481"/>
      <c r="M32" s="679"/>
    </row>
    <row r="33" spans="1:14" ht="82.5">
      <c r="A33" s="464"/>
      <c r="B33" s="474" t="s">
        <v>647</v>
      </c>
      <c r="C33" s="466" t="s">
        <v>450</v>
      </c>
      <c r="D33" s="637"/>
      <c r="E33" s="637"/>
      <c r="F33" s="637"/>
      <c r="G33" s="691"/>
      <c r="H33" s="691"/>
      <c r="I33" s="691"/>
      <c r="J33" s="692"/>
      <c r="K33" s="692"/>
      <c r="L33" s="692"/>
      <c r="M33" s="679"/>
      <c r="N33" s="477"/>
    </row>
    <row r="34" spans="1:14" ht="82.5">
      <c r="A34" s="464"/>
      <c r="B34" s="474" t="s">
        <v>648</v>
      </c>
      <c r="C34" s="466" t="s">
        <v>450</v>
      </c>
      <c r="D34" s="637"/>
      <c r="E34" s="637"/>
      <c r="F34" s="637"/>
      <c r="G34" s="691"/>
      <c r="H34" s="691"/>
      <c r="I34" s="691"/>
      <c r="J34" s="692"/>
      <c r="K34" s="692"/>
      <c r="L34" s="692"/>
      <c r="M34" s="679"/>
      <c r="N34" s="477"/>
    </row>
    <row r="35" spans="1:14" ht="82.5">
      <c r="A35" s="464"/>
      <c r="B35" s="474" t="s">
        <v>649</v>
      </c>
      <c r="C35" s="466" t="s">
        <v>450</v>
      </c>
      <c r="D35" s="637"/>
      <c r="E35" s="637"/>
      <c r="F35" s="637"/>
      <c r="G35" s="691"/>
      <c r="H35" s="691"/>
      <c r="I35" s="691"/>
      <c r="J35" s="692"/>
      <c r="K35" s="692"/>
      <c r="L35" s="692"/>
      <c r="M35" s="679"/>
      <c r="N35" s="477"/>
    </row>
    <row r="36" spans="1:14" ht="148.5">
      <c r="A36" s="478"/>
      <c r="B36" s="475" t="s">
        <v>456</v>
      </c>
      <c r="C36" s="476" t="s">
        <v>301</v>
      </c>
      <c r="D36" s="542"/>
      <c r="E36" s="542"/>
      <c r="F36" s="542"/>
      <c r="G36" s="543"/>
      <c r="H36" s="543"/>
      <c r="I36" s="543"/>
      <c r="J36" s="544"/>
      <c r="K36" s="544"/>
      <c r="L36" s="544"/>
      <c r="M36" s="679"/>
    </row>
    <row r="37" spans="1:14" ht="82.5">
      <c r="A37" s="464"/>
      <c r="B37" s="474" t="s">
        <v>647</v>
      </c>
      <c r="C37" s="466" t="s">
        <v>450</v>
      </c>
      <c r="D37" s="637"/>
      <c r="E37" s="637"/>
      <c r="F37" s="637"/>
      <c r="G37" s="691"/>
      <c r="H37" s="691"/>
      <c r="I37" s="691"/>
      <c r="J37" s="692"/>
      <c r="K37" s="692"/>
      <c r="L37" s="692"/>
      <c r="M37" s="679"/>
      <c r="N37" s="477"/>
    </row>
    <row r="38" spans="1:14" ht="82.5">
      <c r="A38" s="464"/>
      <c r="B38" s="474" t="s">
        <v>648</v>
      </c>
      <c r="C38" s="466" t="s">
        <v>450</v>
      </c>
      <c r="D38" s="637"/>
      <c r="E38" s="637"/>
      <c r="F38" s="637"/>
      <c r="G38" s="691"/>
      <c r="H38" s="691"/>
      <c r="I38" s="691"/>
      <c r="J38" s="692"/>
      <c r="K38" s="692"/>
      <c r="L38" s="692"/>
      <c r="M38" s="679"/>
      <c r="N38" s="477"/>
    </row>
    <row r="39" spans="1:14" ht="82.5">
      <c r="A39" s="464"/>
      <c r="B39" s="474" t="s">
        <v>649</v>
      </c>
      <c r="C39" s="466" t="s">
        <v>450</v>
      </c>
      <c r="D39" s="637"/>
      <c r="E39" s="637"/>
      <c r="F39" s="637"/>
      <c r="G39" s="691"/>
      <c r="H39" s="691"/>
      <c r="I39" s="691"/>
      <c r="J39" s="692"/>
      <c r="K39" s="692"/>
      <c r="L39" s="692"/>
      <c r="M39" s="679"/>
      <c r="N39" s="477"/>
    </row>
    <row r="40" spans="1:14" ht="115.5">
      <c r="A40" s="376"/>
      <c r="B40" s="455" t="s">
        <v>658</v>
      </c>
      <c r="C40" s="370" t="s">
        <v>650</v>
      </c>
      <c r="D40" s="637">
        <v>3452</v>
      </c>
      <c r="E40" s="637"/>
      <c r="F40" s="637"/>
      <c r="G40" s="871">
        <v>419</v>
      </c>
      <c r="H40" s="871">
        <v>344</v>
      </c>
      <c r="I40" s="871">
        <v>272</v>
      </c>
      <c r="J40" s="871">
        <v>304</v>
      </c>
      <c r="K40" s="871">
        <v>130</v>
      </c>
      <c r="L40" s="871">
        <f>SUM(G40:K40)</f>
        <v>1469</v>
      </c>
      <c r="M40" s="958"/>
      <c r="N40" s="831"/>
    </row>
    <row r="41" spans="1:14" ht="82.5">
      <c r="A41" s="376"/>
      <c r="B41" s="377" t="s">
        <v>457</v>
      </c>
      <c r="C41" s="370" t="s">
        <v>301</v>
      </c>
      <c r="D41" s="637"/>
      <c r="E41" s="637"/>
      <c r="F41" s="637"/>
      <c r="G41" s="344">
        <v>28.19</v>
      </c>
      <c r="H41" s="344">
        <v>30.65</v>
      </c>
      <c r="I41" s="344">
        <v>27.15</v>
      </c>
      <c r="J41" s="344">
        <v>27.94</v>
      </c>
      <c r="K41" s="344">
        <v>29.1</v>
      </c>
      <c r="L41" s="929">
        <f>K41</f>
        <v>29.1</v>
      </c>
      <c r="M41" s="958"/>
      <c r="N41" s="831"/>
    </row>
    <row r="42" spans="1:14" ht="82.5">
      <c r="A42" s="368" t="s">
        <v>115</v>
      </c>
      <c r="B42" s="369" t="s">
        <v>653</v>
      </c>
      <c r="C42" s="369"/>
      <c r="D42" s="370"/>
      <c r="E42" s="370"/>
      <c r="F42" s="370"/>
      <c r="G42" s="372"/>
      <c r="H42" s="372"/>
      <c r="I42" s="372"/>
      <c r="J42" s="372"/>
      <c r="K42" s="372"/>
      <c r="L42" s="372"/>
      <c r="M42" s="372"/>
      <c r="N42" s="960" t="s">
        <v>655</v>
      </c>
    </row>
    <row r="43" spans="1:14" ht="115.5">
      <c r="A43" s="464">
        <v>1</v>
      </c>
      <c r="B43" s="465" t="s">
        <v>662</v>
      </c>
      <c r="C43" s="466" t="s">
        <v>301</v>
      </c>
      <c r="D43" s="691" t="s">
        <v>657</v>
      </c>
      <c r="E43" s="691" t="s">
        <v>657</v>
      </c>
      <c r="F43" s="691" t="s">
        <v>657</v>
      </c>
      <c r="G43" s="691" t="s">
        <v>657</v>
      </c>
      <c r="H43" s="691" t="s">
        <v>657</v>
      </c>
      <c r="I43" s="691" t="s">
        <v>657</v>
      </c>
      <c r="J43" s="691" t="s">
        <v>657</v>
      </c>
      <c r="K43" s="691" t="s">
        <v>657</v>
      </c>
      <c r="L43" s="691" t="s">
        <v>657</v>
      </c>
      <c r="M43" s="691" t="s">
        <v>657</v>
      </c>
      <c r="N43" s="477"/>
    </row>
    <row r="44" spans="1:14" ht="82.5">
      <c r="A44" s="464">
        <v>2</v>
      </c>
      <c r="B44" s="465" t="s">
        <v>663</v>
      </c>
      <c r="C44" s="466" t="s">
        <v>301</v>
      </c>
      <c r="D44" s="691" t="s">
        <v>657</v>
      </c>
      <c r="E44" s="691" t="s">
        <v>657</v>
      </c>
      <c r="F44" s="691" t="s">
        <v>657</v>
      </c>
      <c r="G44" s="691" t="s">
        <v>657</v>
      </c>
      <c r="H44" s="691" t="s">
        <v>657</v>
      </c>
      <c r="I44" s="691" t="s">
        <v>657</v>
      </c>
      <c r="J44" s="691" t="s">
        <v>657</v>
      </c>
      <c r="K44" s="691" t="s">
        <v>657</v>
      </c>
      <c r="L44" s="691" t="s">
        <v>657</v>
      </c>
      <c r="M44" s="691" t="s">
        <v>657</v>
      </c>
      <c r="N44" s="477"/>
    </row>
    <row r="45" spans="1:14" ht="66">
      <c r="A45" s="464">
        <v>3</v>
      </c>
      <c r="B45" s="465" t="s">
        <v>664</v>
      </c>
      <c r="C45" s="466" t="s">
        <v>301</v>
      </c>
      <c r="D45" s="691" t="s">
        <v>657</v>
      </c>
      <c r="E45" s="691" t="s">
        <v>657</v>
      </c>
      <c r="F45" s="691" t="s">
        <v>657</v>
      </c>
      <c r="G45" s="691" t="s">
        <v>657</v>
      </c>
      <c r="H45" s="691" t="s">
        <v>657</v>
      </c>
      <c r="I45" s="691" t="s">
        <v>657</v>
      </c>
      <c r="J45" s="691" t="s">
        <v>657</v>
      </c>
      <c r="K45" s="691" t="s">
        <v>657</v>
      </c>
      <c r="L45" s="691" t="s">
        <v>657</v>
      </c>
      <c r="M45" s="691" t="s">
        <v>657</v>
      </c>
      <c r="N45" s="477"/>
    </row>
    <row r="46" spans="1:14" ht="16.5">
      <c r="A46" s="383"/>
      <c r="B46" s="384"/>
      <c r="C46" s="384"/>
      <c r="D46" s="364"/>
      <c r="E46" s="364"/>
      <c r="F46" s="364"/>
      <c r="G46" s="365"/>
      <c r="H46" s="365"/>
      <c r="I46" s="365"/>
      <c r="J46" s="365"/>
      <c r="K46" s="365"/>
      <c r="L46" s="365"/>
      <c r="M46" s="365"/>
    </row>
    <row r="47" spans="1:14" ht="16.5">
      <c r="A47" s="383"/>
      <c r="B47" s="384"/>
      <c r="C47" s="384"/>
      <c r="D47" s="364"/>
      <c r="E47" s="364"/>
      <c r="F47" s="364"/>
      <c r="G47" s="365"/>
      <c r="H47" s="365"/>
      <c r="I47" s="365"/>
      <c r="J47" s="365"/>
      <c r="K47" s="365"/>
      <c r="L47" s="365"/>
      <c r="M47" s="365"/>
    </row>
    <row r="48" spans="1:14" ht="16.5">
      <c r="A48" s="383"/>
      <c r="B48" s="384"/>
      <c r="C48" s="384"/>
      <c r="D48" s="364"/>
      <c r="E48" s="364"/>
      <c r="F48" s="364"/>
      <c r="G48" s="365"/>
      <c r="H48" s="365"/>
      <c r="I48" s="365"/>
      <c r="J48" s="365"/>
      <c r="K48" s="365"/>
      <c r="L48" s="365"/>
      <c r="M48" s="365"/>
    </row>
    <row r="49" spans="1:13" ht="16.5">
      <c r="A49" s="383"/>
      <c r="B49" s="384"/>
      <c r="C49" s="384"/>
      <c r="D49" s="364"/>
      <c r="E49" s="364"/>
      <c r="F49" s="364"/>
      <c r="G49" s="365"/>
      <c r="H49" s="365"/>
      <c r="I49" s="365"/>
      <c r="J49" s="365"/>
      <c r="K49" s="365"/>
      <c r="L49" s="365"/>
      <c r="M49" s="365"/>
    </row>
    <row r="50" spans="1:13" ht="16.5">
      <c r="A50" s="383"/>
      <c r="B50" s="384"/>
      <c r="C50" s="384"/>
      <c r="D50" s="364"/>
      <c r="E50" s="364"/>
      <c r="F50" s="364"/>
      <c r="G50" s="365"/>
      <c r="H50" s="365"/>
      <c r="I50" s="365"/>
      <c r="J50" s="365"/>
      <c r="K50" s="365"/>
      <c r="L50" s="365"/>
      <c r="M50" s="365"/>
    </row>
    <row r="51" spans="1:13" ht="16.5">
      <c r="A51" s="383"/>
      <c r="B51" s="384"/>
      <c r="C51" s="384"/>
      <c r="D51" s="364"/>
      <c r="E51" s="364"/>
      <c r="F51" s="364"/>
      <c r="G51" s="365"/>
      <c r="H51" s="365"/>
      <c r="I51" s="365"/>
      <c r="J51" s="365"/>
      <c r="K51" s="365"/>
      <c r="L51" s="365"/>
      <c r="M51" s="365"/>
    </row>
    <row r="52" spans="1:13" ht="16.5">
      <c r="A52" s="383"/>
      <c r="B52" s="384"/>
      <c r="C52" s="384"/>
      <c r="D52" s="364"/>
      <c r="E52" s="364"/>
      <c r="F52" s="364"/>
      <c r="G52" s="365"/>
      <c r="H52" s="365"/>
      <c r="I52" s="365"/>
      <c r="J52" s="365"/>
      <c r="K52" s="365"/>
      <c r="L52" s="365"/>
      <c r="M52" s="365"/>
    </row>
    <row r="53" spans="1:13" ht="16.5">
      <c r="A53" s="383"/>
      <c r="B53" s="384"/>
      <c r="C53" s="384"/>
      <c r="D53" s="364"/>
      <c r="E53" s="364"/>
      <c r="F53" s="364"/>
      <c r="G53" s="365"/>
      <c r="H53" s="365"/>
      <c r="I53" s="365"/>
      <c r="J53" s="365"/>
      <c r="K53" s="365"/>
      <c r="L53" s="365"/>
      <c r="M53" s="365"/>
    </row>
    <row r="54" spans="1:13" ht="16.5">
      <c r="A54" s="383"/>
      <c r="B54" s="384"/>
      <c r="C54" s="384"/>
      <c r="D54" s="364"/>
      <c r="E54" s="364"/>
      <c r="F54" s="364"/>
      <c r="G54" s="365"/>
      <c r="H54" s="365"/>
      <c r="I54" s="365"/>
      <c r="J54" s="365"/>
      <c r="K54" s="365"/>
      <c r="L54" s="365"/>
      <c r="M54" s="365"/>
    </row>
    <row r="55" spans="1:13" ht="16.5">
      <c r="A55" s="383"/>
      <c r="B55" s="384"/>
      <c r="C55" s="384"/>
      <c r="D55" s="364"/>
      <c r="E55" s="364"/>
      <c r="F55" s="364"/>
      <c r="G55" s="365"/>
      <c r="H55" s="365"/>
      <c r="I55" s="365"/>
      <c r="J55" s="365"/>
      <c r="K55" s="365"/>
      <c r="L55" s="365"/>
      <c r="M55" s="365"/>
    </row>
    <row r="56" spans="1:13" ht="16.5">
      <c r="A56" s="383"/>
      <c r="B56" s="384"/>
      <c r="C56" s="384"/>
      <c r="D56" s="364"/>
      <c r="E56" s="364"/>
      <c r="F56" s="364"/>
      <c r="G56" s="365"/>
      <c r="H56" s="365"/>
      <c r="I56" s="365"/>
      <c r="J56" s="365"/>
      <c r="K56" s="365"/>
      <c r="L56" s="365"/>
      <c r="M56" s="365"/>
    </row>
    <row r="57" spans="1:13" ht="16.5">
      <c r="A57" s="383"/>
      <c r="B57" s="384"/>
      <c r="C57" s="384"/>
      <c r="D57" s="364"/>
      <c r="E57" s="364"/>
      <c r="F57" s="364"/>
      <c r="G57" s="365"/>
      <c r="H57" s="365"/>
      <c r="I57" s="365"/>
      <c r="J57" s="365"/>
      <c r="K57" s="365"/>
      <c r="L57" s="365"/>
      <c r="M57" s="36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6"/>
  <sheetViews>
    <sheetView workbookViewId="0"/>
  </sheetViews>
  <sheetFormatPr defaultRowHeight="15"/>
  <sheetData>
    <row r="1" spans="1:14" ht="37.5">
      <c r="B1" s="507" t="s">
        <v>726</v>
      </c>
      <c r="C1" s="517"/>
      <c r="D1" s="517"/>
      <c r="E1" s="517"/>
      <c r="F1" s="517"/>
      <c r="I1" s="520"/>
      <c r="J1" s="1059"/>
      <c r="K1" s="1059"/>
      <c r="M1" s="549"/>
    </row>
    <row r="2" spans="1:14" ht="165">
      <c r="A2" s="1051" t="s">
        <v>458</v>
      </c>
      <c r="B2" s="1051"/>
      <c r="C2" s="1051"/>
      <c r="D2" s="1051"/>
      <c r="E2" s="1051"/>
      <c r="F2" s="1051"/>
      <c r="G2" s="1051"/>
      <c r="H2" s="1051"/>
      <c r="I2" s="1051"/>
      <c r="J2" s="1051"/>
      <c r="K2" s="1051"/>
      <c r="L2" s="1051"/>
      <c r="M2" s="1051"/>
    </row>
    <row r="3" spans="1:14" ht="214.5">
      <c r="A3" s="1055" t="s">
        <v>812</v>
      </c>
      <c r="B3" s="1055"/>
      <c r="C3" s="1055"/>
      <c r="D3" s="1055"/>
      <c r="E3" s="1055"/>
      <c r="F3" s="1055"/>
      <c r="G3" s="1055"/>
      <c r="H3" s="1055"/>
      <c r="I3" s="1055"/>
      <c r="J3" s="1055"/>
      <c r="K3" s="1055"/>
      <c r="L3" s="1055"/>
      <c r="M3" s="1055"/>
    </row>
    <row r="4" spans="1:14" ht="16.5">
      <c r="A4" s="626"/>
      <c r="B4" s="626"/>
      <c r="C4" s="626"/>
      <c r="D4" s="626"/>
      <c r="E4" s="626"/>
      <c r="F4" s="626"/>
      <c r="G4" s="626"/>
      <c r="H4" s="626"/>
      <c r="I4" s="626"/>
      <c r="J4" s="626"/>
      <c r="K4" s="626"/>
    </row>
    <row r="5" spans="1:14" ht="165">
      <c r="A5" s="1067" t="s">
        <v>0</v>
      </c>
      <c r="B5" s="1067" t="s">
        <v>287</v>
      </c>
      <c r="C5" s="1067" t="s">
        <v>184</v>
      </c>
      <c r="D5" s="1067" t="s">
        <v>339</v>
      </c>
      <c r="E5" s="1067" t="s">
        <v>323</v>
      </c>
      <c r="F5" s="370"/>
      <c r="G5" s="1068" t="s">
        <v>530</v>
      </c>
      <c r="H5" s="1068"/>
      <c r="I5" s="1068"/>
      <c r="J5" s="1068"/>
      <c r="K5" s="1068"/>
      <c r="L5" s="1049" t="s">
        <v>531</v>
      </c>
      <c r="M5" s="1049" t="s">
        <v>532</v>
      </c>
    </row>
    <row r="6" spans="1:14" ht="66">
      <c r="A6" s="1067"/>
      <c r="B6" s="1067"/>
      <c r="C6" s="1067"/>
      <c r="D6" s="1067"/>
      <c r="E6" s="1067"/>
      <c r="F6" s="366" t="s">
        <v>144</v>
      </c>
      <c r="G6" s="332" t="s">
        <v>706</v>
      </c>
      <c r="H6" s="332" t="s">
        <v>707</v>
      </c>
      <c r="I6" s="332" t="s">
        <v>708</v>
      </c>
      <c r="J6" s="332" t="s">
        <v>709</v>
      </c>
      <c r="K6" s="332" t="s">
        <v>710</v>
      </c>
      <c r="L6" s="1049"/>
      <c r="M6" s="1049"/>
    </row>
    <row r="7" spans="1:14" ht="33">
      <c r="A7" s="368" t="s">
        <v>3</v>
      </c>
      <c r="B7" s="375" t="s">
        <v>459</v>
      </c>
      <c r="C7" s="366"/>
      <c r="D7" s="809"/>
      <c r="E7" s="809"/>
      <c r="F7" s="809"/>
      <c r="G7" s="810"/>
      <c r="H7" s="811"/>
      <c r="I7" s="811"/>
      <c r="J7" s="811"/>
      <c r="K7" s="811"/>
      <c r="L7" s="620"/>
      <c r="M7" s="368"/>
    </row>
    <row r="8" spans="1:14" ht="99">
      <c r="A8" s="376">
        <v>1</v>
      </c>
      <c r="B8" s="377" t="s">
        <v>460</v>
      </c>
      <c r="C8" s="370" t="s">
        <v>461</v>
      </c>
      <c r="D8" s="871">
        <v>51942</v>
      </c>
      <c r="E8" s="871">
        <v>55577</v>
      </c>
      <c r="F8" s="871">
        <v>547378</v>
      </c>
      <c r="G8" s="871">
        <v>52539</v>
      </c>
      <c r="H8" s="871">
        <v>53135</v>
      </c>
      <c r="I8" s="871">
        <v>53738</v>
      </c>
      <c r="J8" s="871">
        <v>57729</v>
      </c>
      <c r="K8" s="871">
        <v>59033</v>
      </c>
      <c r="L8" s="871">
        <f>K8</f>
        <v>59033</v>
      </c>
      <c r="M8" s="376" t="s">
        <v>42</v>
      </c>
    </row>
    <row r="9" spans="1:14" ht="82.5">
      <c r="A9" s="376"/>
      <c r="B9" s="812" t="s">
        <v>462</v>
      </c>
      <c r="C9" s="813" t="str">
        <f>C8</f>
        <v>Người</v>
      </c>
      <c r="D9" s="871">
        <v>48151</v>
      </c>
      <c r="E9" s="871">
        <v>51687</v>
      </c>
      <c r="F9" s="871">
        <f>84.9106/100*F8</f>
        <v>464781.94406800001</v>
      </c>
      <c r="G9" s="871">
        <v>48708</v>
      </c>
      <c r="H9" s="871">
        <v>49249</v>
      </c>
      <c r="I9" s="871">
        <v>49808</v>
      </c>
      <c r="J9" s="871">
        <v>53895</v>
      </c>
      <c r="K9" s="871">
        <f>K8-7900</f>
        <v>51133</v>
      </c>
      <c r="L9" s="871">
        <f>K9</f>
        <v>51133</v>
      </c>
      <c r="M9" s="814" t="s">
        <v>36</v>
      </c>
    </row>
    <row r="10" spans="1:14" ht="82.5">
      <c r="A10" s="376">
        <v>2</v>
      </c>
      <c r="B10" s="896" t="s">
        <v>597</v>
      </c>
      <c r="C10" s="897" t="s">
        <v>598</v>
      </c>
      <c r="D10" s="871">
        <f>D8/684.15</f>
        <v>75.921946941460206</v>
      </c>
      <c r="E10" s="871">
        <f t="shared" ref="E10:K10" si="0">E8/684.15</f>
        <v>81.235109259665279</v>
      </c>
      <c r="F10" s="871">
        <f t="shared" si="0"/>
        <v>800.08477673024925</v>
      </c>
      <c r="G10" s="871">
        <f t="shared" si="0"/>
        <v>76.794562595921946</v>
      </c>
      <c r="H10" s="871">
        <f t="shared" si="0"/>
        <v>77.665716582620774</v>
      </c>
      <c r="I10" s="871">
        <f t="shared" si="0"/>
        <v>78.547102243660021</v>
      </c>
      <c r="J10" s="871">
        <f t="shared" si="0"/>
        <v>84.380618285463711</v>
      </c>
      <c r="K10" s="871">
        <f t="shared" si="0"/>
        <v>86.286633048308119</v>
      </c>
      <c r="L10" s="871">
        <f>K10</f>
        <v>86.286633048308119</v>
      </c>
      <c r="M10" s="376"/>
    </row>
    <row r="11" spans="1:14" ht="99">
      <c r="A11" s="961" t="s">
        <v>284</v>
      </c>
      <c r="B11" s="461" t="s">
        <v>763</v>
      </c>
      <c r="C11" s="456" t="s">
        <v>562</v>
      </c>
      <c r="D11" s="898">
        <v>0.38</v>
      </c>
      <c r="E11" s="898">
        <v>0.46</v>
      </c>
      <c r="F11" s="899"/>
      <c r="G11" s="876">
        <v>1.7</v>
      </c>
      <c r="H11" s="900">
        <v>1.52</v>
      </c>
      <c r="I11" s="900">
        <v>0.89</v>
      </c>
      <c r="J11" s="900">
        <v>0.25</v>
      </c>
      <c r="K11" s="900">
        <v>0.66</v>
      </c>
      <c r="L11" s="900">
        <v>0.66</v>
      </c>
      <c r="M11" s="376" t="s">
        <v>42</v>
      </c>
    </row>
    <row r="12" spans="1:14" ht="99">
      <c r="A12" s="961" t="s">
        <v>284</v>
      </c>
      <c r="B12" s="343" t="s">
        <v>764</v>
      </c>
      <c r="C12" s="722" t="s">
        <v>599</v>
      </c>
      <c r="D12" s="901">
        <v>117.3</v>
      </c>
      <c r="E12" s="901">
        <v>109.5</v>
      </c>
      <c r="F12" s="1012"/>
      <c r="G12" s="901">
        <v>108.3</v>
      </c>
      <c r="H12" s="901">
        <v>115.9</v>
      </c>
      <c r="I12" s="901">
        <v>110.2</v>
      </c>
      <c r="J12" s="901">
        <v>101</v>
      </c>
      <c r="K12" s="901">
        <v>109.5</v>
      </c>
      <c r="L12" s="901">
        <f>K12</f>
        <v>109.5</v>
      </c>
      <c r="M12" s="376" t="s">
        <v>36</v>
      </c>
    </row>
    <row r="13" spans="1:14" ht="82.5">
      <c r="A13" s="961" t="s">
        <v>284</v>
      </c>
      <c r="B13" s="815" t="s">
        <v>765</v>
      </c>
      <c r="C13" s="749" t="s">
        <v>625</v>
      </c>
      <c r="D13" s="876">
        <v>16.399999999999999</v>
      </c>
      <c r="E13" s="876">
        <v>19.2</v>
      </c>
      <c r="F13" s="876"/>
      <c r="G13" s="876">
        <v>24.9</v>
      </c>
      <c r="H13" s="876">
        <v>23.2</v>
      </c>
      <c r="I13" s="876">
        <v>21.6</v>
      </c>
      <c r="J13" s="876">
        <v>21.2</v>
      </c>
      <c r="K13" s="876">
        <v>19.399999999999999</v>
      </c>
      <c r="L13" s="876">
        <f>K13</f>
        <v>19.399999999999999</v>
      </c>
      <c r="M13" s="376" t="s">
        <v>42</v>
      </c>
      <c r="N13" s="893" t="s">
        <v>703</v>
      </c>
    </row>
    <row r="14" spans="1:14" ht="66">
      <c r="A14" s="961" t="s">
        <v>284</v>
      </c>
      <c r="B14" s="815" t="s">
        <v>766</v>
      </c>
      <c r="C14" s="722" t="s">
        <v>70</v>
      </c>
      <c r="D14" s="816"/>
      <c r="E14" s="816"/>
      <c r="F14" s="902"/>
      <c r="G14" s="902"/>
      <c r="H14" s="902"/>
      <c r="I14" s="820"/>
      <c r="J14" s="820"/>
      <c r="K14" s="820"/>
      <c r="L14" s="820"/>
      <c r="M14" s="376"/>
    </row>
    <row r="15" spans="1:14" ht="33">
      <c r="A15" s="368" t="s">
        <v>11</v>
      </c>
      <c r="B15" s="369" t="s">
        <v>463</v>
      </c>
      <c r="C15" s="366"/>
      <c r="D15" s="539"/>
      <c r="E15" s="539"/>
      <c r="F15" s="817"/>
      <c r="G15" s="539"/>
      <c r="H15" s="539"/>
      <c r="I15" s="539"/>
      <c r="J15" s="539"/>
      <c r="K15" s="539"/>
      <c r="L15" s="462"/>
      <c r="M15" s="368"/>
    </row>
    <row r="16" spans="1:14" ht="99">
      <c r="A16" s="376">
        <v>1</v>
      </c>
      <c r="B16" s="381" t="s">
        <v>464</v>
      </c>
      <c r="C16" s="370" t="str">
        <f>C9</f>
        <v>Người</v>
      </c>
      <c r="D16" s="871">
        <v>24932</v>
      </c>
      <c r="E16" s="871">
        <v>32012</v>
      </c>
      <c r="F16" s="871">
        <v>32012</v>
      </c>
      <c r="G16" s="871">
        <v>30267</v>
      </c>
      <c r="H16" s="871">
        <v>30784</v>
      </c>
      <c r="I16" s="871">
        <v>32175</v>
      </c>
      <c r="J16" s="871">
        <v>33192</v>
      </c>
      <c r="K16" s="1023">
        <v>34196</v>
      </c>
      <c r="L16" s="1023">
        <f>K16</f>
        <v>34196</v>
      </c>
      <c r="M16" s="376" t="s">
        <v>78</v>
      </c>
    </row>
    <row r="17" spans="1:14" ht="198">
      <c r="A17" s="376">
        <v>2</v>
      </c>
      <c r="B17" s="381" t="s">
        <v>465</v>
      </c>
      <c r="C17" s="370" t="str">
        <f>C16</f>
        <v>Người</v>
      </c>
      <c r="D17" s="871">
        <v>24558</v>
      </c>
      <c r="E17" s="871">
        <v>31532</v>
      </c>
      <c r="F17" s="871">
        <v>31532</v>
      </c>
      <c r="G17" s="871">
        <v>28859</v>
      </c>
      <c r="H17" s="871">
        <v>29352</v>
      </c>
      <c r="I17" s="871">
        <v>30543</v>
      </c>
      <c r="J17" s="871">
        <v>31643</v>
      </c>
      <c r="K17" s="1023">
        <v>32591</v>
      </c>
      <c r="L17" s="871">
        <f>K17</f>
        <v>32591</v>
      </c>
      <c r="M17" s="376" t="s">
        <v>78</v>
      </c>
    </row>
    <row r="18" spans="1:14" ht="99">
      <c r="A18" s="961"/>
      <c r="B18" s="381" t="s">
        <v>466</v>
      </c>
      <c r="C18" s="370" t="s">
        <v>5</v>
      </c>
      <c r="D18" s="871">
        <f t="shared" ref="D18:L18" si="1">SUM(D19:D21)</f>
        <v>100</v>
      </c>
      <c r="E18" s="871">
        <f t="shared" si="1"/>
        <v>100</v>
      </c>
      <c r="F18" s="871">
        <f t="shared" si="1"/>
        <v>100</v>
      </c>
      <c r="G18" s="871">
        <f t="shared" si="1"/>
        <v>100</v>
      </c>
      <c r="H18" s="871">
        <f t="shared" si="1"/>
        <v>100</v>
      </c>
      <c r="I18" s="871">
        <f t="shared" si="1"/>
        <v>100</v>
      </c>
      <c r="J18" s="871">
        <f t="shared" si="1"/>
        <v>100</v>
      </c>
      <c r="K18" s="871">
        <f t="shared" si="1"/>
        <v>100</v>
      </c>
      <c r="L18" s="871">
        <f t="shared" si="1"/>
        <v>100</v>
      </c>
      <c r="M18" s="814"/>
    </row>
    <row r="19" spans="1:14" ht="204.75">
      <c r="A19" s="961" t="s">
        <v>284</v>
      </c>
      <c r="B19" s="461" t="s">
        <v>767</v>
      </c>
      <c r="C19" s="456" t="s">
        <v>301</v>
      </c>
      <c r="D19" s="933">
        <v>66.069999999999993</v>
      </c>
      <c r="E19" s="871">
        <v>50</v>
      </c>
      <c r="F19" s="933">
        <v>50</v>
      </c>
      <c r="G19" s="933">
        <v>66.14</v>
      </c>
      <c r="H19" s="933">
        <v>63.75</v>
      </c>
      <c r="I19" s="933">
        <v>63.46</v>
      </c>
      <c r="J19" s="933">
        <v>58.84</v>
      </c>
      <c r="K19" s="932">
        <v>58.5</v>
      </c>
      <c r="L19" s="932">
        <f>K19</f>
        <v>58.5</v>
      </c>
      <c r="M19" s="903" t="s">
        <v>42</v>
      </c>
      <c r="N19" s="1073" t="s">
        <v>634</v>
      </c>
    </row>
    <row r="20" spans="1:14" ht="66">
      <c r="A20" s="961" t="s">
        <v>284</v>
      </c>
      <c r="B20" s="461" t="s">
        <v>218</v>
      </c>
      <c r="C20" s="456" t="s">
        <v>301</v>
      </c>
      <c r="D20" s="933">
        <v>12.96</v>
      </c>
      <c r="E20" s="871">
        <v>35</v>
      </c>
      <c r="F20" s="933">
        <v>35</v>
      </c>
      <c r="G20" s="933">
        <v>11.45</v>
      </c>
      <c r="H20" s="933">
        <v>12.22</v>
      </c>
      <c r="I20" s="933">
        <v>12.37</v>
      </c>
      <c r="J20" s="933">
        <v>26.93</v>
      </c>
      <c r="K20" s="932">
        <v>27.9</v>
      </c>
      <c r="L20" s="932">
        <f>K20</f>
        <v>27.9</v>
      </c>
      <c r="M20" s="903" t="s">
        <v>42</v>
      </c>
      <c r="N20" s="1073"/>
    </row>
    <row r="21" spans="1:14" ht="16.5">
      <c r="A21" s="961" t="s">
        <v>284</v>
      </c>
      <c r="B21" s="461" t="s">
        <v>149</v>
      </c>
      <c r="C21" s="456" t="s">
        <v>301</v>
      </c>
      <c r="D21" s="933">
        <f t="shared" ref="D21:K21" si="2">100-D19-D20</f>
        <v>20.970000000000006</v>
      </c>
      <c r="E21" s="871">
        <f t="shared" si="2"/>
        <v>15</v>
      </c>
      <c r="F21" s="933">
        <f t="shared" si="2"/>
        <v>15</v>
      </c>
      <c r="G21" s="933">
        <f t="shared" si="2"/>
        <v>22.41</v>
      </c>
      <c r="H21" s="933">
        <f t="shared" si="2"/>
        <v>24.03</v>
      </c>
      <c r="I21" s="933">
        <f t="shared" si="2"/>
        <v>24.17</v>
      </c>
      <c r="J21" s="933">
        <f t="shared" si="2"/>
        <v>14.229999999999997</v>
      </c>
      <c r="K21" s="932">
        <f t="shared" si="2"/>
        <v>13.600000000000001</v>
      </c>
      <c r="L21" s="932">
        <f>K21</f>
        <v>13.600000000000001</v>
      </c>
      <c r="M21" s="903" t="s">
        <v>42</v>
      </c>
      <c r="N21" s="1073"/>
    </row>
    <row r="22" spans="1:14" ht="99">
      <c r="A22" s="376">
        <v>3</v>
      </c>
      <c r="B22" s="381" t="s">
        <v>732</v>
      </c>
      <c r="C22" s="370" t="s">
        <v>450</v>
      </c>
      <c r="D22" s="871">
        <v>3357</v>
      </c>
      <c r="E22" s="871">
        <v>4880</v>
      </c>
      <c r="F22" s="871">
        <v>4880</v>
      </c>
      <c r="G22" s="871">
        <v>600</v>
      </c>
      <c r="H22" s="871">
        <v>650</v>
      </c>
      <c r="I22" s="871">
        <v>650</v>
      </c>
      <c r="J22" s="871">
        <v>729</v>
      </c>
      <c r="K22" s="871">
        <v>700</v>
      </c>
      <c r="L22" s="871">
        <f>SUM(G22:K22)</f>
        <v>3329</v>
      </c>
      <c r="M22" s="376" t="s">
        <v>42</v>
      </c>
    </row>
    <row r="23" spans="1:14" ht="33">
      <c r="A23" s="368" t="s">
        <v>15</v>
      </c>
      <c r="B23" s="369" t="s">
        <v>469</v>
      </c>
      <c r="C23" s="366"/>
      <c r="D23" s="539"/>
      <c r="E23" s="539"/>
      <c r="F23" s="539"/>
      <c r="G23" s="540"/>
      <c r="H23" s="540"/>
      <c r="I23" s="540"/>
      <c r="J23" s="540"/>
      <c r="K23" s="540"/>
      <c r="L23" s="620"/>
      <c r="M23" s="368"/>
    </row>
    <row r="24" spans="1:14" ht="66">
      <c r="A24" s="376"/>
      <c r="B24" s="381" t="s">
        <v>470</v>
      </c>
      <c r="C24" s="370" t="s">
        <v>471</v>
      </c>
      <c r="D24" s="894"/>
      <c r="E24" s="894"/>
      <c r="F24" s="894"/>
      <c r="G24" s="518">
        <v>2</v>
      </c>
      <c r="H24" s="518">
        <v>2</v>
      </c>
      <c r="I24" s="518">
        <v>2</v>
      </c>
      <c r="J24" s="518">
        <v>2</v>
      </c>
      <c r="K24" s="518">
        <v>2</v>
      </c>
      <c r="L24" s="518">
        <v>2</v>
      </c>
      <c r="M24" s="376"/>
      <c r="N24" s="374" t="s">
        <v>702</v>
      </c>
    </row>
    <row r="25" spans="1:14" ht="99">
      <c r="A25" s="368" t="s">
        <v>18</v>
      </c>
      <c r="B25" s="369" t="s">
        <v>722</v>
      </c>
      <c r="C25" s="366"/>
      <c r="D25" s="539"/>
      <c r="E25" s="539"/>
      <c r="F25" s="539"/>
      <c r="G25" s="540"/>
      <c r="H25" s="540"/>
      <c r="I25" s="540"/>
      <c r="J25" s="540"/>
      <c r="K25" s="540"/>
      <c r="L25" s="462"/>
      <c r="M25" s="368"/>
    </row>
    <row r="26" spans="1:14" ht="99">
      <c r="A26" s="376">
        <v>1</v>
      </c>
      <c r="B26" s="381" t="s">
        <v>472</v>
      </c>
      <c r="C26" s="370" t="s">
        <v>5</v>
      </c>
      <c r="D26" s="904"/>
      <c r="E26" s="904"/>
      <c r="F26" s="904">
        <v>53.8</v>
      </c>
      <c r="G26" s="933">
        <f>5/12*100</f>
        <v>41.666666666666671</v>
      </c>
      <c r="H26" s="933">
        <f>7/12*100</f>
        <v>58.333333333333336</v>
      </c>
      <c r="I26" s="933">
        <f>7/12*100</f>
        <v>58.333333333333336</v>
      </c>
      <c r="J26" s="933">
        <f>7/12*100</f>
        <v>58.333333333333336</v>
      </c>
      <c r="K26" s="933">
        <f>8/12*100</f>
        <v>66.666666666666657</v>
      </c>
      <c r="L26" s="933">
        <f>K26</f>
        <v>66.666666666666657</v>
      </c>
      <c r="M26" s="376" t="s">
        <v>36</v>
      </c>
    </row>
    <row r="27" spans="1:14" ht="132">
      <c r="A27" s="376">
        <v>2</v>
      </c>
      <c r="B27" s="381" t="s">
        <v>473</v>
      </c>
      <c r="C27" s="370" t="s">
        <v>5</v>
      </c>
      <c r="D27" s="871">
        <v>100</v>
      </c>
      <c r="E27" s="871"/>
      <c r="F27" s="871">
        <v>82</v>
      </c>
      <c r="G27" s="871">
        <v>100</v>
      </c>
      <c r="H27" s="871">
        <v>100</v>
      </c>
      <c r="I27" s="871">
        <v>100</v>
      </c>
      <c r="J27" s="871">
        <v>100</v>
      </c>
      <c r="K27" s="871">
        <v>100</v>
      </c>
      <c r="L27" s="871">
        <v>100</v>
      </c>
      <c r="M27" s="871"/>
    </row>
    <row r="28" spans="1:14" ht="66">
      <c r="A28" s="368" t="s">
        <v>474</v>
      </c>
      <c r="B28" s="369" t="s">
        <v>475</v>
      </c>
      <c r="C28" s="366"/>
      <c r="D28" s="539"/>
      <c r="E28" s="539"/>
      <c r="F28" s="539"/>
      <c r="G28" s="540"/>
      <c r="H28" s="540"/>
      <c r="I28" s="540"/>
      <c r="J28" s="540"/>
      <c r="K28" s="540"/>
      <c r="L28" s="372"/>
      <c r="M28" s="376"/>
    </row>
    <row r="29" spans="1:14" ht="165">
      <c r="A29" s="376">
        <v>1</v>
      </c>
      <c r="B29" s="819" t="s">
        <v>476</v>
      </c>
      <c r="C29" s="370" t="s">
        <v>477</v>
      </c>
      <c r="D29" s="933">
        <f>D30</f>
        <v>17.71</v>
      </c>
      <c r="E29" s="871">
        <f t="shared" ref="E29:K29" si="3">E30</f>
        <v>18</v>
      </c>
      <c r="F29" s="933">
        <f t="shared" si="3"/>
        <v>29.9</v>
      </c>
      <c r="G29" s="933">
        <f t="shared" si="3"/>
        <v>19.794819086773636</v>
      </c>
      <c r="H29" s="933">
        <f t="shared" si="3"/>
        <v>21.454784981650512</v>
      </c>
      <c r="I29" s="933">
        <f t="shared" si="3"/>
        <v>24.191447392906323</v>
      </c>
      <c r="J29" s="933">
        <f t="shared" si="3"/>
        <v>22.519011242183304</v>
      </c>
      <c r="K29" s="933">
        <f t="shared" si="3"/>
        <v>25.409516710992158</v>
      </c>
      <c r="L29" s="933">
        <f>L30</f>
        <v>25.409516710992158</v>
      </c>
      <c r="M29" s="376" t="s">
        <v>78</v>
      </c>
    </row>
    <row r="30" spans="1:14" ht="99">
      <c r="A30" s="931" t="s">
        <v>284</v>
      </c>
      <c r="B30" s="821" t="s">
        <v>768</v>
      </c>
      <c r="C30" s="456" t="s">
        <v>477</v>
      </c>
      <c r="D30" s="933">
        <v>17.71</v>
      </c>
      <c r="E30" s="871">
        <v>18</v>
      </c>
      <c r="F30" s="933">
        <v>29.9</v>
      </c>
      <c r="G30" s="933">
        <f>104*10000/52539</f>
        <v>19.794819086773636</v>
      </c>
      <c r="H30" s="933">
        <f>114*10000/53135</f>
        <v>21.454784981650512</v>
      </c>
      <c r="I30" s="933">
        <f>130*10000/53738</f>
        <v>24.191447392906323</v>
      </c>
      <c r="J30" s="933">
        <f>130*10000/57729</f>
        <v>22.519011242183304</v>
      </c>
      <c r="K30" s="933">
        <f>150*10000/59033</f>
        <v>25.409516710992158</v>
      </c>
      <c r="L30" s="933">
        <f>K30</f>
        <v>25.409516710992158</v>
      </c>
      <c r="M30" s="376" t="s">
        <v>78</v>
      </c>
    </row>
    <row r="31" spans="1:14" ht="66">
      <c r="A31" s="376"/>
      <c r="B31" s="821" t="s">
        <v>479</v>
      </c>
      <c r="C31" s="456" t="s">
        <v>477</v>
      </c>
      <c r="D31" s="895"/>
      <c r="E31" s="820"/>
      <c r="F31" s="805"/>
      <c r="G31" s="895"/>
      <c r="H31" s="895"/>
      <c r="I31" s="895"/>
      <c r="J31" s="895"/>
      <c r="K31" s="895"/>
      <c r="L31" s="905"/>
      <c r="M31" s="376"/>
    </row>
    <row r="32" spans="1:14" ht="49.5">
      <c r="A32" s="376">
        <v>2</v>
      </c>
      <c r="B32" s="819" t="s">
        <v>480</v>
      </c>
      <c r="C32" s="370" t="s">
        <v>481</v>
      </c>
      <c r="D32" s="933">
        <f>44*10000/51942</f>
        <v>8.4709868699703517</v>
      </c>
      <c r="E32" s="932">
        <v>9.5</v>
      </c>
      <c r="F32" s="933">
        <v>10.87</v>
      </c>
      <c r="G32" s="933">
        <f>44*10000/52539</f>
        <v>8.3747311520965386</v>
      </c>
      <c r="H32" s="933">
        <f>49*10000/53135</f>
        <v>9.2217935447445178</v>
      </c>
      <c r="I32" s="932">
        <f>50*10000/53738</f>
        <v>9.3044028434255086</v>
      </c>
      <c r="J32" s="933">
        <f>55*10000/57729</f>
        <v>9.5272739870775514</v>
      </c>
      <c r="K32" s="871">
        <f>59*10000/59033</f>
        <v>9.9944099063235825</v>
      </c>
      <c r="L32" s="871">
        <f>K32</f>
        <v>9.9944099063235825</v>
      </c>
      <c r="M32" s="376" t="s">
        <v>36</v>
      </c>
    </row>
    <row r="33" spans="1:14" ht="99">
      <c r="A33" s="376">
        <v>3</v>
      </c>
      <c r="B33" s="822" t="s">
        <v>525</v>
      </c>
      <c r="C33" s="370" t="s">
        <v>526</v>
      </c>
      <c r="D33" s="820"/>
      <c r="E33" s="820"/>
      <c r="F33" s="805">
        <v>65</v>
      </c>
      <c r="G33" s="906"/>
      <c r="H33" s="906"/>
      <c r="I33" s="895">
        <v>3</v>
      </c>
      <c r="J33" s="895">
        <v>1</v>
      </c>
      <c r="K33" s="907">
        <v>1</v>
      </c>
      <c r="L33" s="372">
        <v>5</v>
      </c>
      <c r="M33" s="376" t="s">
        <v>42</v>
      </c>
    </row>
    <row r="34" spans="1:14" ht="82.5">
      <c r="A34" s="376">
        <v>4</v>
      </c>
      <c r="B34" s="819" t="s">
        <v>482</v>
      </c>
      <c r="C34" s="370" t="s">
        <v>562</v>
      </c>
      <c r="D34" s="932">
        <v>36.9</v>
      </c>
      <c r="E34" s="871">
        <v>20</v>
      </c>
      <c r="F34" s="933">
        <v>34.200000000000003</v>
      </c>
      <c r="G34" s="932">
        <v>31.3</v>
      </c>
      <c r="H34" s="932">
        <v>33.5</v>
      </c>
      <c r="I34" s="871">
        <v>37</v>
      </c>
      <c r="J34" s="932">
        <v>42.5</v>
      </c>
      <c r="K34" s="932">
        <v>37.700000000000003</v>
      </c>
      <c r="L34" s="932">
        <f>K34</f>
        <v>37.700000000000003</v>
      </c>
      <c r="M34" s="376" t="s">
        <v>636</v>
      </c>
    </row>
    <row r="35" spans="1:14" ht="99">
      <c r="A35" s="376">
        <v>5</v>
      </c>
      <c r="B35" s="819" t="s">
        <v>483</v>
      </c>
      <c r="C35" s="370" t="s">
        <v>562</v>
      </c>
      <c r="D35" s="932">
        <v>46.9</v>
      </c>
      <c r="E35" s="871">
        <v>35</v>
      </c>
      <c r="F35" s="933">
        <v>46.6</v>
      </c>
      <c r="G35" s="932">
        <v>39.1</v>
      </c>
      <c r="H35" s="932">
        <v>38.5</v>
      </c>
      <c r="I35" s="932">
        <v>45.2</v>
      </c>
      <c r="J35" s="932">
        <v>54.2</v>
      </c>
      <c r="K35" s="932">
        <v>44.5</v>
      </c>
      <c r="L35" s="932">
        <f>K35</f>
        <v>44.5</v>
      </c>
      <c r="M35" s="376" t="s">
        <v>42</v>
      </c>
    </row>
    <row r="36" spans="1:14" ht="165">
      <c r="A36" s="376">
        <v>6</v>
      </c>
      <c r="B36" s="819" t="s">
        <v>484</v>
      </c>
      <c r="C36" s="370" t="s">
        <v>562</v>
      </c>
      <c r="D36" s="932">
        <v>20.7</v>
      </c>
      <c r="E36" s="932">
        <v>18.399999999999999</v>
      </c>
      <c r="F36" s="932">
        <v>18.8</v>
      </c>
      <c r="G36" s="932">
        <v>19.7</v>
      </c>
      <c r="H36" s="932">
        <v>18.8</v>
      </c>
      <c r="I36" s="932">
        <v>17.5</v>
      </c>
      <c r="J36" s="932">
        <v>17.399999999999999</v>
      </c>
      <c r="K36" s="871">
        <v>17</v>
      </c>
      <c r="L36" s="871">
        <f>K36</f>
        <v>17</v>
      </c>
      <c r="M36" s="376" t="s">
        <v>36</v>
      </c>
    </row>
    <row r="37" spans="1:14" ht="99">
      <c r="A37" s="376">
        <v>7</v>
      </c>
      <c r="B37" s="572" t="s">
        <v>527</v>
      </c>
      <c r="C37" s="370" t="s">
        <v>301</v>
      </c>
      <c r="D37" s="933">
        <f>4/12*100</f>
        <v>33.333333333333329</v>
      </c>
      <c r="E37" s="933">
        <f>10/12*100</f>
        <v>83.333333333333343</v>
      </c>
      <c r="F37" s="933">
        <v>30.8</v>
      </c>
      <c r="G37" s="871">
        <v>50</v>
      </c>
      <c r="H37" s="933">
        <f>7/12*100</f>
        <v>58.333333333333336</v>
      </c>
      <c r="I37" s="933">
        <f>8/12*100</f>
        <v>66.666666666666657</v>
      </c>
      <c r="J37" s="871">
        <f>9/12*100</f>
        <v>75</v>
      </c>
      <c r="K37" s="933">
        <f>10/12*100</f>
        <v>83.333333333333343</v>
      </c>
      <c r="L37" s="933">
        <f>K37</f>
        <v>83.333333333333343</v>
      </c>
      <c r="M37" s="376" t="s">
        <v>36</v>
      </c>
    </row>
    <row r="38" spans="1:14" ht="115.5">
      <c r="A38" s="376">
        <v>8</v>
      </c>
      <c r="B38" s="381" t="s">
        <v>485</v>
      </c>
      <c r="C38" s="370" t="s">
        <v>301</v>
      </c>
      <c r="D38" s="932">
        <v>94.3</v>
      </c>
      <c r="E38" s="871">
        <v>95</v>
      </c>
      <c r="F38" s="933">
        <v>94</v>
      </c>
      <c r="G38" s="932">
        <v>96.4</v>
      </c>
      <c r="H38" s="932">
        <v>95.4</v>
      </c>
      <c r="I38" s="932">
        <v>93.6</v>
      </c>
      <c r="J38" s="932">
        <v>95.7</v>
      </c>
      <c r="K38" s="871">
        <v>95</v>
      </c>
      <c r="L38" s="871">
        <f>K38</f>
        <v>95</v>
      </c>
      <c r="M38" s="376" t="s">
        <v>36</v>
      </c>
    </row>
    <row r="39" spans="1:14" ht="132">
      <c r="A39" s="376">
        <v>9</v>
      </c>
      <c r="B39" s="381" t="s">
        <v>723</v>
      </c>
      <c r="C39" s="370" t="s">
        <v>301</v>
      </c>
      <c r="D39" s="871">
        <v>100</v>
      </c>
      <c r="E39" s="871">
        <v>100</v>
      </c>
      <c r="F39" s="871">
        <v>100</v>
      </c>
      <c r="G39" s="871">
        <v>100</v>
      </c>
      <c r="H39" s="871">
        <v>100</v>
      </c>
      <c r="I39" s="871">
        <v>100</v>
      </c>
      <c r="J39" s="871">
        <v>100</v>
      </c>
      <c r="K39" s="871">
        <v>100</v>
      </c>
      <c r="L39" s="871">
        <v>100</v>
      </c>
      <c r="M39" s="376" t="s">
        <v>36</v>
      </c>
    </row>
    <row r="40" spans="1:14" ht="99">
      <c r="A40" s="376">
        <v>10</v>
      </c>
      <c r="B40" s="381" t="s">
        <v>724</v>
      </c>
      <c r="C40" s="370" t="s">
        <v>301</v>
      </c>
      <c r="D40" s="871">
        <v>97</v>
      </c>
      <c r="E40" s="871">
        <v>99</v>
      </c>
      <c r="F40" s="933">
        <v>98</v>
      </c>
      <c r="G40" s="933">
        <v>96.82</v>
      </c>
      <c r="H40" s="871">
        <v>98</v>
      </c>
      <c r="I40" s="871">
        <v>98</v>
      </c>
      <c r="J40" s="932">
        <v>98.5</v>
      </c>
      <c r="K40" s="871">
        <v>99</v>
      </c>
      <c r="L40" s="871">
        <v>99</v>
      </c>
      <c r="M40" s="376" t="s">
        <v>36</v>
      </c>
    </row>
    <row r="41" spans="1:14" ht="66">
      <c r="A41" s="368" t="s">
        <v>545</v>
      </c>
      <c r="B41" s="369" t="s">
        <v>566</v>
      </c>
      <c r="C41" s="366"/>
      <c r="D41" s="908"/>
      <c r="E41" s="908"/>
      <c r="F41" s="909"/>
      <c r="G41" s="909"/>
      <c r="H41" s="910"/>
      <c r="I41" s="910"/>
      <c r="J41" s="910"/>
      <c r="K41" s="911"/>
      <c r="L41" s="462"/>
      <c r="M41" s="462"/>
      <c r="N41" s="912" t="s">
        <v>631</v>
      </c>
    </row>
    <row r="42" spans="1:14" ht="148.5">
      <c r="A42" s="368" t="s">
        <v>101</v>
      </c>
      <c r="B42" s="369" t="s">
        <v>567</v>
      </c>
      <c r="C42" s="913" t="s">
        <v>563</v>
      </c>
      <c r="D42" s="908"/>
      <c r="E42" s="908"/>
      <c r="F42" s="909"/>
      <c r="G42" s="909"/>
      <c r="H42" s="910"/>
      <c r="I42" s="910"/>
      <c r="J42" s="910"/>
      <c r="K42" s="911"/>
      <c r="L42" s="462"/>
      <c r="M42" s="462"/>
      <c r="N42" s="374"/>
    </row>
    <row r="43" spans="1:14" ht="99">
      <c r="A43" s="875">
        <v>1</v>
      </c>
      <c r="B43" s="341" t="s">
        <v>564</v>
      </c>
      <c r="C43" s="913" t="s">
        <v>563</v>
      </c>
      <c r="D43" s="722"/>
      <c r="E43" s="722"/>
      <c r="F43" s="722"/>
      <c r="G43" s="914"/>
      <c r="H43" s="722"/>
      <c r="I43" s="722"/>
      <c r="J43" s="914"/>
      <c r="K43" s="722"/>
      <c r="L43" s="372"/>
      <c r="M43" s="372"/>
      <c r="N43" s="360"/>
    </row>
    <row r="44" spans="1:14" ht="49.5">
      <c r="A44" s="722">
        <v>2</v>
      </c>
      <c r="B44" s="341" t="s">
        <v>373</v>
      </c>
      <c r="C44" s="913" t="s">
        <v>563</v>
      </c>
      <c r="D44" s="722"/>
      <c r="E44" s="722"/>
      <c r="F44" s="722"/>
      <c r="G44" s="914"/>
      <c r="H44" s="722"/>
      <c r="I44" s="722"/>
      <c r="J44" s="914"/>
      <c r="K44" s="722"/>
      <c r="L44" s="372"/>
      <c r="M44" s="372"/>
      <c r="N44" s="360"/>
    </row>
    <row r="45" spans="1:14" ht="45">
      <c r="A45" s="875">
        <v>3</v>
      </c>
      <c r="B45" s="341" t="s">
        <v>565</v>
      </c>
      <c r="C45" s="913" t="s">
        <v>563</v>
      </c>
      <c r="D45" s="722"/>
      <c r="E45" s="722"/>
      <c r="F45" s="722"/>
      <c r="G45" s="914"/>
      <c r="H45" s="722"/>
      <c r="I45" s="722"/>
      <c r="J45" s="914"/>
      <c r="K45" s="722"/>
      <c r="L45" s="372"/>
      <c r="M45" s="372"/>
      <c r="N45" s="360"/>
    </row>
    <row r="46" spans="1:14" ht="165">
      <c r="A46" s="729" t="s">
        <v>102</v>
      </c>
      <c r="B46" s="333" t="s">
        <v>725</v>
      </c>
      <c r="C46" s="915"/>
      <c r="D46" s="333"/>
      <c r="E46" s="333"/>
      <c r="F46" s="333"/>
      <c r="G46" s="333"/>
      <c r="H46" s="333"/>
      <c r="I46" s="333"/>
      <c r="J46" s="333"/>
      <c r="K46" s="333"/>
      <c r="L46" s="372"/>
      <c r="M46" s="372"/>
      <c r="N46" s="360"/>
    </row>
    <row r="47" spans="1:14" ht="99">
      <c r="A47" s="875">
        <v>1</v>
      </c>
      <c r="B47" s="341" t="s">
        <v>564</v>
      </c>
      <c r="C47" s="722" t="s">
        <v>5</v>
      </c>
      <c r="D47" s="722"/>
      <c r="E47" s="722"/>
      <c r="F47" s="722"/>
      <c r="G47" s="914"/>
      <c r="H47" s="722"/>
      <c r="I47" s="722"/>
      <c r="J47" s="914"/>
      <c r="K47" s="722"/>
      <c r="L47" s="372"/>
      <c r="M47" s="372"/>
      <c r="N47" s="360"/>
    </row>
    <row r="48" spans="1:14" ht="49.5">
      <c r="A48" s="722">
        <v>2</v>
      </c>
      <c r="B48" s="341" t="s">
        <v>373</v>
      </c>
      <c r="C48" s="722" t="s">
        <v>5</v>
      </c>
      <c r="D48" s="722"/>
      <c r="E48" s="722"/>
      <c r="F48" s="722"/>
      <c r="G48" s="914"/>
      <c r="H48" s="722"/>
      <c r="I48" s="722"/>
      <c r="J48" s="914"/>
      <c r="K48" s="722"/>
      <c r="L48" s="372"/>
      <c r="M48" s="372"/>
      <c r="N48" s="360"/>
    </row>
    <row r="49" spans="1:14" ht="33">
      <c r="A49" s="875">
        <v>3</v>
      </c>
      <c r="B49" s="341" t="s">
        <v>565</v>
      </c>
      <c r="C49" s="722" t="s">
        <v>5</v>
      </c>
      <c r="D49" s="722"/>
      <c r="E49" s="722"/>
      <c r="F49" s="722"/>
      <c r="G49" s="914"/>
      <c r="H49" s="722"/>
      <c r="I49" s="722"/>
      <c r="J49" s="914"/>
      <c r="K49" s="722"/>
      <c r="L49" s="372"/>
      <c r="M49" s="372"/>
      <c r="N49" s="360"/>
    </row>
    <row r="50" spans="1:14" ht="16.5">
      <c r="A50" s="383"/>
      <c r="B50" s="384"/>
      <c r="C50" s="364"/>
      <c r="D50" s="364"/>
      <c r="E50" s="364"/>
      <c r="F50" s="364"/>
      <c r="G50" s="365"/>
      <c r="H50" s="365"/>
      <c r="I50" s="365"/>
      <c r="J50" s="365"/>
      <c r="K50" s="365"/>
    </row>
    <row r="51" spans="1:14" ht="16.5">
      <c r="A51" s="383"/>
      <c r="B51" s="384"/>
      <c r="C51" s="364"/>
      <c r="D51" s="364"/>
      <c r="E51" s="364"/>
      <c r="F51" s="364"/>
      <c r="G51" s="365"/>
      <c r="H51" s="365"/>
      <c r="I51" s="365"/>
      <c r="J51" s="365"/>
      <c r="K51" s="365"/>
    </row>
    <row r="52" spans="1:14" ht="16.5">
      <c r="A52" s="383"/>
      <c r="B52" s="384"/>
      <c r="C52" s="364"/>
      <c r="D52" s="364"/>
      <c r="E52" s="364"/>
      <c r="F52" s="364"/>
      <c r="G52" s="365"/>
      <c r="H52" s="365"/>
      <c r="I52" s="365"/>
      <c r="J52" s="365"/>
      <c r="K52" s="365"/>
    </row>
    <row r="53" spans="1:14" ht="16.5">
      <c r="A53" s="383"/>
      <c r="B53" s="384"/>
      <c r="C53" s="364"/>
      <c r="D53" s="364"/>
      <c r="E53" s="364"/>
      <c r="F53" s="364"/>
      <c r="G53" s="365"/>
      <c r="H53" s="365"/>
      <c r="I53" s="365"/>
      <c r="J53" s="365"/>
      <c r="K53" s="365"/>
    </row>
    <row r="54" spans="1:14" ht="16.5">
      <c r="A54" s="383"/>
      <c r="B54" s="384"/>
      <c r="C54" s="364"/>
      <c r="D54" s="364"/>
      <c r="E54" s="364"/>
      <c r="F54" s="364"/>
      <c r="G54" s="365"/>
      <c r="H54" s="365"/>
      <c r="I54" s="365"/>
      <c r="J54" s="365"/>
      <c r="K54" s="365"/>
    </row>
    <row r="55" spans="1:14" ht="16.5">
      <c r="A55" s="383"/>
      <c r="B55" s="384"/>
      <c r="C55" s="364"/>
      <c r="D55" s="364"/>
      <c r="E55" s="364"/>
      <c r="F55" s="364"/>
      <c r="G55" s="365"/>
      <c r="H55" s="365"/>
      <c r="I55" s="365"/>
      <c r="J55" s="365"/>
      <c r="K55" s="365"/>
    </row>
    <row r="56" spans="1:14" ht="16.5">
      <c r="A56" s="383"/>
      <c r="B56" s="384"/>
      <c r="C56" s="364"/>
      <c r="D56" s="364"/>
      <c r="E56" s="364"/>
      <c r="F56" s="364"/>
      <c r="G56" s="365"/>
      <c r="H56" s="365"/>
      <c r="I56" s="365"/>
      <c r="J56" s="365"/>
      <c r="K56" s="365"/>
    </row>
    <row r="57" spans="1:14" ht="16.5">
      <c r="A57" s="383"/>
      <c r="B57" s="384"/>
      <c r="C57" s="364"/>
      <c r="D57" s="364"/>
      <c r="E57" s="364"/>
      <c r="F57" s="364"/>
      <c r="G57" s="365"/>
      <c r="H57" s="365"/>
      <c r="I57" s="365"/>
      <c r="J57" s="365"/>
      <c r="K57" s="365"/>
    </row>
    <row r="58" spans="1:14" ht="16.5">
      <c r="A58" s="383"/>
      <c r="B58" s="384"/>
      <c r="C58" s="364"/>
      <c r="D58" s="364"/>
      <c r="E58" s="364"/>
      <c r="F58" s="364"/>
      <c r="G58" s="365"/>
      <c r="H58" s="365"/>
      <c r="I58" s="365"/>
      <c r="J58" s="365"/>
      <c r="K58" s="365"/>
    </row>
    <row r="59" spans="1:14" ht="16.5">
      <c r="A59" s="383"/>
      <c r="B59" s="384"/>
      <c r="C59" s="364"/>
      <c r="D59" s="364"/>
      <c r="E59" s="364"/>
      <c r="F59" s="364"/>
      <c r="G59" s="365"/>
      <c r="H59" s="365"/>
      <c r="I59" s="365"/>
      <c r="J59" s="365"/>
      <c r="K59" s="365"/>
    </row>
    <row r="60" spans="1:14" ht="16.5">
      <c r="A60" s="383"/>
      <c r="B60" s="384"/>
      <c r="C60" s="364"/>
      <c r="D60" s="364"/>
      <c r="E60" s="364"/>
      <c r="F60" s="364"/>
      <c r="G60" s="365"/>
      <c r="H60" s="365"/>
      <c r="I60" s="365"/>
      <c r="J60" s="365"/>
      <c r="K60" s="365"/>
    </row>
    <row r="61" spans="1:14" ht="16.5">
      <c r="A61" s="383"/>
      <c r="B61" s="384"/>
      <c r="C61" s="364"/>
      <c r="D61" s="364"/>
      <c r="E61" s="364"/>
      <c r="F61" s="364"/>
      <c r="G61" s="365"/>
      <c r="H61" s="365"/>
      <c r="I61" s="365"/>
      <c r="J61" s="365"/>
      <c r="K61" s="365"/>
    </row>
    <row r="62" spans="1:14" ht="16.5">
      <c r="A62" s="383"/>
      <c r="B62" s="384"/>
      <c r="C62" s="364"/>
      <c r="D62" s="364"/>
      <c r="E62" s="364"/>
      <c r="F62" s="364"/>
      <c r="G62" s="365"/>
      <c r="H62" s="365"/>
      <c r="I62" s="365"/>
      <c r="J62" s="365"/>
      <c r="K62" s="365"/>
    </row>
    <row r="63" spans="1:14" ht="16.5">
      <c r="A63" s="383"/>
      <c r="B63" s="384"/>
      <c r="C63" s="364"/>
      <c r="D63" s="364"/>
      <c r="E63" s="364"/>
      <c r="F63" s="364"/>
      <c r="G63" s="365"/>
      <c r="H63" s="365"/>
      <c r="I63" s="365"/>
      <c r="J63" s="365"/>
      <c r="K63" s="365"/>
    </row>
    <row r="64" spans="1:14" ht="16.5">
      <c r="A64" s="383"/>
      <c r="B64" s="384"/>
      <c r="C64" s="364"/>
      <c r="D64" s="364"/>
      <c r="E64" s="364"/>
      <c r="F64" s="364"/>
      <c r="G64" s="365"/>
      <c r="H64" s="365"/>
      <c r="I64" s="365"/>
      <c r="J64" s="365"/>
      <c r="K64" s="365"/>
    </row>
    <row r="65" spans="1:11" ht="16.5">
      <c r="A65" s="383"/>
      <c r="B65" s="384"/>
      <c r="C65" s="364"/>
      <c r="D65" s="364"/>
      <c r="E65" s="364"/>
      <c r="F65" s="364"/>
      <c r="G65" s="365"/>
      <c r="H65" s="365"/>
      <c r="I65" s="365"/>
      <c r="J65" s="365"/>
      <c r="K65" s="365"/>
    </row>
    <row r="66" spans="1:11" ht="16.5">
      <c r="A66" s="383"/>
      <c r="B66" s="384"/>
      <c r="C66" s="364"/>
      <c r="D66" s="364"/>
      <c r="E66" s="364"/>
      <c r="F66" s="364"/>
      <c r="G66" s="365"/>
      <c r="H66" s="365"/>
      <c r="I66" s="365"/>
      <c r="J66" s="365"/>
      <c r="K66" s="365"/>
    </row>
    <row r="67" spans="1:11" ht="16.5">
      <c r="A67" s="383"/>
      <c r="B67" s="384"/>
      <c r="C67" s="364"/>
      <c r="D67" s="364"/>
      <c r="E67" s="364"/>
      <c r="F67" s="364"/>
      <c r="G67" s="365"/>
      <c r="H67" s="365"/>
      <c r="I67" s="365"/>
      <c r="J67" s="365"/>
      <c r="K67" s="365"/>
    </row>
    <row r="68" spans="1:11" ht="16.5">
      <c r="A68" s="383"/>
      <c r="B68" s="384"/>
      <c r="C68" s="364"/>
      <c r="D68" s="364"/>
      <c r="E68" s="364"/>
      <c r="F68" s="364"/>
      <c r="G68" s="365"/>
      <c r="H68" s="365"/>
      <c r="I68" s="365"/>
      <c r="J68" s="365"/>
      <c r="K68" s="365"/>
    </row>
    <row r="69" spans="1:11" ht="16.5">
      <c r="A69" s="383"/>
      <c r="B69" s="384"/>
      <c r="C69" s="364"/>
      <c r="D69" s="364"/>
      <c r="E69" s="364"/>
      <c r="F69" s="364"/>
      <c r="G69" s="365"/>
      <c r="H69" s="365"/>
      <c r="I69" s="365"/>
      <c r="J69" s="365"/>
      <c r="K69" s="365"/>
    </row>
    <row r="70" spans="1:11" ht="16.5">
      <c r="A70" s="383"/>
      <c r="B70" s="384"/>
      <c r="C70" s="364"/>
      <c r="D70" s="364"/>
      <c r="E70" s="364"/>
      <c r="F70" s="364"/>
      <c r="G70" s="365"/>
      <c r="H70" s="365"/>
      <c r="I70" s="365"/>
      <c r="J70" s="365"/>
      <c r="K70" s="365"/>
    </row>
    <row r="71" spans="1:11" ht="16.5">
      <c r="A71" s="383"/>
      <c r="B71" s="384"/>
      <c r="C71" s="364"/>
      <c r="D71" s="364"/>
      <c r="E71" s="364"/>
      <c r="F71" s="364"/>
      <c r="G71" s="365"/>
      <c r="H71" s="365"/>
      <c r="I71" s="365"/>
      <c r="J71" s="365"/>
      <c r="K71" s="365"/>
    </row>
    <row r="72" spans="1:11" ht="16.5">
      <c r="A72" s="383"/>
      <c r="B72" s="384"/>
      <c r="C72" s="364"/>
      <c r="D72" s="364"/>
      <c r="E72" s="364"/>
      <c r="F72" s="364"/>
      <c r="G72" s="365"/>
      <c r="H72" s="365"/>
      <c r="I72" s="365"/>
      <c r="J72" s="365"/>
      <c r="K72" s="365"/>
    </row>
    <row r="73" spans="1:11" ht="16.5">
      <c r="A73" s="383"/>
      <c r="B73" s="384"/>
      <c r="C73" s="364"/>
      <c r="D73" s="364"/>
      <c r="E73" s="364"/>
      <c r="F73" s="364"/>
      <c r="G73" s="365"/>
      <c r="H73" s="365"/>
      <c r="I73" s="365"/>
      <c r="J73" s="365"/>
      <c r="K73" s="365"/>
    </row>
    <row r="74" spans="1:11" ht="16.5">
      <c r="A74" s="383"/>
      <c r="B74" s="384"/>
      <c r="C74" s="364"/>
      <c r="D74" s="364"/>
      <c r="E74" s="364"/>
      <c r="F74" s="364"/>
      <c r="G74" s="365"/>
      <c r="H74" s="365"/>
      <c r="I74" s="365"/>
      <c r="J74" s="365"/>
      <c r="K74" s="365"/>
    </row>
    <row r="75" spans="1:11" ht="16.5">
      <c r="A75" s="383"/>
      <c r="B75" s="384"/>
      <c r="C75" s="364"/>
      <c r="D75" s="364"/>
      <c r="E75" s="364"/>
      <c r="F75" s="364"/>
      <c r="G75" s="365"/>
      <c r="H75" s="365"/>
      <c r="I75" s="365"/>
      <c r="J75" s="365"/>
      <c r="K75" s="365"/>
    </row>
    <row r="76" spans="1:11" ht="16.5">
      <c r="A76" s="383"/>
      <c r="B76" s="384"/>
      <c r="C76" s="364"/>
      <c r="D76" s="364"/>
      <c r="E76" s="364"/>
      <c r="F76" s="364"/>
      <c r="G76" s="365"/>
      <c r="H76" s="365"/>
      <c r="I76" s="365"/>
      <c r="J76" s="365"/>
      <c r="K76" s="365"/>
    </row>
    <row r="77" spans="1:11" ht="16.5">
      <c r="A77" s="383"/>
      <c r="B77" s="384"/>
      <c r="C77" s="364"/>
      <c r="D77" s="364"/>
      <c r="E77" s="364"/>
      <c r="F77" s="364"/>
      <c r="G77" s="365"/>
      <c r="H77" s="365"/>
      <c r="I77" s="365"/>
      <c r="J77" s="365"/>
      <c r="K77" s="365"/>
    </row>
    <row r="78" spans="1:11" ht="16.5">
      <c r="A78" s="383"/>
      <c r="B78" s="384"/>
      <c r="C78" s="364"/>
      <c r="D78" s="364"/>
      <c r="E78" s="364"/>
      <c r="F78" s="364"/>
      <c r="G78" s="365"/>
      <c r="H78" s="365"/>
      <c r="I78" s="365"/>
      <c r="J78" s="365"/>
      <c r="K78" s="365"/>
    </row>
    <row r="79" spans="1:11" ht="16.5">
      <c r="A79" s="383"/>
      <c r="B79" s="384"/>
      <c r="C79" s="364"/>
      <c r="D79" s="364"/>
      <c r="E79" s="364"/>
      <c r="F79" s="364"/>
      <c r="G79" s="365"/>
      <c r="H79" s="365"/>
      <c r="I79" s="365"/>
      <c r="J79" s="365"/>
      <c r="K79" s="365"/>
    </row>
    <row r="80" spans="1:11" ht="16.5">
      <c r="A80" s="383"/>
      <c r="B80" s="384"/>
      <c r="C80" s="364"/>
      <c r="D80" s="364"/>
      <c r="E80" s="364"/>
      <c r="F80" s="364"/>
      <c r="G80" s="365"/>
      <c r="H80" s="365"/>
      <c r="I80" s="365"/>
      <c r="J80" s="365"/>
      <c r="K80" s="365"/>
    </row>
    <row r="81" spans="1:11" ht="16.5">
      <c r="A81" s="383"/>
      <c r="B81" s="384"/>
      <c r="C81" s="364"/>
      <c r="D81" s="364"/>
      <c r="E81" s="364"/>
      <c r="F81" s="364"/>
      <c r="G81" s="365"/>
      <c r="H81" s="365"/>
      <c r="I81" s="365"/>
      <c r="J81" s="365"/>
      <c r="K81" s="365"/>
    </row>
    <row r="82" spans="1:11" ht="16.5">
      <c r="A82" s="383"/>
      <c r="B82" s="384"/>
      <c r="C82" s="364"/>
      <c r="D82" s="364"/>
      <c r="E82" s="364"/>
      <c r="F82" s="364"/>
      <c r="G82" s="365"/>
      <c r="H82" s="365"/>
      <c r="I82" s="365"/>
      <c r="J82" s="365"/>
      <c r="K82" s="365"/>
    </row>
    <row r="83" spans="1:11" ht="16.5">
      <c r="A83" s="383"/>
      <c r="B83" s="384"/>
      <c r="C83" s="364"/>
      <c r="D83" s="364"/>
      <c r="E83" s="364"/>
      <c r="F83" s="364"/>
      <c r="G83" s="365"/>
      <c r="H83" s="365"/>
      <c r="I83" s="365"/>
      <c r="J83" s="365"/>
      <c r="K83" s="365"/>
    </row>
    <row r="84" spans="1:11" ht="16.5">
      <c r="A84" s="383"/>
      <c r="B84" s="384"/>
      <c r="C84" s="364"/>
      <c r="D84" s="364"/>
      <c r="E84" s="364"/>
      <c r="F84" s="364"/>
      <c r="G84" s="365"/>
      <c r="H84" s="365"/>
      <c r="I84" s="365"/>
      <c r="J84" s="365"/>
      <c r="K84" s="365"/>
    </row>
    <row r="85" spans="1:11" ht="16.5">
      <c r="A85" s="383"/>
      <c r="B85" s="384"/>
      <c r="C85" s="364"/>
      <c r="D85" s="364"/>
      <c r="E85" s="364"/>
      <c r="F85" s="364"/>
      <c r="G85" s="365"/>
      <c r="H85" s="365"/>
      <c r="I85" s="365"/>
      <c r="J85" s="365"/>
      <c r="K85" s="365"/>
    </row>
    <row r="86" spans="1:11" ht="16.5">
      <c r="A86" s="383"/>
      <c r="B86" s="384"/>
      <c r="C86" s="364"/>
      <c r="D86" s="364"/>
      <c r="E86" s="364"/>
      <c r="F86" s="364"/>
      <c r="G86" s="365"/>
      <c r="H86" s="365"/>
      <c r="I86" s="365"/>
      <c r="J86" s="365"/>
      <c r="K86" s="365"/>
    </row>
    <row r="87" spans="1:11" ht="16.5">
      <c r="A87" s="383"/>
      <c r="B87" s="384"/>
      <c r="C87" s="364"/>
      <c r="D87" s="364"/>
      <c r="E87" s="364"/>
      <c r="F87" s="364"/>
      <c r="G87" s="365"/>
      <c r="H87" s="365"/>
      <c r="I87" s="365"/>
      <c r="J87" s="365"/>
      <c r="K87" s="365"/>
    </row>
    <row r="88" spans="1:11" ht="16.5">
      <c r="A88" s="383"/>
      <c r="B88" s="384"/>
      <c r="C88" s="364"/>
      <c r="D88" s="364"/>
      <c r="E88" s="364"/>
      <c r="F88" s="364"/>
      <c r="G88" s="365"/>
      <c r="H88" s="365"/>
      <c r="I88" s="365"/>
      <c r="J88" s="365"/>
      <c r="K88" s="365"/>
    </row>
    <row r="89" spans="1:11" ht="16.5">
      <c r="A89" s="383"/>
      <c r="B89" s="384"/>
      <c r="C89" s="364"/>
      <c r="D89" s="364"/>
      <c r="E89" s="364"/>
      <c r="F89" s="364"/>
      <c r="G89" s="365"/>
      <c r="H89" s="365"/>
      <c r="I89" s="365"/>
      <c r="J89" s="365"/>
      <c r="K89" s="365"/>
    </row>
    <row r="90" spans="1:11" ht="16.5">
      <c r="A90" s="383"/>
      <c r="B90" s="384"/>
      <c r="C90" s="364"/>
      <c r="D90" s="364"/>
      <c r="E90" s="364"/>
      <c r="F90" s="364"/>
      <c r="G90" s="365"/>
      <c r="H90" s="365"/>
      <c r="I90" s="365"/>
      <c r="J90" s="365"/>
      <c r="K90" s="365"/>
    </row>
    <row r="91" spans="1:11" ht="16.5">
      <c r="A91" s="383"/>
      <c r="B91" s="384"/>
      <c r="C91" s="364"/>
      <c r="D91" s="364"/>
      <c r="E91" s="364"/>
      <c r="F91" s="364"/>
      <c r="G91" s="365"/>
      <c r="H91" s="365"/>
      <c r="I91" s="365"/>
      <c r="J91" s="365"/>
      <c r="K91" s="365"/>
    </row>
    <row r="92" spans="1:11" ht="16.5">
      <c r="A92" s="383"/>
      <c r="B92" s="384"/>
      <c r="C92" s="364"/>
      <c r="D92" s="364"/>
      <c r="E92" s="364"/>
      <c r="F92" s="364"/>
      <c r="G92" s="365"/>
      <c r="H92" s="365"/>
      <c r="I92" s="365"/>
      <c r="J92" s="365"/>
      <c r="K92" s="365"/>
    </row>
    <row r="93" spans="1:11" ht="16.5">
      <c r="A93" s="383"/>
      <c r="B93" s="384"/>
      <c r="C93" s="364"/>
      <c r="D93" s="364"/>
      <c r="E93" s="364"/>
      <c r="F93" s="364"/>
      <c r="G93" s="365"/>
      <c r="H93" s="365"/>
      <c r="I93" s="365"/>
      <c r="J93" s="365"/>
      <c r="K93" s="365"/>
    </row>
    <row r="94" spans="1:11" ht="16.5">
      <c r="A94" s="383"/>
      <c r="B94" s="384"/>
      <c r="C94" s="364"/>
      <c r="D94" s="364"/>
      <c r="E94" s="364"/>
      <c r="F94" s="364"/>
      <c r="G94" s="365"/>
      <c r="H94" s="365"/>
      <c r="I94" s="365"/>
      <c r="J94" s="365"/>
      <c r="K94" s="365"/>
    </row>
    <row r="95" spans="1:11" ht="16.5">
      <c r="A95" s="383"/>
      <c r="B95" s="384"/>
      <c r="C95" s="364"/>
      <c r="D95" s="364"/>
      <c r="E95" s="364"/>
      <c r="F95" s="364"/>
      <c r="G95" s="365"/>
      <c r="H95" s="365"/>
      <c r="I95" s="365"/>
      <c r="J95" s="365"/>
      <c r="K95" s="365"/>
    </row>
    <row r="96" spans="1:11" ht="16.5">
      <c r="A96" s="383"/>
      <c r="B96" s="384"/>
      <c r="C96" s="364"/>
      <c r="D96" s="364"/>
      <c r="E96" s="364"/>
      <c r="F96" s="364"/>
      <c r="G96" s="365"/>
      <c r="H96" s="365"/>
      <c r="I96" s="365"/>
      <c r="J96" s="365"/>
      <c r="K96" s="365"/>
    </row>
    <row r="97" spans="1:11" ht="16.5">
      <c r="A97" s="383"/>
      <c r="B97" s="384"/>
      <c r="C97" s="364"/>
      <c r="D97" s="364"/>
      <c r="E97" s="364"/>
      <c r="F97" s="364"/>
      <c r="G97" s="365"/>
      <c r="H97" s="365"/>
      <c r="I97" s="365"/>
      <c r="J97" s="365"/>
      <c r="K97" s="365"/>
    </row>
    <row r="98" spans="1:11" ht="16.5">
      <c r="A98" s="383"/>
      <c r="B98" s="384"/>
      <c r="C98" s="364"/>
      <c r="D98" s="364"/>
      <c r="E98" s="364"/>
      <c r="F98" s="364"/>
      <c r="G98" s="365"/>
      <c r="H98" s="365"/>
      <c r="I98" s="365"/>
      <c r="J98" s="365"/>
      <c r="K98" s="365"/>
    </row>
    <row r="99" spans="1:11" ht="16.5">
      <c r="A99" s="383"/>
      <c r="B99" s="384"/>
      <c r="C99" s="364"/>
      <c r="D99" s="364"/>
      <c r="E99" s="364"/>
      <c r="F99" s="364"/>
      <c r="G99" s="365"/>
      <c r="H99" s="365"/>
      <c r="I99" s="365"/>
      <c r="J99" s="365"/>
      <c r="K99" s="365"/>
    </row>
    <row r="100" spans="1:11" ht="16.5">
      <c r="A100" s="383"/>
      <c r="B100" s="384"/>
      <c r="C100" s="364"/>
      <c r="D100" s="364"/>
      <c r="E100" s="364"/>
      <c r="F100" s="364"/>
      <c r="G100" s="365"/>
      <c r="H100" s="365"/>
      <c r="I100" s="365"/>
      <c r="J100" s="365"/>
      <c r="K100" s="365"/>
    </row>
    <row r="101" spans="1:11" ht="16.5">
      <c r="A101" s="383"/>
      <c r="B101" s="384"/>
      <c r="C101" s="364"/>
      <c r="D101" s="364"/>
      <c r="E101" s="364"/>
      <c r="F101" s="364"/>
      <c r="G101" s="365"/>
      <c r="H101" s="365"/>
      <c r="I101" s="365"/>
      <c r="J101" s="365"/>
      <c r="K101" s="365"/>
    </row>
    <row r="102" spans="1:11" ht="16.5">
      <c r="A102" s="383"/>
      <c r="B102" s="384"/>
      <c r="C102" s="364"/>
      <c r="D102" s="364"/>
      <c r="E102" s="364"/>
      <c r="F102" s="364"/>
      <c r="G102" s="365"/>
      <c r="H102" s="365"/>
      <c r="I102" s="365"/>
      <c r="J102" s="365"/>
      <c r="K102" s="365"/>
    </row>
    <row r="103" spans="1:11" ht="16.5">
      <c r="A103" s="383"/>
      <c r="B103" s="384"/>
      <c r="C103" s="364"/>
      <c r="D103" s="364"/>
      <c r="E103" s="364"/>
      <c r="F103" s="364"/>
      <c r="G103" s="365"/>
      <c r="H103" s="365"/>
      <c r="I103" s="365"/>
      <c r="J103" s="365"/>
      <c r="K103" s="365"/>
    </row>
    <row r="104" spans="1:11" ht="16.5">
      <c r="A104" s="383"/>
      <c r="B104" s="384"/>
      <c r="C104" s="364"/>
      <c r="D104" s="364"/>
      <c r="E104" s="364"/>
      <c r="F104" s="364"/>
      <c r="G104" s="365"/>
      <c r="H104" s="365"/>
      <c r="I104" s="365"/>
      <c r="J104" s="365"/>
      <c r="K104" s="365"/>
    </row>
    <row r="105" spans="1:11" ht="16.5">
      <c r="A105" s="383"/>
      <c r="B105" s="384"/>
      <c r="C105" s="364"/>
      <c r="D105" s="364"/>
      <c r="E105" s="364"/>
      <c r="F105" s="364"/>
      <c r="G105" s="365"/>
      <c r="H105" s="365"/>
      <c r="I105" s="365"/>
      <c r="J105" s="365"/>
      <c r="K105" s="365"/>
    </row>
    <row r="106" spans="1:11" ht="16.5">
      <c r="A106" s="383"/>
      <c r="B106" s="384"/>
      <c r="C106" s="364"/>
      <c r="D106" s="364"/>
      <c r="E106" s="364"/>
      <c r="F106" s="364"/>
      <c r="G106" s="365"/>
      <c r="H106" s="365"/>
      <c r="I106" s="365"/>
      <c r="J106" s="365"/>
      <c r="K106" s="365"/>
    </row>
    <row r="107" spans="1:11" ht="16.5">
      <c r="A107" s="383"/>
      <c r="B107" s="384"/>
      <c r="C107" s="364"/>
      <c r="D107" s="364"/>
      <c r="E107" s="364"/>
      <c r="F107" s="364"/>
      <c r="G107" s="365"/>
      <c r="H107" s="365"/>
      <c r="I107" s="365"/>
      <c r="J107" s="365"/>
      <c r="K107" s="365"/>
    </row>
    <row r="108" spans="1:11" ht="16.5">
      <c r="A108" s="383"/>
      <c r="B108" s="384"/>
      <c r="C108" s="364"/>
      <c r="D108" s="364"/>
      <c r="E108" s="364"/>
      <c r="F108" s="364"/>
      <c r="G108" s="365"/>
      <c r="H108" s="365"/>
      <c r="I108" s="365"/>
      <c r="J108" s="365"/>
      <c r="K108" s="365"/>
    </row>
    <row r="109" spans="1:11" ht="16.5">
      <c r="A109" s="383"/>
      <c r="B109" s="384"/>
      <c r="C109" s="364"/>
      <c r="D109" s="364"/>
      <c r="E109" s="364"/>
      <c r="F109" s="364"/>
      <c r="G109" s="365"/>
      <c r="H109" s="365"/>
      <c r="I109" s="365"/>
      <c r="J109" s="365"/>
      <c r="K109" s="365"/>
    </row>
    <row r="110" spans="1:11" ht="16.5">
      <c r="A110" s="383"/>
      <c r="B110" s="384"/>
      <c r="C110" s="364"/>
      <c r="D110" s="364"/>
      <c r="E110" s="364"/>
      <c r="F110" s="364"/>
      <c r="G110" s="365"/>
      <c r="H110" s="365"/>
      <c r="I110" s="365"/>
      <c r="J110" s="365"/>
      <c r="K110" s="365"/>
    </row>
    <row r="111" spans="1:11" ht="16.5">
      <c r="A111" s="383"/>
      <c r="B111" s="384"/>
      <c r="C111" s="364"/>
      <c r="D111" s="364"/>
      <c r="E111" s="364"/>
      <c r="F111" s="364"/>
      <c r="G111" s="365"/>
      <c r="H111" s="365"/>
      <c r="I111" s="365"/>
      <c r="J111" s="365"/>
      <c r="K111" s="365"/>
    </row>
    <row r="112" spans="1:11" ht="16.5">
      <c r="A112" s="383"/>
      <c r="B112" s="384"/>
      <c r="C112" s="364"/>
      <c r="D112" s="364"/>
      <c r="E112" s="364"/>
      <c r="F112" s="364"/>
      <c r="G112" s="365"/>
      <c r="H112" s="365"/>
      <c r="I112" s="365"/>
      <c r="J112" s="365"/>
      <c r="K112" s="365"/>
    </row>
    <row r="113" spans="1:11" ht="16.5">
      <c r="A113" s="383"/>
      <c r="B113" s="384"/>
      <c r="C113" s="364"/>
      <c r="D113" s="364"/>
      <c r="E113" s="364"/>
      <c r="F113" s="364"/>
      <c r="G113" s="365"/>
      <c r="H113" s="365"/>
      <c r="I113" s="365"/>
      <c r="J113" s="365"/>
      <c r="K113" s="365"/>
    </row>
    <row r="114" spans="1:11" ht="16.5">
      <c r="A114" s="383"/>
      <c r="B114" s="384"/>
      <c r="C114" s="364"/>
      <c r="D114" s="364"/>
      <c r="E114" s="364"/>
      <c r="F114" s="364"/>
      <c r="G114" s="365"/>
      <c r="H114" s="365"/>
      <c r="I114" s="365"/>
      <c r="J114" s="365"/>
      <c r="K114" s="365"/>
    </row>
    <row r="115" spans="1:11" ht="16.5">
      <c r="A115" s="383"/>
      <c r="B115" s="384"/>
      <c r="C115" s="364"/>
      <c r="D115" s="364"/>
      <c r="E115" s="364"/>
      <c r="F115" s="364"/>
      <c r="G115" s="365"/>
      <c r="H115" s="365"/>
      <c r="I115" s="365"/>
      <c r="J115" s="365"/>
      <c r="K115" s="365"/>
    </row>
    <row r="116" spans="1:11" ht="16.5">
      <c r="A116" s="383"/>
      <c r="B116" s="384"/>
      <c r="C116" s="364"/>
      <c r="D116" s="364"/>
      <c r="E116" s="364"/>
      <c r="F116" s="364"/>
      <c r="G116" s="365"/>
      <c r="H116" s="365"/>
      <c r="I116" s="365"/>
      <c r="J116" s="365"/>
      <c r="K116" s="365"/>
    </row>
    <row r="117" spans="1:11" ht="16.5">
      <c r="A117" s="383"/>
      <c r="B117" s="384"/>
      <c r="C117" s="364"/>
      <c r="D117" s="364"/>
      <c r="E117" s="364"/>
      <c r="F117" s="364"/>
      <c r="G117" s="365"/>
      <c r="H117" s="365"/>
      <c r="I117" s="365"/>
      <c r="J117" s="365"/>
      <c r="K117" s="365"/>
    </row>
    <row r="118" spans="1:11" ht="16.5">
      <c r="A118" s="383"/>
      <c r="B118" s="384"/>
      <c r="C118" s="364"/>
      <c r="D118" s="364"/>
      <c r="E118" s="364"/>
      <c r="F118" s="364"/>
      <c r="G118" s="365"/>
      <c r="H118" s="365"/>
      <c r="I118" s="365"/>
      <c r="J118" s="365"/>
      <c r="K118" s="365"/>
    </row>
    <row r="119" spans="1:11" ht="16.5">
      <c r="A119" s="383"/>
      <c r="B119" s="384"/>
      <c r="C119" s="364"/>
      <c r="D119" s="364"/>
      <c r="E119" s="364"/>
      <c r="F119" s="364"/>
      <c r="G119" s="365"/>
      <c r="H119" s="365"/>
      <c r="I119" s="365"/>
      <c r="J119" s="365"/>
      <c r="K119" s="365"/>
    </row>
    <row r="120" spans="1:11" ht="16.5">
      <c r="A120" s="383"/>
      <c r="B120" s="384"/>
      <c r="C120" s="364"/>
      <c r="D120" s="364"/>
      <c r="E120" s="364"/>
      <c r="F120" s="364"/>
      <c r="G120" s="365"/>
      <c r="H120" s="365"/>
      <c r="I120" s="365"/>
      <c r="J120" s="365"/>
      <c r="K120" s="365"/>
    </row>
    <row r="121" spans="1:11" ht="16.5">
      <c r="A121" s="383"/>
      <c r="B121" s="384"/>
      <c r="C121" s="364"/>
      <c r="D121" s="364"/>
      <c r="E121" s="364"/>
      <c r="F121" s="364"/>
      <c r="G121" s="365"/>
      <c r="H121" s="365"/>
      <c r="I121" s="365"/>
      <c r="J121" s="365"/>
      <c r="K121" s="365"/>
    </row>
    <row r="122" spans="1:11" ht="16.5">
      <c r="A122" s="383"/>
      <c r="B122" s="384"/>
      <c r="C122" s="364"/>
      <c r="D122" s="364"/>
      <c r="E122" s="364"/>
      <c r="F122" s="364"/>
      <c r="G122" s="365"/>
      <c r="H122" s="365"/>
      <c r="I122" s="365"/>
      <c r="J122" s="365"/>
      <c r="K122" s="365"/>
    </row>
    <row r="123" spans="1:11" ht="16.5">
      <c r="A123" s="383"/>
      <c r="B123" s="384"/>
      <c r="C123" s="364"/>
      <c r="D123" s="364"/>
      <c r="E123" s="364"/>
      <c r="F123" s="364"/>
      <c r="G123" s="365"/>
      <c r="H123" s="365"/>
      <c r="I123" s="365"/>
      <c r="J123" s="365"/>
      <c r="K123" s="365"/>
    </row>
    <row r="124" spans="1:11" ht="16.5">
      <c r="A124" s="383"/>
      <c r="B124" s="384"/>
      <c r="C124" s="364"/>
      <c r="D124" s="364"/>
      <c r="E124" s="364"/>
      <c r="F124" s="364"/>
      <c r="G124" s="365"/>
      <c r="H124" s="365"/>
      <c r="I124" s="365"/>
      <c r="J124" s="365"/>
      <c r="K124" s="365"/>
    </row>
    <row r="125" spans="1:11" ht="16.5">
      <c r="A125" s="383"/>
      <c r="B125" s="384"/>
      <c r="C125" s="364"/>
      <c r="D125" s="364"/>
      <c r="E125" s="364"/>
      <c r="F125" s="364"/>
      <c r="G125" s="365"/>
      <c r="H125" s="365"/>
      <c r="I125" s="365"/>
      <c r="J125" s="365"/>
      <c r="K125" s="365"/>
    </row>
    <row r="126" spans="1:11" ht="16.5">
      <c r="A126" s="383"/>
      <c r="B126" s="384"/>
      <c r="C126" s="364"/>
      <c r="D126" s="364"/>
      <c r="E126" s="364"/>
      <c r="F126" s="364"/>
      <c r="G126" s="365"/>
      <c r="H126" s="365"/>
      <c r="I126" s="365"/>
      <c r="J126" s="365"/>
      <c r="K126" s="365"/>
    </row>
    <row r="127" spans="1:11" ht="16.5">
      <c r="A127" s="383"/>
      <c r="B127" s="384"/>
      <c r="C127" s="364"/>
      <c r="D127" s="364"/>
      <c r="E127" s="364"/>
      <c r="F127" s="364"/>
      <c r="G127" s="365"/>
      <c r="H127" s="365"/>
      <c r="I127" s="365"/>
      <c r="J127" s="365"/>
      <c r="K127" s="365"/>
    </row>
    <row r="128" spans="1:11" ht="16.5">
      <c r="A128" s="383"/>
      <c r="B128" s="384"/>
      <c r="C128" s="364"/>
      <c r="D128" s="364"/>
      <c r="E128" s="364"/>
      <c r="F128" s="364"/>
      <c r="G128" s="365"/>
      <c r="H128" s="365"/>
      <c r="I128" s="365"/>
      <c r="J128" s="365"/>
      <c r="K128" s="365"/>
    </row>
    <row r="129" spans="1:11" ht="16.5">
      <c r="A129" s="383"/>
      <c r="B129" s="384"/>
      <c r="C129" s="364"/>
      <c r="D129" s="364"/>
      <c r="E129" s="364"/>
      <c r="F129" s="364"/>
      <c r="G129" s="365"/>
      <c r="H129" s="365"/>
      <c r="I129" s="365"/>
      <c r="J129" s="365"/>
      <c r="K129" s="365"/>
    </row>
    <row r="130" spans="1:11" ht="16.5">
      <c r="A130" s="383"/>
      <c r="B130" s="384"/>
      <c r="C130" s="364"/>
      <c r="D130" s="364"/>
      <c r="E130" s="364"/>
      <c r="F130" s="364"/>
      <c r="G130" s="365"/>
      <c r="H130" s="365"/>
      <c r="I130" s="365"/>
      <c r="J130" s="365"/>
      <c r="K130" s="365"/>
    </row>
    <row r="131" spans="1:11" ht="16.5">
      <c r="A131" s="383"/>
      <c r="B131" s="384"/>
      <c r="C131" s="364"/>
      <c r="D131" s="364"/>
      <c r="E131" s="364"/>
      <c r="F131" s="364"/>
      <c r="G131" s="365"/>
      <c r="H131" s="365"/>
      <c r="I131" s="365"/>
      <c r="J131" s="365"/>
      <c r="K131" s="365"/>
    </row>
    <row r="132" spans="1:11" ht="16.5">
      <c r="A132" s="383"/>
      <c r="B132" s="384"/>
      <c r="C132" s="364"/>
      <c r="D132" s="364"/>
      <c r="E132" s="364"/>
      <c r="F132" s="364"/>
      <c r="G132" s="365"/>
      <c r="H132" s="365"/>
      <c r="I132" s="365"/>
      <c r="J132" s="365"/>
      <c r="K132" s="365"/>
    </row>
    <row r="133" spans="1:11" ht="16.5">
      <c r="A133" s="383"/>
      <c r="B133" s="384"/>
      <c r="C133" s="364"/>
      <c r="D133" s="364"/>
      <c r="E133" s="364"/>
      <c r="F133" s="364"/>
      <c r="G133" s="365"/>
      <c r="H133" s="365"/>
      <c r="I133" s="365"/>
      <c r="J133" s="365"/>
      <c r="K133" s="365"/>
    </row>
    <row r="134" spans="1:11" ht="16.5">
      <c r="A134" s="383"/>
      <c r="B134" s="384"/>
      <c r="C134" s="364"/>
      <c r="D134" s="364"/>
      <c r="E134" s="364"/>
      <c r="F134" s="364"/>
      <c r="G134" s="365"/>
      <c r="H134" s="365"/>
      <c r="I134" s="365"/>
      <c r="J134" s="365"/>
      <c r="K134" s="365"/>
    </row>
    <row r="135" spans="1:11" ht="16.5">
      <c r="A135" s="383"/>
      <c r="B135" s="384"/>
      <c r="C135" s="364"/>
      <c r="D135" s="364"/>
      <c r="E135" s="364"/>
      <c r="F135" s="364"/>
      <c r="G135" s="365"/>
      <c r="H135" s="365"/>
      <c r="I135" s="365"/>
      <c r="J135" s="365"/>
      <c r="K135" s="365"/>
    </row>
    <row r="136" spans="1:11" ht="16.5">
      <c r="A136" s="383"/>
      <c r="B136" s="384"/>
      <c r="C136" s="364"/>
      <c r="D136" s="364"/>
      <c r="E136" s="364"/>
      <c r="F136" s="364"/>
      <c r="G136" s="365"/>
      <c r="H136" s="365"/>
      <c r="I136" s="365"/>
      <c r="J136" s="365"/>
      <c r="K136" s="365"/>
    </row>
    <row r="137" spans="1:11" ht="16.5">
      <c r="A137" s="383"/>
      <c r="B137" s="384"/>
      <c r="C137" s="364"/>
      <c r="D137" s="364"/>
      <c r="E137" s="364"/>
      <c r="F137" s="364"/>
      <c r="G137" s="365"/>
      <c r="H137" s="365"/>
      <c r="I137" s="365"/>
      <c r="J137" s="365"/>
      <c r="K137" s="365"/>
    </row>
    <row r="138" spans="1:11" ht="16.5">
      <c r="A138" s="383"/>
      <c r="B138" s="384"/>
      <c r="C138" s="364"/>
      <c r="D138" s="364"/>
      <c r="E138" s="364"/>
      <c r="F138" s="364"/>
      <c r="G138" s="365"/>
      <c r="H138" s="365"/>
      <c r="I138" s="365"/>
      <c r="J138" s="365"/>
      <c r="K138" s="365"/>
    </row>
    <row r="139" spans="1:11" ht="16.5">
      <c r="A139" s="383"/>
      <c r="B139" s="384"/>
      <c r="C139" s="364"/>
      <c r="D139" s="364"/>
      <c r="E139" s="364"/>
      <c r="F139" s="364"/>
      <c r="G139" s="365"/>
      <c r="H139" s="365"/>
      <c r="I139" s="365"/>
      <c r="J139" s="365"/>
      <c r="K139" s="365"/>
    </row>
    <row r="140" spans="1:11" ht="16.5">
      <c r="A140" s="383"/>
      <c r="B140" s="384"/>
      <c r="C140" s="364"/>
      <c r="D140" s="364"/>
      <c r="E140" s="364"/>
      <c r="F140" s="364"/>
      <c r="G140" s="365"/>
      <c r="H140" s="365"/>
      <c r="I140" s="365"/>
      <c r="J140" s="365"/>
      <c r="K140" s="365"/>
    </row>
    <row r="141" spans="1:11" ht="16.5">
      <c r="A141" s="383"/>
      <c r="B141" s="384"/>
      <c r="C141" s="364"/>
      <c r="D141" s="364"/>
      <c r="E141" s="364"/>
      <c r="F141" s="364"/>
      <c r="G141" s="365"/>
      <c r="H141" s="365"/>
      <c r="I141" s="365"/>
      <c r="J141" s="365"/>
      <c r="K141" s="365"/>
    </row>
    <row r="142" spans="1:11" ht="16.5">
      <c r="A142" s="383"/>
      <c r="B142" s="384"/>
      <c r="C142" s="364"/>
      <c r="D142" s="364"/>
      <c r="E142" s="364"/>
      <c r="F142" s="364"/>
      <c r="G142" s="365"/>
      <c r="H142" s="365"/>
      <c r="I142" s="365"/>
      <c r="J142" s="365"/>
      <c r="K142" s="365"/>
    </row>
    <row r="143" spans="1:11" ht="16.5">
      <c r="A143" s="383"/>
      <c r="B143" s="384"/>
      <c r="C143" s="364"/>
      <c r="D143" s="364"/>
      <c r="E143" s="364"/>
      <c r="F143" s="364"/>
      <c r="G143" s="365"/>
      <c r="H143" s="365"/>
      <c r="I143" s="365"/>
      <c r="J143" s="365"/>
      <c r="K143" s="365"/>
    </row>
    <row r="144" spans="1:11" ht="16.5">
      <c r="A144" s="383"/>
      <c r="B144" s="384"/>
      <c r="C144" s="364"/>
      <c r="D144" s="364"/>
      <c r="E144" s="364"/>
      <c r="F144" s="364"/>
      <c r="G144" s="365"/>
      <c r="H144" s="365"/>
      <c r="I144" s="365"/>
      <c r="J144" s="365"/>
      <c r="K144" s="365"/>
    </row>
    <row r="145" spans="1:11" ht="16.5">
      <c r="A145" s="383"/>
      <c r="B145" s="384"/>
      <c r="C145" s="364"/>
      <c r="D145" s="364"/>
      <c r="E145" s="364"/>
      <c r="F145" s="364"/>
      <c r="G145" s="365"/>
      <c r="H145" s="365"/>
      <c r="I145" s="365"/>
      <c r="J145" s="365"/>
      <c r="K145" s="365"/>
    </row>
    <row r="146" spans="1:11" ht="16.5">
      <c r="A146" s="383"/>
      <c r="B146" s="384"/>
      <c r="C146" s="364"/>
      <c r="D146" s="364"/>
      <c r="E146" s="364"/>
      <c r="F146" s="364"/>
      <c r="G146" s="365"/>
      <c r="H146" s="365"/>
      <c r="I146" s="365"/>
      <c r="J146" s="365"/>
      <c r="K146" s="365"/>
    </row>
    <row r="147" spans="1:11" ht="16.5">
      <c r="A147" s="383"/>
      <c r="B147" s="384"/>
      <c r="C147" s="364"/>
      <c r="D147" s="364"/>
      <c r="E147" s="364"/>
      <c r="F147" s="364"/>
      <c r="G147" s="365"/>
      <c r="H147" s="365"/>
      <c r="I147" s="365"/>
      <c r="J147" s="365"/>
      <c r="K147" s="365"/>
    </row>
    <row r="148" spans="1:11" ht="16.5">
      <c r="A148" s="383"/>
      <c r="B148" s="384"/>
      <c r="C148" s="364"/>
      <c r="D148" s="364"/>
      <c r="E148" s="364"/>
      <c r="F148" s="364"/>
      <c r="G148" s="365"/>
      <c r="H148" s="365"/>
      <c r="I148" s="365"/>
      <c r="J148" s="365"/>
      <c r="K148" s="365"/>
    </row>
    <row r="149" spans="1:11" ht="16.5">
      <c r="A149" s="383"/>
      <c r="B149" s="384"/>
      <c r="C149" s="364"/>
      <c r="D149" s="364"/>
      <c r="E149" s="364"/>
      <c r="F149" s="364"/>
      <c r="G149" s="365"/>
      <c r="H149" s="365"/>
      <c r="I149" s="365"/>
      <c r="J149" s="365"/>
      <c r="K149" s="365"/>
    </row>
    <row r="150" spans="1:11" ht="16.5">
      <c r="A150" s="383"/>
      <c r="B150" s="384"/>
      <c r="C150" s="364"/>
      <c r="D150" s="364"/>
      <c r="E150" s="364"/>
      <c r="F150" s="364"/>
      <c r="G150" s="365"/>
      <c r="H150" s="365"/>
      <c r="I150" s="365"/>
      <c r="J150" s="365"/>
      <c r="K150" s="365"/>
    </row>
    <row r="151" spans="1:11" ht="16.5">
      <c r="A151" s="383"/>
      <c r="B151" s="384"/>
      <c r="C151" s="364"/>
      <c r="D151" s="364"/>
      <c r="E151" s="364"/>
      <c r="F151" s="364"/>
      <c r="G151" s="365"/>
      <c r="H151" s="365"/>
      <c r="I151" s="365"/>
      <c r="J151" s="365"/>
      <c r="K151" s="365"/>
    </row>
    <row r="152" spans="1:11" ht="16.5">
      <c r="A152" s="383"/>
      <c r="B152" s="384"/>
      <c r="C152" s="364"/>
      <c r="D152" s="364"/>
      <c r="E152" s="364"/>
      <c r="F152" s="364"/>
      <c r="G152" s="365"/>
      <c r="H152" s="365"/>
      <c r="I152" s="365"/>
      <c r="J152" s="365"/>
      <c r="K152" s="365"/>
    </row>
    <row r="153" spans="1:11" ht="16.5">
      <c r="A153" s="383"/>
      <c r="B153" s="384"/>
      <c r="C153" s="364"/>
      <c r="D153" s="364"/>
      <c r="E153" s="364"/>
      <c r="F153" s="364"/>
      <c r="G153" s="365"/>
      <c r="H153" s="365"/>
      <c r="I153" s="365"/>
      <c r="J153" s="365"/>
      <c r="K153" s="365"/>
    </row>
    <row r="154" spans="1:11" ht="16.5">
      <c r="A154" s="383"/>
      <c r="B154" s="384"/>
      <c r="C154" s="364"/>
      <c r="D154" s="364"/>
      <c r="E154" s="364"/>
      <c r="F154" s="364"/>
      <c r="G154" s="365"/>
      <c r="H154" s="365"/>
      <c r="I154" s="365"/>
      <c r="J154" s="365"/>
      <c r="K154" s="365"/>
    </row>
    <row r="155" spans="1:11" ht="16.5">
      <c r="A155" s="383"/>
      <c r="B155" s="384"/>
      <c r="C155" s="364"/>
      <c r="D155" s="364"/>
      <c r="E155" s="364"/>
      <c r="F155" s="364"/>
      <c r="G155" s="365"/>
      <c r="H155" s="365"/>
      <c r="I155" s="365"/>
      <c r="J155" s="365"/>
      <c r="K155" s="365"/>
    </row>
    <row r="156" spans="1:11" ht="16.5">
      <c r="A156" s="383"/>
      <c r="B156" s="384"/>
      <c r="C156" s="364"/>
      <c r="D156" s="364"/>
      <c r="E156" s="364"/>
      <c r="F156" s="364"/>
      <c r="G156" s="365"/>
      <c r="H156" s="365"/>
      <c r="I156" s="365"/>
      <c r="J156" s="365"/>
      <c r="K156" s="365"/>
    </row>
    <row r="157" spans="1:11" ht="16.5">
      <c r="A157" s="383"/>
      <c r="B157" s="384"/>
      <c r="C157" s="364"/>
      <c r="D157" s="364"/>
      <c r="E157" s="364"/>
      <c r="F157" s="364"/>
      <c r="G157" s="365"/>
      <c r="H157" s="365"/>
      <c r="I157" s="365"/>
      <c r="J157" s="365"/>
      <c r="K157" s="365"/>
    </row>
    <row r="158" spans="1:11" ht="16.5">
      <c r="A158" s="383"/>
      <c r="B158" s="384"/>
      <c r="C158" s="364"/>
      <c r="D158" s="364"/>
      <c r="E158" s="364"/>
      <c r="F158" s="364"/>
      <c r="G158" s="365"/>
      <c r="H158" s="365"/>
      <c r="I158" s="365"/>
      <c r="J158" s="365"/>
      <c r="K158" s="365"/>
    </row>
    <row r="159" spans="1:11" ht="16.5">
      <c r="A159" s="383"/>
      <c r="B159" s="384"/>
      <c r="C159" s="364"/>
      <c r="D159" s="364"/>
      <c r="E159" s="364"/>
      <c r="F159" s="364"/>
      <c r="G159" s="365"/>
      <c r="H159" s="365"/>
      <c r="I159" s="365"/>
      <c r="J159" s="365"/>
      <c r="K159" s="365"/>
    </row>
    <row r="160" spans="1:11" ht="16.5">
      <c r="A160" s="383"/>
      <c r="B160" s="384"/>
      <c r="C160" s="364"/>
      <c r="D160" s="364"/>
      <c r="E160" s="364"/>
      <c r="F160" s="364"/>
      <c r="G160" s="365"/>
      <c r="H160" s="365"/>
      <c r="I160" s="365"/>
      <c r="J160" s="365"/>
      <c r="K160" s="365"/>
    </row>
    <row r="161" spans="1:11" ht="16.5">
      <c r="A161" s="383"/>
      <c r="B161" s="384"/>
      <c r="C161" s="364"/>
      <c r="D161" s="364"/>
      <c r="E161" s="364"/>
      <c r="F161" s="364"/>
      <c r="G161" s="365"/>
      <c r="H161" s="365"/>
      <c r="I161" s="365"/>
      <c r="J161" s="365"/>
      <c r="K161" s="365"/>
    </row>
    <row r="162" spans="1:11" ht="16.5">
      <c r="A162" s="383"/>
      <c r="B162" s="384"/>
      <c r="C162" s="364"/>
      <c r="D162" s="364"/>
      <c r="E162" s="364"/>
      <c r="F162" s="364"/>
      <c r="G162" s="365"/>
      <c r="H162" s="365"/>
      <c r="I162" s="365"/>
      <c r="J162" s="365"/>
      <c r="K162" s="365"/>
    </row>
    <row r="163" spans="1:11" ht="16.5">
      <c r="A163" s="383"/>
      <c r="B163" s="384"/>
      <c r="C163" s="364"/>
      <c r="D163" s="364"/>
      <c r="E163" s="364"/>
      <c r="F163" s="364"/>
      <c r="G163" s="365"/>
      <c r="H163" s="365"/>
      <c r="I163" s="365"/>
      <c r="J163" s="365"/>
      <c r="K163" s="365"/>
    </row>
    <row r="164" spans="1:11" ht="16.5">
      <c r="A164" s="383"/>
      <c r="B164" s="384"/>
      <c r="C164" s="364"/>
      <c r="D164" s="364"/>
      <c r="E164" s="364"/>
      <c r="F164" s="364"/>
      <c r="G164" s="365"/>
      <c r="H164" s="365"/>
      <c r="I164" s="365"/>
      <c r="J164" s="365"/>
      <c r="K164" s="365"/>
    </row>
    <row r="165" spans="1:11" ht="16.5">
      <c r="A165" s="383"/>
      <c r="B165" s="384"/>
      <c r="C165" s="364"/>
      <c r="D165" s="364"/>
      <c r="E165" s="364"/>
      <c r="F165" s="364"/>
      <c r="G165" s="365"/>
      <c r="H165" s="365"/>
      <c r="I165" s="365"/>
      <c r="J165" s="365"/>
      <c r="K165" s="365"/>
    </row>
    <row r="166" spans="1:11" ht="16.5">
      <c r="A166" s="383"/>
      <c r="B166" s="384"/>
      <c r="C166" s="364"/>
      <c r="D166" s="364"/>
      <c r="E166" s="364"/>
      <c r="F166" s="364"/>
      <c r="G166" s="365"/>
      <c r="H166" s="365"/>
      <c r="I166" s="365"/>
      <c r="J166" s="365"/>
      <c r="K166" s="365"/>
    </row>
    <row r="167" spans="1:11" ht="16.5">
      <c r="A167" s="383"/>
      <c r="B167" s="384"/>
      <c r="C167" s="364"/>
      <c r="D167" s="364"/>
      <c r="E167" s="364"/>
      <c r="F167" s="364"/>
      <c r="G167" s="365"/>
      <c r="H167" s="365"/>
      <c r="I167" s="365"/>
      <c r="J167" s="365"/>
      <c r="K167" s="365"/>
    </row>
    <row r="168" spans="1:11" ht="16.5">
      <c r="A168" s="383"/>
      <c r="B168" s="384"/>
      <c r="C168" s="364"/>
      <c r="D168" s="364"/>
      <c r="E168" s="364"/>
      <c r="F168" s="364"/>
      <c r="G168" s="365"/>
      <c r="H168" s="365"/>
      <c r="I168" s="365"/>
      <c r="J168" s="365"/>
      <c r="K168" s="365"/>
    </row>
    <row r="169" spans="1:11" ht="16.5">
      <c r="A169" s="383"/>
      <c r="B169" s="384"/>
      <c r="C169" s="364"/>
      <c r="D169" s="364"/>
      <c r="E169" s="364"/>
      <c r="F169" s="364"/>
      <c r="G169" s="365"/>
      <c r="H169" s="365"/>
      <c r="I169" s="365"/>
      <c r="J169" s="365"/>
      <c r="K169" s="365"/>
    </row>
    <row r="170" spans="1:11" ht="16.5">
      <c r="A170" s="383"/>
      <c r="B170" s="384"/>
      <c r="C170" s="364"/>
      <c r="D170" s="364"/>
      <c r="E170" s="364"/>
      <c r="F170" s="364"/>
      <c r="G170" s="365"/>
      <c r="H170" s="365"/>
      <c r="I170" s="365"/>
      <c r="J170" s="365"/>
      <c r="K170" s="365"/>
    </row>
    <row r="171" spans="1:11" ht="16.5">
      <c r="A171" s="383"/>
      <c r="B171" s="384"/>
      <c r="C171" s="364"/>
      <c r="D171" s="364"/>
      <c r="E171" s="364"/>
      <c r="F171" s="364"/>
      <c r="G171" s="365"/>
      <c r="H171" s="365"/>
      <c r="I171" s="365"/>
      <c r="J171" s="365"/>
      <c r="K171" s="365"/>
    </row>
    <row r="172" spans="1:11" ht="16.5">
      <c r="A172" s="383"/>
      <c r="B172" s="384"/>
      <c r="C172" s="364"/>
      <c r="D172" s="364"/>
      <c r="E172" s="364"/>
      <c r="F172" s="364"/>
      <c r="G172" s="365"/>
      <c r="H172" s="365"/>
      <c r="I172" s="365"/>
      <c r="J172" s="365"/>
      <c r="K172" s="365"/>
    </row>
    <row r="173" spans="1:11" ht="16.5">
      <c r="A173" s="383"/>
      <c r="B173" s="384"/>
      <c r="C173" s="364"/>
      <c r="D173" s="364"/>
      <c r="E173" s="364"/>
      <c r="F173" s="364"/>
      <c r="G173" s="365"/>
      <c r="H173" s="365"/>
      <c r="I173" s="365"/>
      <c r="J173" s="365"/>
      <c r="K173" s="365"/>
    </row>
    <row r="174" spans="1:11" ht="16.5">
      <c r="A174" s="383"/>
      <c r="B174" s="384"/>
      <c r="C174" s="364"/>
      <c r="D174" s="364"/>
      <c r="E174" s="364"/>
      <c r="F174" s="364"/>
      <c r="G174" s="365"/>
      <c r="H174" s="365"/>
      <c r="I174" s="365"/>
      <c r="J174" s="365"/>
      <c r="K174" s="365"/>
    </row>
    <row r="175" spans="1:11" ht="16.5">
      <c r="A175" s="383"/>
      <c r="B175" s="384"/>
      <c r="C175" s="364"/>
      <c r="D175" s="364"/>
      <c r="E175" s="364"/>
      <c r="F175" s="364"/>
      <c r="G175" s="365"/>
      <c r="H175" s="365"/>
      <c r="I175" s="365"/>
      <c r="J175" s="365"/>
      <c r="K175" s="365"/>
    </row>
    <row r="176" spans="1:11" ht="16.5">
      <c r="A176" s="383"/>
      <c r="B176" s="384"/>
      <c r="C176" s="364"/>
      <c r="D176" s="364"/>
      <c r="E176" s="364"/>
      <c r="F176" s="364"/>
      <c r="G176" s="365"/>
      <c r="H176" s="365"/>
      <c r="I176" s="365"/>
      <c r="J176" s="365"/>
      <c r="K176" s="365"/>
    </row>
    <row r="177" spans="1:11" ht="16.5">
      <c r="A177" s="383"/>
      <c r="B177" s="384"/>
      <c r="C177" s="364"/>
      <c r="D177" s="364"/>
      <c r="E177" s="364"/>
      <c r="F177" s="364"/>
      <c r="G177" s="365"/>
      <c r="H177" s="365"/>
      <c r="I177" s="365"/>
      <c r="J177" s="365"/>
      <c r="K177" s="365"/>
    </row>
    <row r="178" spans="1:11" ht="16.5">
      <c r="A178" s="383"/>
      <c r="B178" s="384"/>
      <c r="C178" s="364"/>
      <c r="D178" s="364"/>
      <c r="E178" s="364"/>
      <c r="F178" s="364"/>
      <c r="G178" s="365"/>
      <c r="H178" s="365"/>
      <c r="I178" s="365"/>
      <c r="J178" s="365"/>
      <c r="K178" s="365"/>
    </row>
    <row r="179" spans="1:11" ht="16.5">
      <c r="A179" s="383"/>
      <c r="B179" s="384"/>
      <c r="C179" s="364"/>
      <c r="D179" s="364"/>
      <c r="E179" s="364"/>
      <c r="F179" s="364"/>
      <c r="G179" s="365"/>
      <c r="H179" s="365"/>
      <c r="I179" s="365"/>
      <c r="J179" s="365"/>
      <c r="K179" s="365"/>
    </row>
    <row r="180" spans="1:11" ht="16.5">
      <c r="A180" s="383"/>
      <c r="B180" s="384"/>
      <c r="C180" s="364"/>
      <c r="D180" s="364"/>
      <c r="E180" s="364"/>
      <c r="F180" s="364"/>
      <c r="G180" s="365"/>
      <c r="H180" s="365"/>
      <c r="I180" s="365"/>
      <c r="J180" s="365"/>
      <c r="K180" s="365"/>
    </row>
    <row r="181" spans="1:11" ht="16.5">
      <c r="A181" s="383"/>
      <c r="B181" s="384"/>
      <c r="C181" s="364"/>
      <c r="D181" s="364"/>
      <c r="E181" s="364"/>
      <c r="F181" s="364"/>
      <c r="G181" s="365"/>
      <c r="H181" s="365"/>
      <c r="I181" s="365"/>
      <c r="J181" s="365"/>
      <c r="K181" s="365"/>
    </row>
    <row r="182" spans="1:11" ht="16.5">
      <c r="A182" s="383"/>
      <c r="B182" s="384"/>
      <c r="C182" s="364"/>
      <c r="D182" s="364"/>
      <c r="E182" s="364"/>
      <c r="F182" s="364"/>
      <c r="G182" s="365"/>
      <c r="H182" s="365"/>
      <c r="I182" s="365"/>
      <c r="J182" s="365"/>
      <c r="K182" s="365"/>
    </row>
    <row r="183" spans="1:11" ht="16.5">
      <c r="A183" s="383"/>
      <c r="B183" s="384"/>
      <c r="C183" s="364"/>
      <c r="D183" s="364"/>
      <c r="E183" s="364"/>
      <c r="F183" s="364"/>
      <c r="G183" s="365"/>
      <c r="H183" s="365"/>
      <c r="I183" s="365"/>
      <c r="J183" s="365"/>
      <c r="K183" s="365"/>
    </row>
    <row r="184" spans="1:11" ht="16.5">
      <c r="A184" s="383"/>
      <c r="B184" s="384"/>
      <c r="C184" s="364"/>
      <c r="D184" s="364"/>
      <c r="E184" s="364"/>
      <c r="F184" s="364"/>
      <c r="G184" s="365"/>
      <c r="H184" s="365"/>
      <c r="I184" s="365"/>
      <c r="J184" s="365"/>
      <c r="K184" s="365"/>
    </row>
    <row r="185" spans="1:11" ht="16.5">
      <c r="A185" s="383"/>
      <c r="B185" s="384"/>
      <c r="C185" s="364"/>
      <c r="D185" s="364"/>
      <c r="E185" s="364"/>
      <c r="F185" s="364"/>
      <c r="G185" s="365"/>
      <c r="H185" s="365"/>
      <c r="I185" s="365"/>
      <c r="J185" s="365"/>
      <c r="K185" s="365"/>
    </row>
    <row r="186" spans="1:11" ht="16.5">
      <c r="A186" s="383"/>
      <c r="B186" s="384"/>
      <c r="C186" s="364"/>
      <c r="D186" s="364"/>
      <c r="E186" s="364"/>
      <c r="F186" s="364"/>
      <c r="G186" s="365"/>
      <c r="H186" s="365"/>
      <c r="I186" s="365"/>
      <c r="J186" s="365"/>
      <c r="K186" s="365"/>
    </row>
    <row r="187" spans="1:11" ht="16.5">
      <c r="A187" s="383"/>
      <c r="B187" s="384"/>
      <c r="C187" s="364"/>
      <c r="D187" s="364"/>
      <c r="E187" s="364"/>
      <c r="F187" s="364"/>
      <c r="G187" s="365"/>
      <c r="H187" s="365"/>
      <c r="I187" s="365"/>
      <c r="J187" s="365"/>
      <c r="K187" s="365"/>
    </row>
    <row r="188" spans="1:11" ht="16.5">
      <c r="A188" s="383"/>
      <c r="B188" s="384"/>
      <c r="C188" s="364"/>
      <c r="D188" s="364"/>
      <c r="E188" s="364"/>
      <c r="F188" s="364"/>
      <c r="G188" s="365"/>
      <c r="H188" s="365"/>
      <c r="I188" s="365"/>
      <c r="J188" s="365"/>
      <c r="K188" s="365"/>
    </row>
    <row r="189" spans="1:11" ht="16.5">
      <c r="A189" s="383"/>
      <c r="B189" s="384"/>
      <c r="C189" s="364"/>
      <c r="D189" s="364"/>
      <c r="E189" s="364"/>
      <c r="F189" s="364"/>
      <c r="G189" s="365"/>
      <c r="H189" s="365"/>
      <c r="I189" s="365"/>
      <c r="J189" s="365"/>
      <c r="K189" s="365"/>
    </row>
    <row r="190" spans="1:11" ht="16.5">
      <c r="A190" s="383"/>
      <c r="B190" s="384"/>
      <c r="C190" s="364"/>
      <c r="D190" s="364"/>
      <c r="E190" s="364"/>
      <c r="F190" s="364"/>
      <c r="G190" s="365"/>
      <c r="H190" s="365"/>
      <c r="I190" s="365"/>
      <c r="J190" s="365"/>
      <c r="K190" s="365"/>
    </row>
    <row r="191" spans="1:11" ht="16.5">
      <c r="A191" s="383"/>
      <c r="B191" s="384"/>
      <c r="C191" s="364"/>
      <c r="D191" s="364"/>
      <c r="E191" s="364"/>
      <c r="F191" s="364"/>
      <c r="G191" s="365"/>
      <c r="H191" s="365"/>
      <c r="I191" s="365"/>
      <c r="J191" s="365"/>
      <c r="K191" s="365"/>
    </row>
    <row r="192" spans="1:11" ht="16.5">
      <c r="A192" s="383"/>
      <c r="B192" s="384"/>
      <c r="C192" s="364"/>
      <c r="D192" s="364"/>
      <c r="E192" s="364"/>
      <c r="F192" s="364"/>
      <c r="G192" s="365"/>
      <c r="H192" s="365"/>
      <c r="I192" s="365"/>
      <c r="J192" s="365"/>
      <c r="K192" s="365"/>
    </row>
    <row r="193" spans="1:11" ht="16.5">
      <c r="A193" s="383"/>
      <c r="B193" s="384"/>
      <c r="C193" s="364"/>
      <c r="D193" s="364"/>
      <c r="E193" s="364"/>
      <c r="F193" s="364"/>
      <c r="G193" s="365"/>
      <c r="H193" s="365"/>
      <c r="I193" s="365"/>
      <c r="J193" s="365"/>
      <c r="K193" s="365"/>
    </row>
    <row r="194" spans="1:11" ht="16.5">
      <c r="A194" s="383"/>
      <c r="B194" s="384"/>
      <c r="C194" s="364"/>
      <c r="D194" s="364"/>
      <c r="E194" s="364"/>
      <c r="F194" s="364"/>
      <c r="G194" s="365"/>
      <c r="H194" s="365"/>
      <c r="I194" s="365"/>
      <c r="J194" s="365"/>
      <c r="K194" s="365"/>
    </row>
    <row r="195" spans="1:11" ht="16.5">
      <c r="A195" s="383"/>
      <c r="B195" s="384"/>
      <c r="C195" s="364"/>
      <c r="D195" s="364"/>
      <c r="E195" s="364"/>
      <c r="F195" s="364"/>
      <c r="G195" s="365"/>
      <c r="H195" s="365"/>
      <c r="I195" s="365"/>
      <c r="J195" s="365"/>
      <c r="K195" s="365"/>
    </row>
    <row r="196" spans="1:11" ht="16.5">
      <c r="A196" s="383"/>
      <c r="B196" s="384"/>
      <c r="C196" s="364"/>
      <c r="D196" s="364"/>
      <c r="E196" s="364"/>
      <c r="F196" s="364"/>
      <c r="G196" s="365"/>
      <c r="H196" s="365"/>
      <c r="I196" s="365"/>
      <c r="J196" s="365"/>
      <c r="K196" s="365"/>
    </row>
    <row r="197" spans="1:11" ht="16.5">
      <c r="A197" s="383"/>
      <c r="B197" s="384"/>
      <c r="C197" s="364"/>
      <c r="D197" s="364"/>
      <c r="E197" s="364"/>
      <c r="F197" s="364"/>
      <c r="G197" s="365"/>
      <c r="H197" s="365"/>
      <c r="I197" s="365"/>
      <c r="J197" s="365"/>
      <c r="K197" s="365"/>
    </row>
    <row r="198" spans="1:11" ht="16.5">
      <c r="A198" s="383"/>
      <c r="B198" s="384"/>
      <c r="C198" s="364"/>
      <c r="D198" s="364"/>
      <c r="E198" s="364"/>
      <c r="F198" s="364"/>
      <c r="G198" s="365"/>
      <c r="H198" s="365"/>
      <c r="I198" s="365"/>
      <c r="J198" s="365"/>
      <c r="K198" s="365"/>
    </row>
    <row r="199" spans="1:11" ht="16.5">
      <c r="A199" s="383"/>
      <c r="B199" s="384"/>
      <c r="C199" s="364"/>
      <c r="D199" s="364"/>
      <c r="E199" s="364"/>
      <c r="F199" s="364"/>
      <c r="G199" s="365"/>
      <c r="H199" s="365"/>
      <c r="I199" s="365"/>
      <c r="J199" s="365"/>
      <c r="K199" s="365"/>
    </row>
    <row r="200" spans="1:11" ht="16.5">
      <c r="A200" s="383"/>
      <c r="B200" s="384"/>
      <c r="C200" s="364"/>
      <c r="D200" s="364"/>
      <c r="E200" s="364"/>
      <c r="F200" s="364"/>
      <c r="G200" s="365"/>
      <c r="H200" s="365"/>
      <c r="I200" s="365"/>
      <c r="J200" s="365"/>
      <c r="K200" s="365"/>
    </row>
    <row r="201" spans="1:11" ht="16.5">
      <c r="A201" s="383"/>
      <c r="B201" s="384"/>
      <c r="C201" s="364"/>
      <c r="D201" s="364"/>
      <c r="E201" s="364"/>
      <c r="F201" s="364"/>
      <c r="G201" s="365"/>
      <c r="H201" s="365"/>
      <c r="I201" s="365"/>
      <c r="J201" s="365"/>
      <c r="K201" s="365"/>
    </row>
    <row r="202" spans="1:11" ht="16.5">
      <c r="A202" s="383"/>
      <c r="B202" s="384"/>
      <c r="C202" s="364"/>
      <c r="D202" s="364"/>
      <c r="E202" s="364"/>
      <c r="F202" s="364"/>
      <c r="G202" s="365"/>
      <c r="H202" s="365"/>
      <c r="I202" s="365"/>
      <c r="J202" s="365"/>
      <c r="K202" s="365"/>
    </row>
    <row r="203" spans="1:11" ht="16.5">
      <c r="A203" s="383"/>
      <c r="B203" s="384"/>
      <c r="C203" s="364"/>
      <c r="D203" s="364"/>
      <c r="E203" s="364"/>
      <c r="F203" s="364"/>
      <c r="G203" s="365"/>
      <c r="H203" s="365"/>
      <c r="I203" s="365"/>
      <c r="J203" s="365"/>
      <c r="K203" s="365"/>
    </row>
    <row r="204" spans="1:11" ht="16.5">
      <c r="A204" s="383"/>
      <c r="B204" s="384"/>
      <c r="C204" s="364"/>
      <c r="D204" s="364"/>
      <c r="E204" s="364"/>
      <c r="F204" s="364"/>
      <c r="G204" s="365"/>
      <c r="H204" s="365"/>
      <c r="I204" s="365"/>
      <c r="J204" s="365"/>
      <c r="K204" s="365"/>
    </row>
    <row r="205" spans="1:11" ht="16.5">
      <c r="A205" s="383"/>
      <c r="B205" s="384"/>
      <c r="C205" s="364"/>
      <c r="D205" s="364"/>
      <c r="E205" s="364"/>
      <c r="F205" s="364"/>
      <c r="G205" s="365"/>
      <c r="H205" s="365"/>
      <c r="I205" s="365"/>
      <c r="J205" s="365"/>
      <c r="K205" s="365"/>
    </row>
    <row r="206" spans="1:11" ht="16.5">
      <c r="A206" s="383"/>
      <c r="B206" s="384"/>
      <c r="C206" s="364"/>
      <c r="D206" s="364"/>
      <c r="E206" s="364"/>
      <c r="F206" s="364"/>
      <c r="G206" s="365"/>
      <c r="H206" s="365"/>
      <c r="I206" s="365"/>
      <c r="J206" s="365"/>
      <c r="K206" s="365"/>
    </row>
    <row r="207" spans="1:11" ht="16.5">
      <c r="A207" s="383"/>
      <c r="B207" s="384"/>
      <c r="C207" s="364"/>
      <c r="D207" s="364"/>
      <c r="E207" s="364"/>
      <c r="F207" s="364"/>
      <c r="G207" s="365"/>
      <c r="H207" s="365"/>
      <c r="I207" s="365"/>
      <c r="J207" s="365"/>
      <c r="K207" s="365"/>
    </row>
    <row r="208" spans="1:11" ht="16.5">
      <c r="A208" s="383"/>
      <c r="B208" s="384"/>
      <c r="C208" s="364"/>
      <c r="D208" s="364"/>
      <c r="E208" s="364"/>
      <c r="F208" s="364"/>
      <c r="G208" s="365"/>
      <c r="H208" s="365"/>
      <c r="I208" s="365"/>
      <c r="J208" s="365"/>
      <c r="K208" s="365"/>
    </row>
    <row r="209" spans="1:11" ht="16.5">
      <c r="A209" s="383"/>
      <c r="B209" s="384"/>
      <c r="C209" s="364"/>
      <c r="D209" s="364"/>
      <c r="E209" s="364"/>
      <c r="F209" s="364"/>
      <c r="G209" s="365"/>
      <c r="H209" s="365"/>
      <c r="I209" s="365"/>
      <c r="J209" s="365"/>
      <c r="K209" s="365"/>
    </row>
    <row r="210" spans="1:11" ht="16.5">
      <c r="A210" s="383"/>
      <c r="B210" s="384"/>
      <c r="C210" s="364"/>
      <c r="D210" s="364"/>
      <c r="E210" s="364"/>
      <c r="F210" s="364"/>
      <c r="G210" s="365"/>
      <c r="H210" s="365"/>
      <c r="I210" s="365"/>
      <c r="J210" s="365"/>
      <c r="K210" s="365"/>
    </row>
    <row r="211" spans="1:11" ht="16.5">
      <c r="A211" s="383"/>
      <c r="B211" s="384"/>
      <c r="C211" s="364"/>
      <c r="D211" s="364"/>
      <c r="E211" s="364"/>
      <c r="F211" s="364"/>
      <c r="G211" s="365"/>
      <c r="H211" s="365"/>
      <c r="I211" s="365"/>
      <c r="J211" s="365"/>
      <c r="K211" s="365"/>
    </row>
    <row r="212" spans="1:11" ht="16.5">
      <c r="A212" s="383"/>
      <c r="B212" s="384"/>
      <c r="C212" s="364"/>
      <c r="D212" s="364"/>
      <c r="E212" s="364"/>
      <c r="F212" s="364"/>
      <c r="G212" s="365"/>
      <c r="H212" s="365"/>
      <c r="I212" s="365"/>
      <c r="J212" s="365"/>
      <c r="K212" s="365"/>
    </row>
    <row r="213" spans="1:11" ht="16.5">
      <c r="A213" s="383"/>
      <c r="B213" s="384"/>
      <c r="C213" s="364"/>
      <c r="D213" s="364"/>
      <c r="E213" s="364"/>
      <c r="F213" s="364"/>
      <c r="G213" s="365"/>
      <c r="H213" s="365"/>
      <c r="I213" s="365"/>
      <c r="J213" s="365"/>
      <c r="K213" s="365"/>
    </row>
    <row r="214" spans="1:11" ht="16.5">
      <c r="A214" s="383"/>
      <c r="B214" s="384"/>
      <c r="C214" s="364"/>
      <c r="D214" s="364"/>
      <c r="E214" s="364"/>
      <c r="F214" s="364"/>
      <c r="G214" s="365"/>
      <c r="H214" s="365"/>
      <c r="I214" s="365"/>
      <c r="J214" s="365"/>
      <c r="K214" s="365"/>
    </row>
    <row r="215" spans="1:11" ht="16.5">
      <c r="A215" s="383"/>
      <c r="B215" s="384"/>
      <c r="C215" s="364"/>
      <c r="D215" s="364"/>
      <c r="E215" s="364"/>
      <c r="F215" s="364"/>
      <c r="G215" s="365"/>
      <c r="H215" s="365"/>
      <c r="I215" s="365"/>
      <c r="J215" s="365"/>
      <c r="K215" s="365"/>
    </row>
    <row r="216" spans="1:11" ht="16.5">
      <c r="A216" s="383"/>
      <c r="B216" s="384"/>
      <c r="C216" s="364"/>
      <c r="D216" s="364"/>
      <c r="E216" s="364"/>
      <c r="F216" s="364"/>
      <c r="G216" s="365"/>
      <c r="H216" s="365"/>
      <c r="I216" s="365"/>
      <c r="J216" s="365"/>
      <c r="K216" s="365"/>
    </row>
    <row r="217" spans="1:11" ht="16.5">
      <c r="A217" s="383"/>
      <c r="B217" s="384"/>
      <c r="C217" s="364"/>
      <c r="D217" s="364"/>
      <c r="E217" s="364"/>
      <c r="F217" s="364"/>
      <c r="G217" s="365"/>
      <c r="H217" s="365"/>
      <c r="I217" s="365"/>
      <c r="J217" s="365"/>
      <c r="K217" s="365"/>
    </row>
    <row r="218" spans="1:11" ht="16.5">
      <c r="A218" s="383"/>
      <c r="B218" s="384"/>
      <c r="C218" s="364"/>
      <c r="D218" s="364"/>
      <c r="E218" s="364"/>
      <c r="F218" s="364"/>
      <c r="G218" s="365"/>
      <c r="H218" s="365"/>
      <c r="I218" s="365"/>
      <c r="J218" s="365"/>
      <c r="K218" s="365"/>
    </row>
    <row r="219" spans="1:11" ht="16.5">
      <c r="A219" s="383"/>
      <c r="B219" s="384"/>
      <c r="C219" s="364"/>
      <c r="D219" s="364"/>
      <c r="E219" s="364"/>
      <c r="F219" s="364"/>
      <c r="G219" s="365"/>
      <c r="H219" s="365"/>
      <c r="I219" s="365"/>
      <c r="J219" s="365"/>
      <c r="K219" s="365"/>
    </row>
    <row r="220" spans="1:11" ht="16.5">
      <c r="A220" s="383"/>
      <c r="B220" s="384"/>
      <c r="C220" s="364"/>
      <c r="D220" s="364"/>
      <c r="E220" s="364"/>
      <c r="F220" s="364"/>
      <c r="G220" s="365"/>
      <c r="H220" s="365"/>
      <c r="I220" s="365"/>
      <c r="J220" s="365"/>
      <c r="K220" s="365"/>
    </row>
    <row r="221" spans="1:11" ht="16.5">
      <c r="A221" s="383"/>
      <c r="B221" s="384"/>
      <c r="C221" s="364"/>
      <c r="D221" s="364"/>
      <c r="E221" s="364"/>
      <c r="F221" s="364"/>
      <c r="G221" s="365"/>
      <c r="H221" s="365"/>
      <c r="I221" s="365"/>
      <c r="J221" s="365"/>
      <c r="K221" s="365"/>
    </row>
    <row r="222" spans="1:11" ht="16.5">
      <c r="A222" s="383"/>
      <c r="B222" s="384"/>
      <c r="C222" s="364"/>
      <c r="D222" s="364"/>
      <c r="E222" s="364"/>
      <c r="F222" s="364"/>
      <c r="G222" s="365"/>
      <c r="H222" s="365"/>
      <c r="I222" s="365"/>
      <c r="J222" s="365"/>
      <c r="K222" s="365"/>
    </row>
    <row r="223" spans="1:11" ht="16.5">
      <c r="A223" s="383"/>
      <c r="B223" s="384"/>
      <c r="C223" s="364"/>
      <c r="D223" s="364"/>
      <c r="E223" s="364"/>
      <c r="F223" s="364"/>
      <c r="G223" s="365"/>
      <c r="H223" s="365"/>
      <c r="I223" s="365"/>
      <c r="J223" s="365"/>
      <c r="K223" s="365"/>
    </row>
    <row r="224" spans="1:11" ht="16.5">
      <c r="A224" s="383"/>
      <c r="B224" s="384"/>
      <c r="C224" s="364"/>
      <c r="D224" s="364"/>
      <c r="E224" s="364"/>
      <c r="F224" s="364"/>
      <c r="G224" s="365"/>
      <c r="H224" s="365"/>
      <c r="I224" s="365"/>
      <c r="J224" s="365"/>
      <c r="K224" s="365"/>
    </row>
    <row r="225" spans="1:11" ht="16.5">
      <c r="A225" s="383"/>
      <c r="B225" s="384"/>
      <c r="C225" s="364"/>
      <c r="D225" s="364"/>
      <c r="E225" s="364"/>
      <c r="F225" s="364"/>
      <c r="G225" s="365"/>
      <c r="H225" s="365"/>
      <c r="I225" s="365"/>
      <c r="J225" s="365"/>
      <c r="K225" s="365"/>
    </row>
    <row r="226" spans="1:11" ht="16.5">
      <c r="A226" s="383"/>
      <c r="B226" s="384"/>
      <c r="C226" s="364"/>
      <c r="D226" s="364"/>
      <c r="E226" s="364"/>
      <c r="F226" s="364"/>
      <c r="G226" s="365"/>
      <c r="H226" s="365"/>
      <c r="I226" s="365"/>
      <c r="J226" s="365"/>
      <c r="K226" s="365"/>
    </row>
    <row r="227" spans="1:11" ht="16.5">
      <c r="A227" s="383"/>
      <c r="B227" s="384"/>
      <c r="C227" s="364"/>
      <c r="D227" s="364"/>
      <c r="E227" s="364"/>
      <c r="F227" s="364"/>
      <c r="G227" s="365"/>
      <c r="H227" s="365"/>
      <c r="I227" s="365"/>
      <c r="J227" s="365"/>
      <c r="K227" s="365"/>
    </row>
    <row r="228" spans="1:11" ht="16.5">
      <c r="A228" s="383"/>
      <c r="B228" s="384"/>
      <c r="C228" s="364"/>
      <c r="D228" s="364"/>
      <c r="E228" s="364"/>
      <c r="F228" s="364"/>
      <c r="G228" s="365"/>
      <c r="H228" s="365"/>
      <c r="I228" s="365"/>
      <c r="J228" s="365"/>
      <c r="K228" s="365"/>
    </row>
    <row r="229" spans="1:11" ht="16.5">
      <c r="A229" s="383"/>
      <c r="B229" s="384"/>
      <c r="C229" s="364"/>
      <c r="D229" s="364"/>
      <c r="E229" s="364"/>
      <c r="F229" s="364"/>
      <c r="G229" s="365"/>
      <c r="H229" s="365"/>
      <c r="I229" s="365"/>
      <c r="J229" s="365"/>
      <c r="K229" s="365"/>
    </row>
    <row r="230" spans="1:11" ht="16.5">
      <c r="A230" s="383"/>
      <c r="B230" s="384"/>
      <c r="C230" s="364"/>
      <c r="D230" s="364"/>
      <c r="E230" s="364"/>
      <c r="F230" s="364"/>
      <c r="G230" s="365"/>
      <c r="H230" s="365"/>
      <c r="I230" s="365"/>
      <c r="J230" s="365"/>
      <c r="K230" s="365"/>
    </row>
    <row r="231" spans="1:11" ht="16.5">
      <c r="A231" s="383"/>
      <c r="B231" s="384"/>
      <c r="C231" s="364"/>
      <c r="D231" s="364"/>
      <c r="E231" s="364"/>
      <c r="F231" s="364"/>
      <c r="G231" s="365"/>
      <c r="H231" s="365"/>
      <c r="I231" s="365"/>
      <c r="J231" s="365"/>
      <c r="K231" s="365"/>
    </row>
    <row r="232" spans="1:11" ht="16.5">
      <c r="A232" s="383"/>
      <c r="B232" s="384"/>
      <c r="C232" s="364"/>
      <c r="D232" s="364"/>
      <c r="E232" s="364"/>
      <c r="F232" s="364"/>
      <c r="G232" s="365"/>
      <c r="H232" s="365"/>
      <c r="I232" s="365"/>
      <c r="J232" s="365"/>
      <c r="K232" s="365"/>
    </row>
    <row r="233" spans="1:11" ht="16.5">
      <c r="A233" s="383"/>
      <c r="B233" s="384"/>
      <c r="C233" s="364"/>
      <c r="D233" s="364"/>
      <c r="E233" s="364"/>
      <c r="F233" s="364"/>
      <c r="G233" s="365"/>
      <c r="H233" s="365"/>
      <c r="I233" s="365"/>
      <c r="J233" s="365"/>
      <c r="K233" s="365"/>
    </row>
    <row r="234" spans="1:11" ht="16.5">
      <c r="A234" s="383"/>
      <c r="B234" s="384"/>
      <c r="C234" s="364"/>
      <c r="D234" s="364"/>
      <c r="E234" s="364"/>
      <c r="F234" s="364"/>
      <c r="G234" s="365"/>
      <c r="H234" s="365"/>
      <c r="I234" s="365"/>
      <c r="J234" s="365"/>
      <c r="K234" s="365"/>
    </row>
    <row r="235" spans="1:11" ht="16.5">
      <c r="A235" s="383"/>
      <c r="B235" s="384"/>
      <c r="C235" s="364"/>
      <c r="D235" s="364"/>
      <c r="E235" s="364"/>
      <c r="F235" s="364"/>
      <c r="G235" s="365"/>
      <c r="H235" s="365"/>
      <c r="I235" s="365"/>
      <c r="J235" s="365"/>
      <c r="K235" s="365"/>
    </row>
    <row r="236" spans="1:11" ht="16.5">
      <c r="A236" s="383"/>
      <c r="B236" s="384"/>
      <c r="C236" s="364"/>
      <c r="D236" s="364"/>
      <c r="E236" s="364"/>
      <c r="F236" s="364"/>
      <c r="G236" s="365"/>
      <c r="H236" s="365"/>
      <c r="I236" s="365"/>
      <c r="J236" s="365"/>
      <c r="K236" s="36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Bia 16-20</vt:lpstr>
      <vt:lpstr>Biểu 1A</vt:lpstr>
      <vt:lpstr>Biểu 2A</vt:lpstr>
      <vt:lpstr>Biểu 3A</vt:lpstr>
      <vt:lpstr>BM4</vt:lpstr>
      <vt:lpstr>Biểu 4A</vt:lpstr>
      <vt:lpstr>BM6</vt:lpstr>
      <vt:lpstr>Biểu 5A</vt:lpstr>
      <vt:lpstr>Biểu 6A</vt:lpstr>
      <vt:lpstr>Biểu 7A</vt:lpstr>
      <vt:lpstr>Biểu 8A</vt:lpstr>
      <vt:lpstr>PL2</vt:lpstr>
      <vt:lpstr>BieunayKhongin</vt:lpstr>
      <vt:lpstr>Khongin</vt:lpstr>
      <vt:lpstr>PL17CCTT(khongin)</vt:lpstr>
      <vt:lpstr>Sheet3</vt:lpstr>
      <vt:lpstr>Pl14</vt:lpstr>
      <vt:lpstr>Sheet1</vt:lpstr>
      <vt:lpstr>Sheet2</vt:lpstr>
      <vt:lpstr>Bia 21-25</vt:lpstr>
      <vt:lpstr>Biểu 1B</vt:lpstr>
      <vt:lpstr>Biểu 2B</vt:lpstr>
      <vt:lpstr>Biểu 3B</vt:lpstr>
      <vt:lpstr>BM4 (B)</vt:lpstr>
      <vt:lpstr>Biểu 4B</vt:lpstr>
      <vt:lpstr>BM6(B)</vt:lpstr>
      <vt:lpstr>Biểu 5B</vt:lpstr>
      <vt:lpstr>Biểu 6B</vt:lpstr>
      <vt:lpstr>Biểu 7B</vt:lpstr>
      <vt:lpstr>Biểu 8B</vt:lpstr>
    </vt:vector>
  </TitlesOfParts>
  <Company>MPI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Phu Ha</dc:creator>
  <cp:lastModifiedBy>VNN.R9</cp:lastModifiedBy>
  <cp:lastPrinted>2020-11-23T02:11:15Z</cp:lastPrinted>
  <dcterms:created xsi:type="dcterms:W3CDTF">2008-09-24T14:33:07Z</dcterms:created>
  <dcterms:modified xsi:type="dcterms:W3CDTF">2020-11-23T03:14:06Z</dcterms:modified>
</cp:coreProperties>
</file>