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Tổng cộng" sheetId="7" r:id="rId1"/>
    <sheet name="Bảo tồn" sheetId="5" r:id="rId2"/>
    <sheet name="Đào tạo chung" sheetId="2" r:id="rId3"/>
    <sheet name="Hỗ trợ vật tư NN" sheetId="3" r:id="rId4"/>
    <sheet name="Xúc tiến thương mại" sheetId="4" r:id="rId5"/>
    <sheet name="Đào tạo_hỗ trợ sản phẩm DVDLCD" sheetId="6" r:id="rId6"/>
    <sheet name="Hạch toán" sheetId="8" r:id="rId7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7" l="1"/>
  <c r="H37" i="7"/>
  <c r="C23" i="7"/>
  <c r="D23" i="7"/>
  <c r="C25" i="7"/>
  <c r="C21" i="7"/>
  <c r="C22" i="7"/>
  <c r="E30" i="7"/>
  <c r="H24" i="7"/>
  <c r="E24" i="7"/>
  <c r="G13" i="7"/>
  <c r="H13" i="7"/>
  <c r="E13" i="7"/>
  <c r="G10" i="7"/>
  <c r="H10" i="7"/>
  <c r="E10" i="7"/>
  <c r="F34" i="7"/>
  <c r="F30" i="7" s="1"/>
  <c r="H31" i="7"/>
  <c r="H30" i="7" s="1"/>
  <c r="G31" i="7"/>
  <c r="B11" i="7"/>
  <c r="G21" i="7"/>
  <c r="G19" i="7" s="1"/>
  <c r="E20" i="7"/>
  <c r="E19" i="7" s="1"/>
  <c r="I10" i="5"/>
  <c r="H10" i="5" s="1"/>
  <c r="D34" i="7"/>
  <c r="G34" i="7" s="1"/>
  <c r="D33" i="7"/>
  <c r="G33" i="7" s="1"/>
  <c r="D31" i="7"/>
  <c r="D22" i="7"/>
  <c r="D21" i="7"/>
  <c r="H21" i="7" s="1"/>
  <c r="B21" i="7"/>
  <c r="B20" i="7"/>
  <c r="F9" i="6"/>
  <c r="F10" i="6"/>
  <c r="F11" i="6"/>
  <c r="F8" i="6"/>
  <c r="F19" i="6"/>
  <c r="F20" i="6"/>
  <c r="F21" i="6"/>
  <c r="F18" i="6"/>
  <c r="E9" i="7" l="1"/>
  <c r="E16" i="3"/>
  <c r="I16" i="3" s="1"/>
  <c r="E15" i="3"/>
  <c r="I15" i="3" s="1"/>
  <c r="I14" i="3" s="1"/>
  <c r="E11" i="3"/>
  <c r="H9" i="4" l="1"/>
  <c r="J9" i="4"/>
  <c r="K9" i="4"/>
  <c r="H20" i="3"/>
  <c r="J20" i="3"/>
  <c r="K20" i="3"/>
  <c r="H18" i="3"/>
  <c r="J18" i="3"/>
  <c r="K18" i="3"/>
  <c r="H10" i="3"/>
  <c r="J10" i="3"/>
  <c r="K10" i="3"/>
  <c r="H41" i="2"/>
  <c r="J41" i="2"/>
  <c r="K41" i="2"/>
  <c r="H12" i="2"/>
  <c r="J12" i="2"/>
  <c r="K12" i="2"/>
  <c r="H63" i="2"/>
  <c r="J63" i="2"/>
  <c r="K63" i="2"/>
  <c r="H52" i="2"/>
  <c r="J52" i="2"/>
  <c r="K52" i="2"/>
  <c r="H30" i="2"/>
  <c r="H18" i="2" s="1"/>
  <c r="J30" i="2"/>
  <c r="K30" i="2"/>
  <c r="J18" i="2"/>
  <c r="H19" i="2"/>
  <c r="J19" i="2"/>
  <c r="K19" i="2"/>
  <c r="H11" i="5"/>
  <c r="J11" i="5"/>
  <c r="K11" i="5"/>
  <c r="D8" i="8"/>
  <c r="F8" i="8" s="1"/>
  <c r="D15" i="8"/>
  <c r="F15" i="8" s="1"/>
  <c r="D11" i="8"/>
  <c r="F11" i="8" s="1"/>
  <c r="F16" i="8"/>
  <c r="F17" i="8"/>
  <c r="F12" i="8"/>
  <c r="F13" i="8"/>
  <c r="F9" i="8"/>
  <c r="H11" i="2" l="1"/>
  <c r="K18" i="2"/>
  <c r="K11" i="2" s="1"/>
  <c r="J11" i="2"/>
  <c r="F14" i="8"/>
  <c r="D7" i="8" l="1"/>
  <c r="F7" i="8" s="1"/>
  <c r="B23" i="7"/>
  <c r="B22" i="7"/>
  <c r="B18" i="7"/>
  <c r="B17" i="7"/>
  <c r="B16" i="7"/>
  <c r="B15" i="7"/>
  <c r="B14" i="7"/>
  <c r="B12" i="7"/>
  <c r="E12" i="3" l="1"/>
  <c r="D10" i="8" s="1"/>
  <c r="F10" i="8" s="1"/>
  <c r="F6" i="8" s="1"/>
  <c r="F18" i="8" s="1"/>
  <c r="F19" i="8" s="1"/>
  <c r="G22" i="3"/>
  <c r="I22" i="3" s="1"/>
  <c r="G23" i="3"/>
  <c r="I23" i="3" s="1"/>
  <c r="G24" i="3"/>
  <c r="I24" i="3" s="1"/>
  <c r="G25" i="3"/>
  <c r="I25" i="3" s="1"/>
  <c r="G26" i="3"/>
  <c r="I26" i="3" s="1"/>
  <c r="G21" i="3"/>
  <c r="I21" i="3" s="1"/>
  <c r="F94" i="6"/>
  <c r="F93" i="6"/>
  <c r="F92" i="6"/>
  <c r="F91" i="6"/>
  <c r="F90" i="6"/>
  <c r="F89" i="6"/>
  <c r="F88" i="6"/>
  <c r="F87" i="6"/>
  <c r="F86" i="6"/>
  <c r="F85" i="6"/>
  <c r="F83" i="6"/>
  <c r="F82" i="6"/>
  <c r="F81" i="6"/>
  <c r="F79" i="6"/>
  <c r="F78" i="6"/>
  <c r="F77" i="6"/>
  <c r="F76" i="6"/>
  <c r="F75" i="6"/>
  <c r="F73" i="6"/>
  <c r="F72" i="6"/>
  <c r="F71" i="6"/>
  <c r="F70" i="6"/>
  <c r="F69" i="6"/>
  <c r="F68" i="6"/>
  <c r="F67" i="6"/>
  <c r="F66" i="6"/>
  <c r="F63" i="6"/>
  <c r="F62" i="6"/>
  <c r="F61" i="6"/>
  <c r="F60" i="6"/>
  <c r="F59" i="6"/>
  <c r="F58" i="6"/>
  <c r="F56" i="6"/>
  <c r="F55" i="6"/>
  <c r="F54" i="6"/>
  <c r="F53" i="6"/>
  <c r="F52" i="6"/>
  <c r="F51" i="6"/>
  <c r="F50" i="6"/>
  <c r="F48" i="6"/>
  <c r="F47" i="6"/>
  <c r="F46" i="6"/>
  <c r="F45" i="6"/>
  <c r="F44" i="6"/>
  <c r="F42" i="6"/>
  <c r="F41" i="6"/>
  <c r="F40" i="6"/>
  <c r="F39" i="6"/>
  <c r="F38" i="6"/>
  <c r="F37" i="6"/>
  <c r="F36" i="6"/>
  <c r="F34" i="6"/>
  <c r="F33" i="6"/>
  <c r="F32" i="6"/>
  <c r="F31" i="6"/>
  <c r="F29" i="6"/>
  <c r="F28" i="6"/>
  <c r="F27" i="6"/>
  <c r="F26" i="6"/>
  <c r="F25" i="6"/>
  <c r="F24" i="6"/>
  <c r="F23" i="6"/>
  <c r="F15" i="6"/>
  <c r="F14" i="6"/>
  <c r="F13" i="6"/>
  <c r="E69" i="2"/>
  <c r="G69" i="2" s="1"/>
  <c r="I69" i="2" s="1"/>
  <c r="G70" i="2"/>
  <c r="I70" i="2" s="1"/>
  <c r="G68" i="2"/>
  <c r="I68" i="2" s="1"/>
  <c r="G67" i="2"/>
  <c r="I67" i="2" s="1"/>
  <c r="G66" i="2"/>
  <c r="I66" i="2" s="1"/>
  <c r="G65" i="2"/>
  <c r="I65" i="2" s="1"/>
  <c r="G64" i="2"/>
  <c r="I64" i="2" s="1"/>
  <c r="I63" i="2" s="1"/>
  <c r="G62" i="2"/>
  <c r="I62" i="2" s="1"/>
  <c r="G61" i="2"/>
  <c r="I61" i="2" s="1"/>
  <c r="G60" i="2"/>
  <c r="I60" i="2" s="1"/>
  <c r="G59" i="2"/>
  <c r="I59" i="2" s="1"/>
  <c r="G58" i="2"/>
  <c r="I58" i="2" s="1"/>
  <c r="G57" i="2"/>
  <c r="I57" i="2" s="1"/>
  <c r="G56" i="2"/>
  <c r="I56" i="2" s="1"/>
  <c r="G55" i="2"/>
  <c r="I55" i="2" s="1"/>
  <c r="G54" i="2"/>
  <c r="I54" i="2" s="1"/>
  <c r="G53" i="2"/>
  <c r="I53" i="2" s="1"/>
  <c r="F12" i="6" l="1"/>
  <c r="F7" i="6" s="1"/>
  <c r="I20" i="3"/>
  <c r="I52" i="2"/>
  <c r="F57" i="6"/>
  <c r="F35" i="6"/>
  <c r="G52" i="2"/>
  <c r="C17" i="7" s="1"/>
  <c r="D17" i="7" s="1"/>
  <c r="F17" i="7" s="1"/>
  <c r="G63" i="2"/>
  <c r="C18" i="7" s="1"/>
  <c r="D18" i="7" s="1"/>
  <c r="F18" i="7" s="1"/>
  <c r="F17" i="6"/>
  <c r="F80" i="6"/>
  <c r="F22" i="6"/>
  <c r="F16" i="6" s="1"/>
  <c r="D32" i="7" s="1"/>
  <c r="G32" i="7" s="1"/>
  <c r="G30" i="7" s="1"/>
  <c r="G9" i="7" s="1"/>
  <c r="F43" i="6"/>
  <c r="F65" i="6"/>
  <c r="F84" i="6"/>
  <c r="G20" i="3"/>
  <c r="F49" i="6"/>
  <c r="F30" i="6"/>
  <c r="F74" i="6"/>
  <c r="G37" i="7" l="1"/>
  <c r="C31" i="7"/>
  <c r="F64" i="6"/>
  <c r="C34" i="7"/>
  <c r="C32" i="7"/>
  <c r="G35" i="7" l="1"/>
  <c r="G38" i="7" s="1"/>
  <c r="F6" i="6"/>
  <c r="C33" i="7"/>
  <c r="C30" i="7" s="1"/>
  <c r="G50" i="2"/>
  <c r="I50" i="2" s="1"/>
  <c r="G51" i="2"/>
  <c r="I51" i="2" s="1"/>
  <c r="G49" i="2"/>
  <c r="I49" i="2" s="1"/>
  <c r="G48" i="2"/>
  <c r="I48" i="2" s="1"/>
  <c r="G47" i="2"/>
  <c r="I47" i="2" s="1"/>
  <c r="G46" i="2"/>
  <c r="I46" i="2" s="1"/>
  <c r="G45" i="2"/>
  <c r="I45" i="2" s="1"/>
  <c r="G44" i="2"/>
  <c r="I44" i="2" s="1"/>
  <c r="G43" i="2"/>
  <c r="I43" i="2" s="1"/>
  <c r="G42" i="2"/>
  <c r="I42" i="2" s="1"/>
  <c r="G40" i="2"/>
  <c r="I40" i="2" s="1"/>
  <c r="G39" i="2"/>
  <c r="I39" i="2" s="1"/>
  <c r="G38" i="2"/>
  <c r="I38" i="2" s="1"/>
  <c r="G37" i="2"/>
  <c r="I37" i="2" s="1"/>
  <c r="G28" i="2"/>
  <c r="I28" i="2" s="1"/>
  <c r="G29" i="2"/>
  <c r="I29" i="2" s="1"/>
  <c r="G27" i="2"/>
  <c r="I27" i="2" s="1"/>
  <c r="G26" i="2"/>
  <c r="I26" i="2" s="1"/>
  <c r="G25" i="2"/>
  <c r="I25" i="2" s="1"/>
  <c r="E23" i="2"/>
  <c r="E22" i="2"/>
  <c r="E20" i="2"/>
  <c r="G13" i="2"/>
  <c r="I13" i="2" s="1"/>
  <c r="G17" i="2"/>
  <c r="I17" i="2" s="1"/>
  <c r="G16" i="2"/>
  <c r="I16" i="2" s="1"/>
  <c r="G15" i="2"/>
  <c r="I15" i="2" s="1"/>
  <c r="G14" i="2"/>
  <c r="I14" i="2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12" i="5"/>
  <c r="I12" i="5" s="1"/>
  <c r="I12" i="2" l="1"/>
  <c r="I41" i="2"/>
  <c r="I11" i="5"/>
  <c r="C11" i="7"/>
  <c r="G41" i="2"/>
  <c r="C16" i="7" s="1"/>
  <c r="D16" i="7" s="1"/>
  <c r="F16" i="7" s="1"/>
  <c r="G12" i="2"/>
  <c r="G11" i="5"/>
  <c r="G9" i="5" s="1"/>
  <c r="C12" i="7" l="1"/>
  <c r="D12" i="7" s="1"/>
  <c r="F12" i="7" s="1"/>
  <c r="D11" i="7"/>
  <c r="F11" i="7" s="1"/>
  <c r="F10" i="7" s="1"/>
  <c r="C14" i="7"/>
  <c r="C10" i="7" l="1"/>
  <c r="D10" i="7"/>
  <c r="D30" i="7"/>
  <c r="D14" i="7"/>
  <c r="F14" i="7" s="1"/>
  <c r="I18" i="3" l="1"/>
  <c r="G12" i="3"/>
  <c r="I12" i="3" s="1"/>
  <c r="G11" i="3"/>
  <c r="I11" i="3" s="1"/>
  <c r="G15" i="4"/>
  <c r="I15" i="4" s="1"/>
  <c r="G11" i="4"/>
  <c r="G12" i="4"/>
  <c r="I12" i="4" s="1"/>
  <c r="G13" i="4"/>
  <c r="I13" i="4" s="1"/>
  <c r="G10" i="4"/>
  <c r="G35" i="2"/>
  <c r="I35" i="2" s="1"/>
  <c r="G36" i="2"/>
  <c r="I36" i="2" s="1"/>
  <c r="G34" i="2"/>
  <c r="I34" i="2" s="1"/>
  <c r="G33" i="2"/>
  <c r="I33" i="2" s="1"/>
  <c r="G32" i="2"/>
  <c r="I32" i="2" s="1"/>
  <c r="G31" i="2"/>
  <c r="I31" i="2" s="1"/>
  <c r="I30" i="2" s="1"/>
  <c r="G21" i="2"/>
  <c r="I21" i="2" s="1"/>
  <c r="G22" i="2"/>
  <c r="I22" i="2" s="1"/>
  <c r="G23" i="2"/>
  <c r="I23" i="2" s="1"/>
  <c r="G24" i="2"/>
  <c r="I24" i="2" s="1"/>
  <c r="G20" i="2"/>
  <c r="I20" i="2" s="1"/>
  <c r="I10" i="3" l="1"/>
  <c r="D25" i="7"/>
  <c r="I11" i="4"/>
  <c r="C26" i="7"/>
  <c r="D26" i="7" s="1"/>
  <c r="F26" i="7" s="1"/>
  <c r="I10" i="4"/>
  <c r="C28" i="7"/>
  <c r="D28" i="7" s="1"/>
  <c r="I14" i="4"/>
  <c r="I19" i="2"/>
  <c r="I18" i="2" s="1"/>
  <c r="I11" i="2" s="1"/>
  <c r="G9" i="4"/>
  <c r="C29" i="7"/>
  <c r="D29" i="7" s="1"/>
  <c r="G29" i="7" s="1"/>
  <c r="G24" i="7" s="1"/>
  <c r="C27" i="7"/>
  <c r="G10" i="3"/>
  <c r="G18" i="3"/>
  <c r="F22" i="7" s="1"/>
  <c r="G30" i="2"/>
  <c r="G19" i="2"/>
  <c r="I9" i="3" l="1"/>
  <c r="D20" i="7"/>
  <c r="K9" i="3"/>
  <c r="H9" i="3" s="1"/>
  <c r="I9" i="4"/>
  <c r="D24" i="7"/>
  <c r="F25" i="7"/>
  <c r="D27" i="7"/>
  <c r="F27" i="7" s="1"/>
  <c r="C24" i="7"/>
  <c r="G18" i="2"/>
  <c r="C20" i="7" l="1"/>
  <c r="F20" i="7"/>
  <c r="F19" i="7" s="1"/>
  <c r="F24" i="7"/>
  <c r="C15" i="7"/>
  <c r="G11" i="2"/>
  <c r="D13" i="7" l="1"/>
  <c r="D15" i="7"/>
  <c r="F15" i="7" s="1"/>
  <c r="F13" i="7" s="1"/>
  <c r="F9" i="7" s="1"/>
  <c r="F37" i="7" s="1"/>
  <c r="F35" i="7" s="1"/>
  <c r="F38" i="7" s="1"/>
  <c r="C13" i="7"/>
  <c r="H23" i="7"/>
  <c r="H19" i="7" s="1"/>
  <c r="H9" i="7" s="1"/>
  <c r="H35" i="7" l="1"/>
  <c r="H38" i="7" s="1"/>
  <c r="D19" i="7"/>
  <c r="C19" i="7" l="1"/>
  <c r="D9" i="7"/>
  <c r="D36" i="7" l="1"/>
  <c r="E36" i="7" s="1"/>
  <c r="E35" i="7" s="1"/>
  <c r="E38" i="7" s="1"/>
  <c r="D37" i="7"/>
  <c r="C9" i="7"/>
  <c r="C37" i="7" s="1"/>
  <c r="D35" i="7" l="1"/>
  <c r="D38" i="7" s="1"/>
  <c r="C36" i="7"/>
  <c r="C35" i="7" l="1"/>
  <c r="C38" i="7" s="1"/>
</calcChain>
</file>

<file path=xl/comments1.xml><?xml version="1.0" encoding="utf-8"?>
<comments xmlns="http://schemas.openxmlformats.org/spreadsheetml/2006/main">
  <authors>
    <author>VNN.R9</author>
  </authors>
  <commentList>
    <comment ref="L14" authorId="0">
      <text>
        <r>
          <rPr>
            <b/>
            <sz val="9"/>
            <color indexed="81"/>
            <rFont val="Tahoma"/>
            <charset val="1"/>
          </rPr>
          <t>VNN.R9:</t>
        </r>
        <r>
          <rPr>
            <sz val="9"/>
            <color indexed="81"/>
            <rFont val="Tahoma"/>
            <charset val="1"/>
          </rPr>
          <t xml:space="preserve">
Bổ sung các căn cứ làm cơ sở để có thể thanh toán về công chuyên gia, chi phí đi lại…
</t>
        </r>
      </text>
    </comment>
  </commentList>
</comments>
</file>

<file path=xl/comments2.xml><?xml version="1.0" encoding="utf-8"?>
<comments xmlns="http://schemas.openxmlformats.org/spreadsheetml/2006/main">
  <authors>
    <author>VNN.R9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VNN.R9:</t>
        </r>
        <r>
          <rPr>
            <sz val="9"/>
            <color indexed="81"/>
            <rFont val="Tahoma"/>
            <family val="2"/>
          </rPr>
          <t xml:space="preserve">
Hạng mục này có nhất thiết không vì thực tế đã có mốt số hộ tự đầu tư chế biến rồi
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VNN.R9:</t>
        </r>
        <r>
          <rPr>
            <sz val="9"/>
            <color indexed="81"/>
            <rFont val="Tahoma"/>
            <family val="2"/>
          </rPr>
          <t xml:space="preserve">
K nên đưa thông tin nhãn hiệu cụ thể vào
</t>
        </r>
      </text>
    </comment>
  </commentList>
</comments>
</file>

<file path=xl/comments3.xml><?xml version="1.0" encoding="utf-8"?>
<comments xmlns="http://schemas.openxmlformats.org/spreadsheetml/2006/main">
  <authors>
    <author>VNN.R9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VNN.R9: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6" authorId="0">
      <text>
        <r>
          <rPr>
            <b/>
            <sz val="9"/>
            <color indexed="81"/>
            <rFont val="Tahoma"/>
            <charset val="1"/>
          </rPr>
          <t>VNN.R9:</t>
        </r>
        <r>
          <rPr>
            <sz val="9"/>
            <color indexed="81"/>
            <rFont val="Tahoma"/>
            <charset val="1"/>
          </rPr>
          <t xml:space="preserve">
Nội dung này kinh phí hơi thấp
</t>
        </r>
      </text>
    </comment>
  </commentList>
</comments>
</file>

<file path=xl/sharedStrings.xml><?xml version="1.0" encoding="utf-8"?>
<sst xmlns="http://schemas.openxmlformats.org/spreadsheetml/2006/main" count="571" uniqueCount="314">
  <si>
    <t>Đơn vị tính: VNĐ</t>
  </si>
  <si>
    <t>Số TT</t>
  </si>
  <si>
    <t>Nội dung công việc thực hiện</t>
  </si>
  <si>
    <t>Diễn giải</t>
  </si>
  <si>
    <t>ĐVT</t>
  </si>
  <si>
    <t>Số lượng</t>
  </si>
  <si>
    <t>Đơn giá</t>
  </si>
  <si>
    <t>Thành tiền</t>
  </si>
  <si>
    <t>Kinh phí đối ứng của các bên tham gia liên kết chuỗi</t>
  </si>
  <si>
    <t>Ghi chú</t>
  </si>
  <si>
    <t>Tổng</t>
  </si>
  <si>
    <t>Nhà nước hỗ trợ</t>
  </si>
  <si>
    <t>Vốn đối ứng</t>
  </si>
  <si>
    <t>Năm 2025</t>
  </si>
  <si>
    <t>Năm 2026</t>
  </si>
  <si>
    <t>Doanh nghiệp/ HTX</t>
  </si>
  <si>
    <t>Nông dân</t>
  </si>
  <si>
    <t>I</t>
  </si>
  <si>
    <t>II</t>
  </si>
  <si>
    <t>III</t>
  </si>
  <si>
    <t>Đào tạo/ hướng dẫn thực hành kỹ thuật chế biến chè Shan tuyết chất lượng cao.</t>
  </si>
  <si>
    <t>IV</t>
  </si>
  <si>
    <t>Nội dung 4: Quảng bá, xúc tiến thương mại,...(xây dựng hệ thống nhận diện thương hiệu, hội chợ, digital marketing)</t>
  </si>
  <si>
    <t>Thiết kế logo, tem nhãn, hộp, túi quà biếu</t>
  </si>
  <si>
    <t>Bộ nhận diện (2 chuyên gia thiết kế * 7 ngày) + 
Kinh phí in tem nhãn và bao bì</t>
  </si>
  <si>
    <t>Đăng ký bảo hộ nhãn hiệu chè shan tuyết cổ thụ Tủa Chùa</t>
  </si>
  <si>
    <t>Bộ hồ sơ (1 chuyên gia *3 ngày)
Phí bảo hộ theo qui định</t>
  </si>
  <si>
    <t>Chuyên gia 1 người * 3 ngày
+ phí mua tên miền</t>
  </si>
  <si>
    <t>Tham gia hội chợ giới thiệu sản phẩm của huyện, tỉnh</t>
  </si>
  <si>
    <t xml:space="preserve">01 cuộc * 5 ngày * 2 người
- Chi phí đi lại, ăn nghỉ
- Chi phí hàng hoá
- Chi phí tiền biển quảng cáo
- Chi phí vận chuyển hàng hoá
</t>
  </si>
  <si>
    <t>Kết nối và xây dựng các điểm bán, giới thiệu sản phẩm trong tỉnh và ngoài tỉnh, kênh bán hàng online, mở gian hàng trên “chợ tốt”, “alibaba”,…</t>
  </si>
  <si>
    <t>DỰ TOÁN CHI TIẾT BẢO TỒN VÀ PHÁT TRIỂN CÂY CHÈ SHAN TUYẾT CỔ THỤ TỦA CHÙA THEO CHUỖI GIÁ TRỊ</t>
  </si>
  <si>
    <t>Địa điểm thực hiện dự án:  huyện Tủa Chùa, tỉnh Điện Biên</t>
  </si>
  <si>
    <t>Ngày</t>
  </si>
  <si>
    <t>Chuyến</t>
  </si>
  <si>
    <t>Hội trường + Market</t>
  </si>
  <si>
    <t>Hỗ trợ xăng xe cho học viên</t>
  </si>
  <si>
    <t>Hỗ trợ tiền ăn trưa cho học viên</t>
  </si>
  <si>
    <t>Chè nước giữa giờ cho học viên</t>
  </si>
  <si>
    <t xml:space="preserve">Ngày công chuyên gia
</t>
  </si>
  <si>
    <t>Công chuyên gia: 2 người  * (2 ngày chuẩn bị tài liệu và chương trình đào tạo + 3 ngày đào tạo  + 2 ngày di chuyển) = 14 ngày</t>
  </si>
  <si>
    <t>Lượt</t>
  </si>
  <si>
    <t>Người/ xuất</t>
  </si>
  <si>
    <t>Ngày/ hội trường</t>
  </si>
  <si>
    <t>Người/ lượt đi về</t>
  </si>
  <si>
    <t>Xuất ăn/người/ngày</t>
  </si>
  <si>
    <t>Học cụ thực hành</t>
  </si>
  <si>
    <t xml:space="preserve">(01 lớp 30 người * 3 ngày)
</t>
  </si>
  <si>
    <t>Bom quay chè, Máy vò, máy hút chân không, dụng cụ cần thiết</t>
  </si>
  <si>
    <t xml:space="preserve">Chè búp tươi: 150kg
Gas, củi, gang tay,...
</t>
  </si>
  <si>
    <t>Bộ</t>
  </si>
  <si>
    <t xml:space="preserve">(01 lớp 30 người * 3 ngày* 2 buổi)
</t>
  </si>
  <si>
    <t>Thuốc trừ mối sinh học PMC 90</t>
  </si>
  <si>
    <t>Định mức: 50g/cây*7.933cây</t>
  </si>
  <si>
    <t>Kg</t>
  </si>
  <si>
    <t>Bộ nhẫn diện</t>
  </si>
  <si>
    <t>Nhãn hiệu</t>
  </si>
  <si>
    <t xml:space="preserve">Thiết kế Website, </t>
  </si>
  <si>
    <t>Mã truy xuất nguồn gốc (Qr-code)</t>
  </si>
  <si>
    <t>2 người thiết kế và truy cập</t>
  </si>
  <si>
    <t>Mã</t>
  </si>
  <si>
    <t>Website</t>
  </si>
  <si>
    <t>Điểm</t>
  </si>
  <si>
    <t>Hội chợ tỉnh và huyện</t>
  </si>
  <si>
    <t>Xây dựng qui chế Cộng đồng để bảo vệ phát huy giá trị cây di sản</t>
  </si>
  <si>
    <t>Công</t>
  </si>
  <si>
    <t xml:space="preserve"> (2 người trong 4 ngày)</t>
  </si>
  <si>
    <t>Tiền vé xe 2 người x 2 lượt (1.600.000đ/lượt)</t>
  </si>
  <si>
    <t>Từ trung tâm huyện đến các xã (2 người x 4 ngày)</t>
  </si>
  <si>
    <t>Người/ngày</t>
  </si>
  <si>
    <t>Người/ ngày</t>
  </si>
  <si>
    <t xml:space="preserve"> Chuyên gia 2 người x 4 ngày x 280.000đ/ngày</t>
  </si>
  <si>
    <t>Phòng/ ngày</t>
  </si>
  <si>
    <t xml:space="preserve">Tiền nước uống, teabreak </t>
  </si>
  <si>
    <t xml:space="preserve"> (30 người x 1 ngày x 100.000 đ/ngày)</t>
  </si>
  <si>
    <t xml:space="preserve"> (30 người x 1 ngày x 50.000 đ/lượt đi về)</t>
  </si>
  <si>
    <t>Photo tài liệu</t>
  </si>
  <si>
    <t xml:space="preserve"> (30 người đại biểu tham dự + 5 cán bộ và chuyên gia)</t>
  </si>
  <si>
    <t>Bộ tài liệu</t>
  </si>
  <si>
    <t xml:space="preserve"> Công chuyên gia tư vấn</t>
  </si>
  <si>
    <t>Chi phí đi lại cho chuyên gia</t>
  </si>
  <si>
    <t>Chi phí đi lại hiện trường trong huyện cho chuyên gia</t>
  </si>
  <si>
    <t>Chi phí lưu trú cho chuyên gia</t>
  </si>
  <si>
    <t>Hỗ trợ Tiền ăn cho đại biểu</t>
  </si>
  <si>
    <t>Hỗ trợ xăng xe đi lại đại biểu</t>
  </si>
  <si>
    <t>DỰ TOÁN CHI TIẾT BẢO TỒN VÀ PHÁT TRIỂN KINH TẾ, DU LỊCH SINH THÁI CÂY CHÈ SHAN TUYẾT CỔ THỤ TỦA CHÙA THEO CHUỖI GIÁ TRỊ</t>
  </si>
  <si>
    <t>Tham quan học tập về mô hình bảo tồn cây chè Shan tuyết  gắn với du lịch sinh thái</t>
  </si>
  <si>
    <t xml:space="preserve"> (2 người * 1 ngày/ xã*5 xã)</t>
  </si>
  <si>
    <t>Từ trung tâm huyện đến các xã (2 người x 5 ngày)</t>
  </si>
  <si>
    <t xml:space="preserve"> Chuyên gia 2 người x 5 ngày x 280.000đ/ngày</t>
  </si>
  <si>
    <t xml:space="preserve"> (1 ngày x 30 người/ xã * 40.000đ/ngày)</t>
  </si>
  <si>
    <t xml:space="preserve"> Công chuyên gia khảo sát và thu thập thông tin</t>
  </si>
  <si>
    <t xml:space="preserve"> Công chuyên gia soạn qui trình</t>
  </si>
  <si>
    <t>Tập huấn/ hướng dẫn  thực hành kỹ thuật trồng và chăm sóc cho cây chè Shan tuyết cổ thụ phân tán.</t>
  </si>
  <si>
    <t>01 lớp = 30 người * 3 ngày/ lớp * 5 lớp</t>
  </si>
  <si>
    <t>5 lớp tập huấn/ 5 xã</t>
  </si>
  <si>
    <t xml:space="preserve">Chuyên gia đào tạo
</t>
  </si>
  <si>
    <t>Công chuyên gia: 2 người  * (1 ngày chuẩn bị tài liệu và chương trình đào tạo + 3 ngày đào tạo/ lớp + 2 ngày di chuyển) * 5 lớp</t>
  </si>
  <si>
    <t>Từ trung tâm huyện đến các xã (2 người x 3 ngày/ lớp * 5 lớp)</t>
  </si>
  <si>
    <t xml:space="preserve"> Chuyên gia 2 người/ phòng x 3 ngày/ lớp *5 lớp</t>
  </si>
  <si>
    <t>Văn phòng phẩm</t>
  </si>
  <si>
    <t>Giấy Ao: 100 tờ, bút dạ giấy đỏ + Xanh: 3 hộp; băng keo giấy: 10 cuộn loại to</t>
  </si>
  <si>
    <t>Bảng, xọt, cưa máy, bạt cuốn,…</t>
  </si>
  <si>
    <t>lớp</t>
  </si>
  <si>
    <t xml:space="preserve"> lớp</t>
  </si>
  <si>
    <t>Thuê mượn Nhà xưởng có đủ máy sao sấy chế biến</t>
  </si>
  <si>
    <t>Từ trung tâm huyện đến các xã (2 người x 3 ngày/ lớp)</t>
  </si>
  <si>
    <t xml:space="preserve"> Chuyên gia 2 người/ phòng x 3 ngày/ lớp </t>
  </si>
  <si>
    <t>Xây dựng và soạn thảo qui trình kỹ thuật trồng và chăm sóc chè Shan tuyết cổ thụ</t>
  </si>
  <si>
    <t>V</t>
  </si>
  <si>
    <t>Thuê hội trường</t>
  </si>
  <si>
    <t>Hội trường có đủ bàn ghế, thiết bị chiếu sáng rộng 100m2</t>
  </si>
  <si>
    <t>Giấy Ao: 20 tờ, bút dạ giấy đỏ + Xanh: 1 hộp; băng keo giấy: 4 cuộn loại to</t>
  </si>
  <si>
    <t>Giấy Ao: 50 tờ, bút dạ giấy đỏ + Xanh: 3 hộp; băng keo giấy: 5 cuộn loại to</t>
  </si>
  <si>
    <t>Chi phí lưu trú cho Học viên</t>
  </si>
  <si>
    <t>Học viên 2 người/ phòng x 3 ngày/ lớp * 30 người</t>
  </si>
  <si>
    <t>người/ngày</t>
  </si>
  <si>
    <t xml:space="preserve">(01 lớp 30 người * 3 ngày 3 bữa: sáng 30 nghìn + bữa chính 150 nghìn/ xuất * 2 bữa chính)
</t>
  </si>
  <si>
    <t>Thuê xe 45 chỗ</t>
  </si>
  <si>
    <t>Quà lưu niệm cho đối tác</t>
  </si>
  <si>
    <t>2 điểm tham quan học tập</t>
  </si>
  <si>
    <t xml:space="preserve">01 chuyến * 3 ngày * 45 người
</t>
  </si>
  <si>
    <t>2 điểm</t>
  </si>
  <si>
    <t xml:space="preserve">(45 người * 3 ngày 3 bữa: sáng 50 nghìn + bữa chính 200 nghìn/ xuất * 2 bữa chính)
</t>
  </si>
  <si>
    <t xml:space="preserve">Ngày công chuyên gia hướng dẫn
</t>
  </si>
  <si>
    <t>Công chuyên gia: 1 người  * (2 ngày chuẩn địa điểm và chương trình + 3 ngày hướng dẫn  + 2 ngày di chuyển) = 14 ngày</t>
  </si>
  <si>
    <t>Chi phí lưu trú cho đoàn tham quan</t>
  </si>
  <si>
    <t>45 người * 3 ngày</t>
  </si>
  <si>
    <t>Chi khác</t>
  </si>
  <si>
    <t>Thuốc y tế + nước uống</t>
  </si>
  <si>
    <t>(Tham chiếu theo Nghị quyết số 14/2023/NQ-HĐND ký ngày 08 tháng 12 năm 2023 của Hội đồng nhân dân tỉnh Điện Biên)</t>
  </si>
  <si>
    <t>ĐVT: VNĐ</t>
  </si>
  <si>
    <t>TT</t>
  </si>
  <si>
    <t>Hạng mục</t>
  </si>
  <si>
    <t>Phần I: Yêu cầu về cơ sở hạ tầng</t>
  </si>
  <si>
    <t>Hệ thống xử lý nước thải công cộng</t>
  </si>
  <si>
    <t>Nhà lưu trú</t>
  </si>
  <si>
    <t>Nhà vệ sinh khép kín tự hoại</t>
  </si>
  <si>
    <t>Hộ</t>
  </si>
  <si>
    <t>Phòng ngủ</t>
  </si>
  <si>
    <t xml:space="preserve">Khuôn viên </t>
  </si>
  <si>
    <t>Phần II: Yêu cầu về dịch vụ du lịch</t>
  </si>
  <si>
    <t>Dịch vụ hướng dẫn du lịch cộng đồng:</t>
  </si>
  <si>
    <t xml:space="preserve">Thành lập tổ hướng dẫn viên </t>
  </si>
  <si>
    <t>Tổ</t>
  </si>
  <si>
    <t>Xây dựng các bài thuyết minh về văn hoá bản địa</t>
  </si>
  <si>
    <t>Bài</t>
  </si>
  <si>
    <t>Đào tạo kỹ năng thuyết trình và hướng dẫn làm mẫu</t>
  </si>
  <si>
    <t>Lớp</t>
  </si>
  <si>
    <t>Đào tạo kỹ năng quay phim, chụp ảnh</t>
  </si>
  <si>
    <t>Điểm thông tin du lịch cộng đồng</t>
  </si>
  <si>
    <t>Thiết kế, hỗ trợ cải tạo cảnh quan kiến trúc theo bản địa</t>
  </si>
  <si>
    <t>Thiết kế bản đồ tổng thể các điểm du lịch trong địa bàn</t>
  </si>
  <si>
    <t>Thiết kế và hỗ trợ hệ thống các biển báo, biển chỉ dẫn giao thông</t>
  </si>
  <si>
    <t xml:space="preserve">Hỗ trợ trang trí cảnh quan </t>
  </si>
  <si>
    <t>Thành lập tổ quản lý điều hành điểm du lịch cộng đồng</t>
  </si>
  <si>
    <t>Thiết lập điểm quản lý, điều phối và cung cấp thông tin cho du khách</t>
  </si>
  <si>
    <t>Đào tạo kỹ năng quản lý vận hành điểm du lịch cộng đồng</t>
  </si>
  <si>
    <t>Xây dựng các danh mục bảng giá cung cấp dịch vụ tham quan trải nghiệm</t>
  </si>
  <si>
    <t>Danh mục</t>
  </si>
  <si>
    <t>Xây dựng các kịch bản cho từng dịch vụ tham quan trải nghiệm (Tổ chức cho 50 người đạp xe qua cánh đồng, qua suối, qua ruộng,…)</t>
  </si>
  <si>
    <t>Kịch bản</t>
  </si>
  <si>
    <t>Đào tạo về kỹ năng sơ cứu cấp cứu và cứu hộ cứu nạn</t>
  </si>
  <si>
    <t>Đào tạo về kỹ năng quản lý tour</t>
  </si>
  <si>
    <t>Dịch vụ ăn uống và lưu trú</t>
  </si>
  <si>
    <t xml:space="preserve">Xây dựng danh mục bảng giá cung cấp sản phẩm dịch vụ theo truyền thống và niêm yết </t>
  </si>
  <si>
    <t>Đào tạo kỹ năng giao tiếp và giải quyết vấn đề</t>
  </si>
  <si>
    <t>Đào tạo kỹ năng phục vụ nhà hàng và nhà lưu trú</t>
  </si>
  <si>
    <t>Đào tạo kỹ năng trang trí và thuyết trình theo câu chuyện của sản phẩm/ dịch vụ/ văn hoá dân tộc</t>
  </si>
  <si>
    <t>Hỗ trợ vật dụng nhà lưu trú (Đệm, chăn, rèm, lưới côn trùng,…)</t>
  </si>
  <si>
    <t>Thiết kế và hỗ trợ in tờ rơ, sách ảnh giới thiệu sản phẩm dịch vụ</t>
  </si>
  <si>
    <t>Đào tạo về vệ sinh an toàn thực phẩm và cấp giấy chứng nhận cơ sở đủ điều kiện ATTP</t>
  </si>
  <si>
    <t>Dịch vụ vui chơi, giải trí</t>
  </si>
  <si>
    <t>Thiết kế và danh mục các dịch vụ vui chơi, giải trí kèm theo giá  được niêm yết</t>
  </si>
  <si>
    <t>Hỗ trợ lập tài khoản, thanh toán qua mã Qr, …cho nhóm hướng dẫn viên/ Tổ quản lý DLCĐ</t>
  </si>
  <si>
    <t>Hỗ trợ đăng ký dịch vụ vui chơi giải trí có điều kiện với cơ quan nhà nước</t>
  </si>
  <si>
    <t>Khôi phục đào tạo nghề truyền thống</t>
  </si>
  <si>
    <t>Khôi phục và huấn luyện cho tổ hướng dẫn viên các trò chơi dân gian, văn hoá nghệ thuật dân gian: (dân tộc Tày, Lào, Mông,..)</t>
  </si>
  <si>
    <t>Hoạt động trình diễn văn hoá nghệ thuật truyền thống</t>
  </si>
  <si>
    <t>Hỗ trợ xây dựng sân nhà văn hoá làm nơi hoạt động văn hoá văn nghệ quần chúng</t>
  </si>
  <si>
    <t>Thành lập các tổ văn hoá nghệ thuật truyền thống</t>
  </si>
  <si>
    <t>Phục dựng lại các tiết mục văn hoá nghệ thuật theo dân tộc (có cốt chuyện)</t>
  </si>
  <si>
    <t>Tiết mục</t>
  </si>
  <si>
    <t>Hướng dẫn, huấn luyện cho tổ văn hoá nghệ thuật truyền thống</t>
  </si>
  <si>
    <t>Thiết kế, xây dựng kịch bản theo thời lượng và qui mô tổ chức khi du khách đặt hàng.</t>
  </si>
  <si>
    <t>Kich bản</t>
  </si>
  <si>
    <t xml:space="preserve">Hỗ trợ về trang phục truyền thống </t>
  </si>
  <si>
    <t>Hỗ trợ tổ an ninh trật tự, phòng chống cháy nổ, sơ cấp cứu (dụng cụ, vật dụng,…)</t>
  </si>
  <si>
    <t>Dịch vụ mua sẳm sản phẩm địa phương</t>
  </si>
  <si>
    <t>Hỗ trợ giấy phép đăng ký kinh doanh</t>
  </si>
  <si>
    <t>Lập danh lục các sản phẩm và niên yết giá</t>
  </si>
  <si>
    <t>Tuyển chọn nhân viên bán hàng có kỹ năng giao tiếp, am hiểu về sản phẩm hàng hoá</t>
  </si>
  <si>
    <t>Người</t>
  </si>
  <si>
    <t>Hỗ trợ áp dụng nhiều hình thức thanh toán: Quẹt thẻ, mã Qr chuyển khoản,…</t>
  </si>
  <si>
    <t>Hỗ trợ tuyển chọn các sản phẩm có nguồn gốc địa phương, sản phẩm OCOP đáp ứng theo qui định.</t>
  </si>
  <si>
    <t>Xây dựng qui định quản lý chất lượng hàng hoá</t>
  </si>
  <si>
    <t>Phần III: Bảo vệ môi trường, vệ sinh,  an ninh, phòng chống cháy nổ</t>
  </si>
  <si>
    <t>Bảo vệ môi trường, vệ sinh</t>
  </si>
  <si>
    <t>Thiết kế biển vẫy và nội dung tuyên truyền về bảo vệ môi trường, bảo vệ nguồn nước, quản lý rác thải, nước thải</t>
  </si>
  <si>
    <t>Thiết lập hệ thống thu gom rác thải hộ gia đình và công cộng</t>
  </si>
  <si>
    <t>Thiết lập hệ thống thu gom và xử lý nước thải hộ gia đình trước khi thải ra mô trường</t>
  </si>
  <si>
    <t>Xây dựng qui định, qui chế hoạt động vệ sinh môi trường và quản lý rác thải, nước thải</t>
  </si>
  <si>
    <t>Thành lập tổ thu gom rác thải và xử lý (Ký hợp đồng với Công ty môi trường của TP Điện Biên)</t>
  </si>
  <si>
    <t>Tập huấn về bảo vệ môi trường chống biến đổi khí hậu; quản lý rác thải, nước thải tại hộ gia đình</t>
  </si>
  <si>
    <t>Hỗ trợ lắp đặt đèn chiếu sáng chạy năng lượng mặt trời</t>
  </si>
  <si>
    <t>Hỗ trợ trồng cây bóng mát, hoa cây cảnh</t>
  </si>
  <si>
    <t>An ninh, an toàn</t>
  </si>
  <si>
    <t>Thành lập tổ an ninh trật tự</t>
  </si>
  <si>
    <t xml:space="preserve">Xây dựng qui định, qui chế hoạt động </t>
  </si>
  <si>
    <t>Đào tạo về kỹ năng ứng phó với các tình huống và xử lý tình huống khi có du khách thăm quan điểm du lịch cộng đồng</t>
  </si>
  <si>
    <t xml:space="preserve">Thiết lập hệ thống cảnh báo nguy hiểm ở các khu vực có nguy cơ rủi ro có thể xảy ra </t>
  </si>
  <si>
    <t>Xây dựng và niêm yết các qui định tại các điểm tập trung đảm bảo an toàn, an ninh trật tự cho du khách và cộng đồng</t>
  </si>
  <si>
    <t>Phòng chống cháy nổ</t>
  </si>
  <si>
    <t>Tập huấn về phòng chống cháy nổ cho tổ cung cấp dịch vụ, nhà hàng, nhà lưu trú</t>
  </si>
  <si>
    <t>Hỗ trợ nhà hàng, nhà lưu trú tiêu lệnh và bình cứu hoả</t>
  </si>
  <si>
    <t>Hỗ trợ thiết kế hệ thống cấp nước cứu hoả tại các nhà hàng, nhà lưu trú</t>
  </si>
  <si>
    <t>Phần IV: Xúc tiến thương mại</t>
  </si>
  <si>
    <t>Thiết kế trang Website Điểm du lịch cộng đồng</t>
  </si>
  <si>
    <t>Thiết kế logo biểu tượng Điểm du lịch cộng đồng</t>
  </si>
  <si>
    <t>Thiết kế mã Qr-code truy xuất nguồn gốc sản phẩm dịch vụ DLCĐ</t>
  </si>
  <si>
    <t>Quay phim/video clip giới thiệu về các sản phẩm dịch vụ du lịch cộng đồng</t>
  </si>
  <si>
    <t>Thiết kế các tờ rơi, tờ gấp, sách ảnh giới thiệu về sản phẩm dịch vụ</t>
  </si>
  <si>
    <t>Thiết kế và in túi quà tặng/ quà biếu cho du khách mua các sản phẩm làm quà biếu</t>
  </si>
  <si>
    <t>Hội thảo khách hàng (qui mô 50 người)</t>
  </si>
  <si>
    <t>Hội thảo</t>
  </si>
  <si>
    <t>Kết nối các điểm du lịch trên địa bàn tỉnh Điện Biên liên kết thành tour</t>
  </si>
  <si>
    <t>Chường trình</t>
  </si>
  <si>
    <t>Kết nối các Công ty lữ hành trên toàn quốc</t>
  </si>
  <si>
    <t>Chứng nhận điểm du lịch cộng đồng theo tiêu chuẩn TCVN 13259:2020</t>
  </si>
  <si>
    <t>Nội dung 3: Hỗ trợ vật tư, trang thiết bị phát triển sản phẩm dịch vụ</t>
  </si>
  <si>
    <t>Giàn thao tác thu hái chè</t>
  </si>
  <si>
    <t>Chảo sao chè thủ công</t>
  </si>
  <si>
    <t>Bếp lò sao chè thủ công</t>
  </si>
  <si>
    <t>Chảo</t>
  </si>
  <si>
    <t>Máy</t>
  </si>
  <si>
    <t>Bếp lò</t>
  </si>
  <si>
    <t>Máy hút chân không liên doanh</t>
  </si>
  <si>
    <t>Mô hình giàn thao tác bằng sắt cho 100 cây chè Shan tuyết cổ thụ (vườn cây di sản Quốc gia)</t>
  </si>
  <si>
    <t>STT</t>
  </si>
  <si>
    <t>Nội dung chi phí</t>
  </si>
  <si>
    <t>Tổng kinh phí thực hiện</t>
  </si>
  <si>
    <t>Phân kỳ nhà nước hỗ trợ</t>
  </si>
  <si>
    <t>Hỗ trợ của nhà nước</t>
  </si>
  <si>
    <t>Nội dung 1: Bảo tồn, quản lý cây chè shan tuyết cổ thụ bền vững</t>
  </si>
  <si>
    <t>Nội dung 2: Nâng cao năng lực, kỹ thuật cho các bên tham gia dự án</t>
  </si>
  <si>
    <t>Đào tạo về qui trình trồng và chăm sóc chè bền vững theo hướng hữu cơ cho cây chè Shan tuyết cổ thụ</t>
  </si>
  <si>
    <t xml:space="preserve"> Đào tạo về phát triển chuỗi giá trị chè kết hợp du lịch sinh thái</t>
  </si>
  <si>
    <t>Đào tạo tổng quan về mô hình phát triển du lịch sinh thái nông thôn
(theo tiêu chuẩn TCVN13259:2020)</t>
  </si>
  <si>
    <t>Hỗ trợ thiết bị chế biến chè Shan tuyết cổ thụ</t>
  </si>
  <si>
    <t>A</t>
  </si>
  <si>
    <t>B</t>
  </si>
  <si>
    <t xml:space="preserve">Thiết kế nhận diện nhãn hiệu, đăng ký bảo hộ tại Cục sở hữu trí tuệ </t>
  </si>
  <si>
    <t>Lập hồ sơ truy xuất nguồn gốc cây chè shan tuyết cổ thụ kết hợp gắn mã Qr-code</t>
  </si>
  <si>
    <t>C</t>
  </si>
  <si>
    <t>Xây dựng và quản lý dự án:</t>
  </si>
  <si>
    <t xml:space="preserve">Xây dựng trang Website, facebook, zalo, Qr-code cho sản phẩm chè </t>
  </si>
  <si>
    <t>Tham gia Hội chợ thương mại các sản phẩm OCOP trong và ngoài tỉnh</t>
  </si>
  <si>
    <t>Xây dựng điểm giới thiệu sản phẩm OCOP</t>
  </si>
  <si>
    <t>Tộng (A+B+C)</t>
  </si>
  <si>
    <t>Hỗ trợ cơ sở hạ tầng</t>
  </si>
  <si>
    <t>Phát triển sản phẩm dịch vụ du lịch nông thôn</t>
  </si>
  <si>
    <t>Thành lập các tổ dịch vụ bảo vệ môi trường, vệ sinh, an ninh, phòng cháy nổ</t>
  </si>
  <si>
    <t>Thúc đẩy xúc tiến thương mại cho sản phẩm du lịch</t>
  </si>
  <si>
    <t>Quản lý dự án (3%)</t>
  </si>
  <si>
    <t>Điểm c, Điều 2 Nghị quyết 14/2023/NQ-HĐND Điện Biên</t>
  </si>
  <si>
    <t>Thuộc nội dung số 1, tiểu dự án 2 - Dự án 3 Quyết định 1719/QĐ-TTg</t>
  </si>
  <si>
    <t>Bảo tồn và phát triển kinh tế cây chè Shan tuyết cổ thụ Tủa Chùa theo chuỗi giá trị</t>
  </si>
  <si>
    <t>Nội dung 4: Xúc tiến thương mại cho sản phẩm chuỗi</t>
  </si>
  <si>
    <t>Phát triển kinh tế cây chè Shan tuyết cổ thụ gắn với du lịch nông thôn</t>
  </si>
  <si>
    <t>Dịch vụ tham quan, trải nghiệm</t>
  </si>
  <si>
    <t>BẢNG HẠCH TOÁN THU - CHI</t>
  </si>
  <si>
    <t>Dự án “Bảo tồn và phát triển kinh tế, du lịch sinh thái cây chè Shan tuyết cổ thụ trên địa bàn huyện Tủa Chùa, tỉnh Điện Biên”.</t>
  </si>
  <si>
    <t>ĐTV</t>
  </si>
  <si>
    <t>Phần Chi</t>
  </si>
  <si>
    <t>Phần Thu</t>
  </si>
  <si>
    <t>Thu - Chi</t>
  </si>
  <si>
    <t>Chi công lao động chăm sóc  (10 công/cây * 7.933 cây)</t>
  </si>
  <si>
    <t>Phân bón hữu cơ vi sinh (5kg/ cây *7933)</t>
  </si>
  <si>
    <t>Chế phẩm sinh học (100g/cây*7933 cây)</t>
  </si>
  <si>
    <t>Thu nhập tính trung bình cho 01 cây chè Shan tuyết cổ thụ</t>
  </si>
  <si>
    <t>Chè búp tươi (4 lứa/năm * 12kg/cây *7.933 cây)</t>
  </si>
  <si>
    <t>Công thu hái ((4 lứa hái chè/năm * 1,5 công/cây) * 7.933 cây)</t>
  </si>
  <si>
    <t>Nội dung số 2: Nâng cao năng lực cho các bên tham gia dự án</t>
  </si>
  <si>
    <t>Nội dung số 3: Hỗ trợ vật tư, trang thiết bị phát triển sản phẩm dịch vụ</t>
  </si>
  <si>
    <t>Bãi đỗ xe tập trung (tận dụng sân nhà văn hoá)</t>
  </si>
  <si>
    <t>Nhà vệ sinh công cộng ( tận dụng nhà văn hoá)</t>
  </si>
  <si>
    <t>Đường giao thông thôn bản</t>
  </si>
  <si>
    <t>Nội dung 5: Phát triển kinh tế cây chè Shan tuyết cổ thụ gắn với du lịch nông thôn</t>
  </si>
  <si>
    <t>Hỗ trợ giàn giáo hái chè</t>
  </si>
  <si>
    <t>Hỗ trợ phân bón hữu cơ vi sinh</t>
  </si>
  <si>
    <t>Định mức: 7 kg/cây *7.933cây (giai đoạn sau đốn tỉa)</t>
  </si>
  <si>
    <t>Hỗ trợ trồng mới chè Shan Tuyết phân tán</t>
  </si>
  <si>
    <t>Hỗ trợ cây giống</t>
  </si>
  <si>
    <t>2200 cây/ha</t>
  </si>
  <si>
    <t>30 ha</t>
  </si>
  <si>
    <t>Vật tư khác (vôi, thuốc BVTV, tập huấn…)</t>
  </si>
  <si>
    <t>Hỗ trợ tập huấn</t>
  </si>
  <si>
    <t>3 lớp</t>
  </si>
  <si>
    <t>Thời gian thực hiện: từ tháng 9 năm 2024 đến tháng 12 năm 2027</t>
  </si>
  <si>
    <t>Máy sào gas</t>
  </si>
  <si>
    <t xml:space="preserve">Máy sao khô bằng điện </t>
  </si>
  <si>
    <t xml:space="preserve">Máy vò chè tôm nõn </t>
  </si>
  <si>
    <t>Hỗ trợ bảo tồn, cải tạo năng suất cho cây chè Shan tuyết cổ thụ</t>
  </si>
  <si>
    <t>Số lượng 7.933 cây</t>
  </si>
  <si>
    <t>Tham chiếu định mức kinh tế kỹ thuật số 11/QĐ-UBND ngày 24/4/2024 của UBND tỉnh Điện Biên; đơn giá tạm tính</t>
  </si>
  <si>
    <t>Thời gian thực hiện: tháng 9 năm 2024 đến tháng 12 năm 2027</t>
  </si>
  <si>
    <t>DỰ TOÁN PHÁT TRIỂN ĐIỂM DU LỊCH CỘNG ĐỒNG CHÈ SHAN TUYẾT CỔ THỤ TẠI HUYỆN TỦA CHÙA - ĐIỆN BIÊN</t>
  </si>
  <si>
    <t>Chi phí thuê tư vấn điều tra chi tiết số lượng, thông tin cây chè Shan tuyết cổ thụ, thực hiện số hóa cây chè; in gắn mã QR-code cây chè; chi phí duy trì phần mềm</t>
  </si>
  <si>
    <t>Tư vấn và xây dựng dự án (3%)</t>
  </si>
  <si>
    <t>Năm 2027</t>
  </si>
  <si>
    <t>Năm 2024</t>
  </si>
  <si>
    <t>Xây dựng điểm giới thiệu sản phẩm: 01 điểm
Đăng ký các kênh chạy quảng cáo bán hàng oline, gian hàng trên "Chợ tốt", các nền tảng xã hội</t>
  </si>
  <si>
    <t>Thời gian thực hiện: Từ tháng 9 năm 2024 đến tháng 12 năm 2027</t>
  </si>
  <si>
    <t>DỰ TOÁN TỔNG THỂ DỰ ÁN
BẢO TỒN VÀ PHÁT TRIỂN KINH TẾ, DU LỊCH SINH THÁI CÂY CHÈ SHAN TUYẾT CỔ THỤ TỦA CHÙA GIAI ĐOẠN 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</si>
</sst>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i/>
      <sz val="10"/>
      <name val="Times New Roman"/>
      <family val="1"/>
    </font>
    <font>
      <i/>
      <sz val="10"/>
      <color rgb="FF000000"/>
      <name val="Times New Roman"/>
      <family val="1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  <font>
      <b/>
      <sz val="1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8" fillId="0" borderId="0"/>
    <xf numFmtId="0" fontId="10" fillId="0" borderId="0" applyNumberFormat="0" applyBorder="0" applyProtection="0"/>
    <xf numFmtId="43" fontId="3" fillId="0" borderId="0" applyFont="0" applyFill="0" applyBorder="0" applyAlignment="0" applyProtection="0"/>
    <xf numFmtId="0" fontId="9" fillId="0" borderId="0"/>
  </cellStyleXfs>
  <cellXfs count="216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64" fontId="1" fillId="0" borderId="2" xfId="1" applyNumberFormat="1" applyFont="1" applyBorder="1" applyAlignment="1">
      <alignment horizontal="center" vertical="center" wrapText="1"/>
    </xf>
    <xf numFmtId="164" fontId="1" fillId="0" borderId="0" xfId="1" applyNumberFormat="1" applyFont="1"/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right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2" xfId="1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164" fontId="7" fillId="0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2" xfId="2" applyFont="1" applyBorder="1" applyAlignment="1">
      <alignment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right" vertical="center" wrapText="1"/>
    </xf>
    <xf numFmtId="164" fontId="11" fillId="0" borderId="2" xfId="1" applyNumberFormat="1" applyFont="1" applyFill="1" applyBorder="1" applyAlignment="1">
      <alignment horizontal="right" vertical="center" wrapText="1"/>
    </xf>
    <xf numFmtId="164" fontId="1" fillId="0" borderId="2" xfId="1" applyNumberFormat="1" applyFont="1" applyFill="1" applyBorder="1" applyAlignment="1">
      <alignment horizontal="left" vertical="center" wrapText="1"/>
    </xf>
    <xf numFmtId="3" fontId="11" fillId="0" borderId="2" xfId="2" applyNumberFormat="1" applyFont="1" applyBorder="1" applyAlignment="1">
      <alignment horizontal="right" vertical="center" wrapText="1"/>
    </xf>
    <xf numFmtId="0" fontId="1" fillId="0" borderId="2" xfId="3" applyFont="1" applyBorder="1" applyAlignment="1" applyProtection="1">
      <alignment vertical="center" wrapText="1"/>
    </xf>
    <xf numFmtId="164" fontId="1" fillId="0" borderId="2" xfId="1" applyNumberFormat="1" applyFont="1" applyFill="1" applyBorder="1" applyAlignment="1">
      <alignment horizontal="center" vertical="center" wrapText="1"/>
    </xf>
    <xf numFmtId="0" fontId="1" fillId="0" borderId="2" xfId="4" applyNumberFormat="1" applyFont="1" applyFill="1" applyBorder="1" applyAlignment="1">
      <alignment horizontal="right" vertical="center" wrapText="1"/>
    </xf>
    <xf numFmtId="165" fontId="1" fillId="0" borderId="2" xfId="4" applyNumberFormat="1" applyFont="1" applyFill="1" applyBorder="1" applyAlignment="1">
      <alignment horizontal="right" vertical="center" wrapText="1"/>
    </xf>
    <xf numFmtId="164" fontId="1" fillId="0" borderId="2" xfId="1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left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right" vertical="center" wrapText="1"/>
    </xf>
    <xf numFmtId="3" fontId="7" fillId="0" borderId="2" xfId="2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3" applyFont="1" applyBorder="1" applyAlignment="1" applyProtection="1">
      <alignment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0" fontId="4" fillId="0" borderId="2" xfId="4" applyNumberFormat="1" applyFont="1" applyFill="1" applyBorder="1" applyAlignment="1">
      <alignment horizontal="right" vertical="center" wrapText="1"/>
    </xf>
    <xf numFmtId="165" fontId="4" fillId="0" borderId="2" xfId="4" applyNumberFormat="1" applyFont="1" applyFill="1" applyBorder="1" applyAlignment="1">
      <alignment horizontal="right" vertical="center" wrapText="1"/>
    </xf>
    <xf numFmtId="164" fontId="4" fillId="0" borderId="2" xfId="1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164" fontId="2" fillId="0" borderId="2" xfId="1" applyNumberFormat="1" applyFont="1" applyBorder="1" applyAlignment="1">
      <alignment vertical="center" wrapText="1"/>
    </xf>
    <xf numFmtId="164" fontId="1" fillId="0" borderId="2" xfId="1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1" applyNumberFormat="1" applyFont="1" applyBorder="1" applyAlignment="1">
      <alignment vertical="center" wrapText="1"/>
    </xf>
    <xf numFmtId="164" fontId="2" fillId="0" borderId="2" xfId="1" applyNumberFormat="1" applyFont="1" applyBorder="1"/>
    <xf numFmtId="164" fontId="1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3" fillId="0" borderId="2" xfId="1" applyNumberFormat="1" applyFont="1" applyBorder="1" applyAlignment="1">
      <alignment horizontal="center" vertical="center"/>
    </xf>
    <xf numFmtId="164" fontId="13" fillId="0" borderId="2" xfId="1" applyNumberFormat="1" applyFont="1" applyBorder="1" applyAlignment="1">
      <alignment horizontal="center" vertical="center" wrapText="1"/>
    </xf>
    <xf numFmtId="43" fontId="11" fillId="0" borderId="0" xfId="1" applyFont="1" applyFill="1" applyAlignment="1">
      <alignment vertical="center"/>
    </xf>
    <xf numFmtId="164" fontId="13" fillId="0" borderId="2" xfId="1" applyNumberFormat="1" applyFont="1" applyBorder="1" applyAlignment="1">
      <alignment horizontal="left" vertical="center" wrapText="1"/>
    </xf>
    <xf numFmtId="164" fontId="13" fillId="0" borderId="2" xfId="1" applyNumberFormat="1" applyFont="1" applyBorder="1" applyAlignment="1">
      <alignment horizontal="justify" vertical="center"/>
    </xf>
    <xf numFmtId="164" fontId="13" fillId="0" borderId="2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3" fontId="13" fillId="0" borderId="0" xfId="1" applyFont="1" applyFill="1" applyAlignment="1">
      <alignment vertical="center"/>
    </xf>
    <xf numFmtId="164" fontId="11" fillId="0" borderId="2" xfId="1" applyNumberFormat="1" applyFont="1" applyBorder="1" applyAlignment="1">
      <alignment horizontal="center" vertical="center"/>
    </xf>
    <xf numFmtId="164" fontId="11" fillId="0" borderId="2" xfId="1" applyNumberFormat="1" applyFont="1" applyBorder="1" applyAlignment="1">
      <alignment vertical="center" wrapText="1"/>
    </xf>
    <xf numFmtId="164" fontId="11" fillId="0" borderId="2" xfId="1" applyNumberFormat="1" applyFont="1" applyBorder="1" applyAlignment="1">
      <alignment vertical="center"/>
    </xf>
    <xf numFmtId="164" fontId="11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164" fontId="13" fillId="0" borderId="2" xfId="1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justify" vertical="center"/>
    </xf>
    <xf numFmtId="164" fontId="13" fillId="2" borderId="2" xfId="1" applyNumberFormat="1" applyFont="1" applyFill="1" applyBorder="1" applyAlignment="1">
      <alignment horizontal="center" vertical="center"/>
    </xf>
    <xf numFmtId="164" fontId="13" fillId="2" borderId="2" xfId="1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164" fontId="11" fillId="0" borderId="0" xfId="1" applyNumberFormat="1" applyFont="1" applyAlignment="1">
      <alignment horizontal="center" vertical="center"/>
    </xf>
    <xf numFmtId="164" fontId="11" fillId="0" borderId="0" xfId="1" applyNumberFormat="1" applyFont="1" applyAlignment="1">
      <alignment vertical="center"/>
    </xf>
    <xf numFmtId="43" fontId="11" fillId="0" borderId="0" xfId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64" fontId="1" fillId="0" borderId="2" xfId="1" applyNumberFormat="1" applyFont="1" applyBorder="1"/>
    <xf numFmtId="0" fontId="1" fillId="0" borderId="2" xfId="0" applyFont="1" applyBorder="1" applyAlignment="1">
      <alignment horizontal="center"/>
    </xf>
    <xf numFmtId="0" fontId="1" fillId="3" borderId="2" xfId="0" applyFont="1" applyFill="1" applyBorder="1"/>
    <xf numFmtId="164" fontId="1" fillId="3" borderId="2" xfId="1" applyNumberFormat="1" applyFont="1" applyFill="1" applyBorder="1"/>
    <xf numFmtId="0" fontId="1" fillId="3" borderId="2" xfId="0" applyFont="1" applyFill="1" applyBorder="1" applyAlignment="1">
      <alignment horizontal="center"/>
    </xf>
    <xf numFmtId="164" fontId="2" fillId="4" borderId="2" xfId="0" applyNumberFormat="1" applyFont="1" applyFill="1" applyBorder="1"/>
    <xf numFmtId="43" fontId="1" fillId="0" borderId="0" xfId="0" applyNumberFormat="1" applyFont="1"/>
    <xf numFmtId="164" fontId="2" fillId="0" borderId="2" xfId="1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164" fontId="4" fillId="5" borderId="2" xfId="1" applyNumberFormat="1" applyFont="1" applyFill="1" applyBorder="1" applyAlignment="1">
      <alignment vertical="center" wrapText="1"/>
    </xf>
    <xf numFmtId="0" fontId="4" fillId="5" borderId="0" xfId="0" applyFont="1" applyFill="1"/>
    <xf numFmtId="164" fontId="13" fillId="0" borderId="2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164" fontId="7" fillId="0" borderId="2" xfId="1" applyNumberFormat="1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164" fontId="11" fillId="0" borderId="2" xfId="1" applyNumberFormat="1" applyFont="1" applyFill="1" applyBorder="1" applyAlignment="1">
      <alignment vertical="center"/>
    </xf>
    <xf numFmtId="164" fontId="11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43" fontId="1" fillId="0" borderId="0" xfId="1" applyFont="1"/>
    <xf numFmtId="164" fontId="11" fillId="0" borderId="9" xfId="1" applyNumberFormat="1" applyFont="1" applyBorder="1" applyAlignment="1">
      <alignment vertical="center"/>
    </xf>
    <xf numFmtId="164" fontId="11" fillId="0" borderId="4" xfId="1" applyNumberFormat="1" applyFont="1" applyBorder="1" applyAlignment="1">
      <alignment vertical="center"/>
    </xf>
    <xf numFmtId="0" fontId="1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/>
    <xf numFmtId="164" fontId="1" fillId="0" borderId="0" xfId="1" applyNumberFormat="1" applyFont="1" applyFill="1"/>
    <xf numFmtId="3" fontId="20" fillId="0" borderId="0" xfId="0" applyNumberFormat="1" applyFont="1"/>
    <xf numFmtId="3" fontId="11" fillId="0" borderId="0" xfId="0" applyNumberFormat="1" applyFont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64" fontId="13" fillId="0" borderId="2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13" fillId="0" borderId="2" xfId="1" applyNumberFormat="1" applyFont="1" applyBorder="1" applyAlignment="1">
      <alignment horizontal="center" vertical="center"/>
    </xf>
    <xf numFmtId="164" fontId="13" fillId="0" borderId="10" xfId="1" applyNumberFormat="1" applyFont="1" applyBorder="1" applyAlignment="1">
      <alignment horizontal="center" vertical="center" wrapText="1"/>
    </xf>
    <xf numFmtId="164" fontId="13" fillId="0" borderId="9" xfId="1" applyNumberFormat="1" applyFont="1" applyBorder="1" applyAlignment="1">
      <alignment horizontal="center" vertical="center" wrapText="1"/>
    </xf>
    <xf numFmtId="164" fontId="13" fillId="0" borderId="4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2" fontId="1" fillId="5" borderId="10" xfId="0" applyNumberFormat="1" applyFont="1" applyFill="1" applyBorder="1" applyAlignment="1">
      <alignment horizontal="center" vertical="center" wrapText="1"/>
    </xf>
    <xf numFmtId="2" fontId="1" fillId="5" borderId="9" xfId="0" applyNumberFormat="1" applyFont="1" applyFill="1" applyBorder="1" applyAlignment="1">
      <alignment horizontal="center" vertical="center" wrapText="1"/>
    </xf>
    <xf numFmtId="2" fontId="1" fillId="5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6">
    <cellStyle name="Comma" xfId="1" builtinId="3"/>
    <cellStyle name="Comma 2" xfId="4"/>
    <cellStyle name="Normal" xfId="0" builtinId="0"/>
    <cellStyle name="Normal 2" xfId="3"/>
    <cellStyle name="Normal 3" xfId="5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12" sqref="I12"/>
    </sheetView>
  </sheetViews>
  <sheetFormatPr defaultColWidth="8.85546875" defaultRowHeight="15" x14ac:dyDescent="0.25"/>
  <cols>
    <col min="1" max="1" width="8.85546875" style="81"/>
    <col min="2" max="2" width="37.5703125" style="82" customWidth="1"/>
    <col min="3" max="3" width="20.85546875" style="82" customWidth="1"/>
    <col min="4" max="5" width="21.28515625" style="82" customWidth="1"/>
    <col min="6" max="6" width="19.7109375" style="82" customWidth="1"/>
    <col min="7" max="8" width="13.85546875" style="82" customWidth="1"/>
    <col min="9" max="9" width="23.140625" style="82" customWidth="1"/>
    <col min="10" max="16384" width="8.85546875" style="82"/>
  </cols>
  <sheetData>
    <row r="1" spans="1:11" ht="49.15" customHeight="1" x14ac:dyDescent="0.25">
      <c r="A1" s="160" t="s">
        <v>313</v>
      </c>
      <c r="B1" s="161"/>
      <c r="C1" s="161"/>
      <c r="D1" s="161"/>
      <c r="E1" s="161"/>
      <c r="F1" s="161"/>
      <c r="G1" s="161"/>
      <c r="H1" s="161"/>
      <c r="I1" s="161"/>
    </row>
    <row r="3" spans="1:11" x14ac:dyDescent="0.25">
      <c r="A3" s="162" t="s">
        <v>32</v>
      </c>
      <c r="B3" s="162"/>
      <c r="C3" s="162"/>
      <c r="D3" s="162"/>
      <c r="E3" s="122"/>
    </row>
    <row r="4" spans="1:11" x14ac:dyDescent="0.25">
      <c r="A4" s="162" t="s">
        <v>312</v>
      </c>
      <c r="B4" s="162"/>
      <c r="C4" s="162"/>
      <c r="D4" s="162"/>
      <c r="E4" s="122"/>
    </row>
    <row r="5" spans="1:11" x14ac:dyDescent="0.25">
      <c r="I5" s="82" t="s">
        <v>131</v>
      </c>
    </row>
    <row r="6" spans="1:11" ht="15" customHeight="1" x14ac:dyDescent="0.25">
      <c r="A6" s="163" t="s">
        <v>238</v>
      </c>
      <c r="B6" s="163" t="s">
        <v>239</v>
      </c>
      <c r="C6" s="159" t="s">
        <v>240</v>
      </c>
      <c r="D6" s="164" t="s">
        <v>242</v>
      </c>
      <c r="E6" s="159" t="s">
        <v>241</v>
      </c>
      <c r="F6" s="159"/>
      <c r="G6" s="159"/>
      <c r="H6" s="159"/>
      <c r="I6" s="158" t="s">
        <v>9</v>
      </c>
    </row>
    <row r="7" spans="1:11" ht="11.45" customHeight="1" x14ac:dyDescent="0.25">
      <c r="A7" s="163"/>
      <c r="B7" s="163"/>
      <c r="C7" s="159"/>
      <c r="D7" s="165"/>
      <c r="E7" s="159" t="s">
        <v>310</v>
      </c>
      <c r="F7" s="159" t="s">
        <v>13</v>
      </c>
      <c r="G7" s="159" t="s">
        <v>14</v>
      </c>
      <c r="H7" s="159" t="s">
        <v>309</v>
      </c>
      <c r="I7" s="158"/>
    </row>
    <row r="8" spans="1:11" x14ac:dyDescent="0.25">
      <c r="A8" s="163"/>
      <c r="B8" s="163"/>
      <c r="C8" s="159"/>
      <c r="D8" s="166"/>
      <c r="E8" s="159"/>
      <c r="F8" s="159"/>
      <c r="G8" s="159"/>
      <c r="H8" s="159"/>
      <c r="I8" s="158"/>
      <c r="K8" s="85"/>
    </row>
    <row r="9" spans="1:11" ht="60" x14ac:dyDescent="0.25">
      <c r="A9" s="83" t="s">
        <v>249</v>
      </c>
      <c r="B9" s="86" t="s">
        <v>266</v>
      </c>
      <c r="C9" s="84">
        <f>D9</f>
        <v>8582472500</v>
      </c>
      <c r="D9" s="84">
        <f>SUM(D10,D13,D19,D24)</f>
        <v>8582472500</v>
      </c>
      <c r="E9" s="121">
        <f>E10+E13+E19+E30</f>
        <v>550000000</v>
      </c>
      <c r="F9" s="121">
        <f t="shared" ref="F9:H9" si="0">F10+F13+F19+F30</f>
        <v>4072472500</v>
      </c>
      <c r="G9" s="121">
        <f t="shared" si="0"/>
        <v>4705000000</v>
      </c>
      <c r="H9" s="121">
        <f t="shared" si="0"/>
        <v>3134000000</v>
      </c>
      <c r="I9" s="106" t="s">
        <v>265</v>
      </c>
      <c r="K9" s="85"/>
    </row>
    <row r="10" spans="1:11" s="89" customFormat="1" ht="28.5" x14ac:dyDescent="0.25">
      <c r="A10" s="83" t="s">
        <v>17</v>
      </c>
      <c r="B10" s="87" t="s">
        <v>243</v>
      </c>
      <c r="C10" s="88">
        <f>SUM(C11:C12)</f>
        <v>540880000</v>
      </c>
      <c r="D10" s="88">
        <f>SUM(D11:D12)</f>
        <v>540880000</v>
      </c>
      <c r="E10" s="88">
        <f>E11+E12</f>
        <v>0</v>
      </c>
      <c r="F10" s="88">
        <f t="shared" ref="F10:H10" si="1">F11+F12</f>
        <v>540880000</v>
      </c>
      <c r="G10" s="88">
        <f t="shared" si="1"/>
        <v>0</v>
      </c>
      <c r="H10" s="88">
        <f t="shared" si="1"/>
        <v>0</v>
      </c>
      <c r="I10" s="106"/>
      <c r="K10" s="90"/>
    </row>
    <row r="11" spans="1:11" ht="60" x14ac:dyDescent="0.25">
      <c r="A11" s="91">
        <v>1</v>
      </c>
      <c r="B11" s="92" t="str">
        <f>'Bảo tồn'!B10</f>
        <v>Chi phí thuê tư vấn điều tra chi tiết số lượng, thông tin cây chè Shan tuyết cổ thụ, thực hiện số hóa cây chè; in gắn mã QR-code cây chè; chi phí duy trì phần mềm</v>
      </c>
      <c r="C11" s="93">
        <f>'Bảo tồn'!G10</f>
        <v>500000000</v>
      </c>
      <c r="D11" s="94">
        <f>C11</f>
        <v>500000000</v>
      </c>
      <c r="E11" s="94"/>
      <c r="F11" s="93">
        <f>D11</f>
        <v>500000000</v>
      </c>
      <c r="G11" s="93"/>
      <c r="H11" s="93"/>
      <c r="I11" s="95"/>
    </row>
    <row r="12" spans="1:11" ht="30" x14ac:dyDescent="0.25">
      <c r="A12" s="91">
        <v>2</v>
      </c>
      <c r="B12" s="92" t="str">
        <f>'Bảo tồn'!B11</f>
        <v>Xây dựng qui chế Cộng đồng để bảo vệ phát huy giá trị cây di sản</v>
      </c>
      <c r="C12" s="93">
        <f>'Bảo tồn'!G11</f>
        <v>40880000</v>
      </c>
      <c r="D12" s="94">
        <f>C12</f>
        <v>40880000</v>
      </c>
      <c r="E12" s="94"/>
      <c r="F12" s="93">
        <f>D12</f>
        <v>40880000</v>
      </c>
      <c r="G12" s="93"/>
      <c r="H12" s="93"/>
      <c r="I12" s="95"/>
    </row>
    <row r="13" spans="1:11" s="89" customFormat="1" ht="28.5" x14ac:dyDescent="0.25">
      <c r="A13" s="83" t="s">
        <v>18</v>
      </c>
      <c r="B13" s="96" t="s">
        <v>244</v>
      </c>
      <c r="C13" s="88">
        <f>SUM(C14:C18)</f>
        <v>409800000</v>
      </c>
      <c r="D13" s="88">
        <f>SUM(C14:C18)</f>
        <v>409800000</v>
      </c>
      <c r="E13" s="88">
        <f>E14+E15+E16+E17+E18</f>
        <v>0</v>
      </c>
      <c r="F13" s="88">
        <f t="shared" ref="F13:H13" si="2">F14+F15+F16+F17+F18</f>
        <v>409800000</v>
      </c>
      <c r="G13" s="88">
        <f t="shared" si="2"/>
        <v>0</v>
      </c>
      <c r="H13" s="88">
        <f t="shared" si="2"/>
        <v>0</v>
      </c>
      <c r="I13" s="106"/>
    </row>
    <row r="14" spans="1:11" ht="30" x14ac:dyDescent="0.25">
      <c r="A14" s="91">
        <v>1</v>
      </c>
      <c r="B14" s="92" t="str">
        <f>'Đào tạo chung'!B12</f>
        <v>Xây dựng và soạn thảo qui trình kỹ thuật trồng và chăm sóc chè Shan tuyết cổ thụ</v>
      </c>
      <c r="C14" s="93">
        <f>'Đào tạo chung'!G12</f>
        <v>27800000</v>
      </c>
      <c r="D14" s="94">
        <f>C14</f>
        <v>27800000</v>
      </c>
      <c r="E14" s="94"/>
      <c r="F14" s="93">
        <f>D14</f>
        <v>27800000</v>
      </c>
      <c r="G14" s="93"/>
      <c r="H14" s="93"/>
      <c r="I14" s="95"/>
    </row>
    <row r="15" spans="1:11" ht="45" x14ac:dyDescent="0.25">
      <c r="A15" s="91">
        <v>2</v>
      </c>
      <c r="B15" s="92" t="str">
        <f>'Đào tạo chung'!B18:F18</f>
        <v>Đào tạo về qui trình trồng và chăm sóc chè bền vững theo hướng hữu cơ cho cây chè Shan tuyết cổ thụ</v>
      </c>
      <c r="C15" s="93">
        <f>'Đào tạo chung'!G18</f>
        <v>164850000</v>
      </c>
      <c r="D15" s="94">
        <f t="shared" ref="D15:D18" si="3">C15</f>
        <v>164850000</v>
      </c>
      <c r="E15" s="94"/>
      <c r="F15" s="93">
        <f>D15</f>
        <v>164850000</v>
      </c>
      <c r="G15" s="93"/>
      <c r="H15" s="93"/>
      <c r="I15" s="95"/>
    </row>
    <row r="16" spans="1:11" ht="30" x14ac:dyDescent="0.25">
      <c r="A16" s="91">
        <v>3</v>
      </c>
      <c r="B16" s="92" t="str">
        <f>'Đào tạo chung'!B41</f>
        <v xml:space="preserve"> Đào tạo về phát triển chuỗi giá trị chè kết hợp du lịch sinh thái</v>
      </c>
      <c r="C16" s="93">
        <f>'Đào tạo chung'!G41</f>
        <v>58900000</v>
      </c>
      <c r="D16" s="94">
        <f t="shared" si="3"/>
        <v>58900000</v>
      </c>
      <c r="E16" s="94"/>
      <c r="F16" s="93">
        <f>D16</f>
        <v>58900000</v>
      </c>
      <c r="G16" s="93"/>
      <c r="H16" s="93"/>
      <c r="I16" s="95"/>
    </row>
    <row r="17" spans="1:13" ht="45" x14ac:dyDescent="0.25">
      <c r="A17" s="91">
        <v>4</v>
      </c>
      <c r="B17" s="92" t="str">
        <f>'Đào tạo chung'!B52:F52</f>
        <v>Đào tạo tổng quan về mô hình phát triển du lịch sinh thái nông thôn
(theo tiêu chuẩn TCVN13259:2020)</v>
      </c>
      <c r="C17" s="93">
        <f>'Đào tạo chung'!G52</f>
        <v>58900000</v>
      </c>
      <c r="D17" s="94">
        <f t="shared" si="3"/>
        <v>58900000</v>
      </c>
      <c r="E17" s="94"/>
      <c r="F17" s="93">
        <f>D17</f>
        <v>58900000</v>
      </c>
      <c r="G17" s="93"/>
      <c r="H17" s="93"/>
      <c r="I17" s="95"/>
    </row>
    <row r="18" spans="1:13" ht="45" x14ac:dyDescent="0.25">
      <c r="A18" s="91">
        <v>5</v>
      </c>
      <c r="B18" s="92" t="str">
        <f>'Đào tạo chung'!B63:F63</f>
        <v>Tham quan học tập về mô hình bảo tồn cây chè Shan tuyết  gắn với du lịch sinh thái</v>
      </c>
      <c r="C18" s="93">
        <f>'Đào tạo chung'!G63</f>
        <v>99350000</v>
      </c>
      <c r="D18" s="94">
        <f t="shared" si="3"/>
        <v>99350000</v>
      </c>
      <c r="E18" s="94"/>
      <c r="F18" s="93">
        <f>D18</f>
        <v>99350000</v>
      </c>
      <c r="G18" s="93"/>
      <c r="H18" s="93"/>
      <c r="I18" s="95"/>
    </row>
    <row r="19" spans="1:13" s="89" customFormat="1" ht="28.5" x14ac:dyDescent="0.25">
      <c r="A19" s="83" t="s">
        <v>19</v>
      </c>
      <c r="B19" s="96" t="s">
        <v>229</v>
      </c>
      <c r="C19" s="88">
        <f>D19</f>
        <v>7335792500</v>
      </c>
      <c r="D19" s="88">
        <f>SUM(D20:D23)</f>
        <v>7335792500</v>
      </c>
      <c r="E19" s="88">
        <f>E20+E21+E22+E23</f>
        <v>550000000</v>
      </c>
      <c r="F19" s="88">
        <f t="shared" ref="F19:H19" si="4">F20+F21+F22+F23</f>
        <v>1451792500</v>
      </c>
      <c r="G19" s="88">
        <f t="shared" si="4"/>
        <v>2800000000</v>
      </c>
      <c r="H19" s="88">
        <f t="shared" si="4"/>
        <v>2534000000</v>
      </c>
      <c r="I19" s="97"/>
    </row>
    <row r="20" spans="1:13" ht="30" x14ac:dyDescent="0.25">
      <c r="A20" s="91">
        <v>1</v>
      </c>
      <c r="B20" s="92" t="str">
        <f>'Hỗ trợ vật tư NN'!B10:F10</f>
        <v>Hỗ trợ bảo tồn, cải tạo năng suất cho cây chè Shan tuyết cổ thụ</v>
      </c>
      <c r="C20" s="93">
        <f t="shared" ref="C20:C22" si="5">D20</f>
        <v>1001792500</v>
      </c>
      <c r="D20" s="94">
        <f>'Hỗ trợ vật tư NN'!I10</f>
        <v>1001792500</v>
      </c>
      <c r="E20" s="94">
        <f>550000000</f>
        <v>550000000</v>
      </c>
      <c r="F20" s="93">
        <f>D20-E20</f>
        <v>451792500</v>
      </c>
      <c r="G20" s="93"/>
      <c r="H20" s="93"/>
      <c r="I20" s="214"/>
      <c r="J20" s="215"/>
      <c r="K20" s="215"/>
      <c r="L20" s="215"/>
      <c r="M20" s="215"/>
    </row>
    <row r="21" spans="1:13" ht="30" x14ac:dyDescent="0.25">
      <c r="A21" s="91">
        <v>2</v>
      </c>
      <c r="B21" s="92" t="str">
        <f>'Hỗ trợ vật tư NN'!B14</f>
        <v>Hỗ trợ trồng mới chè Shan Tuyết phân tán</v>
      </c>
      <c r="C21" s="93">
        <f t="shared" si="5"/>
        <v>3724000000</v>
      </c>
      <c r="D21" s="94">
        <f>'Hỗ trợ vật tư NN'!I14</f>
        <v>3724000000</v>
      </c>
      <c r="E21" s="94"/>
      <c r="F21" s="93"/>
      <c r="G21" s="93">
        <f>2000000000</f>
        <v>2000000000</v>
      </c>
      <c r="H21" s="93">
        <f>D21-G21</f>
        <v>1724000000</v>
      </c>
      <c r="I21" s="95"/>
    </row>
    <row r="22" spans="1:13" x14ac:dyDescent="0.25">
      <c r="A22" s="91">
        <v>3</v>
      </c>
      <c r="B22" s="92" t="str">
        <f>'Hỗ trợ vật tư NN'!B18</f>
        <v>Hỗ trợ giàn giáo hái chè</v>
      </c>
      <c r="C22" s="93">
        <f t="shared" si="5"/>
        <v>1000000000</v>
      </c>
      <c r="D22" s="94">
        <f>'Hỗ trợ vật tư NN'!I18</f>
        <v>1000000000</v>
      </c>
      <c r="E22" s="94"/>
      <c r="F22" s="93">
        <f>D22</f>
        <v>1000000000</v>
      </c>
      <c r="G22" s="93"/>
      <c r="H22" s="93"/>
      <c r="I22" s="95"/>
    </row>
    <row r="23" spans="1:13" ht="30" x14ac:dyDescent="0.25">
      <c r="A23" s="91">
        <v>4</v>
      </c>
      <c r="B23" s="92" t="str">
        <f>'Hỗ trợ vật tư NN'!B20:F20</f>
        <v>Hỗ trợ thiết bị chế biến chè Shan tuyết cổ thụ</v>
      </c>
      <c r="C23" s="93">
        <f>D23</f>
        <v>1610000000</v>
      </c>
      <c r="D23" s="94">
        <f>'Hỗ trợ vật tư NN'!G20</f>
        <v>1610000000</v>
      </c>
      <c r="E23" s="94"/>
      <c r="F23" s="93"/>
      <c r="G23" s="93">
        <v>800000000</v>
      </c>
      <c r="H23" s="93">
        <f>D23-G23</f>
        <v>810000000</v>
      </c>
      <c r="I23" s="95"/>
    </row>
    <row r="24" spans="1:13" s="89" customFormat="1" ht="28.5" x14ac:dyDescent="0.25">
      <c r="A24" s="83" t="s">
        <v>21</v>
      </c>
      <c r="B24" s="96" t="s">
        <v>267</v>
      </c>
      <c r="C24" s="88">
        <f>SUM(C25:C29)</f>
        <v>296000000</v>
      </c>
      <c r="D24" s="88">
        <f t="shared" ref="D24" si="6">SUM(D25:D29)</f>
        <v>296000000</v>
      </c>
      <c r="E24" s="88">
        <f>SUM(E25:E29)</f>
        <v>0</v>
      </c>
      <c r="F24" s="88">
        <f t="shared" ref="F24:H24" si="7">SUM(F25:F29)</f>
        <v>176000000</v>
      </c>
      <c r="G24" s="88">
        <f t="shared" si="7"/>
        <v>90000000</v>
      </c>
      <c r="H24" s="88">
        <f t="shared" si="7"/>
        <v>30000000</v>
      </c>
      <c r="I24" s="97"/>
    </row>
    <row r="25" spans="1:13" ht="30" x14ac:dyDescent="0.25">
      <c r="A25" s="91">
        <v>1</v>
      </c>
      <c r="B25" s="92" t="s">
        <v>251</v>
      </c>
      <c r="C25" s="93">
        <f>'Xúc tiến thương mại'!G11</f>
        <v>25000000</v>
      </c>
      <c r="D25" s="94">
        <f>C25</f>
        <v>25000000</v>
      </c>
      <c r="E25" s="94"/>
      <c r="F25" s="93">
        <f>D25</f>
        <v>25000000</v>
      </c>
      <c r="G25" s="93"/>
      <c r="H25" s="93"/>
      <c r="I25" s="95"/>
    </row>
    <row r="26" spans="1:13" ht="30" x14ac:dyDescent="0.25">
      <c r="A26" s="91">
        <v>2</v>
      </c>
      <c r="B26" s="92" t="s">
        <v>252</v>
      </c>
      <c r="C26" s="93">
        <f>'Xúc tiến thương mại'!G10</f>
        <v>52000000</v>
      </c>
      <c r="D26" s="94">
        <f t="shared" ref="D26:D29" si="8">C26</f>
        <v>52000000</v>
      </c>
      <c r="E26" s="94"/>
      <c r="F26" s="93">
        <f>D26</f>
        <v>52000000</v>
      </c>
      <c r="G26" s="93"/>
      <c r="H26" s="93"/>
      <c r="I26" s="95"/>
    </row>
    <row r="27" spans="1:13" ht="30" x14ac:dyDescent="0.25">
      <c r="A27" s="91">
        <v>3</v>
      </c>
      <c r="B27" s="92" t="s">
        <v>255</v>
      </c>
      <c r="C27" s="93">
        <f>'Xúc tiến thương mại'!G12+'Xúc tiến thương mại'!G13</f>
        <v>19000000</v>
      </c>
      <c r="D27" s="94">
        <f t="shared" si="8"/>
        <v>19000000</v>
      </c>
      <c r="E27" s="94"/>
      <c r="F27" s="93">
        <f>D27</f>
        <v>19000000</v>
      </c>
      <c r="G27" s="93"/>
      <c r="H27" s="93"/>
      <c r="I27" s="95"/>
    </row>
    <row r="28" spans="1:13" ht="30" x14ac:dyDescent="0.25">
      <c r="A28" s="91">
        <v>4</v>
      </c>
      <c r="B28" s="92" t="s">
        <v>256</v>
      </c>
      <c r="C28" s="93">
        <f>'Xúc tiến thương mại'!G14</f>
        <v>100000000</v>
      </c>
      <c r="D28" s="94">
        <f t="shared" si="8"/>
        <v>100000000</v>
      </c>
      <c r="E28" s="94"/>
      <c r="F28" s="93">
        <v>30000000</v>
      </c>
      <c r="G28" s="93">
        <v>40000000</v>
      </c>
      <c r="H28" s="93">
        <v>30000000</v>
      </c>
      <c r="I28" s="95"/>
    </row>
    <row r="29" spans="1:13" x14ac:dyDescent="0.25">
      <c r="A29" s="91">
        <v>5</v>
      </c>
      <c r="B29" s="93" t="s">
        <v>257</v>
      </c>
      <c r="C29" s="93">
        <f>'Xúc tiến thương mại'!G15</f>
        <v>100000000</v>
      </c>
      <c r="D29" s="94">
        <f t="shared" si="8"/>
        <v>100000000</v>
      </c>
      <c r="E29" s="94"/>
      <c r="F29" s="93">
        <v>50000000</v>
      </c>
      <c r="G29" s="93">
        <f>D29-F29</f>
        <v>50000000</v>
      </c>
      <c r="H29" s="93"/>
      <c r="I29" s="95"/>
    </row>
    <row r="30" spans="1:13" s="89" customFormat="1" ht="28.5" x14ac:dyDescent="0.25">
      <c r="A30" s="83" t="s">
        <v>250</v>
      </c>
      <c r="B30" s="96" t="s">
        <v>268</v>
      </c>
      <c r="C30" s="88">
        <f>SUM(C31:C34)</f>
        <v>4175000000</v>
      </c>
      <c r="D30" s="88">
        <f>SUM(D31:D34)</f>
        <v>4175000000</v>
      </c>
      <c r="E30" s="88">
        <f>SUM(E31:E34)</f>
        <v>0</v>
      </c>
      <c r="F30" s="88">
        <f t="shared" ref="F30:H30" si="9">SUM(F31:F34)</f>
        <v>1670000000</v>
      </c>
      <c r="G30" s="88">
        <f t="shared" si="9"/>
        <v>1905000000</v>
      </c>
      <c r="H30" s="88">
        <f t="shared" si="9"/>
        <v>600000000</v>
      </c>
      <c r="I30" s="155" t="s">
        <v>264</v>
      </c>
    </row>
    <row r="31" spans="1:13" x14ac:dyDescent="0.25">
      <c r="A31" s="91">
        <v>1</v>
      </c>
      <c r="B31" s="93" t="s">
        <v>259</v>
      </c>
      <c r="C31" s="93">
        <f>'Đào tạo_hỗ trợ sản phẩm DVDLCD'!F7</f>
        <v>2600000000</v>
      </c>
      <c r="D31" s="94">
        <f>'Đào tạo_hỗ trợ sản phẩm DVDLCD'!F7</f>
        <v>2600000000</v>
      </c>
      <c r="E31" s="94"/>
      <c r="F31" s="93">
        <v>1000000000</v>
      </c>
      <c r="G31" s="93">
        <f>1000000000</f>
        <v>1000000000</v>
      </c>
      <c r="H31" s="145">
        <f>D31-F31-G31</f>
        <v>600000000</v>
      </c>
      <c r="I31" s="156"/>
    </row>
    <row r="32" spans="1:13" x14ac:dyDescent="0.25">
      <c r="A32" s="91">
        <v>2</v>
      </c>
      <c r="B32" s="93" t="s">
        <v>260</v>
      </c>
      <c r="C32" s="93">
        <f>'Đào tạo_hỗ trợ sản phẩm DVDLCD'!F16</f>
        <v>1035500000</v>
      </c>
      <c r="D32" s="94">
        <f>'Đào tạo_hỗ trợ sản phẩm DVDLCD'!F16</f>
        <v>1035500000</v>
      </c>
      <c r="E32" s="94"/>
      <c r="F32" s="93">
        <v>400000000</v>
      </c>
      <c r="G32" s="93">
        <f>D32-F32</f>
        <v>635500000</v>
      </c>
      <c r="H32" s="145"/>
      <c r="I32" s="156"/>
    </row>
    <row r="33" spans="1:9" ht="30" x14ac:dyDescent="0.25">
      <c r="A33" s="91">
        <v>3</v>
      </c>
      <c r="B33" s="92" t="s">
        <v>261</v>
      </c>
      <c r="C33" s="93">
        <f>'Đào tạo_hỗ trợ sản phẩm DVDLCD'!F64</f>
        <v>400500000</v>
      </c>
      <c r="D33" s="94">
        <f>'Đào tạo_hỗ trợ sản phẩm DVDLCD'!F64</f>
        <v>400500000</v>
      </c>
      <c r="E33" s="94"/>
      <c r="F33" s="93">
        <v>200000000</v>
      </c>
      <c r="G33" s="93">
        <f>D33-F33</f>
        <v>200500000</v>
      </c>
      <c r="H33" s="145"/>
      <c r="I33" s="156"/>
    </row>
    <row r="34" spans="1:9" ht="30" x14ac:dyDescent="0.25">
      <c r="A34" s="91">
        <v>4</v>
      </c>
      <c r="B34" s="92" t="s">
        <v>262</v>
      </c>
      <c r="C34" s="93">
        <f>'Đào tạo_hỗ trợ sản phẩm DVDLCD'!F84</f>
        <v>139000000</v>
      </c>
      <c r="D34" s="94">
        <f>'Đào tạo_hỗ trợ sản phẩm DVDLCD'!F84</f>
        <v>139000000</v>
      </c>
      <c r="E34" s="94"/>
      <c r="F34" s="93">
        <f>70000000</f>
        <v>70000000</v>
      </c>
      <c r="G34" s="93">
        <f>D34-F34</f>
        <v>69000000</v>
      </c>
      <c r="H34" s="146"/>
      <c r="I34" s="157"/>
    </row>
    <row r="35" spans="1:9" s="89" customFormat="1" ht="14.25" x14ac:dyDescent="0.25">
      <c r="A35" s="83" t="s">
        <v>253</v>
      </c>
      <c r="B35" s="98" t="s">
        <v>254</v>
      </c>
      <c r="C35" s="88">
        <f>C36+C37</f>
        <v>765448350</v>
      </c>
      <c r="D35" s="88">
        <f t="shared" ref="D35:H35" si="10">D36+D37</f>
        <v>765448350</v>
      </c>
      <c r="E35" s="88">
        <f t="shared" si="10"/>
        <v>399224175</v>
      </c>
      <c r="F35" s="88">
        <f t="shared" si="10"/>
        <v>172274175</v>
      </c>
      <c r="G35" s="88">
        <f t="shared" si="10"/>
        <v>198300000</v>
      </c>
      <c r="H35" s="88">
        <f t="shared" si="10"/>
        <v>112020000</v>
      </c>
      <c r="I35" s="155" t="s">
        <v>265</v>
      </c>
    </row>
    <row r="36" spans="1:9" x14ac:dyDescent="0.25">
      <c r="A36" s="91">
        <v>1</v>
      </c>
      <c r="B36" s="93" t="s">
        <v>308</v>
      </c>
      <c r="C36" s="93">
        <f>(C9+C30)*3%</f>
        <v>382724175</v>
      </c>
      <c r="D36" s="93">
        <f>(D9+D30)*3%</f>
        <v>382724175</v>
      </c>
      <c r="E36" s="93">
        <f>D36</f>
        <v>382724175</v>
      </c>
      <c r="F36" s="93"/>
      <c r="G36" s="93"/>
      <c r="H36" s="93"/>
      <c r="I36" s="156"/>
    </row>
    <row r="37" spans="1:9" x14ac:dyDescent="0.25">
      <c r="A37" s="91">
        <v>2</v>
      </c>
      <c r="B37" s="93" t="s">
        <v>263</v>
      </c>
      <c r="C37" s="93">
        <f>(C9+C30)*3%</f>
        <v>382724175</v>
      </c>
      <c r="D37" s="93">
        <f t="shared" ref="D37:H37" si="11">(D9+D30)*3%</f>
        <v>382724175</v>
      </c>
      <c r="E37" s="93">
        <f t="shared" si="11"/>
        <v>16500000</v>
      </c>
      <c r="F37" s="93">
        <f t="shared" si="11"/>
        <v>172274175</v>
      </c>
      <c r="G37" s="93">
        <f t="shared" si="11"/>
        <v>198300000</v>
      </c>
      <c r="H37" s="93">
        <f t="shared" si="11"/>
        <v>112020000</v>
      </c>
      <c r="I37" s="157"/>
    </row>
    <row r="38" spans="1:9" s="89" customFormat="1" ht="14.25" x14ac:dyDescent="0.25">
      <c r="A38" s="99"/>
      <c r="B38" s="99" t="s">
        <v>258</v>
      </c>
      <c r="C38" s="100">
        <f>C9+C30+C35</f>
        <v>13522920850</v>
      </c>
      <c r="D38" s="100">
        <f t="shared" ref="D38:H38" si="12">D9+D30+D35</f>
        <v>13522920850</v>
      </c>
      <c r="E38" s="100">
        <f t="shared" si="12"/>
        <v>949224175</v>
      </c>
      <c r="F38" s="100">
        <f t="shared" si="12"/>
        <v>5914746675</v>
      </c>
      <c r="G38" s="100">
        <f t="shared" si="12"/>
        <v>6808300000</v>
      </c>
      <c r="H38" s="100">
        <f t="shared" si="12"/>
        <v>3846020000</v>
      </c>
      <c r="I38" s="101"/>
    </row>
    <row r="39" spans="1:9" x14ac:dyDescent="0.25">
      <c r="A39" s="102"/>
      <c r="B39" s="103"/>
      <c r="C39" s="103"/>
      <c r="D39" s="103"/>
      <c r="E39" s="103"/>
      <c r="F39" s="103"/>
      <c r="G39" s="103"/>
      <c r="H39" s="103"/>
    </row>
    <row r="40" spans="1:9" x14ac:dyDescent="0.25">
      <c r="A40" s="102"/>
      <c r="B40" s="103"/>
      <c r="C40" s="103"/>
      <c r="D40" s="104"/>
      <c r="E40" s="104"/>
      <c r="F40" s="103"/>
      <c r="G40" s="103"/>
      <c r="H40" s="103"/>
    </row>
    <row r="41" spans="1:9" ht="18.75" x14ac:dyDescent="0.3">
      <c r="A41" s="102"/>
      <c r="B41" s="153"/>
      <c r="C41" s="103"/>
      <c r="D41" s="103"/>
      <c r="E41" s="103"/>
      <c r="F41" s="103"/>
      <c r="G41" s="103"/>
      <c r="H41" s="103"/>
    </row>
    <row r="42" spans="1:9" ht="18.75" x14ac:dyDescent="0.3">
      <c r="A42" s="102"/>
      <c r="B42" s="153"/>
      <c r="C42" s="103"/>
      <c r="D42" s="103"/>
      <c r="E42" s="103"/>
      <c r="F42" s="103"/>
      <c r="G42" s="103"/>
      <c r="H42" s="103"/>
    </row>
    <row r="43" spans="1:9" x14ac:dyDescent="0.25">
      <c r="A43" s="102"/>
      <c r="B43" s="103"/>
      <c r="C43" s="103"/>
      <c r="D43" s="103"/>
      <c r="E43" s="103"/>
      <c r="F43" s="103"/>
      <c r="G43" s="103"/>
      <c r="H43" s="103"/>
    </row>
    <row r="45" spans="1:9" ht="18.75" x14ac:dyDescent="0.3">
      <c r="F45" s="153"/>
    </row>
    <row r="46" spans="1:9" ht="18.75" x14ac:dyDescent="0.3">
      <c r="D46" s="105"/>
      <c r="E46" s="105"/>
      <c r="F46" s="153"/>
    </row>
    <row r="47" spans="1:9" ht="18.75" x14ac:dyDescent="0.3">
      <c r="F47" s="153"/>
    </row>
    <row r="48" spans="1:9" x14ac:dyDescent="0.25">
      <c r="F48" s="154"/>
    </row>
  </sheetData>
  <mergeCells count="15">
    <mergeCell ref="A1:I1"/>
    <mergeCell ref="C6:C8"/>
    <mergeCell ref="A3:D3"/>
    <mergeCell ref="A4:D4"/>
    <mergeCell ref="I30:I34"/>
    <mergeCell ref="A6:A8"/>
    <mergeCell ref="B6:B8"/>
    <mergeCell ref="D6:D8"/>
    <mergeCell ref="E7:E8"/>
    <mergeCell ref="I35:I37"/>
    <mergeCell ref="I6:I8"/>
    <mergeCell ref="F7:F8"/>
    <mergeCell ref="G7:G8"/>
    <mergeCell ref="H7:H8"/>
    <mergeCell ref="E6:H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5"/>
  <sheetViews>
    <sheetView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10" sqref="L10"/>
    </sheetView>
  </sheetViews>
  <sheetFormatPr defaultColWidth="8.85546875" defaultRowHeight="15" x14ac:dyDescent="0.25"/>
  <cols>
    <col min="1" max="1" width="8.85546875" style="1"/>
    <col min="2" max="2" width="29.140625" style="1" customWidth="1"/>
    <col min="3" max="3" width="25.85546875" style="1" customWidth="1"/>
    <col min="4" max="4" width="15" style="1" customWidth="1"/>
    <col min="5" max="5" width="13" style="1" customWidth="1"/>
    <col min="6" max="6" width="19.7109375" style="1" customWidth="1"/>
    <col min="7" max="7" width="15.85546875" style="1" customWidth="1"/>
    <col min="8" max="11" width="12.7109375" style="1" customWidth="1"/>
    <col min="12" max="12" width="22.28515625" style="1" customWidth="1"/>
    <col min="13" max="16384" width="8.85546875" style="1"/>
  </cols>
  <sheetData>
    <row r="1" spans="1:12" x14ac:dyDescent="0.25">
      <c r="A1" s="171" t="s">
        <v>85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3" spans="1:12" x14ac:dyDescent="0.25">
      <c r="A3" s="1" t="s">
        <v>32</v>
      </c>
    </row>
    <row r="4" spans="1:12" x14ac:dyDescent="0.25">
      <c r="A4" s="1" t="s">
        <v>298</v>
      </c>
    </row>
    <row r="5" spans="1:12" x14ac:dyDescent="0.25">
      <c r="K5" s="172" t="s">
        <v>0</v>
      </c>
      <c r="L5" s="172"/>
    </row>
    <row r="6" spans="1:12" x14ac:dyDescent="0.25">
      <c r="A6" s="170" t="s">
        <v>1</v>
      </c>
      <c r="B6" s="170" t="s">
        <v>2</v>
      </c>
      <c r="C6" s="170" t="s">
        <v>3</v>
      </c>
      <c r="D6" s="173" t="s">
        <v>4</v>
      </c>
      <c r="E6" s="170" t="s">
        <v>5</v>
      </c>
      <c r="F6" s="170" t="s">
        <v>6</v>
      </c>
      <c r="G6" s="170" t="s">
        <v>7</v>
      </c>
      <c r="H6" s="170" t="s">
        <v>8</v>
      </c>
      <c r="I6" s="170"/>
      <c r="J6" s="170"/>
      <c r="K6" s="170"/>
      <c r="L6" s="170" t="s">
        <v>9</v>
      </c>
    </row>
    <row r="7" spans="1:12" ht="28.5" x14ac:dyDescent="0.25">
      <c r="A7" s="170"/>
      <c r="B7" s="170"/>
      <c r="C7" s="170"/>
      <c r="D7" s="173"/>
      <c r="E7" s="170"/>
      <c r="F7" s="170"/>
      <c r="G7" s="170"/>
      <c r="H7" s="4" t="s">
        <v>10</v>
      </c>
      <c r="I7" s="4" t="s">
        <v>11</v>
      </c>
      <c r="J7" s="170" t="s">
        <v>12</v>
      </c>
      <c r="K7" s="170"/>
      <c r="L7" s="170"/>
    </row>
    <row r="8" spans="1:12" ht="42.75" x14ac:dyDescent="0.25">
      <c r="A8" s="170"/>
      <c r="B8" s="170"/>
      <c r="C8" s="170"/>
      <c r="D8" s="173"/>
      <c r="E8" s="170"/>
      <c r="F8" s="170"/>
      <c r="G8" s="170"/>
      <c r="H8" s="2" t="s">
        <v>10</v>
      </c>
      <c r="I8" s="2" t="s">
        <v>11</v>
      </c>
      <c r="J8" s="2" t="s">
        <v>15</v>
      </c>
      <c r="K8" s="2" t="s">
        <v>16</v>
      </c>
      <c r="L8" s="170"/>
    </row>
    <row r="9" spans="1:12" x14ac:dyDescent="0.25">
      <c r="A9" s="167" t="s">
        <v>243</v>
      </c>
      <c r="B9" s="168"/>
      <c r="C9" s="169"/>
      <c r="D9" s="3"/>
      <c r="E9" s="2"/>
      <c r="F9" s="2"/>
      <c r="G9" s="25">
        <f>G10+G11</f>
        <v>540880000</v>
      </c>
      <c r="H9" s="2"/>
      <c r="I9" s="2"/>
      <c r="J9" s="2"/>
      <c r="K9" s="2"/>
      <c r="L9" s="2"/>
    </row>
    <row r="10" spans="1:12" ht="90" x14ac:dyDescent="0.25">
      <c r="A10" s="7">
        <v>1</v>
      </c>
      <c r="B10" s="8" t="s">
        <v>307</v>
      </c>
      <c r="C10" s="54" t="s">
        <v>303</v>
      </c>
      <c r="D10" s="9"/>
      <c r="E10" s="7"/>
      <c r="F10" s="7"/>
      <c r="G10" s="26">
        <v>500000000</v>
      </c>
      <c r="H10" s="26">
        <f>I10</f>
        <v>500000000</v>
      </c>
      <c r="I10" s="26">
        <f>G10</f>
        <v>500000000</v>
      </c>
      <c r="J10" s="26"/>
      <c r="K10" s="26"/>
      <c r="L10" s="118"/>
    </row>
    <row r="11" spans="1:12" ht="30" x14ac:dyDescent="0.25">
      <c r="A11" s="7">
        <v>2</v>
      </c>
      <c r="B11" s="54" t="s">
        <v>64</v>
      </c>
      <c r="C11" s="54"/>
      <c r="D11" s="9"/>
      <c r="E11" s="7"/>
      <c r="F11" s="7"/>
      <c r="G11" s="26">
        <f>SUM(G12:G19)</f>
        <v>40880000</v>
      </c>
      <c r="H11" s="26">
        <f t="shared" ref="H11:K11" si="0">SUM(H12:H19)</f>
        <v>0</v>
      </c>
      <c r="I11" s="26">
        <f t="shared" si="0"/>
        <v>40880000</v>
      </c>
      <c r="J11" s="26">
        <f t="shared" si="0"/>
        <v>0</v>
      </c>
      <c r="K11" s="26">
        <f t="shared" si="0"/>
        <v>0</v>
      </c>
      <c r="L11" s="118"/>
    </row>
    <row r="12" spans="1:12" x14ac:dyDescent="0.25">
      <c r="A12" s="7"/>
      <c r="B12" s="42" t="s">
        <v>79</v>
      </c>
      <c r="C12" s="54" t="s">
        <v>87</v>
      </c>
      <c r="D12" s="43" t="s">
        <v>65</v>
      </c>
      <c r="E12" s="44">
        <v>10</v>
      </c>
      <c r="F12" s="45">
        <v>1000000</v>
      </c>
      <c r="G12" s="26">
        <f>E12*F12</f>
        <v>10000000</v>
      </c>
      <c r="H12" s="7"/>
      <c r="I12" s="26">
        <f>G12</f>
        <v>10000000</v>
      </c>
      <c r="J12" s="7"/>
      <c r="K12" s="7"/>
      <c r="L12" s="118"/>
    </row>
    <row r="13" spans="1:12" ht="30" x14ac:dyDescent="0.25">
      <c r="A13" s="7"/>
      <c r="B13" s="46" t="s">
        <v>80</v>
      </c>
      <c r="C13" s="54" t="s">
        <v>67</v>
      </c>
      <c r="D13" s="43" t="s">
        <v>41</v>
      </c>
      <c r="E13" s="44">
        <v>4</v>
      </c>
      <c r="F13" s="47">
        <v>920000</v>
      </c>
      <c r="G13" s="26">
        <f t="shared" ref="G13:G19" si="1">E13*F13</f>
        <v>3680000</v>
      </c>
      <c r="H13" s="7"/>
      <c r="I13" s="26">
        <f t="shared" ref="I13:I19" si="2">G13</f>
        <v>3680000</v>
      </c>
      <c r="J13" s="7"/>
      <c r="K13" s="7"/>
      <c r="L13" s="118"/>
    </row>
    <row r="14" spans="1:12" ht="30" x14ac:dyDescent="0.25">
      <c r="A14" s="7"/>
      <c r="B14" s="48" t="s">
        <v>81</v>
      </c>
      <c r="C14" s="54" t="s">
        <v>88</v>
      </c>
      <c r="D14" s="49" t="s">
        <v>69</v>
      </c>
      <c r="E14" s="50">
        <v>10</v>
      </c>
      <c r="F14" s="51">
        <v>200000</v>
      </c>
      <c r="G14" s="26">
        <f t="shared" si="1"/>
        <v>2000000</v>
      </c>
      <c r="H14" s="7"/>
      <c r="I14" s="26">
        <f t="shared" si="2"/>
        <v>2000000</v>
      </c>
      <c r="J14" s="7"/>
      <c r="K14" s="7"/>
      <c r="L14" s="118"/>
    </row>
    <row r="15" spans="1:12" ht="30" x14ac:dyDescent="0.25">
      <c r="A15" s="7"/>
      <c r="B15" s="52" t="s">
        <v>82</v>
      </c>
      <c r="C15" s="54" t="s">
        <v>89</v>
      </c>
      <c r="D15" s="49" t="s">
        <v>72</v>
      </c>
      <c r="E15" s="44">
        <v>10</v>
      </c>
      <c r="F15" s="47">
        <v>200000</v>
      </c>
      <c r="G15" s="26">
        <f t="shared" si="1"/>
        <v>2000000</v>
      </c>
      <c r="H15" s="7"/>
      <c r="I15" s="26">
        <f t="shared" si="2"/>
        <v>2000000</v>
      </c>
      <c r="J15" s="7"/>
      <c r="K15" s="7"/>
      <c r="L15" s="118"/>
    </row>
    <row r="16" spans="1:12" ht="30" x14ac:dyDescent="0.25">
      <c r="A16" s="7"/>
      <c r="B16" s="46" t="s">
        <v>73</v>
      </c>
      <c r="C16" s="54" t="s">
        <v>90</v>
      </c>
      <c r="D16" s="49" t="s">
        <v>70</v>
      </c>
      <c r="E16" s="44">
        <v>150</v>
      </c>
      <c r="F16" s="47">
        <v>40000</v>
      </c>
      <c r="G16" s="26">
        <f t="shared" si="1"/>
        <v>6000000</v>
      </c>
      <c r="H16" s="7"/>
      <c r="I16" s="26">
        <f t="shared" si="2"/>
        <v>6000000</v>
      </c>
      <c r="J16" s="7"/>
      <c r="K16" s="7"/>
      <c r="L16" s="118"/>
    </row>
    <row r="17" spans="1:12" ht="30" x14ac:dyDescent="0.25">
      <c r="A17" s="7"/>
      <c r="B17" s="46" t="s">
        <v>83</v>
      </c>
      <c r="C17" s="54" t="s">
        <v>74</v>
      </c>
      <c r="D17" s="49" t="s">
        <v>70</v>
      </c>
      <c r="E17" s="44">
        <v>150</v>
      </c>
      <c r="F17" s="47">
        <v>100000</v>
      </c>
      <c r="G17" s="26">
        <f t="shared" si="1"/>
        <v>15000000</v>
      </c>
      <c r="H17" s="7"/>
      <c r="I17" s="26">
        <f t="shared" si="2"/>
        <v>15000000</v>
      </c>
      <c r="J17" s="7"/>
      <c r="K17" s="7"/>
      <c r="L17" s="118"/>
    </row>
    <row r="18" spans="1:12" ht="30" x14ac:dyDescent="0.25">
      <c r="A18" s="7"/>
      <c r="B18" s="54" t="s">
        <v>84</v>
      </c>
      <c r="C18" s="54" t="s">
        <v>75</v>
      </c>
      <c r="D18" s="49" t="s">
        <v>70</v>
      </c>
      <c r="E18" s="53">
        <v>30</v>
      </c>
      <c r="F18" s="34">
        <v>50000</v>
      </c>
      <c r="G18" s="26">
        <f t="shared" si="1"/>
        <v>1500000</v>
      </c>
      <c r="H18" s="7"/>
      <c r="I18" s="26">
        <f t="shared" si="2"/>
        <v>1500000</v>
      </c>
      <c r="J18" s="7"/>
      <c r="K18" s="7"/>
      <c r="L18" s="118"/>
    </row>
    <row r="19" spans="1:12" ht="30" x14ac:dyDescent="0.25">
      <c r="A19" s="7"/>
      <c r="B19" s="54" t="s">
        <v>76</v>
      </c>
      <c r="C19" s="54" t="s">
        <v>77</v>
      </c>
      <c r="D19" s="9" t="s">
        <v>78</v>
      </c>
      <c r="E19" s="53">
        <v>35</v>
      </c>
      <c r="F19" s="34">
        <v>20000</v>
      </c>
      <c r="G19" s="26">
        <f t="shared" si="1"/>
        <v>700000</v>
      </c>
      <c r="H19" s="7"/>
      <c r="I19" s="26">
        <f t="shared" si="2"/>
        <v>700000</v>
      </c>
      <c r="J19" s="7"/>
      <c r="K19" s="7"/>
      <c r="L19" s="118"/>
    </row>
    <row r="20" spans="1:12" x14ac:dyDescent="0.25">
      <c r="D20" s="33"/>
      <c r="E20" s="33"/>
      <c r="F20" s="33"/>
      <c r="G20" s="33"/>
      <c r="H20" s="33"/>
      <c r="I20" s="33"/>
      <c r="J20" s="33"/>
      <c r="K20" s="33"/>
      <c r="L20" s="33"/>
    </row>
    <row r="21" spans="1:12" x14ac:dyDescent="0.25">
      <c r="D21" s="33"/>
      <c r="E21" s="33"/>
      <c r="F21" s="33"/>
      <c r="G21" s="33"/>
      <c r="H21" s="33"/>
      <c r="I21" s="33"/>
      <c r="J21" s="33"/>
      <c r="K21" s="33"/>
      <c r="L21" s="33"/>
    </row>
    <row r="22" spans="1:12" x14ac:dyDescent="0.25">
      <c r="D22" s="33"/>
      <c r="E22" s="33"/>
      <c r="F22" s="33"/>
      <c r="G22" s="33"/>
      <c r="H22" s="33"/>
      <c r="I22" s="33"/>
      <c r="J22" s="33"/>
      <c r="K22" s="33"/>
      <c r="L22" s="33"/>
    </row>
    <row r="23" spans="1:12" x14ac:dyDescent="0.25">
      <c r="D23" s="33"/>
      <c r="E23" s="33"/>
      <c r="F23" s="33"/>
      <c r="G23" s="33"/>
      <c r="H23" s="33"/>
      <c r="I23" s="33"/>
      <c r="J23" s="33"/>
      <c r="K23" s="33"/>
      <c r="L23" s="33"/>
    </row>
    <row r="24" spans="1:12" x14ac:dyDescent="0.25">
      <c r="D24" s="33"/>
      <c r="E24" s="33"/>
      <c r="F24" s="33"/>
      <c r="G24" s="33"/>
      <c r="H24" s="33"/>
      <c r="I24" s="33"/>
      <c r="J24" s="33"/>
      <c r="K24" s="33"/>
      <c r="L24" s="33"/>
    </row>
    <row r="25" spans="1:12" x14ac:dyDescent="0.25">
      <c r="D25" s="33"/>
      <c r="E25" s="33"/>
      <c r="F25" s="33"/>
      <c r="G25" s="33"/>
      <c r="H25" s="33"/>
      <c r="I25" s="33"/>
      <c r="J25" s="33"/>
      <c r="K25" s="33"/>
      <c r="L25" s="33"/>
    </row>
    <row r="26" spans="1:12" x14ac:dyDescent="0.25">
      <c r="D26" s="33"/>
      <c r="E26" s="33"/>
      <c r="F26" s="33"/>
      <c r="G26" s="33"/>
      <c r="H26" s="33"/>
      <c r="I26" s="33"/>
      <c r="J26" s="33"/>
      <c r="K26" s="33"/>
      <c r="L26" s="33"/>
    </row>
    <row r="27" spans="1:12" x14ac:dyDescent="0.25">
      <c r="D27" s="33"/>
      <c r="E27" s="33"/>
      <c r="F27" s="33"/>
      <c r="G27" s="33"/>
      <c r="H27" s="33"/>
      <c r="I27" s="33"/>
      <c r="J27" s="33"/>
      <c r="K27" s="33"/>
      <c r="L27" s="33"/>
    </row>
    <row r="28" spans="1:12" x14ac:dyDescent="0.25">
      <c r="D28" s="33"/>
      <c r="E28" s="33"/>
      <c r="F28" s="33"/>
      <c r="G28" s="33"/>
      <c r="H28" s="33"/>
      <c r="I28" s="33"/>
      <c r="J28" s="33"/>
      <c r="K28" s="33"/>
      <c r="L28" s="33"/>
    </row>
    <row r="29" spans="1:12" x14ac:dyDescent="0.25">
      <c r="D29" s="33"/>
      <c r="E29" s="33"/>
      <c r="F29" s="33"/>
      <c r="G29" s="33"/>
      <c r="H29" s="33"/>
      <c r="I29" s="33"/>
      <c r="J29" s="33"/>
      <c r="K29" s="33"/>
      <c r="L29" s="33"/>
    </row>
    <row r="30" spans="1:12" x14ac:dyDescent="0.25">
      <c r="D30" s="33"/>
      <c r="E30" s="33"/>
      <c r="F30" s="33"/>
      <c r="G30" s="33"/>
      <c r="H30" s="33"/>
      <c r="I30" s="33"/>
      <c r="J30" s="33"/>
      <c r="K30" s="33"/>
      <c r="L30" s="33"/>
    </row>
    <row r="31" spans="1:12" x14ac:dyDescent="0.25">
      <c r="D31" s="33"/>
      <c r="E31" s="33"/>
      <c r="F31" s="33"/>
      <c r="G31" s="33"/>
      <c r="H31" s="33"/>
      <c r="I31" s="33"/>
      <c r="J31" s="33"/>
      <c r="K31" s="33"/>
      <c r="L31" s="33"/>
    </row>
    <row r="32" spans="1:12" x14ac:dyDescent="0.25">
      <c r="D32" s="33"/>
      <c r="E32" s="33"/>
      <c r="F32" s="33"/>
      <c r="G32" s="33"/>
      <c r="H32" s="33"/>
      <c r="I32" s="33"/>
      <c r="J32" s="33"/>
      <c r="K32" s="33"/>
      <c r="L32" s="33"/>
    </row>
    <row r="33" spans="4:12" x14ac:dyDescent="0.25">
      <c r="D33" s="33"/>
      <c r="E33" s="33"/>
      <c r="F33" s="33"/>
      <c r="G33" s="33"/>
      <c r="H33" s="33"/>
      <c r="I33" s="33"/>
      <c r="J33" s="33"/>
      <c r="K33" s="33"/>
      <c r="L33" s="33"/>
    </row>
    <row r="34" spans="4:12" x14ac:dyDescent="0.25">
      <c r="D34" s="33"/>
      <c r="E34" s="33"/>
      <c r="F34" s="33"/>
      <c r="G34" s="33"/>
      <c r="H34" s="33"/>
      <c r="I34" s="33"/>
      <c r="J34" s="33"/>
      <c r="K34" s="33"/>
      <c r="L34" s="33"/>
    </row>
    <row r="35" spans="4:12" x14ac:dyDescent="0.25">
      <c r="D35" s="33"/>
      <c r="E35" s="33"/>
      <c r="F35" s="33"/>
      <c r="G35" s="33"/>
      <c r="H35" s="33"/>
      <c r="I35" s="33"/>
      <c r="J35" s="33"/>
      <c r="K35" s="33"/>
      <c r="L35" s="33"/>
    </row>
    <row r="36" spans="4:12" x14ac:dyDescent="0.25">
      <c r="D36" s="33"/>
      <c r="E36" s="33"/>
      <c r="F36" s="33"/>
      <c r="G36" s="33"/>
      <c r="H36" s="33"/>
      <c r="I36" s="33"/>
      <c r="J36" s="33"/>
      <c r="K36" s="33"/>
      <c r="L36" s="33"/>
    </row>
    <row r="37" spans="4:12" x14ac:dyDescent="0.25">
      <c r="D37" s="32"/>
      <c r="E37" s="32"/>
      <c r="F37" s="32"/>
      <c r="G37" s="32"/>
      <c r="H37" s="32"/>
      <c r="I37" s="32"/>
      <c r="J37" s="32"/>
      <c r="K37" s="32"/>
      <c r="L37" s="32"/>
    </row>
    <row r="38" spans="4:12" x14ac:dyDescent="0.25">
      <c r="D38" s="32"/>
      <c r="E38" s="32"/>
      <c r="F38" s="32"/>
      <c r="G38" s="32"/>
      <c r="H38" s="32"/>
      <c r="I38" s="32"/>
      <c r="J38" s="32"/>
      <c r="K38" s="32"/>
      <c r="L38" s="32"/>
    </row>
    <row r="39" spans="4:12" x14ac:dyDescent="0.25">
      <c r="D39" s="32"/>
      <c r="E39" s="32"/>
      <c r="F39" s="32"/>
      <c r="G39" s="32"/>
      <c r="H39" s="32"/>
      <c r="I39" s="32"/>
      <c r="J39" s="32"/>
      <c r="K39" s="32"/>
      <c r="L39" s="32"/>
    </row>
    <row r="40" spans="4:12" x14ac:dyDescent="0.25">
      <c r="D40" s="32"/>
      <c r="E40" s="32"/>
      <c r="F40" s="32"/>
      <c r="G40" s="32"/>
      <c r="H40" s="32"/>
      <c r="I40" s="32"/>
      <c r="J40" s="32"/>
      <c r="K40" s="32"/>
      <c r="L40" s="32"/>
    </row>
    <row r="41" spans="4:12" x14ac:dyDescent="0.25">
      <c r="D41" s="32"/>
      <c r="E41" s="32"/>
      <c r="F41" s="32"/>
      <c r="G41" s="32"/>
      <c r="H41" s="32"/>
      <c r="I41" s="32"/>
      <c r="J41" s="32"/>
      <c r="K41" s="32"/>
      <c r="L41" s="32"/>
    </row>
    <row r="42" spans="4:12" x14ac:dyDescent="0.25">
      <c r="D42" s="32"/>
      <c r="E42" s="32"/>
      <c r="F42" s="32"/>
      <c r="G42" s="32"/>
      <c r="H42" s="32"/>
      <c r="I42" s="32"/>
      <c r="J42" s="32"/>
      <c r="K42" s="32"/>
      <c r="L42" s="32"/>
    </row>
    <row r="43" spans="4:12" x14ac:dyDescent="0.25">
      <c r="D43" s="32"/>
      <c r="E43" s="32"/>
      <c r="F43" s="32"/>
      <c r="G43" s="32"/>
      <c r="H43" s="32"/>
      <c r="I43" s="32"/>
      <c r="J43" s="32"/>
      <c r="K43" s="32"/>
      <c r="L43" s="32"/>
    </row>
    <row r="44" spans="4:12" x14ac:dyDescent="0.25">
      <c r="D44" s="32"/>
      <c r="E44" s="32"/>
      <c r="F44" s="32"/>
      <c r="G44" s="32"/>
      <c r="H44" s="32"/>
      <c r="I44" s="32"/>
      <c r="J44" s="32"/>
      <c r="K44" s="32"/>
      <c r="L44" s="32"/>
    </row>
    <row r="45" spans="4:12" x14ac:dyDescent="0.25">
      <c r="D45" s="32"/>
      <c r="E45" s="32"/>
      <c r="F45" s="32"/>
      <c r="G45" s="32"/>
      <c r="H45" s="32"/>
      <c r="I45" s="32"/>
      <c r="J45" s="32"/>
      <c r="K45" s="32"/>
      <c r="L45" s="32"/>
    </row>
  </sheetData>
  <mergeCells count="13">
    <mergeCell ref="A9:C9"/>
    <mergeCell ref="J7:K7"/>
    <mergeCell ref="A1:L1"/>
    <mergeCell ref="K5:L5"/>
    <mergeCell ref="A6:A8"/>
    <mergeCell ref="B6:B8"/>
    <mergeCell ref="C6:C8"/>
    <mergeCell ref="D6:D8"/>
    <mergeCell ref="E6:E8"/>
    <mergeCell ref="F6:F8"/>
    <mergeCell ref="G6:G8"/>
    <mergeCell ref="H6:K6"/>
    <mergeCell ref="L6:L8"/>
  </mergeCells>
  <pageMargins left="0.45" right="0.45" top="0.5" bottom="0.5" header="0.3" footer="0.3"/>
  <pageSetup paperSize="9" scale="85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1"/>
  <sheetViews>
    <sheetView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D7" sqref="D7:D10"/>
    </sheetView>
  </sheetViews>
  <sheetFormatPr defaultColWidth="8.85546875" defaultRowHeight="15" x14ac:dyDescent="0.25"/>
  <cols>
    <col min="1" max="1" width="8.85546875" style="1"/>
    <col min="2" max="2" width="23.42578125" style="1" customWidth="1"/>
    <col min="3" max="3" width="25.85546875" style="1" customWidth="1"/>
    <col min="4" max="4" width="8.85546875" style="1"/>
    <col min="5" max="5" width="9" style="1" bestFit="1" customWidth="1"/>
    <col min="6" max="6" width="12.7109375" style="1" bestFit="1" customWidth="1"/>
    <col min="7" max="7" width="13.85546875" style="1" bestFit="1" customWidth="1"/>
    <col min="8" max="8" width="12.7109375" style="1" customWidth="1"/>
    <col min="9" max="9" width="15" style="1" customWidth="1"/>
    <col min="10" max="11" width="8.85546875" style="1"/>
    <col min="12" max="12" width="8.85546875" style="147"/>
    <col min="13" max="16384" width="8.85546875" style="1"/>
  </cols>
  <sheetData>
    <row r="2" spans="1:12" x14ac:dyDescent="0.25">
      <c r="A2" s="185" t="s">
        <v>31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4" spans="1:12" x14ac:dyDescent="0.25">
      <c r="A4" s="1" t="s">
        <v>32</v>
      </c>
    </row>
    <row r="5" spans="1:12" x14ac:dyDescent="0.25">
      <c r="A5" s="1" t="s">
        <v>312</v>
      </c>
    </row>
    <row r="6" spans="1:12" x14ac:dyDescent="0.25">
      <c r="K6" s="172" t="s">
        <v>0</v>
      </c>
      <c r="L6" s="172"/>
    </row>
    <row r="7" spans="1:12" x14ac:dyDescent="0.25">
      <c r="A7" s="170" t="s">
        <v>1</v>
      </c>
      <c r="B7" s="170" t="s">
        <v>2</v>
      </c>
      <c r="C7" s="170" t="s">
        <v>3</v>
      </c>
      <c r="D7" s="173" t="s">
        <v>4</v>
      </c>
      <c r="E7" s="170" t="s">
        <v>5</v>
      </c>
      <c r="F7" s="170" t="s">
        <v>6</v>
      </c>
      <c r="G7" s="170" t="s">
        <v>7</v>
      </c>
      <c r="H7" s="170" t="s">
        <v>8</v>
      </c>
      <c r="I7" s="170"/>
      <c r="J7" s="170"/>
      <c r="K7" s="170"/>
      <c r="L7" s="186" t="s">
        <v>9</v>
      </c>
    </row>
    <row r="8" spans="1:12" ht="28.5" x14ac:dyDescent="0.25">
      <c r="A8" s="170"/>
      <c r="B8" s="170"/>
      <c r="C8" s="170"/>
      <c r="D8" s="173"/>
      <c r="E8" s="170"/>
      <c r="F8" s="170"/>
      <c r="G8" s="170"/>
      <c r="H8" s="4" t="s">
        <v>10</v>
      </c>
      <c r="I8" s="4" t="s">
        <v>11</v>
      </c>
      <c r="J8" s="170" t="s">
        <v>12</v>
      </c>
      <c r="K8" s="170"/>
      <c r="L8" s="186"/>
    </row>
    <row r="9" spans="1:12" x14ac:dyDescent="0.25">
      <c r="A9" s="170"/>
      <c r="B9" s="170"/>
      <c r="C9" s="170"/>
      <c r="D9" s="173"/>
      <c r="E9" s="170"/>
      <c r="F9" s="170"/>
      <c r="G9" s="170"/>
      <c r="H9" s="4"/>
      <c r="I9" s="4"/>
      <c r="J9" s="2"/>
      <c r="K9" s="2"/>
      <c r="L9" s="186"/>
    </row>
    <row r="10" spans="1:12" ht="42.75" x14ac:dyDescent="0.25">
      <c r="A10" s="170"/>
      <c r="B10" s="170"/>
      <c r="C10" s="170"/>
      <c r="D10" s="173"/>
      <c r="E10" s="170"/>
      <c r="F10" s="170"/>
      <c r="G10" s="170"/>
      <c r="H10" s="2" t="s">
        <v>10</v>
      </c>
      <c r="I10" s="2" t="s">
        <v>11</v>
      </c>
      <c r="J10" s="2" t="s">
        <v>15</v>
      </c>
      <c r="K10" s="2" t="s">
        <v>16</v>
      </c>
      <c r="L10" s="186"/>
    </row>
    <row r="11" spans="1:12" x14ac:dyDescent="0.25">
      <c r="A11" s="167" t="s">
        <v>282</v>
      </c>
      <c r="B11" s="168"/>
      <c r="C11" s="169"/>
      <c r="D11" s="3"/>
      <c r="E11" s="2"/>
      <c r="F11" s="2"/>
      <c r="G11" s="25">
        <f>SUM(G12,G18,G41,G52,G63)</f>
        <v>409800000</v>
      </c>
      <c r="H11" s="25">
        <f t="shared" ref="H11:K11" si="0">SUM(H12,H18,H41,H52,H63)</f>
        <v>0</v>
      </c>
      <c r="I11" s="25">
        <f t="shared" si="0"/>
        <v>409800000</v>
      </c>
      <c r="J11" s="25">
        <f t="shared" si="0"/>
        <v>0</v>
      </c>
      <c r="K11" s="25">
        <f t="shared" si="0"/>
        <v>0</v>
      </c>
      <c r="L11" s="148"/>
    </row>
    <row r="12" spans="1:12" s="6" customFormat="1" ht="14.25" x14ac:dyDescent="0.2">
      <c r="A12" s="40" t="s">
        <v>17</v>
      </c>
      <c r="B12" s="6" t="s">
        <v>108</v>
      </c>
      <c r="C12" s="39"/>
      <c r="D12" s="3"/>
      <c r="E12" s="2"/>
      <c r="F12" s="2"/>
      <c r="G12" s="25">
        <f>SUM(G13:G17)</f>
        <v>27800000</v>
      </c>
      <c r="H12" s="25">
        <f t="shared" ref="H12:K12" si="1">SUM(H13:H17)</f>
        <v>0</v>
      </c>
      <c r="I12" s="25">
        <f t="shared" si="1"/>
        <v>27800000</v>
      </c>
      <c r="J12" s="25">
        <f t="shared" si="1"/>
        <v>0</v>
      </c>
      <c r="K12" s="25">
        <f t="shared" si="1"/>
        <v>0</v>
      </c>
      <c r="L12" s="148"/>
    </row>
    <row r="13" spans="1:12" ht="30" x14ac:dyDescent="0.25">
      <c r="A13" s="41">
        <v>1</v>
      </c>
      <c r="B13" s="42" t="s">
        <v>91</v>
      </c>
      <c r="C13" s="54" t="s">
        <v>66</v>
      </c>
      <c r="D13" s="43" t="s">
        <v>65</v>
      </c>
      <c r="E13" s="44">
        <v>8</v>
      </c>
      <c r="F13" s="45">
        <v>1000000</v>
      </c>
      <c r="G13" s="26">
        <f>E13*F13</f>
        <v>8000000</v>
      </c>
      <c r="H13" s="7"/>
      <c r="I13" s="26">
        <f>G13</f>
        <v>8000000</v>
      </c>
      <c r="J13" s="7"/>
      <c r="K13" s="7"/>
      <c r="L13" s="182"/>
    </row>
    <row r="14" spans="1:12" ht="30" x14ac:dyDescent="0.25">
      <c r="A14" s="7">
        <v>2</v>
      </c>
      <c r="B14" s="42" t="s">
        <v>92</v>
      </c>
      <c r="C14" s="54" t="s">
        <v>66</v>
      </c>
      <c r="D14" s="43" t="s">
        <v>65</v>
      </c>
      <c r="E14" s="44">
        <v>15</v>
      </c>
      <c r="F14" s="45">
        <v>1000000</v>
      </c>
      <c r="G14" s="26">
        <f>E14*F14</f>
        <v>15000000</v>
      </c>
      <c r="H14" s="7"/>
      <c r="I14" s="26">
        <f t="shared" ref="I14:I17" si="2">G14</f>
        <v>15000000</v>
      </c>
      <c r="J14" s="7"/>
      <c r="K14" s="7"/>
      <c r="L14" s="183"/>
    </row>
    <row r="15" spans="1:12" ht="30" x14ac:dyDescent="0.25">
      <c r="A15" s="41">
        <v>3</v>
      </c>
      <c r="B15" s="46" t="s">
        <v>80</v>
      </c>
      <c r="C15" s="54" t="s">
        <v>67</v>
      </c>
      <c r="D15" s="43" t="s">
        <v>41</v>
      </c>
      <c r="E15" s="44">
        <v>4</v>
      </c>
      <c r="F15" s="47">
        <v>400000</v>
      </c>
      <c r="G15" s="26">
        <f t="shared" ref="G15:G17" si="3">E15*F15</f>
        <v>1600000</v>
      </c>
      <c r="H15" s="7"/>
      <c r="I15" s="26">
        <f t="shared" si="2"/>
        <v>1600000</v>
      </c>
      <c r="J15" s="7"/>
      <c r="K15" s="7"/>
      <c r="L15" s="183"/>
    </row>
    <row r="16" spans="1:12" ht="45" x14ac:dyDescent="0.25">
      <c r="A16" s="7">
        <v>4</v>
      </c>
      <c r="B16" s="48" t="s">
        <v>81</v>
      </c>
      <c r="C16" s="54" t="s">
        <v>68</v>
      </c>
      <c r="D16" s="49" t="s">
        <v>69</v>
      </c>
      <c r="E16" s="50">
        <v>8</v>
      </c>
      <c r="F16" s="51">
        <v>200000</v>
      </c>
      <c r="G16" s="26">
        <f t="shared" si="3"/>
        <v>1600000</v>
      </c>
      <c r="H16" s="7"/>
      <c r="I16" s="26">
        <f t="shared" si="2"/>
        <v>1600000</v>
      </c>
      <c r="J16" s="7"/>
      <c r="K16" s="7"/>
      <c r="L16" s="184"/>
    </row>
    <row r="17" spans="1:12" ht="30" x14ac:dyDescent="0.25">
      <c r="A17" s="41">
        <v>5</v>
      </c>
      <c r="B17" s="52" t="s">
        <v>82</v>
      </c>
      <c r="C17" s="54" t="s">
        <v>71</v>
      </c>
      <c r="D17" s="49" t="s">
        <v>72</v>
      </c>
      <c r="E17" s="44">
        <v>8</v>
      </c>
      <c r="F17" s="47">
        <v>200000</v>
      </c>
      <c r="G17" s="26">
        <f t="shared" si="3"/>
        <v>1600000</v>
      </c>
      <c r="H17" s="7"/>
      <c r="I17" s="26">
        <f t="shared" si="2"/>
        <v>1600000</v>
      </c>
      <c r="J17" s="7"/>
      <c r="K17" s="7"/>
      <c r="L17" s="149"/>
    </row>
    <row r="18" spans="1:12" s="6" customFormat="1" ht="29.45" customHeight="1" x14ac:dyDescent="0.2">
      <c r="A18" s="2" t="s">
        <v>18</v>
      </c>
      <c r="B18" s="167" t="s">
        <v>245</v>
      </c>
      <c r="C18" s="168"/>
      <c r="D18" s="168"/>
      <c r="E18" s="168"/>
      <c r="F18" s="169"/>
      <c r="G18" s="25">
        <f>SUM(G19,G30)</f>
        <v>164850000</v>
      </c>
      <c r="H18" s="25">
        <f t="shared" ref="H18:K18" si="4">SUM(H19,H30)</f>
        <v>0</v>
      </c>
      <c r="I18" s="25">
        <f t="shared" si="4"/>
        <v>164850000</v>
      </c>
      <c r="J18" s="25">
        <f t="shared" si="4"/>
        <v>0</v>
      </c>
      <c r="K18" s="25">
        <f t="shared" si="4"/>
        <v>0</v>
      </c>
      <c r="L18" s="148"/>
    </row>
    <row r="19" spans="1:12" ht="30" customHeight="1" x14ac:dyDescent="0.25">
      <c r="A19" s="7">
        <v>1</v>
      </c>
      <c r="B19" s="179" t="s">
        <v>93</v>
      </c>
      <c r="C19" s="180"/>
      <c r="D19" s="180"/>
      <c r="E19" s="180"/>
      <c r="F19" s="181"/>
      <c r="G19" s="13">
        <f>SUM(G20:G29)</f>
        <v>126850000</v>
      </c>
      <c r="H19" s="13">
        <f t="shared" ref="H19:K19" si="5">SUM(H20:H29)</f>
        <v>0</v>
      </c>
      <c r="I19" s="13">
        <f t="shared" si="5"/>
        <v>126850000</v>
      </c>
      <c r="J19" s="13">
        <f t="shared" si="5"/>
        <v>0</v>
      </c>
      <c r="K19" s="13">
        <f t="shared" si="5"/>
        <v>0</v>
      </c>
      <c r="L19" s="49"/>
    </row>
    <row r="20" spans="1:12" s="21" customFormat="1" ht="25.5" x14ac:dyDescent="0.25">
      <c r="A20" s="15"/>
      <c r="B20" s="16" t="s">
        <v>38</v>
      </c>
      <c r="C20" s="17" t="s">
        <v>94</v>
      </c>
      <c r="D20" s="17" t="s">
        <v>42</v>
      </c>
      <c r="E20" s="18">
        <f>150*3</f>
        <v>450</v>
      </c>
      <c r="F20" s="19">
        <v>15000</v>
      </c>
      <c r="G20" s="20">
        <f>E20*F20</f>
        <v>6750000</v>
      </c>
      <c r="H20" s="20"/>
      <c r="I20" s="20">
        <f>G20</f>
        <v>6750000</v>
      </c>
      <c r="J20" s="20"/>
      <c r="K20" s="20"/>
      <c r="L20" s="62"/>
    </row>
    <row r="21" spans="1:12" s="21" customFormat="1" ht="38.25" x14ac:dyDescent="0.25">
      <c r="A21" s="15"/>
      <c r="B21" s="16" t="s">
        <v>35</v>
      </c>
      <c r="C21" s="17" t="s">
        <v>95</v>
      </c>
      <c r="D21" s="17" t="s">
        <v>43</v>
      </c>
      <c r="E21" s="18">
        <v>5</v>
      </c>
      <c r="F21" s="19">
        <v>500000</v>
      </c>
      <c r="G21" s="20">
        <f t="shared" ref="G21:G29" si="6">E21*F21</f>
        <v>2500000</v>
      </c>
      <c r="H21" s="20"/>
      <c r="I21" s="20">
        <f t="shared" ref="I21:I29" si="7">G21</f>
        <v>2500000</v>
      </c>
      <c r="J21" s="20"/>
      <c r="K21" s="20"/>
      <c r="L21" s="62"/>
    </row>
    <row r="22" spans="1:12" s="21" customFormat="1" ht="25.5" x14ac:dyDescent="0.25">
      <c r="A22" s="15"/>
      <c r="B22" s="16" t="s">
        <v>36</v>
      </c>
      <c r="C22" s="17" t="s">
        <v>94</v>
      </c>
      <c r="D22" s="17" t="s">
        <v>44</v>
      </c>
      <c r="E22" s="18">
        <f>150*3</f>
        <v>450</v>
      </c>
      <c r="F22" s="19">
        <v>50000</v>
      </c>
      <c r="G22" s="20">
        <f t="shared" si="6"/>
        <v>22500000</v>
      </c>
      <c r="H22" s="20"/>
      <c r="I22" s="20">
        <f t="shared" si="7"/>
        <v>22500000</v>
      </c>
      <c r="J22" s="20"/>
      <c r="K22" s="20"/>
      <c r="L22" s="62"/>
    </row>
    <row r="23" spans="1:12" s="21" customFormat="1" ht="38.25" x14ac:dyDescent="0.25">
      <c r="A23" s="15"/>
      <c r="B23" s="16" t="s">
        <v>37</v>
      </c>
      <c r="C23" s="17" t="s">
        <v>94</v>
      </c>
      <c r="D23" s="22" t="s">
        <v>45</v>
      </c>
      <c r="E23" s="18">
        <f>150*3</f>
        <v>450</v>
      </c>
      <c r="F23" s="19">
        <v>100000</v>
      </c>
      <c r="G23" s="20">
        <f t="shared" si="6"/>
        <v>45000000</v>
      </c>
      <c r="H23" s="20"/>
      <c r="I23" s="20">
        <f t="shared" si="7"/>
        <v>45000000</v>
      </c>
      <c r="J23" s="20"/>
      <c r="K23" s="20"/>
      <c r="L23" s="62"/>
    </row>
    <row r="24" spans="1:12" s="21" customFormat="1" ht="63.75" x14ac:dyDescent="0.25">
      <c r="A24" s="15"/>
      <c r="B24" s="23" t="s">
        <v>96</v>
      </c>
      <c r="C24" s="66" t="s">
        <v>97</v>
      </c>
      <c r="D24" s="22" t="s">
        <v>33</v>
      </c>
      <c r="E24" s="24">
        <v>30</v>
      </c>
      <c r="F24" s="19">
        <v>1000000</v>
      </c>
      <c r="G24" s="20">
        <f t="shared" si="6"/>
        <v>30000000</v>
      </c>
      <c r="H24" s="20"/>
      <c r="I24" s="20">
        <f t="shared" si="7"/>
        <v>30000000</v>
      </c>
      <c r="J24" s="20"/>
      <c r="K24" s="20"/>
      <c r="L24" s="62"/>
    </row>
    <row r="25" spans="1:12" s="21" customFormat="1" ht="30" x14ac:dyDescent="0.25">
      <c r="A25" s="55"/>
      <c r="B25" s="56" t="s">
        <v>80</v>
      </c>
      <c r="C25" s="35" t="s">
        <v>67</v>
      </c>
      <c r="D25" s="57" t="s">
        <v>41</v>
      </c>
      <c r="E25" s="58">
        <v>4</v>
      </c>
      <c r="F25" s="59">
        <v>400000</v>
      </c>
      <c r="G25" s="60">
        <f t="shared" si="6"/>
        <v>1600000</v>
      </c>
      <c r="H25" s="15"/>
      <c r="I25" s="20">
        <f t="shared" si="7"/>
        <v>1600000</v>
      </c>
      <c r="J25" s="15"/>
      <c r="K25" s="15"/>
      <c r="L25" s="150"/>
    </row>
    <row r="26" spans="1:12" s="21" customFormat="1" ht="45" x14ac:dyDescent="0.25">
      <c r="A26" s="15"/>
      <c r="B26" s="61" t="s">
        <v>81</v>
      </c>
      <c r="C26" s="35" t="s">
        <v>98</v>
      </c>
      <c r="D26" s="62" t="s">
        <v>69</v>
      </c>
      <c r="E26" s="63">
        <v>15</v>
      </c>
      <c r="F26" s="64">
        <v>200000</v>
      </c>
      <c r="G26" s="60">
        <f t="shared" si="6"/>
        <v>3000000</v>
      </c>
      <c r="H26" s="15"/>
      <c r="I26" s="20">
        <f t="shared" si="7"/>
        <v>3000000</v>
      </c>
      <c r="J26" s="15"/>
      <c r="K26" s="15"/>
      <c r="L26" s="150"/>
    </row>
    <row r="27" spans="1:12" s="21" customFormat="1" ht="45" x14ac:dyDescent="0.25">
      <c r="A27" s="55"/>
      <c r="B27" s="65" t="s">
        <v>82</v>
      </c>
      <c r="C27" s="35" t="s">
        <v>99</v>
      </c>
      <c r="D27" s="62" t="s">
        <v>72</v>
      </c>
      <c r="E27" s="58">
        <v>15</v>
      </c>
      <c r="F27" s="59">
        <v>200000</v>
      </c>
      <c r="G27" s="60">
        <f t="shared" si="6"/>
        <v>3000000</v>
      </c>
      <c r="H27" s="15"/>
      <c r="I27" s="20">
        <f t="shared" si="7"/>
        <v>3000000</v>
      </c>
      <c r="J27" s="15"/>
      <c r="K27" s="15"/>
      <c r="L27" s="150"/>
    </row>
    <row r="28" spans="1:12" s="21" customFormat="1" ht="60" x14ac:dyDescent="0.25">
      <c r="A28" s="55"/>
      <c r="B28" s="65" t="s">
        <v>100</v>
      </c>
      <c r="C28" s="35" t="s">
        <v>101</v>
      </c>
      <c r="D28" s="62" t="s">
        <v>103</v>
      </c>
      <c r="E28" s="58">
        <v>5</v>
      </c>
      <c r="F28" s="59">
        <v>1000000</v>
      </c>
      <c r="G28" s="60">
        <f t="shared" si="6"/>
        <v>5000000</v>
      </c>
      <c r="H28" s="15"/>
      <c r="I28" s="20">
        <f t="shared" si="7"/>
        <v>5000000</v>
      </c>
      <c r="J28" s="15"/>
      <c r="K28" s="15"/>
      <c r="L28" s="150"/>
    </row>
    <row r="29" spans="1:12" s="21" customFormat="1" ht="30" x14ac:dyDescent="0.25">
      <c r="A29" s="55"/>
      <c r="B29" s="65" t="s">
        <v>46</v>
      </c>
      <c r="C29" s="35" t="s">
        <v>102</v>
      </c>
      <c r="D29" s="35" t="s">
        <v>104</v>
      </c>
      <c r="E29" s="58">
        <v>5</v>
      </c>
      <c r="F29" s="59">
        <v>1500000</v>
      </c>
      <c r="G29" s="60">
        <f t="shared" si="6"/>
        <v>7500000</v>
      </c>
      <c r="H29" s="15"/>
      <c r="I29" s="20">
        <f t="shared" si="7"/>
        <v>7500000</v>
      </c>
      <c r="J29" s="15"/>
      <c r="K29" s="15"/>
      <c r="L29" s="150"/>
    </row>
    <row r="30" spans="1:12" x14ac:dyDescent="0.25">
      <c r="A30" s="7">
        <v>2</v>
      </c>
      <c r="B30" s="176" t="s">
        <v>20</v>
      </c>
      <c r="C30" s="177"/>
      <c r="D30" s="177"/>
      <c r="E30" s="177"/>
      <c r="F30" s="178"/>
      <c r="G30" s="13">
        <f>SUM(G31:G40)</f>
        <v>38000000</v>
      </c>
      <c r="H30" s="13">
        <f t="shared" ref="H30:K30" si="8">SUM(H31:H40)</f>
        <v>0</v>
      </c>
      <c r="I30" s="13">
        <f t="shared" si="8"/>
        <v>38000000</v>
      </c>
      <c r="J30" s="13">
        <f t="shared" si="8"/>
        <v>0</v>
      </c>
      <c r="K30" s="13">
        <f t="shared" si="8"/>
        <v>0</v>
      </c>
      <c r="L30" s="49"/>
    </row>
    <row r="31" spans="1:12" s="21" customFormat="1" ht="38.25" x14ac:dyDescent="0.25">
      <c r="A31" s="15"/>
      <c r="B31" s="16" t="s">
        <v>38</v>
      </c>
      <c r="C31" s="17" t="s">
        <v>51</v>
      </c>
      <c r="D31" s="17" t="s">
        <v>42</v>
      </c>
      <c r="E31" s="18">
        <v>180</v>
      </c>
      <c r="F31" s="19">
        <v>15000</v>
      </c>
      <c r="G31" s="20">
        <f>E31*F31</f>
        <v>2700000</v>
      </c>
      <c r="H31" s="20"/>
      <c r="I31" s="20">
        <f>G31</f>
        <v>2700000</v>
      </c>
      <c r="J31" s="20"/>
      <c r="K31" s="20"/>
      <c r="L31" s="62"/>
    </row>
    <row r="32" spans="1:12" s="21" customFormat="1" ht="38.25" x14ac:dyDescent="0.25">
      <c r="A32" s="15"/>
      <c r="B32" s="16" t="s">
        <v>105</v>
      </c>
      <c r="C32" s="17" t="s">
        <v>48</v>
      </c>
      <c r="D32" s="17" t="s">
        <v>33</v>
      </c>
      <c r="E32" s="18">
        <v>3</v>
      </c>
      <c r="F32" s="19">
        <v>500000</v>
      </c>
      <c r="G32" s="20">
        <f t="shared" ref="G32:G40" si="9">E32*F32</f>
        <v>1500000</v>
      </c>
      <c r="H32" s="20"/>
      <c r="I32" s="20">
        <f t="shared" ref="I32:I40" si="10">G32</f>
        <v>1500000</v>
      </c>
      <c r="J32" s="20"/>
      <c r="K32" s="20"/>
      <c r="L32" s="62"/>
    </row>
    <row r="33" spans="1:12" s="21" customFormat="1" ht="25.5" x14ac:dyDescent="0.25">
      <c r="A33" s="15"/>
      <c r="B33" s="16" t="s">
        <v>36</v>
      </c>
      <c r="C33" s="17" t="s">
        <v>47</v>
      </c>
      <c r="D33" s="17" t="s">
        <v>44</v>
      </c>
      <c r="E33" s="18">
        <v>90</v>
      </c>
      <c r="F33" s="19">
        <v>50000</v>
      </c>
      <c r="G33" s="20">
        <f t="shared" si="9"/>
        <v>4500000</v>
      </c>
      <c r="H33" s="20"/>
      <c r="I33" s="20">
        <f t="shared" si="10"/>
        <v>4500000</v>
      </c>
      <c r="J33" s="20"/>
      <c r="K33" s="20"/>
      <c r="L33" s="62"/>
    </row>
    <row r="34" spans="1:12" s="21" customFormat="1" ht="38.25" x14ac:dyDescent="0.25">
      <c r="A34" s="15"/>
      <c r="B34" s="16" t="s">
        <v>37</v>
      </c>
      <c r="C34" s="17" t="s">
        <v>47</v>
      </c>
      <c r="D34" s="22" t="s">
        <v>45</v>
      </c>
      <c r="E34" s="18">
        <v>90</v>
      </c>
      <c r="F34" s="19">
        <v>100000</v>
      </c>
      <c r="G34" s="20">
        <f t="shared" si="9"/>
        <v>9000000</v>
      </c>
      <c r="H34" s="20"/>
      <c r="I34" s="20">
        <f t="shared" si="10"/>
        <v>9000000</v>
      </c>
      <c r="J34" s="20"/>
      <c r="K34" s="20"/>
      <c r="L34" s="62"/>
    </row>
    <row r="35" spans="1:12" s="21" customFormat="1" ht="38.25" x14ac:dyDescent="0.25">
      <c r="A35" s="15"/>
      <c r="B35" s="16" t="s">
        <v>46</v>
      </c>
      <c r="C35" s="17" t="s">
        <v>49</v>
      </c>
      <c r="D35" s="22" t="s">
        <v>33</v>
      </c>
      <c r="E35" s="18">
        <v>3</v>
      </c>
      <c r="F35" s="19">
        <v>1000000</v>
      </c>
      <c r="G35" s="20">
        <f t="shared" si="9"/>
        <v>3000000</v>
      </c>
      <c r="H35" s="20"/>
      <c r="I35" s="20">
        <f t="shared" si="10"/>
        <v>3000000</v>
      </c>
      <c r="J35" s="20"/>
      <c r="K35" s="20"/>
      <c r="L35" s="62"/>
    </row>
    <row r="36" spans="1:12" s="21" customFormat="1" ht="63.75" x14ac:dyDescent="0.25">
      <c r="A36" s="15"/>
      <c r="B36" s="23" t="s">
        <v>39</v>
      </c>
      <c r="C36" s="22" t="s">
        <v>40</v>
      </c>
      <c r="D36" s="22" t="s">
        <v>33</v>
      </c>
      <c r="E36" s="24">
        <v>14</v>
      </c>
      <c r="F36" s="19">
        <v>1000000</v>
      </c>
      <c r="G36" s="20">
        <f t="shared" si="9"/>
        <v>14000000</v>
      </c>
      <c r="H36" s="20"/>
      <c r="I36" s="20">
        <f t="shared" si="10"/>
        <v>14000000</v>
      </c>
      <c r="J36" s="20"/>
      <c r="K36" s="20"/>
      <c r="L36" s="62"/>
    </row>
    <row r="37" spans="1:12" s="21" customFormat="1" ht="30" x14ac:dyDescent="0.25">
      <c r="A37" s="55"/>
      <c r="B37" s="56" t="s">
        <v>80</v>
      </c>
      <c r="C37" s="35" t="s">
        <v>67</v>
      </c>
      <c r="D37" s="57" t="s">
        <v>41</v>
      </c>
      <c r="E37" s="58">
        <v>4</v>
      </c>
      <c r="F37" s="59">
        <v>400000</v>
      </c>
      <c r="G37" s="60">
        <f t="shared" si="9"/>
        <v>1600000</v>
      </c>
      <c r="H37" s="15"/>
      <c r="I37" s="20">
        <f t="shared" si="10"/>
        <v>1600000</v>
      </c>
      <c r="J37" s="15"/>
      <c r="K37" s="15"/>
      <c r="L37" s="150"/>
    </row>
    <row r="38" spans="1:12" s="21" customFormat="1" ht="45" x14ac:dyDescent="0.25">
      <c r="A38" s="15"/>
      <c r="B38" s="61" t="s">
        <v>81</v>
      </c>
      <c r="C38" s="35" t="s">
        <v>106</v>
      </c>
      <c r="D38" s="62" t="s">
        <v>69</v>
      </c>
      <c r="E38" s="63">
        <v>3</v>
      </c>
      <c r="F38" s="64">
        <v>200000</v>
      </c>
      <c r="G38" s="60">
        <f t="shared" si="9"/>
        <v>600000</v>
      </c>
      <c r="H38" s="15"/>
      <c r="I38" s="20">
        <f t="shared" si="10"/>
        <v>600000</v>
      </c>
      <c r="J38" s="15"/>
      <c r="K38" s="15"/>
      <c r="L38" s="150"/>
    </row>
    <row r="39" spans="1:12" s="21" customFormat="1" ht="30" x14ac:dyDescent="0.25">
      <c r="A39" s="55"/>
      <c r="B39" s="65" t="s">
        <v>82</v>
      </c>
      <c r="C39" s="35" t="s">
        <v>107</v>
      </c>
      <c r="D39" s="62" t="s">
        <v>72</v>
      </c>
      <c r="E39" s="58">
        <v>3</v>
      </c>
      <c r="F39" s="59">
        <v>200000</v>
      </c>
      <c r="G39" s="60">
        <f t="shared" si="9"/>
        <v>600000</v>
      </c>
      <c r="H39" s="15"/>
      <c r="I39" s="20">
        <f t="shared" si="10"/>
        <v>600000</v>
      </c>
      <c r="J39" s="15"/>
      <c r="K39" s="15"/>
      <c r="L39" s="150"/>
    </row>
    <row r="40" spans="1:12" s="21" customFormat="1" ht="60" x14ac:dyDescent="0.25">
      <c r="A40" s="55"/>
      <c r="B40" s="65" t="s">
        <v>100</v>
      </c>
      <c r="C40" s="35" t="s">
        <v>112</v>
      </c>
      <c r="D40" s="62" t="s">
        <v>103</v>
      </c>
      <c r="E40" s="58">
        <v>1</v>
      </c>
      <c r="F40" s="59">
        <v>500000</v>
      </c>
      <c r="G40" s="60">
        <f t="shared" si="9"/>
        <v>500000</v>
      </c>
      <c r="H40" s="15"/>
      <c r="I40" s="20">
        <f t="shared" si="10"/>
        <v>500000</v>
      </c>
      <c r="J40" s="15"/>
      <c r="K40" s="15"/>
      <c r="L40" s="150"/>
    </row>
    <row r="41" spans="1:12" s="6" customFormat="1" ht="14.25" x14ac:dyDescent="0.2">
      <c r="A41" s="37" t="s">
        <v>19</v>
      </c>
      <c r="B41" s="5" t="s">
        <v>246</v>
      </c>
      <c r="C41" s="5"/>
      <c r="D41" s="5"/>
      <c r="E41" s="77"/>
      <c r="F41" s="77"/>
      <c r="G41" s="77">
        <f>SUM(G42:G51)</f>
        <v>58900000</v>
      </c>
      <c r="H41" s="77">
        <f t="shared" ref="H41:K41" si="11">SUM(H42:H51)</f>
        <v>0</v>
      </c>
      <c r="I41" s="77">
        <f t="shared" si="11"/>
        <v>58900000</v>
      </c>
      <c r="J41" s="77">
        <f t="shared" si="11"/>
        <v>0</v>
      </c>
      <c r="K41" s="77">
        <f t="shared" si="11"/>
        <v>0</v>
      </c>
      <c r="L41" s="151"/>
    </row>
    <row r="42" spans="1:12" s="21" customFormat="1" ht="38.25" x14ac:dyDescent="0.25">
      <c r="A42" s="15"/>
      <c r="B42" s="68" t="s">
        <v>38</v>
      </c>
      <c r="C42" s="69" t="s">
        <v>51</v>
      </c>
      <c r="D42" s="69" t="s">
        <v>42</v>
      </c>
      <c r="E42" s="70">
        <v>180</v>
      </c>
      <c r="F42" s="71">
        <v>15000</v>
      </c>
      <c r="G42" s="20">
        <f>E42*F42</f>
        <v>2700000</v>
      </c>
      <c r="H42" s="67"/>
      <c r="I42" s="20">
        <f>G42</f>
        <v>2700000</v>
      </c>
      <c r="J42" s="20"/>
      <c r="K42" s="20"/>
      <c r="L42" s="62"/>
    </row>
    <row r="43" spans="1:12" s="21" customFormat="1" ht="38.25" x14ac:dyDescent="0.25">
      <c r="A43" s="15"/>
      <c r="B43" s="16" t="s">
        <v>110</v>
      </c>
      <c r="C43" s="17" t="s">
        <v>111</v>
      </c>
      <c r="D43" s="17" t="s">
        <v>33</v>
      </c>
      <c r="E43" s="18">
        <v>3</v>
      </c>
      <c r="F43" s="19">
        <v>1500000</v>
      </c>
      <c r="G43" s="20">
        <f t="shared" ref="G43:G51" si="12">E43*F43</f>
        <v>4500000</v>
      </c>
      <c r="H43" s="20"/>
      <c r="I43" s="20">
        <f t="shared" ref="I43:I51" si="13">G43</f>
        <v>4500000</v>
      </c>
      <c r="J43" s="20"/>
      <c r="K43" s="20"/>
      <c r="L43" s="62"/>
    </row>
    <row r="44" spans="1:12" s="21" customFormat="1" ht="25.5" x14ac:dyDescent="0.25">
      <c r="A44" s="15"/>
      <c r="B44" s="16" t="s">
        <v>36</v>
      </c>
      <c r="C44" s="17" t="s">
        <v>47</v>
      </c>
      <c r="D44" s="17" t="s">
        <v>44</v>
      </c>
      <c r="E44" s="18">
        <v>90</v>
      </c>
      <c r="F44" s="19">
        <v>50000</v>
      </c>
      <c r="G44" s="20">
        <f t="shared" si="12"/>
        <v>4500000</v>
      </c>
      <c r="H44" s="20"/>
      <c r="I44" s="20">
        <f t="shared" si="13"/>
        <v>4500000</v>
      </c>
      <c r="J44" s="20"/>
      <c r="K44" s="20"/>
      <c r="L44" s="62"/>
    </row>
    <row r="45" spans="1:12" s="21" customFormat="1" ht="63.75" x14ac:dyDescent="0.25">
      <c r="A45" s="15"/>
      <c r="B45" s="16" t="s">
        <v>37</v>
      </c>
      <c r="C45" s="17" t="s">
        <v>117</v>
      </c>
      <c r="D45" s="22" t="s">
        <v>116</v>
      </c>
      <c r="E45" s="18">
        <v>90</v>
      </c>
      <c r="F45" s="19">
        <v>230000</v>
      </c>
      <c r="G45" s="20">
        <f t="shared" si="12"/>
        <v>20700000</v>
      </c>
      <c r="H45" s="20"/>
      <c r="I45" s="20">
        <f t="shared" si="13"/>
        <v>20700000</v>
      </c>
      <c r="J45" s="20"/>
      <c r="K45" s="20"/>
      <c r="L45" s="62"/>
    </row>
    <row r="46" spans="1:12" s="21" customFormat="1" ht="63.75" x14ac:dyDescent="0.25">
      <c r="A46" s="15"/>
      <c r="B46" s="23" t="s">
        <v>39</v>
      </c>
      <c r="C46" s="22" t="s">
        <v>40</v>
      </c>
      <c r="D46" s="22" t="s">
        <v>33</v>
      </c>
      <c r="E46" s="24">
        <v>14</v>
      </c>
      <c r="F46" s="19">
        <v>1000000</v>
      </c>
      <c r="G46" s="20">
        <f t="shared" si="12"/>
        <v>14000000</v>
      </c>
      <c r="H46" s="20"/>
      <c r="I46" s="20">
        <f t="shared" si="13"/>
        <v>14000000</v>
      </c>
      <c r="J46" s="20"/>
      <c r="K46" s="20"/>
      <c r="L46" s="62"/>
    </row>
    <row r="47" spans="1:12" s="21" customFormat="1" ht="30" x14ac:dyDescent="0.25">
      <c r="A47" s="55"/>
      <c r="B47" s="56" t="s">
        <v>80</v>
      </c>
      <c r="C47" s="35" t="s">
        <v>67</v>
      </c>
      <c r="D47" s="57" t="s">
        <v>41</v>
      </c>
      <c r="E47" s="58">
        <v>4</v>
      </c>
      <c r="F47" s="59">
        <v>400000</v>
      </c>
      <c r="G47" s="60">
        <f t="shared" si="12"/>
        <v>1600000</v>
      </c>
      <c r="H47" s="15"/>
      <c r="I47" s="20">
        <f t="shared" si="13"/>
        <v>1600000</v>
      </c>
      <c r="J47" s="15"/>
      <c r="K47" s="15"/>
      <c r="L47" s="150"/>
    </row>
    <row r="48" spans="1:12" s="21" customFormat="1" ht="45" x14ac:dyDescent="0.25">
      <c r="A48" s="15"/>
      <c r="B48" s="61" t="s">
        <v>81</v>
      </c>
      <c r="C48" s="35" t="s">
        <v>106</v>
      </c>
      <c r="D48" s="62" t="s">
        <v>69</v>
      </c>
      <c r="E48" s="63">
        <v>3</v>
      </c>
      <c r="F48" s="64">
        <v>200000</v>
      </c>
      <c r="G48" s="60">
        <f t="shared" si="12"/>
        <v>600000</v>
      </c>
      <c r="H48" s="15"/>
      <c r="I48" s="20">
        <f t="shared" si="13"/>
        <v>600000</v>
      </c>
      <c r="J48" s="15"/>
      <c r="K48" s="15"/>
      <c r="L48" s="150"/>
    </row>
    <row r="49" spans="1:12" s="21" customFormat="1" ht="30" x14ac:dyDescent="0.25">
      <c r="A49" s="55"/>
      <c r="B49" s="65" t="s">
        <v>82</v>
      </c>
      <c r="C49" s="35" t="s">
        <v>107</v>
      </c>
      <c r="D49" s="62" t="s">
        <v>72</v>
      </c>
      <c r="E49" s="58">
        <v>3</v>
      </c>
      <c r="F49" s="59">
        <v>200000</v>
      </c>
      <c r="G49" s="60">
        <f t="shared" si="12"/>
        <v>600000</v>
      </c>
      <c r="H49" s="15"/>
      <c r="I49" s="20">
        <f t="shared" si="13"/>
        <v>600000</v>
      </c>
      <c r="J49" s="15"/>
      <c r="K49" s="15"/>
      <c r="L49" s="150"/>
    </row>
    <row r="50" spans="1:12" s="21" customFormat="1" ht="30" x14ac:dyDescent="0.25">
      <c r="A50" s="55"/>
      <c r="B50" s="65" t="s">
        <v>114</v>
      </c>
      <c r="C50" s="35" t="s">
        <v>115</v>
      </c>
      <c r="D50" s="62" t="s">
        <v>72</v>
      </c>
      <c r="E50" s="58">
        <v>45</v>
      </c>
      <c r="F50" s="59">
        <v>200000</v>
      </c>
      <c r="G50" s="60">
        <f t="shared" ref="G50" si="14">E50*F50</f>
        <v>9000000</v>
      </c>
      <c r="H50" s="15"/>
      <c r="I50" s="20">
        <f t="shared" si="13"/>
        <v>9000000</v>
      </c>
      <c r="J50" s="15"/>
      <c r="K50" s="15"/>
      <c r="L50" s="150"/>
    </row>
    <row r="51" spans="1:12" s="21" customFormat="1" ht="60" x14ac:dyDescent="0.25">
      <c r="A51" s="55"/>
      <c r="B51" s="65" t="s">
        <v>100</v>
      </c>
      <c r="C51" s="35" t="s">
        <v>113</v>
      </c>
      <c r="D51" s="62" t="s">
        <v>103</v>
      </c>
      <c r="E51" s="58">
        <v>1</v>
      </c>
      <c r="F51" s="59">
        <v>700000</v>
      </c>
      <c r="G51" s="60">
        <f t="shared" si="12"/>
        <v>700000</v>
      </c>
      <c r="H51" s="15"/>
      <c r="I51" s="20">
        <f t="shared" si="13"/>
        <v>700000</v>
      </c>
      <c r="J51" s="15"/>
      <c r="K51" s="15"/>
      <c r="L51" s="150"/>
    </row>
    <row r="52" spans="1:12" s="6" customFormat="1" ht="39" customHeight="1" x14ac:dyDescent="0.2">
      <c r="A52" s="3" t="s">
        <v>21</v>
      </c>
      <c r="B52" s="175" t="s">
        <v>247</v>
      </c>
      <c r="C52" s="175"/>
      <c r="D52" s="175"/>
      <c r="E52" s="175"/>
      <c r="F52" s="175"/>
      <c r="G52" s="77">
        <f>SUM(G53:G62)</f>
        <v>58900000</v>
      </c>
      <c r="H52" s="77">
        <f t="shared" ref="H52:K52" si="15">SUM(H53:H62)</f>
        <v>0</v>
      </c>
      <c r="I52" s="77">
        <f t="shared" si="15"/>
        <v>58900000</v>
      </c>
      <c r="J52" s="77">
        <f t="shared" si="15"/>
        <v>0</v>
      </c>
      <c r="K52" s="77">
        <f t="shared" si="15"/>
        <v>0</v>
      </c>
      <c r="L52" s="151"/>
    </row>
    <row r="53" spans="1:12" s="21" customFormat="1" ht="38.25" x14ac:dyDescent="0.25">
      <c r="A53" s="15"/>
      <c r="B53" s="68" t="s">
        <v>38</v>
      </c>
      <c r="C53" s="69" t="s">
        <v>51</v>
      </c>
      <c r="D53" s="69" t="s">
        <v>42</v>
      </c>
      <c r="E53" s="70">
        <v>180</v>
      </c>
      <c r="F53" s="71">
        <v>15000</v>
      </c>
      <c r="G53" s="20">
        <f>E53*F53</f>
        <v>2700000</v>
      </c>
      <c r="H53" s="20"/>
      <c r="I53" s="20">
        <f>G53</f>
        <v>2700000</v>
      </c>
      <c r="J53" s="20"/>
      <c r="K53" s="20"/>
      <c r="L53" s="62"/>
    </row>
    <row r="54" spans="1:12" s="21" customFormat="1" ht="38.25" x14ac:dyDescent="0.25">
      <c r="A54" s="15"/>
      <c r="B54" s="16" t="s">
        <v>110</v>
      </c>
      <c r="C54" s="17" t="s">
        <v>111</v>
      </c>
      <c r="D54" s="17" t="s">
        <v>33</v>
      </c>
      <c r="E54" s="18">
        <v>3</v>
      </c>
      <c r="F54" s="19">
        <v>1500000</v>
      </c>
      <c r="G54" s="20">
        <f t="shared" ref="G54:G62" si="16">E54*F54</f>
        <v>4500000</v>
      </c>
      <c r="H54" s="20"/>
      <c r="I54" s="20">
        <f t="shared" ref="I54:I62" si="17">G54</f>
        <v>4500000</v>
      </c>
      <c r="J54" s="20"/>
      <c r="K54" s="20"/>
      <c r="L54" s="62"/>
    </row>
    <row r="55" spans="1:12" s="21" customFormat="1" ht="25.5" x14ac:dyDescent="0.25">
      <c r="A55" s="15"/>
      <c r="B55" s="16" t="s">
        <v>36</v>
      </c>
      <c r="C55" s="17" t="s">
        <v>47</v>
      </c>
      <c r="D55" s="17" t="s">
        <v>44</v>
      </c>
      <c r="E55" s="18">
        <v>90</v>
      </c>
      <c r="F55" s="19">
        <v>50000</v>
      </c>
      <c r="G55" s="20">
        <f t="shared" si="16"/>
        <v>4500000</v>
      </c>
      <c r="H55" s="20"/>
      <c r="I55" s="20">
        <f t="shared" si="17"/>
        <v>4500000</v>
      </c>
      <c r="J55" s="20"/>
      <c r="K55" s="20"/>
      <c r="L55" s="62"/>
    </row>
    <row r="56" spans="1:12" s="21" customFormat="1" ht="63.75" x14ac:dyDescent="0.25">
      <c r="A56" s="15"/>
      <c r="B56" s="16" t="s">
        <v>37</v>
      </c>
      <c r="C56" s="17" t="s">
        <v>117</v>
      </c>
      <c r="D56" s="22" t="s">
        <v>116</v>
      </c>
      <c r="E56" s="18">
        <v>90</v>
      </c>
      <c r="F56" s="19">
        <v>230000</v>
      </c>
      <c r="G56" s="20">
        <f t="shared" si="16"/>
        <v>20700000</v>
      </c>
      <c r="H56" s="20"/>
      <c r="I56" s="20">
        <f t="shared" si="17"/>
        <v>20700000</v>
      </c>
      <c r="J56" s="20"/>
      <c r="K56" s="20"/>
      <c r="L56" s="62"/>
    </row>
    <row r="57" spans="1:12" s="21" customFormat="1" ht="63.75" x14ac:dyDescent="0.25">
      <c r="A57" s="15"/>
      <c r="B57" s="23" t="s">
        <v>39</v>
      </c>
      <c r="C57" s="22" t="s">
        <v>40</v>
      </c>
      <c r="D57" s="22" t="s">
        <v>33</v>
      </c>
      <c r="E57" s="24">
        <v>14</v>
      </c>
      <c r="F57" s="19">
        <v>1000000</v>
      </c>
      <c r="G57" s="20">
        <f t="shared" si="16"/>
        <v>14000000</v>
      </c>
      <c r="H57" s="20"/>
      <c r="I57" s="20">
        <f t="shared" si="17"/>
        <v>14000000</v>
      </c>
      <c r="J57" s="20"/>
      <c r="K57" s="20"/>
      <c r="L57" s="62"/>
    </row>
    <row r="58" spans="1:12" s="21" customFormat="1" ht="30" x14ac:dyDescent="0.25">
      <c r="A58" s="55"/>
      <c r="B58" s="56" t="s">
        <v>80</v>
      </c>
      <c r="C58" s="35" t="s">
        <v>67</v>
      </c>
      <c r="D58" s="57" t="s">
        <v>41</v>
      </c>
      <c r="E58" s="58">
        <v>4</v>
      </c>
      <c r="F58" s="59">
        <v>400000</v>
      </c>
      <c r="G58" s="60">
        <f t="shared" si="16"/>
        <v>1600000</v>
      </c>
      <c r="H58" s="15"/>
      <c r="I58" s="20">
        <f t="shared" si="17"/>
        <v>1600000</v>
      </c>
      <c r="J58" s="15"/>
      <c r="K58" s="15"/>
      <c r="L58" s="150"/>
    </row>
    <row r="59" spans="1:12" s="21" customFormat="1" ht="45" x14ac:dyDescent="0.25">
      <c r="A59" s="15"/>
      <c r="B59" s="61" t="s">
        <v>81</v>
      </c>
      <c r="C59" s="35" t="s">
        <v>106</v>
      </c>
      <c r="D59" s="62" t="s">
        <v>69</v>
      </c>
      <c r="E59" s="63">
        <v>3</v>
      </c>
      <c r="F59" s="64">
        <v>200000</v>
      </c>
      <c r="G59" s="60">
        <f t="shared" si="16"/>
        <v>600000</v>
      </c>
      <c r="H59" s="15"/>
      <c r="I59" s="20">
        <f t="shared" si="17"/>
        <v>600000</v>
      </c>
      <c r="J59" s="15"/>
      <c r="K59" s="15"/>
      <c r="L59" s="150"/>
    </row>
    <row r="60" spans="1:12" s="21" customFormat="1" ht="30" x14ac:dyDescent="0.25">
      <c r="A60" s="55"/>
      <c r="B60" s="65" t="s">
        <v>82</v>
      </c>
      <c r="C60" s="35" t="s">
        <v>107</v>
      </c>
      <c r="D60" s="62" t="s">
        <v>72</v>
      </c>
      <c r="E60" s="58">
        <v>3</v>
      </c>
      <c r="F60" s="59">
        <v>200000</v>
      </c>
      <c r="G60" s="60">
        <f t="shared" si="16"/>
        <v>600000</v>
      </c>
      <c r="H60" s="15"/>
      <c r="I60" s="20">
        <f t="shared" si="17"/>
        <v>600000</v>
      </c>
      <c r="J60" s="15"/>
      <c r="K60" s="15"/>
      <c r="L60" s="150"/>
    </row>
    <row r="61" spans="1:12" s="21" customFormat="1" ht="30" x14ac:dyDescent="0.25">
      <c r="A61" s="55"/>
      <c r="B61" s="65" t="s">
        <v>114</v>
      </c>
      <c r="C61" s="35" t="s">
        <v>115</v>
      </c>
      <c r="D61" s="62" t="s">
        <v>72</v>
      </c>
      <c r="E61" s="58">
        <v>45</v>
      </c>
      <c r="F61" s="59">
        <v>200000</v>
      </c>
      <c r="G61" s="60">
        <f t="shared" si="16"/>
        <v>9000000</v>
      </c>
      <c r="H61" s="15"/>
      <c r="I61" s="20">
        <f t="shared" si="17"/>
        <v>9000000</v>
      </c>
      <c r="J61" s="15"/>
      <c r="K61" s="15"/>
      <c r="L61" s="150"/>
    </row>
    <row r="62" spans="1:12" s="21" customFormat="1" ht="60" x14ac:dyDescent="0.25">
      <c r="A62" s="55"/>
      <c r="B62" s="65" t="s">
        <v>100</v>
      </c>
      <c r="C62" s="35" t="s">
        <v>113</v>
      </c>
      <c r="D62" s="62" t="s">
        <v>103</v>
      </c>
      <c r="E62" s="58">
        <v>1</v>
      </c>
      <c r="F62" s="59">
        <v>700000</v>
      </c>
      <c r="G62" s="60">
        <f t="shared" si="16"/>
        <v>700000</v>
      </c>
      <c r="H62" s="15"/>
      <c r="I62" s="20">
        <f t="shared" si="17"/>
        <v>700000</v>
      </c>
      <c r="J62" s="15"/>
      <c r="K62" s="15"/>
      <c r="L62" s="150"/>
    </row>
    <row r="63" spans="1:12" s="6" customFormat="1" ht="33.6" customHeight="1" x14ac:dyDescent="0.2">
      <c r="A63" s="3" t="s">
        <v>109</v>
      </c>
      <c r="B63" s="174" t="s">
        <v>86</v>
      </c>
      <c r="C63" s="174"/>
      <c r="D63" s="174"/>
      <c r="E63" s="174"/>
      <c r="F63" s="174"/>
      <c r="G63" s="114">
        <f>SUM(G64:G70)</f>
        <v>99350000</v>
      </c>
      <c r="H63" s="114">
        <f t="shared" ref="H63:K63" si="18">SUM(H64:H70)</f>
        <v>0</v>
      </c>
      <c r="I63" s="114">
        <f t="shared" si="18"/>
        <v>99350000</v>
      </c>
      <c r="J63" s="114">
        <f t="shared" si="18"/>
        <v>0</v>
      </c>
      <c r="K63" s="114">
        <f t="shared" si="18"/>
        <v>0</v>
      </c>
      <c r="L63" s="151"/>
    </row>
    <row r="64" spans="1:12" s="21" customFormat="1" ht="38.25" x14ac:dyDescent="0.25">
      <c r="A64" s="15"/>
      <c r="B64" s="68" t="s">
        <v>118</v>
      </c>
      <c r="C64" s="69" t="s">
        <v>121</v>
      </c>
      <c r="D64" s="69" t="s">
        <v>34</v>
      </c>
      <c r="E64" s="70">
        <v>1</v>
      </c>
      <c r="F64" s="71">
        <v>30000000</v>
      </c>
      <c r="G64" s="20">
        <f>E64*F64</f>
        <v>30000000</v>
      </c>
      <c r="H64" s="67"/>
      <c r="I64" s="20">
        <f>G64</f>
        <v>30000000</v>
      </c>
      <c r="J64" s="20"/>
      <c r="K64" s="20"/>
      <c r="L64" s="62"/>
    </row>
    <row r="65" spans="1:12" s="21" customFormat="1" x14ac:dyDescent="0.25">
      <c r="A65" s="15"/>
      <c r="B65" s="16" t="s">
        <v>119</v>
      </c>
      <c r="C65" s="17" t="s">
        <v>120</v>
      </c>
      <c r="D65" s="17" t="s">
        <v>122</v>
      </c>
      <c r="E65" s="18">
        <v>2</v>
      </c>
      <c r="F65" s="19">
        <v>1500000</v>
      </c>
      <c r="G65" s="20">
        <f t="shared" ref="G65:G70" si="19">E65*F65</f>
        <v>3000000</v>
      </c>
      <c r="H65" s="20"/>
      <c r="I65" s="20">
        <f t="shared" ref="I65:I70" si="20">G65</f>
        <v>3000000</v>
      </c>
      <c r="J65" s="20"/>
      <c r="K65" s="20"/>
      <c r="L65" s="62"/>
    </row>
    <row r="66" spans="1:12" s="21" customFormat="1" ht="63.75" x14ac:dyDescent="0.25">
      <c r="A66" s="15"/>
      <c r="B66" s="16" t="s">
        <v>37</v>
      </c>
      <c r="C66" s="17" t="s">
        <v>123</v>
      </c>
      <c r="D66" s="22" t="s">
        <v>116</v>
      </c>
      <c r="E66" s="18">
        <v>90</v>
      </c>
      <c r="F66" s="19">
        <v>450000</v>
      </c>
      <c r="G66" s="20">
        <f t="shared" si="19"/>
        <v>40500000</v>
      </c>
      <c r="H66" s="20"/>
      <c r="I66" s="20">
        <f t="shared" si="20"/>
        <v>40500000</v>
      </c>
      <c r="J66" s="20"/>
      <c r="K66" s="20"/>
      <c r="L66" s="62"/>
    </row>
    <row r="67" spans="1:12" s="21" customFormat="1" ht="63.75" x14ac:dyDescent="0.25">
      <c r="A67" s="15"/>
      <c r="B67" s="23" t="s">
        <v>124</v>
      </c>
      <c r="C67" s="22" t="s">
        <v>125</v>
      </c>
      <c r="D67" s="22" t="s">
        <v>33</v>
      </c>
      <c r="E67" s="24">
        <v>14</v>
      </c>
      <c r="F67" s="19">
        <v>1000000</v>
      </c>
      <c r="G67" s="20">
        <f t="shared" si="19"/>
        <v>14000000</v>
      </c>
      <c r="H67" s="20"/>
      <c r="I67" s="20">
        <f t="shared" si="20"/>
        <v>14000000</v>
      </c>
      <c r="J67" s="20"/>
      <c r="K67" s="20"/>
      <c r="L67" s="62"/>
    </row>
    <row r="68" spans="1:12" s="21" customFormat="1" ht="30" x14ac:dyDescent="0.25">
      <c r="A68" s="55"/>
      <c r="B68" s="56" t="s">
        <v>80</v>
      </c>
      <c r="C68" s="35" t="s">
        <v>67</v>
      </c>
      <c r="D68" s="57" t="s">
        <v>41</v>
      </c>
      <c r="E68" s="58">
        <v>4</v>
      </c>
      <c r="F68" s="59">
        <v>400000</v>
      </c>
      <c r="G68" s="60">
        <f t="shared" si="19"/>
        <v>1600000</v>
      </c>
      <c r="H68" s="15"/>
      <c r="I68" s="20">
        <f t="shared" si="20"/>
        <v>1600000</v>
      </c>
      <c r="J68" s="15"/>
      <c r="K68" s="15"/>
      <c r="L68" s="150"/>
    </row>
    <row r="69" spans="1:12" s="21" customFormat="1" ht="30" x14ac:dyDescent="0.25">
      <c r="A69" s="55"/>
      <c r="B69" s="65" t="s">
        <v>126</v>
      </c>
      <c r="C69" s="35" t="s">
        <v>127</v>
      </c>
      <c r="D69" s="62" t="s">
        <v>72</v>
      </c>
      <c r="E69" s="58">
        <f>45/3</f>
        <v>15</v>
      </c>
      <c r="F69" s="59">
        <v>550000</v>
      </c>
      <c r="G69" s="60">
        <f t="shared" si="19"/>
        <v>8250000</v>
      </c>
      <c r="H69" s="15"/>
      <c r="I69" s="20">
        <f t="shared" si="20"/>
        <v>8250000</v>
      </c>
      <c r="J69" s="15"/>
      <c r="K69" s="15"/>
      <c r="L69" s="150"/>
    </row>
    <row r="70" spans="1:12" s="21" customFormat="1" x14ac:dyDescent="0.25">
      <c r="A70" s="55"/>
      <c r="B70" s="65" t="s">
        <v>128</v>
      </c>
      <c r="C70" s="35" t="s">
        <v>129</v>
      </c>
      <c r="D70" s="62" t="s">
        <v>34</v>
      </c>
      <c r="E70" s="58">
        <v>1</v>
      </c>
      <c r="F70" s="59">
        <v>2000000</v>
      </c>
      <c r="G70" s="60">
        <f t="shared" si="19"/>
        <v>2000000</v>
      </c>
      <c r="H70" s="15"/>
      <c r="I70" s="20">
        <f t="shared" si="20"/>
        <v>2000000</v>
      </c>
      <c r="J70" s="15"/>
      <c r="K70" s="15"/>
      <c r="L70" s="150"/>
    </row>
    <row r="71" spans="1:12" x14ac:dyDescent="0.25">
      <c r="A71" s="38"/>
      <c r="E71" s="14"/>
      <c r="F71" s="14"/>
      <c r="G71" s="14"/>
      <c r="H71" s="14"/>
      <c r="I71" s="14"/>
      <c r="J71" s="14"/>
      <c r="K71" s="14"/>
      <c r="L71" s="152"/>
    </row>
    <row r="72" spans="1:12" x14ac:dyDescent="0.25">
      <c r="A72" s="38"/>
      <c r="E72" s="14"/>
      <c r="F72" s="14"/>
      <c r="G72" s="14"/>
      <c r="H72" s="14"/>
      <c r="I72" s="14"/>
      <c r="J72" s="14"/>
      <c r="K72" s="14"/>
      <c r="L72" s="152"/>
    </row>
    <row r="73" spans="1:12" x14ac:dyDescent="0.25">
      <c r="A73" s="38"/>
      <c r="E73" s="14"/>
      <c r="F73" s="14"/>
      <c r="G73" s="14"/>
      <c r="H73" s="14"/>
      <c r="I73" s="14"/>
      <c r="J73" s="14"/>
      <c r="K73" s="14"/>
      <c r="L73" s="152"/>
    </row>
    <row r="74" spans="1:12" x14ac:dyDescent="0.25">
      <c r="A74" s="38"/>
      <c r="E74" s="14"/>
      <c r="F74" s="14"/>
      <c r="G74" s="14"/>
      <c r="H74" s="14"/>
      <c r="I74" s="14"/>
      <c r="J74" s="14"/>
      <c r="K74" s="14"/>
      <c r="L74" s="152"/>
    </row>
    <row r="75" spans="1:12" x14ac:dyDescent="0.25">
      <c r="A75" s="38"/>
      <c r="E75" s="14"/>
      <c r="F75" s="14"/>
      <c r="G75" s="14"/>
      <c r="H75" s="14"/>
      <c r="I75" s="14"/>
      <c r="J75" s="14"/>
      <c r="K75" s="14"/>
      <c r="L75" s="152"/>
    </row>
    <row r="76" spans="1:12" x14ac:dyDescent="0.25">
      <c r="A76" s="38"/>
      <c r="E76" s="14"/>
      <c r="F76" s="14"/>
      <c r="G76" s="14"/>
      <c r="H76" s="14"/>
      <c r="I76" s="14"/>
      <c r="J76" s="14"/>
      <c r="K76" s="14"/>
      <c r="L76" s="152"/>
    </row>
    <row r="77" spans="1:12" x14ac:dyDescent="0.25">
      <c r="A77" s="38"/>
      <c r="E77" s="14"/>
      <c r="F77" s="14"/>
      <c r="G77" s="14"/>
      <c r="H77" s="14"/>
      <c r="I77" s="14"/>
      <c r="J77" s="14"/>
      <c r="K77" s="14"/>
      <c r="L77" s="152"/>
    </row>
    <row r="78" spans="1:12" x14ac:dyDescent="0.25">
      <c r="A78" s="38"/>
    </row>
    <row r="79" spans="1:12" x14ac:dyDescent="0.25">
      <c r="A79" s="38"/>
    </row>
    <row r="80" spans="1:12" x14ac:dyDescent="0.25">
      <c r="A80" s="38"/>
    </row>
    <row r="81" spans="1:1" x14ac:dyDescent="0.25">
      <c r="A81" s="38"/>
    </row>
  </sheetData>
  <mergeCells count="19">
    <mergeCell ref="L13:L16"/>
    <mergeCell ref="A2:L2"/>
    <mergeCell ref="K6:L6"/>
    <mergeCell ref="A7:A10"/>
    <mergeCell ref="B7:B10"/>
    <mergeCell ref="C7:C10"/>
    <mergeCell ref="D7:D10"/>
    <mergeCell ref="E7:E10"/>
    <mergeCell ref="F7:F10"/>
    <mergeCell ref="G7:G10"/>
    <mergeCell ref="H7:K7"/>
    <mergeCell ref="L7:L10"/>
    <mergeCell ref="J8:K8"/>
    <mergeCell ref="B63:F63"/>
    <mergeCell ref="A11:C11"/>
    <mergeCell ref="B18:F18"/>
    <mergeCell ref="B52:F52"/>
    <mergeCell ref="B30:F30"/>
    <mergeCell ref="B19:F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8"/>
  <sheetViews>
    <sheetView zoomScale="85" zoomScaleNormal="85" workbookViewId="0">
      <selection activeCell="H20" sqref="H20"/>
    </sheetView>
  </sheetViews>
  <sheetFormatPr defaultColWidth="8.85546875" defaultRowHeight="15" x14ac:dyDescent="0.25"/>
  <cols>
    <col min="1" max="1" width="8.85546875" style="32"/>
    <col min="2" max="2" width="23.140625" style="32" customWidth="1"/>
    <col min="3" max="3" width="29.42578125" style="32" customWidth="1"/>
    <col min="4" max="4" width="8.85546875" style="32"/>
    <col min="5" max="5" width="9.7109375" style="32" bestFit="1" customWidth="1"/>
    <col min="6" max="6" width="15.28515625" style="32" customWidth="1"/>
    <col min="7" max="7" width="15.85546875" style="32" customWidth="1"/>
    <col min="8" max="8" width="15.5703125" style="32" customWidth="1"/>
    <col min="9" max="9" width="16.42578125" style="32" customWidth="1"/>
    <col min="10" max="10" width="12.5703125" style="32" customWidth="1"/>
    <col min="11" max="11" width="13.85546875" style="32" customWidth="1"/>
    <col min="12" max="12" width="12.5703125" style="32" customWidth="1"/>
    <col min="13" max="13" width="8.85546875" style="32"/>
    <col min="14" max="14" width="54.28515625" style="32" customWidth="1"/>
    <col min="15" max="16384" width="8.85546875" style="32"/>
  </cols>
  <sheetData>
    <row r="1" spans="1:12" x14ac:dyDescent="0.25">
      <c r="A1" s="195" t="s">
        <v>31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3" spans="1:12" x14ac:dyDescent="0.25">
      <c r="A3" s="128" t="s">
        <v>32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x14ac:dyDescent="0.25">
      <c r="A4" s="128" t="s">
        <v>305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2" ht="29.45" customHeight="1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96" t="s">
        <v>0</v>
      </c>
      <c r="L5" s="196"/>
    </row>
    <row r="6" spans="1:12" x14ac:dyDescent="0.25">
      <c r="A6" s="197" t="s">
        <v>1</v>
      </c>
      <c r="B6" s="197" t="s">
        <v>2</v>
      </c>
      <c r="C6" s="197" t="s">
        <v>3</v>
      </c>
      <c r="D6" s="198" t="s">
        <v>4</v>
      </c>
      <c r="E6" s="197" t="s">
        <v>5</v>
      </c>
      <c r="F6" s="197" t="s">
        <v>6</v>
      </c>
      <c r="G6" s="197" t="s">
        <v>7</v>
      </c>
      <c r="H6" s="197" t="s">
        <v>8</v>
      </c>
      <c r="I6" s="197"/>
      <c r="J6" s="197"/>
      <c r="K6" s="197"/>
      <c r="L6" s="197" t="s">
        <v>9</v>
      </c>
    </row>
    <row r="7" spans="1:12" x14ac:dyDescent="0.25">
      <c r="A7" s="197"/>
      <c r="B7" s="197"/>
      <c r="C7" s="197"/>
      <c r="D7" s="198"/>
      <c r="E7" s="197"/>
      <c r="F7" s="197"/>
      <c r="G7" s="197"/>
      <c r="H7" s="129" t="s">
        <v>10</v>
      </c>
      <c r="I7" s="129" t="s">
        <v>11</v>
      </c>
      <c r="J7" s="197" t="s">
        <v>12</v>
      </c>
      <c r="K7" s="197"/>
      <c r="L7" s="197"/>
    </row>
    <row r="8" spans="1:12" ht="42.75" x14ac:dyDescent="0.25">
      <c r="A8" s="197"/>
      <c r="B8" s="197"/>
      <c r="C8" s="197"/>
      <c r="D8" s="198"/>
      <c r="E8" s="197"/>
      <c r="F8" s="197"/>
      <c r="G8" s="197"/>
      <c r="H8" s="130" t="s">
        <v>10</v>
      </c>
      <c r="I8" s="130" t="s">
        <v>11</v>
      </c>
      <c r="J8" s="130" t="s">
        <v>15</v>
      </c>
      <c r="K8" s="130" t="s">
        <v>16</v>
      </c>
      <c r="L8" s="197"/>
    </row>
    <row r="9" spans="1:12" s="79" customFormat="1" ht="14.25" x14ac:dyDescent="0.25">
      <c r="A9" s="189" t="s">
        <v>283</v>
      </c>
      <c r="B9" s="190"/>
      <c r="C9" s="190"/>
      <c r="D9" s="190"/>
      <c r="E9" s="190"/>
      <c r="F9" s="191"/>
      <c r="G9" s="131"/>
      <c r="H9" s="131">
        <f>I9+K9</f>
        <v>7702582125</v>
      </c>
      <c r="I9" s="131">
        <f>I10+I14+I18+I20</f>
        <v>7335792500</v>
      </c>
      <c r="J9" s="131"/>
      <c r="K9" s="131">
        <f>I9*5%</f>
        <v>366789625</v>
      </c>
      <c r="L9" s="130"/>
    </row>
    <row r="10" spans="1:12" x14ac:dyDescent="0.25">
      <c r="A10" s="132">
        <v>1</v>
      </c>
      <c r="B10" s="192" t="s">
        <v>302</v>
      </c>
      <c r="C10" s="193"/>
      <c r="D10" s="193"/>
      <c r="E10" s="193"/>
      <c r="F10" s="194"/>
      <c r="G10" s="133">
        <f>SUM(G11:G12)</f>
        <v>971792500</v>
      </c>
      <c r="H10" s="133">
        <f>SUM(H11:H12)</f>
        <v>0</v>
      </c>
      <c r="I10" s="133">
        <f>I11+I12+I13</f>
        <v>1001792500</v>
      </c>
      <c r="J10" s="133">
        <f>SUM(J11:J12)</f>
        <v>0</v>
      </c>
      <c r="K10" s="133">
        <f>SUM(K11:K12)</f>
        <v>0</v>
      </c>
      <c r="L10" s="187" t="s">
        <v>304</v>
      </c>
    </row>
    <row r="11" spans="1:12" s="80" customFormat="1" ht="30" x14ac:dyDescent="0.25">
      <c r="A11" s="134"/>
      <c r="B11" s="126" t="s">
        <v>289</v>
      </c>
      <c r="C11" s="124" t="s">
        <v>290</v>
      </c>
      <c r="D11" s="125" t="s">
        <v>54</v>
      </c>
      <c r="E11" s="36">
        <f>7933*7</f>
        <v>55531</v>
      </c>
      <c r="F11" s="36">
        <v>15000</v>
      </c>
      <c r="G11" s="135">
        <f t="shared" ref="G11:G12" si="0">E11*F11</f>
        <v>832965000</v>
      </c>
      <c r="H11" s="134"/>
      <c r="I11" s="136">
        <f>G11</f>
        <v>832965000</v>
      </c>
      <c r="J11" s="134"/>
      <c r="K11" s="134"/>
      <c r="L11" s="187"/>
    </row>
    <row r="12" spans="1:12" s="80" customFormat="1" ht="30" x14ac:dyDescent="0.25">
      <c r="A12" s="134"/>
      <c r="B12" s="126" t="s">
        <v>52</v>
      </c>
      <c r="C12" s="127" t="s">
        <v>53</v>
      </c>
      <c r="D12" s="125" t="s">
        <v>54</v>
      </c>
      <c r="E12" s="36">
        <f>E11*0.05</f>
        <v>2776.55</v>
      </c>
      <c r="F12" s="36">
        <v>50000</v>
      </c>
      <c r="G12" s="135">
        <f t="shared" si="0"/>
        <v>138827500</v>
      </c>
      <c r="H12" s="134"/>
      <c r="I12" s="136">
        <f t="shared" ref="I12" si="1">G12</f>
        <v>138827500</v>
      </c>
      <c r="J12" s="134"/>
      <c r="K12" s="134"/>
      <c r="L12" s="187"/>
    </row>
    <row r="13" spans="1:12" s="80" customFormat="1" x14ac:dyDescent="0.25">
      <c r="A13" s="134"/>
      <c r="B13" s="126" t="s">
        <v>296</v>
      </c>
      <c r="C13" s="127" t="s">
        <v>297</v>
      </c>
      <c r="D13" s="125"/>
      <c r="E13" s="36"/>
      <c r="F13" s="36"/>
      <c r="G13" s="135"/>
      <c r="H13" s="134"/>
      <c r="I13" s="136">
        <v>30000000</v>
      </c>
      <c r="J13" s="134"/>
      <c r="K13" s="134"/>
      <c r="L13" s="187"/>
    </row>
    <row r="14" spans="1:12" s="142" customFormat="1" x14ac:dyDescent="0.25">
      <c r="A14" s="132">
        <v>2</v>
      </c>
      <c r="B14" s="137" t="s">
        <v>291</v>
      </c>
      <c r="C14" s="138"/>
      <c r="D14" s="137" t="s">
        <v>294</v>
      </c>
      <c r="E14" s="137"/>
      <c r="F14" s="139"/>
      <c r="G14" s="139"/>
      <c r="H14" s="137"/>
      <c r="I14" s="140">
        <f>I15+I16+I17</f>
        <v>3724000000</v>
      </c>
      <c r="J14" s="137"/>
      <c r="K14" s="137"/>
      <c r="L14" s="187"/>
    </row>
    <row r="15" spans="1:12" s="142" customFormat="1" x14ac:dyDescent="0.25">
      <c r="A15" s="124"/>
      <c r="B15" s="124" t="s">
        <v>292</v>
      </c>
      <c r="C15" s="124" t="s">
        <v>293</v>
      </c>
      <c r="D15" s="134"/>
      <c r="E15" s="134">
        <f>2200*30</f>
        <v>66000</v>
      </c>
      <c r="F15" s="135">
        <v>50000</v>
      </c>
      <c r="G15" s="135"/>
      <c r="H15" s="134"/>
      <c r="I15" s="136">
        <f>E15*F15</f>
        <v>3300000000</v>
      </c>
      <c r="J15" s="134"/>
      <c r="K15" s="134"/>
      <c r="L15" s="187"/>
    </row>
    <row r="16" spans="1:12" s="142" customFormat="1" ht="30" x14ac:dyDescent="0.25">
      <c r="A16" s="124"/>
      <c r="B16" s="124" t="s">
        <v>289</v>
      </c>
      <c r="C16" s="124"/>
      <c r="D16" s="134"/>
      <c r="E16" s="134">
        <f>720*30</f>
        <v>21600</v>
      </c>
      <c r="F16" s="135">
        <v>15000</v>
      </c>
      <c r="G16" s="135"/>
      <c r="H16" s="134"/>
      <c r="I16" s="136">
        <f>E16*F16</f>
        <v>324000000</v>
      </c>
      <c r="J16" s="134"/>
      <c r="K16" s="134"/>
      <c r="L16" s="187"/>
    </row>
    <row r="17" spans="1:12" s="142" customFormat="1" ht="30" x14ac:dyDescent="0.25">
      <c r="A17" s="124"/>
      <c r="B17" s="124" t="s">
        <v>295</v>
      </c>
      <c r="C17" s="124"/>
      <c r="D17" s="134"/>
      <c r="E17" s="134"/>
      <c r="F17" s="135"/>
      <c r="G17" s="135"/>
      <c r="H17" s="134"/>
      <c r="I17" s="136">
        <v>100000000</v>
      </c>
      <c r="J17" s="134"/>
      <c r="K17" s="134"/>
      <c r="L17" s="187"/>
    </row>
    <row r="18" spans="1:12" s="123" customFormat="1" x14ac:dyDescent="0.25">
      <c r="A18" s="141">
        <v>3</v>
      </c>
      <c r="B18" s="137" t="s">
        <v>288</v>
      </c>
      <c r="C18" s="137"/>
      <c r="D18" s="137"/>
      <c r="E18" s="137"/>
      <c r="F18" s="137"/>
      <c r="G18" s="140">
        <f>SUM(G19:G19)</f>
        <v>0</v>
      </c>
      <c r="H18" s="140">
        <f>SUM(H19:H19)</f>
        <v>0</v>
      </c>
      <c r="I18" s="140">
        <f>SUM(I19:I19)</f>
        <v>1000000000</v>
      </c>
      <c r="J18" s="140">
        <f>SUM(J19:J19)</f>
        <v>0</v>
      </c>
      <c r="K18" s="140">
        <f>SUM(K19:K19)</f>
        <v>0</v>
      </c>
      <c r="L18" s="187"/>
    </row>
    <row r="19" spans="1:12" s="143" customFormat="1" ht="50.25" customHeight="1" x14ac:dyDescent="0.25">
      <c r="A19" s="134"/>
      <c r="B19" s="134" t="s">
        <v>230</v>
      </c>
      <c r="C19" s="126" t="s">
        <v>237</v>
      </c>
      <c r="D19" s="134"/>
      <c r="E19" s="135"/>
      <c r="F19" s="135"/>
      <c r="G19" s="135"/>
      <c r="H19" s="134"/>
      <c r="I19" s="136">
        <v>1000000000</v>
      </c>
      <c r="J19" s="134"/>
      <c r="K19" s="134"/>
      <c r="L19" s="187"/>
    </row>
    <row r="20" spans="1:12" ht="35.450000000000003" customHeight="1" x14ac:dyDescent="0.25">
      <c r="A20" s="141">
        <v>4</v>
      </c>
      <c r="B20" s="192" t="s">
        <v>248</v>
      </c>
      <c r="C20" s="193"/>
      <c r="D20" s="193"/>
      <c r="E20" s="193"/>
      <c r="F20" s="194"/>
      <c r="G20" s="140">
        <f>SUM(G21:G26)</f>
        <v>1610000000</v>
      </c>
      <c r="H20" s="140">
        <f t="shared" ref="H20:K20" si="2">SUM(H21:H26)</f>
        <v>0</v>
      </c>
      <c r="I20" s="140">
        <f t="shared" si="2"/>
        <v>1610000000</v>
      </c>
      <c r="J20" s="140">
        <f t="shared" si="2"/>
        <v>0</v>
      </c>
      <c r="K20" s="140">
        <f t="shared" si="2"/>
        <v>0</v>
      </c>
      <c r="L20" s="187"/>
    </row>
    <row r="21" spans="1:12" s="80" customFormat="1" x14ac:dyDescent="0.25">
      <c r="A21" s="134"/>
      <c r="B21" s="126" t="s">
        <v>231</v>
      </c>
      <c r="C21" s="126"/>
      <c r="D21" s="126" t="s">
        <v>233</v>
      </c>
      <c r="E21" s="134">
        <v>5</v>
      </c>
      <c r="F21" s="135">
        <v>5000000</v>
      </c>
      <c r="G21" s="136">
        <f>E21*F21</f>
        <v>25000000</v>
      </c>
      <c r="H21" s="134"/>
      <c r="I21" s="136">
        <f>G21</f>
        <v>25000000</v>
      </c>
      <c r="J21" s="134"/>
      <c r="K21" s="134"/>
      <c r="L21" s="187"/>
    </row>
    <row r="22" spans="1:12" s="80" customFormat="1" ht="30" x14ac:dyDescent="0.25">
      <c r="A22" s="134"/>
      <c r="B22" s="126" t="s">
        <v>232</v>
      </c>
      <c r="C22" s="126"/>
      <c r="D22" s="126" t="s">
        <v>235</v>
      </c>
      <c r="E22" s="134">
        <v>5</v>
      </c>
      <c r="F22" s="135">
        <v>2000000</v>
      </c>
      <c r="G22" s="136">
        <f t="shared" ref="G22:G26" si="3">E22*F22</f>
        <v>10000000</v>
      </c>
      <c r="H22" s="134"/>
      <c r="I22" s="136">
        <f t="shared" ref="I22:I26" si="4">G22</f>
        <v>10000000</v>
      </c>
      <c r="J22" s="134"/>
      <c r="K22" s="134"/>
      <c r="L22" s="187"/>
    </row>
    <row r="23" spans="1:12" s="80" customFormat="1" x14ac:dyDescent="0.25">
      <c r="A23" s="134"/>
      <c r="B23" s="126" t="s">
        <v>299</v>
      </c>
      <c r="C23" s="126"/>
      <c r="D23" s="126" t="s">
        <v>50</v>
      </c>
      <c r="E23" s="134">
        <v>5</v>
      </c>
      <c r="F23" s="135">
        <v>185000000</v>
      </c>
      <c r="G23" s="136">
        <f t="shared" si="3"/>
        <v>925000000</v>
      </c>
      <c r="H23" s="134"/>
      <c r="I23" s="136">
        <f t="shared" si="4"/>
        <v>925000000</v>
      </c>
      <c r="J23" s="134"/>
      <c r="K23" s="134"/>
      <c r="L23" s="187"/>
    </row>
    <row r="24" spans="1:12" s="80" customFormat="1" x14ac:dyDescent="0.25">
      <c r="A24" s="134"/>
      <c r="B24" s="126" t="s">
        <v>300</v>
      </c>
      <c r="C24" s="126"/>
      <c r="D24" s="126" t="s">
        <v>50</v>
      </c>
      <c r="E24" s="134">
        <v>5</v>
      </c>
      <c r="F24" s="135">
        <v>90000000</v>
      </c>
      <c r="G24" s="136">
        <f t="shared" si="3"/>
        <v>450000000</v>
      </c>
      <c r="H24" s="134"/>
      <c r="I24" s="136">
        <f t="shared" si="4"/>
        <v>450000000</v>
      </c>
      <c r="J24" s="134"/>
      <c r="K24" s="134"/>
      <c r="L24" s="187"/>
    </row>
    <row r="25" spans="1:12" s="80" customFormat="1" x14ac:dyDescent="0.25">
      <c r="A25" s="134"/>
      <c r="B25" s="126" t="s">
        <v>301</v>
      </c>
      <c r="C25" s="126"/>
      <c r="D25" s="126" t="s">
        <v>50</v>
      </c>
      <c r="E25" s="134">
        <v>10</v>
      </c>
      <c r="F25" s="135">
        <v>7500000</v>
      </c>
      <c r="G25" s="136">
        <f t="shared" si="3"/>
        <v>75000000</v>
      </c>
      <c r="H25" s="134"/>
      <c r="I25" s="136">
        <f t="shared" si="4"/>
        <v>75000000</v>
      </c>
      <c r="J25" s="134"/>
      <c r="K25" s="134"/>
      <c r="L25" s="187"/>
    </row>
    <row r="26" spans="1:12" s="80" customFormat="1" ht="30" x14ac:dyDescent="0.25">
      <c r="A26" s="134"/>
      <c r="B26" s="126" t="s">
        <v>236</v>
      </c>
      <c r="C26" s="126"/>
      <c r="D26" s="126" t="s">
        <v>234</v>
      </c>
      <c r="E26" s="134">
        <v>5</v>
      </c>
      <c r="F26" s="135">
        <v>25000000</v>
      </c>
      <c r="G26" s="136">
        <f t="shared" si="3"/>
        <v>125000000</v>
      </c>
      <c r="H26" s="134"/>
      <c r="I26" s="136">
        <f t="shared" si="4"/>
        <v>125000000</v>
      </c>
      <c r="J26" s="134"/>
      <c r="K26" s="134"/>
      <c r="L26" s="188"/>
    </row>
    <row r="28" spans="1:12" x14ac:dyDescent="0.25">
      <c r="C28" s="80"/>
    </row>
  </sheetData>
  <mergeCells count="16">
    <mergeCell ref="L10:L26"/>
    <mergeCell ref="A9:F9"/>
    <mergeCell ref="B20:F20"/>
    <mergeCell ref="B10:F10"/>
    <mergeCell ref="A1:L1"/>
    <mergeCell ref="K5:L5"/>
    <mergeCell ref="A6:A8"/>
    <mergeCell ref="B6:B8"/>
    <mergeCell ref="C6:C8"/>
    <mergeCell ref="D6:D8"/>
    <mergeCell ref="E6:E8"/>
    <mergeCell ref="F6:F8"/>
    <mergeCell ref="G6:G8"/>
    <mergeCell ref="H6:K6"/>
    <mergeCell ref="L6:L8"/>
    <mergeCell ref="J7:K7"/>
  </mergeCells>
  <phoneticPr fontId="12" type="noConversion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workbookViewId="0">
      <selection activeCell="G14" sqref="G14"/>
    </sheetView>
  </sheetViews>
  <sheetFormatPr defaultRowHeight="15" x14ac:dyDescent="0.25"/>
  <cols>
    <col min="2" max="2" width="29" customWidth="1"/>
    <col min="3" max="3" width="22.7109375" customWidth="1"/>
    <col min="6" max="6" width="11.28515625" customWidth="1"/>
    <col min="7" max="7" width="15.28515625" customWidth="1"/>
    <col min="9" max="9" width="14.7109375" customWidth="1"/>
    <col min="12" max="12" width="14.28515625" customWidth="1"/>
  </cols>
  <sheetData>
    <row r="1" spans="1:32" s="1" customFormat="1" x14ac:dyDescent="0.25">
      <c r="A1" s="185" t="s">
        <v>31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32" s="1" customFormat="1" ht="13.9" x14ac:dyDescent="0.25"/>
    <row r="3" spans="1:32" s="1" customFormat="1" x14ac:dyDescent="0.25">
      <c r="A3" s="1" t="s">
        <v>32</v>
      </c>
    </row>
    <row r="4" spans="1:32" s="1" customFormat="1" x14ac:dyDescent="0.25">
      <c r="A4" s="1" t="s">
        <v>298</v>
      </c>
    </row>
    <row r="5" spans="1:32" s="1" customFormat="1" x14ac:dyDescent="0.25">
      <c r="K5" s="172" t="s">
        <v>0</v>
      </c>
      <c r="L5" s="172"/>
    </row>
    <row r="6" spans="1:32" s="1" customFormat="1" x14ac:dyDescent="0.25">
      <c r="A6" s="170" t="s">
        <v>1</v>
      </c>
      <c r="B6" s="170" t="s">
        <v>2</v>
      </c>
      <c r="C6" s="170" t="s">
        <v>3</v>
      </c>
      <c r="D6" s="173" t="s">
        <v>4</v>
      </c>
      <c r="E6" s="170" t="s">
        <v>5</v>
      </c>
      <c r="F6" s="170" t="s">
        <v>6</v>
      </c>
      <c r="G6" s="170" t="s">
        <v>7</v>
      </c>
      <c r="H6" s="170" t="s">
        <v>8</v>
      </c>
      <c r="I6" s="170"/>
      <c r="J6" s="170"/>
      <c r="K6" s="170"/>
      <c r="L6" s="170" t="s">
        <v>9</v>
      </c>
    </row>
    <row r="7" spans="1:32" s="1" customFormat="1" ht="28.5" x14ac:dyDescent="0.25">
      <c r="A7" s="170"/>
      <c r="B7" s="170"/>
      <c r="C7" s="170"/>
      <c r="D7" s="173"/>
      <c r="E7" s="170"/>
      <c r="F7" s="170"/>
      <c r="G7" s="170"/>
      <c r="H7" s="4" t="s">
        <v>10</v>
      </c>
      <c r="I7" s="4" t="s">
        <v>11</v>
      </c>
      <c r="J7" s="170" t="s">
        <v>12</v>
      </c>
      <c r="K7" s="170"/>
      <c r="L7" s="170"/>
    </row>
    <row r="8" spans="1:32" s="1" customFormat="1" ht="42.75" x14ac:dyDescent="0.25">
      <c r="A8" s="170"/>
      <c r="B8" s="170"/>
      <c r="C8" s="170"/>
      <c r="D8" s="173"/>
      <c r="E8" s="170"/>
      <c r="F8" s="170"/>
      <c r="G8" s="170"/>
      <c r="H8" s="2" t="s">
        <v>10</v>
      </c>
      <c r="I8" s="2" t="s">
        <v>11</v>
      </c>
      <c r="J8" s="2" t="s">
        <v>15</v>
      </c>
      <c r="K8" s="2" t="s">
        <v>16</v>
      </c>
      <c r="L8" s="170"/>
    </row>
    <row r="9" spans="1:32" s="6" customFormat="1" ht="42.75" customHeight="1" x14ac:dyDescent="0.2">
      <c r="A9" s="202" t="s">
        <v>22</v>
      </c>
      <c r="B9" s="203"/>
      <c r="C9" s="5"/>
      <c r="D9" s="30"/>
      <c r="E9" s="30"/>
      <c r="F9" s="30"/>
      <c r="G9" s="31">
        <f>SUM(G10:G15)</f>
        <v>296000000</v>
      </c>
      <c r="H9" s="31">
        <f t="shared" ref="H9:K9" si="0">SUM(H10:H15)</f>
        <v>0</v>
      </c>
      <c r="I9" s="31">
        <f t="shared" si="0"/>
        <v>296000000</v>
      </c>
      <c r="J9" s="31">
        <f t="shared" si="0"/>
        <v>0</v>
      </c>
      <c r="K9" s="31">
        <f t="shared" si="0"/>
        <v>0</v>
      </c>
      <c r="L9" s="5"/>
    </row>
    <row r="10" spans="1:32" s="1" customFormat="1" ht="60" x14ac:dyDescent="0.25">
      <c r="A10" s="9">
        <v>1</v>
      </c>
      <c r="B10" s="8" t="s">
        <v>23</v>
      </c>
      <c r="C10" s="11" t="s">
        <v>24</v>
      </c>
      <c r="D10" s="10" t="s">
        <v>55</v>
      </c>
      <c r="E10" s="27">
        <v>1</v>
      </c>
      <c r="F10" s="29">
        <v>52000000</v>
      </c>
      <c r="G10" s="29">
        <f>E10*F10</f>
        <v>52000000</v>
      </c>
      <c r="H10" s="27"/>
      <c r="I10" s="28">
        <f>G10</f>
        <v>52000000</v>
      </c>
      <c r="J10" s="27"/>
      <c r="K10" s="27"/>
      <c r="L10" s="199"/>
    </row>
    <row r="11" spans="1:32" s="1" customFormat="1" ht="45" x14ac:dyDescent="0.25">
      <c r="A11" s="9">
        <v>2</v>
      </c>
      <c r="B11" s="8" t="s">
        <v>25</v>
      </c>
      <c r="C11" s="12" t="s">
        <v>26</v>
      </c>
      <c r="D11" s="10" t="s">
        <v>56</v>
      </c>
      <c r="E11" s="27">
        <v>1</v>
      </c>
      <c r="F11" s="29">
        <v>25000000</v>
      </c>
      <c r="G11" s="29">
        <f t="shared" ref="G11:G15" si="1">E11*F11</f>
        <v>25000000</v>
      </c>
      <c r="H11" s="27"/>
      <c r="I11" s="28">
        <f t="shared" ref="I11:I15" si="2">G11</f>
        <v>25000000</v>
      </c>
      <c r="J11" s="27"/>
      <c r="K11" s="27"/>
      <c r="L11" s="200"/>
    </row>
    <row r="12" spans="1:32" s="1" customFormat="1" ht="45" x14ac:dyDescent="0.25">
      <c r="A12" s="9">
        <v>3</v>
      </c>
      <c r="B12" s="8" t="s">
        <v>57</v>
      </c>
      <c r="C12" s="12" t="s">
        <v>27</v>
      </c>
      <c r="D12" s="10" t="s">
        <v>61</v>
      </c>
      <c r="E12" s="27">
        <v>1</v>
      </c>
      <c r="F12" s="29">
        <v>12000000</v>
      </c>
      <c r="G12" s="29">
        <f t="shared" si="1"/>
        <v>12000000</v>
      </c>
      <c r="H12" s="27"/>
      <c r="I12" s="28">
        <f t="shared" si="2"/>
        <v>12000000</v>
      </c>
      <c r="J12" s="27"/>
      <c r="K12" s="27"/>
      <c r="L12" s="200"/>
    </row>
    <row r="13" spans="1:32" s="1" customFormat="1" ht="30" x14ac:dyDescent="0.25">
      <c r="A13" s="9">
        <v>4</v>
      </c>
      <c r="B13" s="8" t="s">
        <v>58</v>
      </c>
      <c r="C13" s="12" t="s">
        <v>59</v>
      </c>
      <c r="D13" s="10" t="s">
        <v>60</v>
      </c>
      <c r="E13" s="27">
        <v>1</v>
      </c>
      <c r="F13" s="29">
        <v>7000000</v>
      </c>
      <c r="G13" s="29">
        <f t="shared" si="1"/>
        <v>7000000</v>
      </c>
      <c r="H13" s="27"/>
      <c r="I13" s="28">
        <f t="shared" si="2"/>
        <v>7000000</v>
      </c>
      <c r="J13" s="27"/>
      <c r="K13" s="27"/>
      <c r="L13" s="200"/>
    </row>
    <row r="14" spans="1:32" s="1" customFormat="1" ht="101.25" customHeight="1" x14ac:dyDescent="0.25">
      <c r="A14" s="9">
        <v>5</v>
      </c>
      <c r="B14" s="8" t="s">
        <v>28</v>
      </c>
      <c r="C14" s="12" t="s">
        <v>29</v>
      </c>
      <c r="D14" s="11" t="s">
        <v>63</v>
      </c>
      <c r="E14" s="27">
        <v>5</v>
      </c>
      <c r="F14" s="29">
        <v>20000000</v>
      </c>
      <c r="G14" s="29">
        <v>100000000</v>
      </c>
      <c r="H14" s="27"/>
      <c r="I14" s="28">
        <f t="shared" si="2"/>
        <v>100000000</v>
      </c>
      <c r="J14" s="27"/>
      <c r="K14" s="27"/>
      <c r="L14" s="200"/>
    </row>
    <row r="15" spans="1:32" s="6" customFormat="1" ht="105" x14ac:dyDescent="0.25">
      <c r="A15" s="9">
        <v>6</v>
      </c>
      <c r="B15" s="8" t="s">
        <v>30</v>
      </c>
      <c r="C15" s="12" t="s">
        <v>311</v>
      </c>
      <c r="D15" s="27" t="s">
        <v>62</v>
      </c>
      <c r="E15" s="27">
        <v>2</v>
      </c>
      <c r="F15" s="29">
        <v>50000000</v>
      </c>
      <c r="G15" s="29">
        <f t="shared" si="1"/>
        <v>100000000</v>
      </c>
      <c r="H15" s="27"/>
      <c r="I15" s="28">
        <f t="shared" si="2"/>
        <v>100000000</v>
      </c>
      <c r="J15" s="27"/>
      <c r="K15" s="27"/>
      <c r="L15" s="20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</sheetData>
  <mergeCells count="14">
    <mergeCell ref="L10:L15"/>
    <mergeCell ref="A9:B9"/>
    <mergeCell ref="A1:L1"/>
    <mergeCell ref="K5:L5"/>
    <mergeCell ref="A6:A8"/>
    <mergeCell ref="B6:B8"/>
    <mergeCell ref="C6:C8"/>
    <mergeCell ref="D6:D8"/>
    <mergeCell ref="E6:E8"/>
    <mergeCell ref="F6:F8"/>
    <mergeCell ref="G6:G8"/>
    <mergeCell ref="H6:K6"/>
    <mergeCell ref="L6:L8"/>
    <mergeCell ref="J7:K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6"/>
  <sheetViews>
    <sheetView zoomScale="85" zoomScaleNormal="85" workbookViewId="0">
      <selection activeCell="H32" sqref="H32"/>
    </sheetView>
  </sheetViews>
  <sheetFormatPr defaultColWidth="8.85546875" defaultRowHeight="15" x14ac:dyDescent="0.25"/>
  <cols>
    <col min="1" max="1" width="6.42578125" style="1" customWidth="1"/>
    <col min="2" max="2" width="47.7109375" style="1" customWidth="1"/>
    <col min="3" max="3" width="12.140625" style="1" customWidth="1"/>
    <col min="4" max="4" width="13.5703125" style="1" customWidth="1"/>
    <col min="5" max="5" width="18" style="1" customWidth="1"/>
    <col min="6" max="6" width="15.85546875" style="1" customWidth="1"/>
    <col min="7" max="7" width="10.5703125" style="1" customWidth="1"/>
    <col min="8" max="8" width="28.7109375" style="1" customWidth="1"/>
    <col min="9" max="16384" width="8.85546875" style="1"/>
  </cols>
  <sheetData>
    <row r="1" spans="1:7" x14ac:dyDescent="0.25">
      <c r="A1" s="185" t="s">
        <v>306</v>
      </c>
      <c r="B1" s="185"/>
      <c r="C1" s="185"/>
      <c r="D1" s="185"/>
      <c r="E1" s="185"/>
      <c r="F1" s="185"/>
      <c r="G1" s="185"/>
    </row>
    <row r="2" spans="1:7" ht="14.45" customHeight="1" x14ac:dyDescent="0.25">
      <c r="A2" s="185"/>
      <c r="B2" s="185"/>
      <c r="C2" s="185"/>
      <c r="D2" s="185"/>
      <c r="E2" s="185"/>
      <c r="F2" s="185"/>
      <c r="G2" s="185"/>
    </row>
    <row r="3" spans="1:7" x14ac:dyDescent="0.25">
      <c r="G3" s="1" t="s">
        <v>131</v>
      </c>
    </row>
    <row r="4" spans="1:7" s="72" customFormat="1" x14ac:dyDescent="0.25">
      <c r="A4" s="207" t="s">
        <v>132</v>
      </c>
      <c r="B4" s="207" t="s">
        <v>133</v>
      </c>
      <c r="C4" s="207" t="s">
        <v>4</v>
      </c>
      <c r="D4" s="207" t="s">
        <v>5</v>
      </c>
      <c r="E4" s="207" t="s">
        <v>6</v>
      </c>
      <c r="F4" s="207"/>
      <c r="G4" s="207" t="s">
        <v>9</v>
      </c>
    </row>
    <row r="5" spans="1:7" s="72" customFormat="1" x14ac:dyDescent="0.25">
      <c r="A5" s="207"/>
      <c r="B5" s="207"/>
      <c r="C5" s="207"/>
      <c r="D5" s="207"/>
      <c r="E5" s="207"/>
      <c r="F5" s="207"/>
      <c r="G5" s="207"/>
    </row>
    <row r="6" spans="1:7" s="116" customFormat="1" ht="14.25" x14ac:dyDescent="0.25">
      <c r="A6" s="204" t="s">
        <v>287</v>
      </c>
      <c r="B6" s="205"/>
      <c r="C6" s="205"/>
      <c r="D6" s="205"/>
      <c r="E6" s="206"/>
      <c r="F6" s="115">
        <f>SUM(F7,F16,F64,F84)</f>
        <v>4175000000</v>
      </c>
      <c r="G6" s="3"/>
    </row>
    <row r="7" spans="1:7" s="6" customFormat="1" ht="14.25" x14ac:dyDescent="0.2">
      <c r="A7" s="4"/>
      <c r="B7" s="4" t="s">
        <v>134</v>
      </c>
      <c r="C7" s="4"/>
      <c r="D7" s="73"/>
      <c r="E7" s="73"/>
      <c r="F7" s="73">
        <f>SUM(F8:F12)</f>
        <v>2600000000</v>
      </c>
      <c r="G7" s="208" t="s">
        <v>130</v>
      </c>
    </row>
    <row r="8" spans="1:7" x14ac:dyDescent="0.25">
      <c r="A8" s="11">
        <v>1</v>
      </c>
      <c r="B8" s="11" t="s">
        <v>286</v>
      </c>
      <c r="C8" s="11" t="s">
        <v>62</v>
      </c>
      <c r="D8" s="74">
        <v>2</v>
      </c>
      <c r="E8" s="74">
        <v>1000000000</v>
      </c>
      <c r="F8" s="74">
        <f>D8*E8</f>
        <v>2000000000</v>
      </c>
      <c r="G8" s="209"/>
    </row>
    <row r="9" spans="1:7" x14ac:dyDescent="0.25">
      <c r="A9" s="11">
        <v>2</v>
      </c>
      <c r="B9" s="11" t="s">
        <v>284</v>
      </c>
      <c r="C9" s="11" t="s">
        <v>62</v>
      </c>
      <c r="D9" s="74">
        <v>1</v>
      </c>
      <c r="E9" s="74">
        <v>100000000</v>
      </c>
      <c r="F9" s="74">
        <f t="shared" ref="F9:F11" si="0">D9*E9</f>
        <v>100000000</v>
      </c>
      <c r="G9" s="209"/>
    </row>
    <row r="10" spans="1:7" x14ac:dyDescent="0.25">
      <c r="A10" s="11">
        <v>3</v>
      </c>
      <c r="B10" s="11" t="s">
        <v>285</v>
      </c>
      <c r="C10" s="11" t="s">
        <v>62</v>
      </c>
      <c r="D10" s="74">
        <v>1</v>
      </c>
      <c r="E10" s="74">
        <v>100000000</v>
      </c>
      <c r="F10" s="74">
        <f t="shared" si="0"/>
        <v>100000000</v>
      </c>
      <c r="G10" s="209"/>
    </row>
    <row r="11" spans="1:7" x14ac:dyDescent="0.25">
      <c r="A11" s="11">
        <v>4</v>
      </c>
      <c r="B11" s="11" t="s">
        <v>135</v>
      </c>
      <c r="C11" s="11" t="s">
        <v>62</v>
      </c>
      <c r="D11" s="74">
        <v>1</v>
      </c>
      <c r="E11" s="74">
        <v>100000000</v>
      </c>
      <c r="F11" s="74">
        <f t="shared" si="0"/>
        <v>100000000</v>
      </c>
      <c r="G11" s="209"/>
    </row>
    <row r="12" spans="1:7" x14ac:dyDescent="0.25">
      <c r="A12" s="11">
        <v>5</v>
      </c>
      <c r="B12" s="11" t="s">
        <v>136</v>
      </c>
      <c r="C12" s="11"/>
      <c r="D12" s="74"/>
      <c r="E12" s="74"/>
      <c r="F12" s="74">
        <f>F13+F14+F15</f>
        <v>300000000</v>
      </c>
      <c r="G12" s="209"/>
    </row>
    <row r="13" spans="1:7" s="21" customFormat="1" x14ac:dyDescent="0.25">
      <c r="A13" s="75"/>
      <c r="B13" s="75" t="s">
        <v>137</v>
      </c>
      <c r="C13" s="75" t="s">
        <v>138</v>
      </c>
      <c r="D13" s="76">
        <v>5</v>
      </c>
      <c r="E13" s="76">
        <v>20000000</v>
      </c>
      <c r="F13" s="76">
        <f>D13*E13</f>
        <v>100000000</v>
      </c>
      <c r="G13" s="209"/>
    </row>
    <row r="14" spans="1:7" s="21" customFormat="1" x14ac:dyDescent="0.25">
      <c r="A14" s="75"/>
      <c r="B14" s="75" t="s">
        <v>139</v>
      </c>
      <c r="C14" s="75" t="s">
        <v>138</v>
      </c>
      <c r="D14" s="76">
        <v>5</v>
      </c>
      <c r="E14" s="76">
        <v>25000000</v>
      </c>
      <c r="F14" s="76">
        <f t="shared" ref="F14:F15" si="1">D14*E14</f>
        <v>125000000</v>
      </c>
      <c r="G14" s="209"/>
    </row>
    <row r="15" spans="1:7" s="21" customFormat="1" x14ac:dyDescent="0.25">
      <c r="A15" s="75"/>
      <c r="B15" s="75" t="s">
        <v>140</v>
      </c>
      <c r="C15" s="75" t="s">
        <v>138</v>
      </c>
      <c r="D15" s="76">
        <v>5</v>
      </c>
      <c r="E15" s="76">
        <v>15000000</v>
      </c>
      <c r="F15" s="76">
        <f t="shared" si="1"/>
        <v>75000000</v>
      </c>
      <c r="G15" s="209"/>
    </row>
    <row r="16" spans="1:7" s="6" customFormat="1" ht="14.25" x14ac:dyDescent="0.2">
      <c r="A16" s="4"/>
      <c r="B16" s="4" t="s">
        <v>141</v>
      </c>
      <c r="C16" s="4"/>
      <c r="D16" s="73"/>
      <c r="E16" s="73"/>
      <c r="F16" s="73">
        <f>SUM(F17,F22,F30,F35,F43,F49,F57)</f>
        <v>1035500000</v>
      </c>
      <c r="G16" s="209"/>
    </row>
    <row r="17" spans="1:7" x14ac:dyDescent="0.25">
      <c r="A17" s="11">
        <v>1</v>
      </c>
      <c r="B17" s="11" t="s">
        <v>142</v>
      </c>
      <c r="C17" s="11"/>
      <c r="D17" s="74"/>
      <c r="E17" s="74"/>
      <c r="F17" s="74">
        <f>SUM(F18:F21)</f>
        <v>26500000</v>
      </c>
      <c r="G17" s="209"/>
    </row>
    <row r="18" spans="1:7" s="21" customFormat="1" x14ac:dyDescent="0.25">
      <c r="A18" s="75"/>
      <c r="B18" s="75" t="s">
        <v>143</v>
      </c>
      <c r="C18" s="75" t="s">
        <v>144</v>
      </c>
      <c r="D18" s="76">
        <v>1</v>
      </c>
      <c r="E18" s="76">
        <v>2000000</v>
      </c>
      <c r="F18" s="76">
        <f>D18*E18</f>
        <v>2000000</v>
      </c>
      <c r="G18" s="209"/>
    </row>
    <row r="19" spans="1:7" s="21" customFormat="1" x14ac:dyDescent="0.25">
      <c r="A19" s="75"/>
      <c r="B19" s="75" t="s">
        <v>145</v>
      </c>
      <c r="C19" s="75" t="s">
        <v>146</v>
      </c>
      <c r="D19" s="76">
        <v>5</v>
      </c>
      <c r="E19" s="76">
        <v>500000</v>
      </c>
      <c r="F19" s="76">
        <f t="shared" ref="F19:F21" si="2">D19*E19</f>
        <v>2500000</v>
      </c>
      <c r="G19" s="209"/>
    </row>
    <row r="20" spans="1:7" s="21" customFormat="1" ht="30" x14ac:dyDescent="0.25">
      <c r="A20" s="75"/>
      <c r="B20" s="75" t="s">
        <v>147</v>
      </c>
      <c r="C20" s="75" t="s">
        <v>148</v>
      </c>
      <c r="D20" s="76">
        <v>1</v>
      </c>
      <c r="E20" s="76">
        <v>15000000</v>
      </c>
      <c r="F20" s="76">
        <f t="shared" si="2"/>
        <v>15000000</v>
      </c>
      <c r="G20" s="209"/>
    </row>
    <row r="21" spans="1:7" s="21" customFormat="1" x14ac:dyDescent="0.25">
      <c r="A21" s="75"/>
      <c r="B21" s="75" t="s">
        <v>149</v>
      </c>
      <c r="C21" s="75" t="s">
        <v>148</v>
      </c>
      <c r="D21" s="76">
        <v>1</v>
      </c>
      <c r="E21" s="76">
        <v>7000000</v>
      </c>
      <c r="F21" s="76">
        <f t="shared" si="2"/>
        <v>7000000</v>
      </c>
      <c r="G21" s="209"/>
    </row>
    <row r="22" spans="1:7" x14ac:dyDescent="0.25">
      <c r="A22" s="11">
        <v>2</v>
      </c>
      <c r="B22" s="11" t="s">
        <v>150</v>
      </c>
      <c r="C22" s="11"/>
      <c r="D22" s="74"/>
      <c r="E22" s="74"/>
      <c r="F22" s="74">
        <f>SUM(F23:F29)</f>
        <v>540000000</v>
      </c>
      <c r="G22" s="209"/>
    </row>
    <row r="23" spans="1:7" s="21" customFormat="1" ht="27.75" customHeight="1" x14ac:dyDescent="0.25">
      <c r="A23" s="75"/>
      <c r="B23" s="75" t="s">
        <v>151</v>
      </c>
      <c r="C23" s="75" t="s">
        <v>62</v>
      </c>
      <c r="D23" s="76">
        <v>1</v>
      </c>
      <c r="E23" s="76">
        <v>100000000</v>
      </c>
      <c r="F23" s="76">
        <f>D23*E23</f>
        <v>100000000</v>
      </c>
      <c r="G23" s="209"/>
    </row>
    <row r="24" spans="1:7" s="21" customFormat="1" ht="33" customHeight="1" x14ac:dyDescent="0.25">
      <c r="A24" s="75"/>
      <c r="B24" s="75" t="s">
        <v>152</v>
      </c>
      <c r="C24" s="75" t="s">
        <v>62</v>
      </c>
      <c r="D24" s="76">
        <v>1</v>
      </c>
      <c r="E24" s="76">
        <v>5000000</v>
      </c>
      <c r="F24" s="76">
        <f t="shared" ref="F24:F29" si="3">D24*E24</f>
        <v>5000000</v>
      </c>
      <c r="G24" s="209"/>
    </row>
    <row r="25" spans="1:7" s="21" customFormat="1" ht="30" customHeight="1" x14ac:dyDescent="0.25">
      <c r="A25" s="75"/>
      <c r="B25" s="75" t="s">
        <v>153</v>
      </c>
      <c r="C25" s="75" t="s">
        <v>62</v>
      </c>
      <c r="D25" s="76">
        <v>1</v>
      </c>
      <c r="E25" s="76">
        <v>10000000</v>
      </c>
      <c r="F25" s="76">
        <f t="shared" si="3"/>
        <v>10000000</v>
      </c>
      <c r="G25" s="209"/>
    </row>
    <row r="26" spans="1:7" s="120" customFormat="1" x14ac:dyDescent="0.25">
      <c r="A26" s="117"/>
      <c r="B26" s="117" t="s">
        <v>154</v>
      </c>
      <c r="C26" s="117" t="s">
        <v>62</v>
      </c>
      <c r="D26" s="119">
        <v>2</v>
      </c>
      <c r="E26" s="119">
        <v>200000000</v>
      </c>
      <c r="F26" s="119">
        <f t="shared" si="3"/>
        <v>400000000</v>
      </c>
      <c r="G26" s="209"/>
    </row>
    <row r="27" spans="1:7" s="21" customFormat="1" ht="30" x14ac:dyDescent="0.25">
      <c r="A27" s="75"/>
      <c r="B27" s="75" t="s">
        <v>155</v>
      </c>
      <c r="C27" s="75" t="s">
        <v>144</v>
      </c>
      <c r="D27" s="76">
        <v>1</v>
      </c>
      <c r="E27" s="76">
        <v>5000000</v>
      </c>
      <c r="F27" s="76">
        <f t="shared" si="3"/>
        <v>5000000</v>
      </c>
      <c r="G27" s="209"/>
    </row>
    <row r="28" spans="1:7" s="21" customFormat="1" ht="30" x14ac:dyDescent="0.25">
      <c r="A28" s="75"/>
      <c r="B28" s="75" t="s">
        <v>156</v>
      </c>
      <c r="C28" s="75" t="s">
        <v>62</v>
      </c>
      <c r="D28" s="76">
        <v>1</v>
      </c>
      <c r="E28" s="76">
        <v>5000000</v>
      </c>
      <c r="F28" s="76">
        <f t="shared" si="3"/>
        <v>5000000</v>
      </c>
      <c r="G28" s="209"/>
    </row>
    <row r="29" spans="1:7" s="21" customFormat="1" ht="30" x14ac:dyDescent="0.25">
      <c r="A29" s="75"/>
      <c r="B29" s="75" t="s">
        <v>157</v>
      </c>
      <c r="C29" s="75" t="s">
        <v>148</v>
      </c>
      <c r="D29" s="76">
        <v>1</v>
      </c>
      <c r="E29" s="76">
        <v>15000000</v>
      </c>
      <c r="F29" s="76">
        <f t="shared" si="3"/>
        <v>15000000</v>
      </c>
      <c r="G29" s="209"/>
    </row>
    <row r="30" spans="1:7" x14ac:dyDescent="0.25">
      <c r="A30" s="11">
        <v>3</v>
      </c>
      <c r="B30" s="11" t="s">
        <v>269</v>
      </c>
      <c r="C30" s="11"/>
      <c r="D30" s="74"/>
      <c r="E30" s="74"/>
      <c r="F30" s="74">
        <f>SUM(F31:F34)</f>
        <v>34500000</v>
      </c>
      <c r="G30" s="209"/>
    </row>
    <row r="31" spans="1:7" s="21" customFormat="1" ht="30" x14ac:dyDescent="0.25">
      <c r="A31" s="75"/>
      <c r="B31" s="75" t="s">
        <v>158</v>
      </c>
      <c r="C31" s="75" t="s">
        <v>159</v>
      </c>
      <c r="D31" s="76">
        <v>4</v>
      </c>
      <c r="E31" s="76">
        <v>500000</v>
      </c>
      <c r="F31" s="76">
        <f>D31*E31</f>
        <v>2000000</v>
      </c>
      <c r="G31" s="209"/>
    </row>
    <row r="32" spans="1:7" s="21" customFormat="1" ht="45" x14ac:dyDescent="0.25">
      <c r="A32" s="75"/>
      <c r="B32" s="75" t="s">
        <v>160</v>
      </c>
      <c r="C32" s="75" t="s">
        <v>161</v>
      </c>
      <c r="D32" s="76">
        <v>5</v>
      </c>
      <c r="E32" s="76">
        <v>500000</v>
      </c>
      <c r="F32" s="76">
        <f t="shared" ref="F32:F34" si="4">D32*E32</f>
        <v>2500000</v>
      </c>
      <c r="G32" s="209"/>
    </row>
    <row r="33" spans="1:7" s="21" customFormat="1" ht="30" x14ac:dyDescent="0.25">
      <c r="A33" s="75"/>
      <c r="B33" s="75" t="s">
        <v>162</v>
      </c>
      <c r="C33" s="75" t="s">
        <v>148</v>
      </c>
      <c r="D33" s="76">
        <v>1</v>
      </c>
      <c r="E33" s="76">
        <v>15000000</v>
      </c>
      <c r="F33" s="76">
        <f t="shared" si="4"/>
        <v>15000000</v>
      </c>
      <c r="G33" s="209"/>
    </row>
    <row r="34" spans="1:7" s="21" customFormat="1" x14ac:dyDescent="0.25">
      <c r="A34" s="75"/>
      <c r="B34" s="75" t="s">
        <v>163</v>
      </c>
      <c r="C34" s="75" t="s">
        <v>148</v>
      </c>
      <c r="D34" s="76">
        <v>1</v>
      </c>
      <c r="E34" s="76">
        <v>15000000</v>
      </c>
      <c r="F34" s="76">
        <f t="shared" si="4"/>
        <v>15000000</v>
      </c>
      <c r="G34" s="209"/>
    </row>
    <row r="35" spans="1:7" x14ac:dyDescent="0.25">
      <c r="A35" s="11">
        <v>4</v>
      </c>
      <c r="B35" s="11" t="s">
        <v>164</v>
      </c>
      <c r="C35" s="75"/>
      <c r="D35" s="74"/>
      <c r="E35" s="74"/>
      <c r="F35" s="74">
        <f>SUM(F36:F42)</f>
        <v>277000000</v>
      </c>
      <c r="G35" s="209"/>
    </row>
    <row r="36" spans="1:7" s="21" customFormat="1" ht="30" x14ac:dyDescent="0.25">
      <c r="A36" s="75"/>
      <c r="B36" s="75" t="s">
        <v>165</v>
      </c>
      <c r="C36" s="75" t="s">
        <v>159</v>
      </c>
      <c r="D36" s="76">
        <v>4</v>
      </c>
      <c r="E36" s="76">
        <v>500000</v>
      </c>
      <c r="F36" s="76">
        <f>D36*E36</f>
        <v>2000000</v>
      </c>
      <c r="G36" s="209"/>
    </row>
    <row r="37" spans="1:7" s="21" customFormat="1" x14ac:dyDescent="0.25">
      <c r="A37" s="75"/>
      <c r="B37" s="75" t="s">
        <v>166</v>
      </c>
      <c r="C37" s="75" t="s">
        <v>148</v>
      </c>
      <c r="D37" s="76">
        <v>1</v>
      </c>
      <c r="E37" s="76">
        <v>15000000</v>
      </c>
      <c r="F37" s="76">
        <f t="shared" ref="F37:F42" si="5">D37*E37</f>
        <v>15000000</v>
      </c>
      <c r="G37" s="209"/>
    </row>
    <row r="38" spans="1:7" s="21" customFormat="1" ht="30" x14ac:dyDescent="0.25">
      <c r="A38" s="75"/>
      <c r="B38" s="75" t="s">
        <v>167</v>
      </c>
      <c r="C38" s="75" t="s">
        <v>148</v>
      </c>
      <c r="D38" s="76">
        <v>1</v>
      </c>
      <c r="E38" s="76">
        <v>15000000</v>
      </c>
      <c r="F38" s="76">
        <f t="shared" si="5"/>
        <v>15000000</v>
      </c>
      <c r="G38" s="209"/>
    </row>
    <row r="39" spans="1:7" s="21" customFormat="1" ht="30" x14ac:dyDescent="0.25">
      <c r="A39" s="75"/>
      <c r="B39" s="75" t="s">
        <v>168</v>
      </c>
      <c r="C39" s="75" t="s">
        <v>148</v>
      </c>
      <c r="D39" s="76">
        <v>1</v>
      </c>
      <c r="E39" s="76">
        <v>15000000</v>
      </c>
      <c r="F39" s="76">
        <f t="shared" si="5"/>
        <v>15000000</v>
      </c>
      <c r="G39" s="209"/>
    </row>
    <row r="40" spans="1:7" s="21" customFormat="1" ht="30" x14ac:dyDescent="0.25">
      <c r="A40" s="75"/>
      <c r="B40" s="75" t="s">
        <v>169</v>
      </c>
      <c r="C40" s="75" t="s">
        <v>138</v>
      </c>
      <c r="D40" s="76">
        <v>20</v>
      </c>
      <c r="E40" s="76">
        <v>10000000</v>
      </c>
      <c r="F40" s="76">
        <f t="shared" si="5"/>
        <v>200000000</v>
      </c>
      <c r="G40" s="209"/>
    </row>
    <row r="41" spans="1:7" s="21" customFormat="1" ht="30" x14ac:dyDescent="0.25">
      <c r="A41" s="75"/>
      <c r="B41" s="75" t="s">
        <v>170</v>
      </c>
      <c r="C41" s="75" t="s">
        <v>50</v>
      </c>
      <c r="D41" s="76">
        <v>200</v>
      </c>
      <c r="E41" s="76">
        <v>100000</v>
      </c>
      <c r="F41" s="76">
        <f t="shared" si="5"/>
        <v>20000000</v>
      </c>
      <c r="G41" s="209"/>
    </row>
    <row r="42" spans="1:7" s="21" customFormat="1" ht="30" x14ac:dyDescent="0.25">
      <c r="A42" s="75"/>
      <c r="B42" s="75" t="s">
        <v>171</v>
      </c>
      <c r="C42" s="75" t="s">
        <v>148</v>
      </c>
      <c r="D42" s="76">
        <v>1</v>
      </c>
      <c r="E42" s="76">
        <v>10000000</v>
      </c>
      <c r="F42" s="76">
        <f t="shared" si="5"/>
        <v>10000000</v>
      </c>
      <c r="G42" s="209"/>
    </row>
    <row r="43" spans="1:7" x14ac:dyDescent="0.25">
      <c r="A43" s="11">
        <v>5</v>
      </c>
      <c r="B43" s="11" t="s">
        <v>172</v>
      </c>
      <c r="C43" s="75"/>
      <c r="D43" s="74"/>
      <c r="E43" s="74"/>
      <c r="F43" s="74">
        <f>SUM(F44:F48)</f>
        <v>45000000</v>
      </c>
      <c r="G43" s="209"/>
    </row>
    <row r="44" spans="1:7" s="21" customFormat="1" ht="30" x14ac:dyDescent="0.25">
      <c r="A44" s="75"/>
      <c r="B44" s="75" t="s">
        <v>173</v>
      </c>
      <c r="C44" s="75" t="s">
        <v>159</v>
      </c>
      <c r="D44" s="76">
        <v>1</v>
      </c>
      <c r="E44" s="76">
        <v>500000</v>
      </c>
      <c r="F44" s="76">
        <f>D44*E44</f>
        <v>500000</v>
      </c>
      <c r="G44" s="209"/>
    </row>
    <row r="45" spans="1:7" s="21" customFormat="1" ht="30" x14ac:dyDescent="0.25">
      <c r="A45" s="75"/>
      <c r="B45" s="75" t="s">
        <v>174</v>
      </c>
      <c r="C45" s="75" t="s">
        <v>62</v>
      </c>
      <c r="D45" s="76">
        <v>1</v>
      </c>
      <c r="E45" s="76">
        <v>500000</v>
      </c>
      <c r="F45" s="76">
        <f t="shared" ref="F45:F48" si="6">D45*E45</f>
        <v>500000</v>
      </c>
      <c r="G45" s="209"/>
    </row>
    <row r="46" spans="1:7" s="21" customFormat="1" ht="30" x14ac:dyDescent="0.25">
      <c r="A46" s="75"/>
      <c r="B46" s="75" t="s">
        <v>175</v>
      </c>
      <c r="C46" s="75" t="s">
        <v>62</v>
      </c>
      <c r="D46" s="76">
        <v>1</v>
      </c>
      <c r="E46" s="76">
        <v>5000000</v>
      </c>
      <c r="F46" s="76">
        <f t="shared" si="6"/>
        <v>5000000</v>
      </c>
      <c r="G46" s="209"/>
    </row>
    <row r="47" spans="1:7" s="21" customFormat="1" x14ac:dyDescent="0.25">
      <c r="A47" s="75"/>
      <c r="B47" s="75" t="s">
        <v>176</v>
      </c>
      <c r="C47" s="75" t="s">
        <v>148</v>
      </c>
      <c r="D47" s="76">
        <v>1</v>
      </c>
      <c r="E47" s="76">
        <v>14000000</v>
      </c>
      <c r="F47" s="76">
        <f>D47*E47</f>
        <v>14000000</v>
      </c>
      <c r="G47" s="209"/>
    </row>
    <row r="48" spans="1:7" s="21" customFormat="1" ht="45" x14ac:dyDescent="0.25">
      <c r="A48" s="75"/>
      <c r="B48" s="75" t="s">
        <v>177</v>
      </c>
      <c r="C48" s="75" t="s">
        <v>148</v>
      </c>
      <c r="D48" s="76">
        <v>1</v>
      </c>
      <c r="E48" s="76">
        <v>25000000</v>
      </c>
      <c r="F48" s="76">
        <f t="shared" si="6"/>
        <v>25000000</v>
      </c>
      <c r="G48" s="209"/>
    </row>
    <row r="49" spans="1:7" x14ac:dyDescent="0.25">
      <c r="A49" s="11">
        <v>6</v>
      </c>
      <c r="B49" s="11" t="s">
        <v>178</v>
      </c>
      <c r="C49" s="75"/>
      <c r="D49" s="74"/>
      <c r="E49" s="74"/>
      <c r="F49" s="74">
        <f>SUM(F50:F56)</f>
        <v>92000000</v>
      </c>
      <c r="G49" s="209"/>
    </row>
    <row r="50" spans="1:7" s="21" customFormat="1" ht="30" x14ac:dyDescent="0.25">
      <c r="A50" s="75"/>
      <c r="B50" s="75" t="s">
        <v>179</v>
      </c>
      <c r="C50" s="75" t="s">
        <v>62</v>
      </c>
      <c r="D50" s="76">
        <v>1</v>
      </c>
      <c r="E50" s="76">
        <v>15000000</v>
      </c>
      <c r="F50" s="76">
        <f>D50*E50</f>
        <v>15000000</v>
      </c>
      <c r="G50" s="209"/>
    </row>
    <row r="51" spans="1:7" s="21" customFormat="1" x14ac:dyDescent="0.25">
      <c r="A51" s="75"/>
      <c r="B51" s="75" t="s">
        <v>180</v>
      </c>
      <c r="C51" s="75" t="s">
        <v>144</v>
      </c>
      <c r="D51" s="76">
        <v>1</v>
      </c>
      <c r="E51" s="76">
        <v>2000000</v>
      </c>
      <c r="F51" s="76">
        <f t="shared" ref="F51:F56" si="7">D51*E51</f>
        <v>2000000</v>
      </c>
      <c r="G51" s="209"/>
    </row>
    <row r="52" spans="1:7" s="21" customFormat="1" ht="30" x14ac:dyDescent="0.25">
      <c r="A52" s="75"/>
      <c r="B52" s="75" t="s">
        <v>181</v>
      </c>
      <c r="C52" s="75" t="s">
        <v>182</v>
      </c>
      <c r="D52" s="76">
        <v>5</v>
      </c>
      <c r="E52" s="76">
        <v>1000000</v>
      </c>
      <c r="F52" s="76">
        <f t="shared" si="7"/>
        <v>5000000</v>
      </c>
      <c r="G52" s="209"/>
    </row>
    <row r="53" spans="1:7" s="21" customFormat="1" ht="30" x14ac:dyDescent="0.25">
      <c r="A53" s="75"/>
      <c r="B53" s="75" t="s">
        <v>183</v>
      </c>
      <c r="C53" s="75" t="s">
        <v>148</v>
      </c>
      <c r="D53" s="76">
        <v>1</v>
      </c>
      <c r="E53" s="76">
        <v>20000000</v>
      </c>
      <c r="F53" s="76">
        <f t="shared" si="7"/>
        <v>20000000</v>
      </c>
      <c r="G53" s="209"/>
    </row>
    <row r="54" spans="1:7" s="21" customFormat="1" ht="30" x14ac:dyDescent="0.25">
      <c r="A54" s="75"/>
      <c r="B54" s="75" t="s">
        <v>184</v>
      </c>
      <c r="C54" s="75" t="s">
        <v>185</v>
      </c>
      <c r="D54" s="76">
        <v>10</v>
      </c>
      <c r="E54" s="76">
        <v>1000000</v>
      </c>
      <c r="F54" s="76">
        <f t="shared" si="7"/>
        <v>10000000</v>
      </c>
      <c r="G54" s="209"/>
    </row>
    <row r="55" spans="1:7" s="21" customFormat="1" x14ac:dyDescent="0.25">
      <c r="A55" s="75"/>
      <c r="B55" s="75" t="s">
        <v>186</v>
      </c>
      <c r="C55" s="75" t="s">
        <v>50</v>
      </c>
      <c r="D55" s="76">
        <v>20</v>
      </c>
      <c r="E55" s="76">
        <v>1000000</v>
      </c>
      <c r="F55" s="76">
        <f t="shared" si="7"/>
        <v>20000000</v>
      </c>
      <c r="G55" s="209"/>
    </row>
    <row r="56" spans="1:7" s="21" customFormat="1" ht="30" x14ac:dyDescent="0.25">
      <c r="A56" s="75"/>
      <c r="B56" s="75" t="s">
        <v>187</v>
      </c>
      <c r="C56" s="75" t="s">
        <v>50</v>
      </c>
      <c r="D56" s="76">
        <v>4</v>
      </c>
      <c r="E56" s="76">
        <v>5000000</v>
      </c>
      <c r="F56" s="76">
        <f t="shared" si="7"/>
        <v>20000000</v>
      </c>
      <c r="G56" s="209"/>
    </row>
    <row r="57" spans="1:7" x14ac:dyDescent="0.25">
      <c r="A57" s="11">
        <v>7</v>
      </c>
      <c r="B57" s="11" t="s">
        <v>188</v>
      </c>
      <c r="C57" s="75"/>
      <c r="D57" s="74"/>
      <c r="E57" s="74"/>
      <c r="F57" s="74">
        <f>SUM(F58:F63)</f>
        <v>20500000</v>
      </c>
      <c r="G57" s="209"/>
    </row>
    <row r="58" spans="1:7" s="21" customFormat="1" x14ac:dyDescent="0.25">
      <c r="A58" s="75"/>
      <c r="B58" s="75" t="s">
        <v>189</v>
      </c>
      <c r="C58" s="75" t="s">
        <v>62</v>
      </c>
      <c r="D58" s="76">
        <v>1</v>
      </c>
      <c r="E58" s="76">
        <v>2000000</v>
      </c>
      <c r="F58" s="76">
        <f t="shared" ref="F58:F63" si="8">D58*E58</f>
        <v>2000000</v>
      </c>
      <c r="G58" s="209"/>
    </row>
    <row r="59" spans="1:7" s="21" customFormat="1" x14ac:dyDescent="0.25">
      <c r="A59" s="75"/>
      <c r="B59" s="75" t="s">
        <v>190</v>
      </c>
      <c r="C59" s="75" t="s">
        <v>62</v>
      </c>
      <c r="D59" s="76">
        <v>1</v>
      </c>
      <c r="E59" s="76">
        <v>500000</v>
      </c>
      <c r="F59" s="76">
        <f t="shared" si="8"/>
        <v>500000</v>
      </c>
      <c r="G59" s="209"/>
    </row>
    <row r="60" spans="1:7" s="21" customFormat="1" ht="30" x14ac:dyDescent="0.25">
      <c r="A60" s="75"/>
      <c r="B60" s="75" t="s">
        <v>191</v>
      </c>
      <c r="C60" s="75" t="s">
        <v>192</v>
      </c>
      <c r="D60" s="76">
        <v>1</v>
      </c>
      <c r="E60" s="76">
        <v>5000000</v>
      </c>
      <c r="F60" s="76">
        <f t="shared" si="8"/>
        <v>5000000</v>
      </c>
      <c r="G60" s="209"/>
    </row>
    <row r="61" spans="1:7" s="21" customFormat="1" ht="30" x14ac:dyDescent="0.25">
      <c r="A61" s="75"/>
      <c r="B61" s="75" t="s">
        <v>193</v>
      </c>
      <c r="C61" s="75" t="s">
        <v>62</v>
      </c>
      <c r="D61" s="76">
        <v>1</v>
      </c>
      <c r="E61" s="76">
        <v>1000000</v>
      </c>
      <c r="F61" s="76">
        <f t="shared" si="8"/>
        <v>1000000</v>
      </c>
      <c r="G61" s="209"/>
    </row>
    <row r="62" spans="1:7" s="21" customFormat="1" ht="45" x14ac:dyDescent="0.25">
      <c r="A62" s="75"/>
      <c r="B62" s="75" t="s">
        <v>194</v>
      </c>
      <c r="C62" s="75" t="s">
        <v>62</v>
      </c>
      <c r="D62" s="76">
        <v>1</v>
      </c>
      <c r="E62" s="76">
        <v>10000000</v>
      </c>
      <c r="F62" s="76">
        <f t="shared" si="8"/>
        <v>10000000</v>
      </c>
      <c r="G62" s="209"/>
    </row>
    <row r="63" spans="1:7" s="21" customFormat="1" x14ac:dyDescent="0.25">
      <c r="A63" s="75"/>
      <c r="B63" s="75" t="s">
        <v>195</v>
      </c>
      <c r="C63" s="75" t="s">
        <v>62</v>
      </c>
      <c r="D63" s="76">
        <v>1</v>
      </c>
      <c r="E63" s="76">
        <v>2000000</v>
      </c>
      <c r="F63" s="76">
        <f t="shared" si="8"/>
        <v>2000000</v>
      </c>
      <c r="G63" s="209"/>
    </row>
    <row r="64" spans="1:7" s="6" customFormat="1" ht="28.5" x14ac:dyDescent="0.2">
      <c r="A64" s="4"/>
      <c r="B64" s="4" t="s">
        <v>196</v>
      </c>
      <c r="C64" s="75"/>
      <c r="D64" s="73"/>
      <c r="E64" s="73"/>
      <c r="F64" s="73">
        <f>SUM(F65,F74,F80)</f>
        <v>400500000</v>
      </c>
      <c r="G64" s="209"/>
    </row>
    <row r="65" spans="1:7" x14ac:dyDescent="0.25">
      <c r="A65" s="11">
        <v>1</v>
      </c>
      <c r="B65" s="11" t="s">
        <v>197</v>
      </c>
      <c r="C65" s="75"/>
      <c r="D65" s="74"/>
      <c r="E65" s="74"/>
      <c r="F65" s="74">
        <f>SUM(F66:F73)</f>
        <v>347000000</v>
      </c>
      <c r="G65" s="209"/>
    </row>
    <row r="66" spans="1:7" ht="45" x14ac:dyDescent="0.25">
      <c r="A66" s="11"/>
      <c r="B66" s="11" t="s">
        <v>198</v>
      </c>
      <c r="C66" s="75" t="s">
        <v>62</v>
      </c>
      <c r="D66" s="74">
        <v>1</v>
      </c>
      <c r="E66" s="74">
        <v>15000000</v>
      </c>
      <c r="F66" s="74">
        <f>D66*E66</f>
        <v>15000000</v>
      </c>
      <c r="G66" s="209"/>
    </row>
    <row r="67" spans="1:7" ht="30" x14ac:dyDescent="0.25">
      <c r="A67" s="11"/>
      <c r="B67" s="11" t="s">
        <v>199</v>
      </c>
      <c r="C67" s="75" t="s">
        <v>62</v>
      </c>
      <c r="D67" s="74">
        <v>1</v>
      </c>
      <c r="E67" s="74">
        <v>100000000</v>
      </c>
      <c r="F67" s="74">
        <f t="shared" ref="F67:F73" si="9">D67*E67</f>
        <v>100000000</v>
      </c>
      <c r="G67" s="209"/>
    </row>
    <row r="68" spans="1:7" ht="30" x14ac:dyDescent="0.25">
      <c r="A68" s="11"/>
      <c r="B68" s="11" t="s">
        <v>200</v>
      </c>
      <c r="C68" s="75" t="s">
        <v>62</v>
      </c>
      <c r="D68" s="74">
        <v>1</v>
      </c>
      <c r="E68" s="74">
        <v>60000000</v>
      </c>
      <c r="F68" s="74">
        <f t="shared" si="9"/>
        <v>60000000</v>
      </c>
      <c r="G68" s="209"/>
    </row>
    <row r="69" spans="1:7" ht="30" x14ac:dyDescent="0.25">
      <c r="A69" s="11"/>
      <c r="B69" s="11" t="s">
        <v>201</v>
      </c>
      <c r="C69" s="75" t="s">
        <v>62</v>
      </c>
      <c r="D69" s="74">
        <v>1</v>
      </c>
      <c r="E69" s="74">
        <v>5000000</v>
      </c>
      <c r="F69" s="74">
        <f t="shared" si="9"/>
        <v>5000000</v>
      </c>
      <c r="G69" s="209"/>
    </row>
    <row r="70" spans="1:7" ht="30" x14ac:dyDescent="0.25">
      <c r="A70" s="11"/>
      <c r="B70" s="11" t="s">
        <v>202</v>
      </c>
      <c r="C70" s="75" t="s">
        <v>62</v>
      </c>
      <c r="D70" s="74">
        <v>1</v>
      </c>
      <c r="E70" s="74">
        <v>2000000</v>
      </c>
      <c r="F70" s="74">
        <f t="shared" si="9"/>
        <v>2000000</v>
      </c>
      <c r="G70" s="209"/>
    </row>
    <row r="71" spans="1:7" ht="30" x14ac:dyDescent="0.25">
      <c r="A71" s="11"/>
      <c r="B71" s="11" t="s">
        <v>203</v>
      </c>
      <c r="C71" s="75" t="s">
        <v>148</v>
      </c>
      <c r="D71" s="74">
        <v>1</v>
      </c>
      <c r="E71" s="74">
        <v>15000000</v>
      </c>
      <c r="F71" s="74">
        <f t="shared" si="9"/>
        <v>15000000</v>
      </c>
      <c r="G71" s="209"/>
    </row>
    <row r="72" spans="1:7" ht="30" x14ac:dyDescent="0.25">
      <c r="A72" s="11"/>
      <c r="B72" s="11" t="s">
        <v>204</v>
      </c>
      <c r="C72" s="75" t="s">
        <v>62</v>
      </c>
      <c r="D72" s="74">
        <v>1</v>
      </c>
      <c r="E72" s="74">
        <v>100000000</v>
      </c>
      <c r="F72" s="74">
        <f t="shared" si="9"/>
        <v>100000000</v>
      </c>
      <c r="G72" s="209"/>
    </row>
    <row r="73" spans="1:7" x14ac:dyDescent="0.25">
      <c r="A73" s="11"/>
      <c r="B73" s="11" t="s">
        <v>205</v>
      </c>
      <c r="C73" s="75" t="s">
        <v>62</v>
      </c>
      <c r="D73" s="74">
        <v>1</v>
      </c>
      <c r="E73" s="74">
        <v>50000000</v>
      </c>
      <c r="F73" s="74">
        <f t="shared" si="9"/>
        <v>50000000</v>
      </c>
      <c r="G73" s="209"/>
    </row>
    <row r="74" spans="1:7" x14ac:dyDescent="0.25">
      <c r="A74" s="11">
        <v>2</v>
      </c>
      <c r="B74" s="11" t="s">
        <v>206</v>
      </c>
      <c r="C74" s="11"/>
      <c r="D74" s="74"/>
      <c r="E74" s="74"/>
      <c r="F74" s="74">
        <f>SUM(F75:F79)</f>
        <v>21000000</v>
      </c>
      <c r="G74" s="209"/>
    </row>
    <row r="75" spans="1:7" x14ac:dyDescent="0.25">
      <c r="A75" s="11"/>
      <c r="B75" s="11" t="s">
        <v>207</v>
      </c>
      <c r="C75" s="75" t="s">
        <v>62</v>
      </c>
      <c r="D75" s="74">
        <v>1</v>
      </c>
      <c r="E75" s="74">
        <v>2000000</v>
      </c>
      <c r="F75" s="74">
        <f>D75*E75</f>
        <v>2000000</v>
      </c>
      <c r="G75" s="209"/>
    </row>
    <row r="76" spans="1:7" x14ac:dyDescent="0.25">
      <c r="A76" s="11"/>
      <c r="B76" s="11" t="s">
        <v>208</v>
      </c>
      <c r="C76" s="75" t="s">
        <v>62</v>
      </c>
      <c r="D76" s="74">
        <v>1</v>
      </c>
      <c r="E76" s="74">
        <v>2000000</v>
      </c>
      <c r="F76" s="74">
        <f t="shared" ref="F76:F79" si="10">D76*E76</f>
        <v>2000000</v>
      </c>
      <c r="G76" s="209"/>
    </row>
    <row r="77" spans="1:7" ht="45" x14ac:dyDescent="0.25">
      <c r="A77" s="11"/>
      <c r="B77" s="11" t="s">
        <v>209</v>
      </c>
      <c r="C77" s="75" t="s">
        <v>148</v>
      </c>
      <c r="D77" s="74">
        <v>1</v>
      </c>
      <c r="E77" s="74">
        <v>10000000</v>
      </c>
      <c r="F77" s="74">
        <f t="shared" si="10"/>
        <v>10000000</v>
      </c>
      <c r="G77" s="209"/>
    </row>
    <row r="78" spans="1:7" ht="30" x14ac:dyDescent="0.25">
      <c r="A78" s="11"/>
      <c r="B78" s="11" t="s">
        <v>210</v>
      </c>
      <c r="C78" s="75" t="s">
        <v>62</v>
      </c>
      <c r="D78" s="74">
        <v>1</v>
      </c>
      <c r="E78" s="74">
        <v>5000000</v>
      </c>
      <c r="F78" s="74">
        <f t="shared" si="10"/>
        <v>5000000</v>
      </c>
      <c r="G78" s="209"/>
    </row>
    <row r="79" spans="1:7" ht="45" x14ac:dyDescent="0.25">
      <c r="A79" s="11"/>
      <c r="B79" s="11" t="s">
        <v>211</v>
      </c>
      <c r="C79" s="75" t="s">
        <v>62</v>
      </c>
      <c r="D79" s="74">
        <v>1</v>
      </c>
      <c r="E79" s="74">
        <v>2000000</v>
      </c>
      <c r="F79" s="74">
        <f t="shared" si="10"/>
        <v>2000000</v>
      </c>
      <c r="G79" s="209"/>
    </row>
    <row r="80" spans="1:7" x14ac:dyDescent="0.25">
      <c r="A80" s="11">
        <v>3</v>
      </c>
      <c r="B80" s="11" t="s">
        <v>212</v>
      </c>
      <c r="C80" s="11"/>
      <c r="D80" s="74"/>
      <c r="E80" s="74"/>
      <c r="F80" s="74">
        <f>SUM(F81:F83)</f>
        <v>32500000</v>
      </c>
      <c r="G80" s="209"/>
    </row>
    <row r="81" spans="1:7" ht="30" x14ac:dyDescent="0.25">
      <c r="A81" s="11"/>
      <c r="B81" s="11" t="s">
        <v>213</v>
      </c>
      <c r="C81" s="75" t="s">
        <v>148</v>
      </c>
      <c r="D81" s="74">
        <v>1</v>
      </c>
      <c r="E81" s="74">
        <v>10000000</v>
      </c>
      <c r="F81" s="74">
        <f>D81*E81</f>
        <v>10000000</v>
      </c>
      <c r="G81" s="209"/>
    </row>
    <row r="82" spans="1:7" x14ac:dyDescent="0.25">
      <c r="A82" s="11"/>
      <c r="B82" s="11" t="s">
        <v>214</v>
      </c>
      <c r="C82" s="75" t="s">
        <v>138</v>
      </c>
      <c r="D82" s="74">
        <v>5</v>
      </c>
      <c r="E82" s="74">
        <v>1500000</v>
      </c>
      <c r="F82" s="74">
        <f t="shared" ref="F82:F83" si="11">D82*E82</f>
        <v>7500000</v>
      </c>
      <c r="G82" s="209"/>
    </row>
    <row r="83" spans="1:7" ht="30" x14ac:dyDescent="0.25">
      <c r="A83" s="11"/>
      <c r="B83" s="11" t="s">
        <v>215</v>
      </c>
      <c r="C83" s="75" t="s">
        <v>138</v>
      </c>
      <c r="D83" s="74">
        <v>5</v>
      </c>
      <c r="E83" s="74">
        <v>3000000</v>
      </c>
      <c r="F83" s="74">
        <f t="shared" si="11"/>
        <v>15000000</v>
      </c>
      <c r="G83" s="209"/>
    </row>
    <row r="84" spans="1:7" s="6" customFormat="1" x14ac:dyDescent="0.2">
      <c r="A84" s="4"/>
      <c r="B84" s="4" t="s">
        <v>216</v>
      </c>
      <c r="C84" s="75"/>
      <c r="D84" s="73"/>
      <c r="E84" s="73"/>
      <c r="F84" s="73">
        <f>SUM(F85:F93)</f>
        <v>139000000</v>
      </c>
      <c r="G84" s="209"/>
    </row>
    <row r="85" spans="1:7" x14ac:dyDescent="0.25">
      <c r="A85" s="11">
        <v>1</v>
      </c>
      <c r="B85" s="11" t="s">
        <v>217</v>
      </c>
      <c r="C85" s="75" t="s">
        <v>62</v>
      </c>
      <c r="D85" s="74">
        <v>1</v>
      </c>
      <c r="E85" s="74">
        <v>12000000</v>
      </c>
      <c r="F85" s="74">
        <f>D85*E85</f>
        <v>12000000</v>
      </c>
      <c r="G85" s="209"/>
    </row>
    <row r="86" spans="1:7" x14ac:dyDescent="0.25">
      <c r="A86" s="11">
        <v>2</v>
      </c>
      <c r="B86" s="11" t="s">
        <v>218</v>
      </c>
      <c r="C86" s="75" t="s">
        <v>62</v>
      </c>
      <c r="D86" s="74">
        <v>1</v>
      </c>
      <c r="E86" s="74">
        <v>3000000</v>
      </c>
      <c r="F86" s="74">
        <f t="shared" ref="F86:F94" si="12">D86*E86</f>
        <v>3000000</v>
      </c>
      <c r="G86" s="209"/>
    </row>
    <row r="87" spans="1:7" ht="30" x14ac:dyDescent="0.25">
      <c r="A87" s="11">
        <v>3</v>
      </c>
      <c r="B87" s="11" t="s">
        <v>219</v>
      </c>
      <c r="C87" s="75" t="s">
        <v>62</v>
      </c>
      <c r="D87" s="74">
        <v>1</v>
      </c>
      <c r="E87" s="74">
        <v>7000000</v>
      </c>
      <c r="F87" s="74">
        <f t="shared" si="12"/>
        <v>7000000</v>
      </c>
      <c r="G87" s="209"/>
    </row>
    <row r="88" spans="1:7" ht="30" x14ac:dyDescent="0.25">
      <c r="A88" s="11">
        <v>4</v>
      </c>
      <c r="B88" s="11" t="s">
        <v>220</v>
      </c>
      <c r="C88" s="75" t="s">
        <v>62</v>
      </c>
      <c r="D88" s="74">
        <v>1</v>
      </c>
      <c r="E88" s="74">
        <v>20000000</v>
      </c>
      <c r="F88" s="74">
        <f t="shared" si="12"/>
        <v>20000000</v>
      </c>
      <c r="G88" s="209"/>
    </row>
    <row r="89" spans="1:7" ht="30" x14ac:dyDescent="0.25">
      <c r="A89" s="11">
        <v>5</v>
      </c>
      <c r="B89" s="11" t="s">
        <v>221</v>
      </c>
      <c r="C89" s="75" t="s">
        <v>62</v>
      </c>
      <c r="D89" s="74">
        <v>1</v>
      </c>
      <c r="E89" s="74">
        <v>5000000</v>
      </c>
      <c r="F89" s="74">
        <f t="shared" si="12"/>
        <v>5000000</v>
      </c>
      <c r="G89" s="209"/>
    </row>
    <row r="90" spans="1:7" ht="30" x14ac:dyDescent="0.25">
      <c r="A90" s="11">
        <v>6</v>
      </c>
      <c r="B90" s="11" t="s">
        <v>222</v>
      </c>
      <c r="C90" s="75" t="s">
        <v>62</v>
      </c>
      <c r="D90" s="74">
        <v>1</v>
      </c>
      <c r="E90" s="74">
        <v>12000000</v>
      </c>
      <c r="F90" s="74">
        <f t="shared" si="12"/>
        <v>12000000</v>
      </c>
      <c r="G90" s="209"/>
    </row>
    <row r="91" spans="1:7" x14ac:dyDescent="0.25">
      <c r="A91" s="11">
        <v>7</v>
      </c>
      <c r="B91" s="11" t="s">
        <v>223</v>
      </c>
      <c r="C91" s="75" t="s">
        <v>224</v>
      </c>
      <c r="D91" s="74">
        <v>1</v>
      </c>
      <c r="E91" s="74">
        <v>50000000</v>
      </c>
      <c r="F91" s="74">
        <f t="shared" si="12"/>
        <v>50000000</v>
      </c>
      <c r="G91" s="209"/>
    </row>
    <row r="92" spans="1:7" ht="30" x14ac:dyDescent="0.25">
      <c r="A92" s="11">
        <v>8</v>
      </c>
      <c r="B92" s="11" t="s">
        <v>225</v>
      </c>
      <c r="C92" s="75" t="s">
        <v>226</v>
      </c>
      <c r="D92" s="74">
        <v>1</v>
      </c>
      <c r="E92" s="74">
        <v>15000000</v>
      </c>
      <c r="F92" s="74">
        <f t="shared" si="12"/>
        <v>15000000</v>
      </c>
      <c r="G92" s="209"/>
    </row>
    <row r="93" spans="1:7" ht="30" x14ac:dyDescent="0.25">
      <c r="A93" s="11">
        <v>9</v>
      </c>
      <c r="B93" s="11" t="s">
        <v>227</v>
      </c>
      <c r="C93" s="75" t="s">
        <v>226</v>
      </c>
      <c r="D93" s="74">
        <v>1</v>
      </c>
      <c r="E93" s="74">
        <v>15000000</v>
      </c>
      <c r="F93" s="74">
        <f t="shared" si="12"/>
        <v>15000000</v>
      </c>
      <c r="G93" s="209"/>
    </row>
    <row r="94" spans="1:7" ht="30" x14ac:dyDescent="0.25">
      <c r="A94" s="11">
        <v>10</v>
      </c>
      <c r="B94" s="11" t="s">
        <v>228</v>
      </c>
      <c r="C94" s="75" t="s">
        <v>62</v>
      </c>
      <c r="D94" s="74">
        <v>1</v>
      </c>
      <c r="E94" s="74">
        <v>50000000</v>
      </c>
      <c r="F94" s="74">
        <f t="shared" si="12"/>
        <v>50000000</v>
      </c>
      <c r="G94" s="209"/>
    </row>
    <row r="96" spans="1:7" x14ac:dyDescent="0.25">
      <c r="F96" s="78"/>
    </row>
  </sheetData>
  <mergeCells count="11">
    <mergeCell ref="G7:G94"/>
    <mergeCell ref="A6:E6"/>
    <mergeCell ref="A1:G1"/>
    <mergeCell ref="A2:G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landscape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4" workbookViewId="0">
      <selection activeCell="A5" sqref="A5:F19"/>
    </sheetView>
  </sheetViews>
  <sheetFormatPr defaultColWidth="8.85546875" defaultRowHeight="15" x14ac:dyDescent="0.25"/>
  <cols>
    <col min="1" max="1" width="5.85546875" style="38" customWidth="1"/>
    <col min="2" max="2" width="25.28515625" style="1" customWidth="1"/>
    <col min="3" max="3" width="8.85546875" style="1"/>
    <col min="4" max="4" width="12.42578125" style="1" bestFit="1" customWidth="1"/>
    <col min="5" max="5" width="8.85546875" style="1" bestFit="1" customWidth="1"/>
    <col min="6" max="6" width="15.7109375" style="1" bestFit="1" customWidth="1"/>
    <col min="7" max="8" width="8.85546875" style="1"/>
    <col min="9" max="9" width="17.85546875" style="1" bestFit="1" customWidth="1"/>
    <col min="10" max="10" width="8.85546875" style="1"/>
    <col min="11" max="11" width="10.42578125" style="1" bestFit="1" customWidth="1"/>
    <col min="12" max="16384" width="8.85546875" style="1"/>
  </cols>
  <sheetData>
    <row r="1" spans="1:11" ht="33" customHeight="1" x14ac:dyDescent="0.25">
      <c r="A1" s="210" t="s">
        <v>271</v>
      </c>
      <c r="B1" s="210"/>
      <c r="C1" s="210"/>
      <c r="D1" s="210"/>
      <c r="E1" s="210"/>
      <c r="F1" s="210"/>
      <c r="G1" s="32"/>
      <c r="H1" s="32"/>
      <c r="I1" s="32"/>
      <c r="J1" s="32"/>
      <c r="K1" s="32"/>
    </row>
    <row r="3" spans="1:11" x14ac:dyDescent="0.25">
      <c r="A3" s="185" t="s">
        <v>270</v>
      </c>
      <c r="B3" s="185"/>
      <c r="C3" s="185"/>
      <c r="D3" s="185"/>
      <c r="E3" s="185"/>
      <c r="F3" s="185"/>
    </row>
    <row r="4" spans="1:11" x14ac:dyDescent="0.25">
      <c r="F4" s="1" t="s">
        <v>131</v>
      </c>
    </row>
    <row r="5" spans="1:11" x14ac:dyDescent="0.25">
      <c r="A5" s="108" t="s">
        <v>132</v>
      </c>
      <c r="B5" s="108" t="s">
        <v>133</v>
      </c>
      <c r="C5" s="108" t="s">
        <v>272</v>
      </c>
      <c r="D5" s="108" t="s">
        <v>5</v>
      </c>
      <c r="E5" s="108" t="s">
        <v>6</v>
      </c>
      <c r="F5" s="108" t="s">
        <v>7</v>
      </c>
    </row>
    <row r="6" spans="1:11" x14ac:dyDescent="0.25">
      <c r="A6" s="111" t="s">
        <v>249</v>
      </c>
      <c r="B6" s="109" t="s">
        <v>273</v>
      </c>
      <c r="C6" s="109"/>
      <c r="D6" s="110"/>
      <c r="E6" s="110"/>
      <c r="F6" s="110">
        <f>SUM(F7:F13)</f>
        <v>26397057500</v>
      </c>
    </row>
    <row r="7" spans="1:11" ht="30" x14ac:dyDescent="0.25">
      <c r="A7" s="108">
        <v>1</v>
      </c>
      <c r="B7" s="12" t="s">
        <v>276</v>
      </c>
      <c r="C7" s="10" t="s">
        <v>65</v>
      </c>
      <c r="D7" s="107">
        <f>7933*10</f>
        <v>79330</v>
      </c>
      <c r="E7" s="107">
        <v>200000</v>
      </c>
      <c r="F7" s="107">
        <f>D7*E7</f>
        <v>15866000000</v>
      </c>
    </row>
    <row r="8" spans="1:11" ht="45" x14ac:dyDescent="0.25">
      <c r="A8" s="108">
        <v>2</v>
      </c>
      <c r="B8" s="12" t="s">
        <v>281</v>
      </c>
      <c r="C8" s="10" t="s">
        <v>65</v>
      </c>
      <c r="D8" s="107">
        <f>(1.5*4)*7933</f>
        <v>47598</v>
      </c>
      <c r="E8" s="107">
        <v>200000</v>
      </c>
      <c r="F8" s="107">
        <f t="shared" ref="F8:F13" si="0">D8*E8</f>
        <v>9519600000</v>
      </c>
    </row>
    <row r="9" spans="1:11" ht="30" x14ac:dyDescent="0.25">
      <c r="A9" s="108">
        <v>3</v>
      </c>
      <c r="B9" s="12" t="s">
        <v>277</v>
      </c>
      <c r="C9" s="10" t="s">
        <v>54</v>
      </c>
      <c r="D9" s="107">
        <v>55531</v>
      </c>
      <c r="E9" s="107">
        <v>15000</v>
      </c>
      <c r="F9" s="107">
        <f t="shared" si="0"/>
        <v>832965000</v>
      </c>
    </row>
    <row r="10" spans="1:11" ht="30" x14ac:dyDescent="0.25">
      <c r="A10" s="108">
        <v>4</v>
      </c>
      <c r="B10" s="12" t="s">
        <v>52</v>
      </c>
      <c r="C10" s="10" t="s">
        <v>54</v>
      </c>
      <c r="D10" s="107">
        <f>'Hỗ trợ vật tư NN'!E12</f>
        <v>2776.55</v>
      </c>
      <c r="E10" s="107">
        <v>50000</v>
      </c>
      <c r="F10" s="107">
        <f t="shared" si="0"/>
        <v>138827500</v>
      </c>
    </row>
    <row r="11" spans="1:11" ht="30" x14ac:dyDescent="0.25">
      <c r="A11" s="108">
        <v>5</v>
      </c>
      <c r="B11" s="12" t="s">
        <v>278</v>
      </c>
      <c r="C11" s="10" t="s">
        <v>54</v>
      </c>
      <c r="D11" s="107">
        <f>0.1*7933</f>
        <v>793.30000000000007</v>
      </c>
      <c r="E11" s="107">
        <v>50000</v>
      </c>
      <c r="F11" s="107">
        <f t="shared" si="0"/>
        <v>39665000</v>
      </c>
    </row>
    <row r="12" spans="1:11" ht="13.9" x14ac:dyDescent="0.25">
      <c r="A12" s="108"/>
      <c r="B12" s="10"/>
      <c r="C12" s="10"/>
      <c r="D12" s="107"/>
      <c r="E12" s="107"/>
      <c r="F12" s="107">
        <f t="shared" si="0"/>
        <v>0</v>
      </c>
      <c r="K12" s="113"/>
    </row>
    <row r="13" spans="1:11" ht="13.9" x14ac:dyDescent="0.25">
      <c r="A13" s="108"/>
      <c r="B13" s="10"/>
      <c r="C13" s="10"/>
      <c r="D13" s="107"/>
      <c r="E13" s="107"/>
      <c r="F13" s="107">
        <f t="shared" si="0"/>
        <v>0</v>
      </c>
    </row>
    <row r="14" spans="1:11" x14ac:dyDescent="0.25">
      <c r="A14" s="111" t="s">
        <v>250</v>
      </c>
      <c r="B14" s="109" t="s">
        <v>274</v>
      </c>
      <c r="C14" s="109"/>
      <c r="D14" s="110"/>
      <c r="E14" s="110"/>
      <c r="F14" s="110">
        <f>SUM(F15:F17)</f>
        <v>38078400000</v>
      </c>
    </row>
    <row r="15" spans="1:11" ht="30" x14ac:dyDescent="0.25">
      <c r="A15" s="108"/>
      <c r="B15" s="12" t="s">
        <v>280</v>
      </c>
      <c r="C15" s="10" t="s">
        <v>54</v>
      </c>
      <c r="D15" s="107">
        <f>4*12*7933</f>
        <v>380784</v>
      </c>
      <c r="E15" s="107">
        <v>100000</v>
      </c>
      <c r="F15" s="107">
        <f>D15*E15</f>
        <v>38078400000</v>
      </c>
      <c r="I15" s="144"/>
    </row>
    <row r="16" spans="1:11" x14ac:dyDescent="0.25">
      <c r="A16" s="108"/>
      <c r="B16" s="10"/>
      <c r="C16" s="10"/>
      <c r="D16" s="107"/>
      <c r="E16" s="107"/>
      <c r="F16" s="107">
        <f t="shared" ref="F16:F17" si="1">D16*E16</f>
        <v>0</v>
      </c>
    </row>
    <row r="17" spans="1:6" x14ac:dyDescent="0.25">
      <c r="A17" s="108"/>
      <c r="B17" s="10"/>
      <c r="C17" s="10"/>
      <c r="D17" s="107"/>
      <c r="E17" s="107"/>
      <c r="F17" s="107">
        <f t="shared" si="1"/>
        <v>0</v>
      </c>
    </row>
    <row r="18" spans="1:6" x14ac:dyDescent="0.25">
      <c r="A18" s="111" t="s">
        <v>253</v>
      </c>
      <c r="B18" s="109" t="s">
        <v>275</v>
      </c>
      <c r="C18" s="109"/>
      <c r="D18" s="110"/>
      <c r="E18" s="110"/>
      <c r="F18" s="110">
        <f>F14-F6</f>
        <v>11681342500</v>
      </c>
    </row>
    <row r="19" spans="1:6" ht="14.45" customHeight="1" x14ac:dyDescent="0.25">
      <c r="A19" s="211" t="s">
        <v>279</v>
      </c>
      <c r="B19" s="212"/>
      <c r="C19" s="212"/>
      <c r="D19" s="212"/>
      <c r="E19" s="213"/>
      <c r="F19" s="112">
        <f>F18/7933</f>
        <v>1472500</v>
      </c>
    </row>
    <row r="21" spans="1:6" x14ac:dyDescent="0.25">
      <c r="F21" s="78"/>
    </row>
  </sheetData>
  <mergeCells count="3">
    <mergeCell ref="A1:F1"/>
    <mergeCell ref="A3:F3"/>
    <mergeCell ref="A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Tổng cộng</vt:lpstr>
      <vt:lpstr>Bảo tồn</vt:lpstr>
      <vt:lpstr>Đào tạo chung</vt:lpstr>
      <vt:lpstr>Hỗ trợ vật tư NN</vt:lpstr>
      <vt:lpstr>Xúc tiến thương mại</vt:lpstr>
      <vt:lpstr>Đào tạo_hỗ trợ sản phẩm DVDLCD</vt:lpstr>
      <vt:lpstr>Hạch toán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Thanh Thanh</dc:creator>
  <cp:lastModifiedBy>VNN.R9</cp:lastModifiedBy>
  <cp:lastPrinted>2024-09-07T09:37:34Z</cp:lastPrinted>
  <dcterms:created xsi:type="dcterms:W3CDTF">2024-07-09T02:56:34Z</dcterms:created>
  <dcterms:modified xsi:type="dcterms:W3CDTF">2024-09-07T10:48:04Z</dcterms:modified>
</cp:coreProperties>
</file>