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8" yWindow="-108" windowWidth="19416" windowHeight="10296" tabRatio="685" firstSheet="6" activeTab="7"/>
  </bookViews>
  <sheets>
    <sheet name="Sheet1" sheetId="7" state="hidden" r:id="rId1"/>
    <sheet name="Sheet7 (2)" sheetId="14" state="hidden" r:id="rId2"/>
    <sheet name="Sheet5 (2)" sheetId="12" state="hidden" r:id="rId3"/>
    <sheet name="Sheet9 (2)" sheetId="16" state="hidden" r:id="rId4"/>
    <sheet name="Sheet4" sheetId="10" state="hidden" r:id="rId5"/>
    <sheet name="Sheet2" sheetId="8" state="hidden" r:id="rId6"/>
    <sheet name="NSDP21-25" sheetId="1" r:id="rId7"/>
    <sheet name="NSTW 21-25" sheetId="2" r:id="rId8"/>
    <sheet name="CTMTQG21-25" sheetId="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Print_Area" localSheetId="6">'NSDP21-25'!$A$1:$AP$32</definedName>
    <definedName name="_xlnm.Print_Titles" localSheetId="8">'CTMTQG21-25'!$5:$7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9" i="1" l="1"/>
  <c r="AO9" i="1"/>
  <c r="J27" i="1"/>
  <c r="K27" i="1"/>
  <c r="L27" i="1"/>
  <c r="O27" i="1"/>
  <c r="P27" i="1"/>
  <c r="Q27" i="1"/>
  <c r="R27" i="1"/>
  <c r="S27" i="1"/>
  <c r="T27" i="1"/>
  <c r="U27" i="1"/>
  <c r="V27" i="1"/>
  <c r="W27" i="1"/>
  <c r="Y27" i="1"/>
  <c r="Z27" i="1"/>
  <c r="AA27" i="1"/>
  <c r="AB27" i="1"/>
  <c r="AC27" i="1"/>
  <c r="AD27" i="1"/>
  <c r="AE27" i="1"/>
  <c r="AF27" i="1"/>
  <c r="AG27" i="1"/>
  <c r="AJ27" i="1"/>
  <c r="AH32" i="1"/>
  <c r="AK32" i="1" s="1"/>
  <c r="AI32" i="1" s="1"/>
  <c r="M32" i="1"/>
  <c r="AM32" i="1" s="1"/>
  <c r="AL32" i="1" s="1"/>
  <c r="AK31" i="1"/>
  <c r="AI31" i="1" s="1"/>
  <c r="M31" i="1"/>
  <c r="AM31" i="1" s="1"/>
  <c r="AL31" i="1" s="1"/>
  <c r="AK30" i="1"/>
  <c r="AI30" i="1" s="1"/>
  <c r="M30" i="1"/>
  <c r="AM30" i="1" s="1"/>
  <c r="AL30" i="1" s="1"/>
  <c r="X29" i="1"/>
  <c r="X27" i="1" s="1"/>
  <c r="N29" i="1"/>
  <c r="M29" i="1" s="1"/>
  <c r="AH28" i="1"/>
  <c r="M28" i="1"/>
  <c r="I28" i="1"/>
  <c r="I27" i="1" s="1"/>
  <c r="K48" i="3"/>
  <c r="K47" i="3" s="1"/>
  <c r="L48" i="3"/>
  <c r="L47" i="3" s="1"/>
  <c r="O48" i="3"/>
  <c r="O47" i="3" s="1"/>
  <c r="P48" i="3"/>
  <c r="P47" i="3" s="1"/>
  <c r="Q48" i="3"/>
  <c r="Q47" i="3" s="1"/>
  <c r="R48" i="3"/>
  <c r="R47" i="3" s="1"/>
  <c r="S48" i="3"/>
  <c r="S47" i="3" s="1"/>
  <c r="T48" i="3"/>
  <c r="T47" i="3" s="1"/>
  <c r="U48" i="3"/>
  <c r="U47" i="3" s="1"/>
  <c r="V48" i="3"/>
  <c r="V47" i="3" s="1"/>
  <c r="W48" i="3"/>
  <c r="W47" i="3" s="1"/>
  <c r="X48" i="3"/>
  <c r="X47" i="3" s="1"/>
  <c r="Y48" i="3"/>
  <c r="Y47" i="3" s="1"/>
  <c r="Z48" i="3"/>
  <c r="Z47" i="3" s="1"/>
  <c r="AA48" i="3"/>
  <c r="AA47" i="3" s="1"/>
  <c r="AB48" i="3"/>
  <c r="AB47" i="3" s="1"/>
  <c r="AC48" i="3"/>
  <c r="AC47" i="3" s="1"/>
  <c r="AD48" i="3"/>
  <c r="AD47" i="3" s="1"/>
  <c r="AE48" i="3"/>
  <c r="AE47" i="3" s="1"/>
  <c r="AF48" i="3"/>
  <c r="AF47" i="3" s="1"/>
  <c r="AG48" i="3"/>
  <c r="AG47" i="3" s="1"/>
  <c r="AH48" i="3"/>
  <c r="AH47" i="3" s="1"/>
  <c r="I48" i="3"/>
  <c r="I47" i="3" s="1"/>
  <c r="AH27" i="1" l="1"/>
  <c r="AK29" i="1"/>
  <c r="AI29" i="1" s="1"/>
  <c r="AK28" i="1"/>
  <c r="AI28" i="1" s="1"/>
  <c r="AM29" i="1"/>
  <c r="AL29" i="1" s="1"/>
  <c r="AM28" i="1"/>
  <c r="N27" i="1"/>
  <c r="M27" i="1"/>
  <c r="AI27" i="1" l="1"/>
  <c r="AK27" i="1"/>
  <c r="AL28" i="1"/>
  <c r="AL27" i="1" s="1"/>
  <c r="AM27" i="1"/>
  <c r="AK52" i="3"/>
  <c r="AJ52" i="3"/>
  <c r="AK51" i="3"/>
  <c r="AJ51" i="3"/>
  <c r="AK50" i="3"/>
  <c r="AJ50" i="3"/>
  <c r="AK49" i="3"/>
  <c r="AJ49" i="3"/>
  <c r="AJ44" i="3"/>
  <c r="AK44" i="3"/>
  <c r="AJ45" i="3"/>
  <c r="AK45" i="3"/>
  <c r="AJ46" i="3"/>
  <c r="AK46" i="3"/>
  <c r="AK43" i="3"/>
  <c r="AJ43" i="3"/>
  <c r="AL11" i="3"/>
  <c r="AM11" i="3"/>
  <c r="AJ13" i="3"/>
  <c r="AK13" i="3"/>
  <c r="AJ14" i="3"/>
  <c r="AK14" i="3"/>
  <c r="AJ15" i="3"/>
  <c r="AK15" i="3"/>
  <c r="AJ16" i="3"/>
  <c r="AK16" i="3"/>
  <c r="AJ17" i="3"/>
  <c r="AK17" i="3"/>
  <c r="AJ18" i="3"/>
  <c r="AK18" i="3"/>
  <c r="AJ19" i="3"/>
  <c r="AK19" i="3"/>
  <c r="AJ20" i="3"/>
  <c r="AK20" i="3"/>
  <c r="AJ21" i="3"/>
  <c r="AK21" i="3"/>
  <c r="AJ22" i="3"/>
  <c r="AK22" i="3"/>
  <c r="AJ23" i="3"/>
  <c r="AK23" i="3"/>
  <c r="AJ24" i="3"/>
  <c r="AK24" i="3"/>
  <c r="AJ25" i="3"/>
  <c r="AK25" i="3"/>
  <c r="AJ26" i="3"/>
  <c r="AK26" i="3"/>
  <c r="AJ27" i="3"/>
  <c r="AK27" i="3"/>
  <c r="AJ28" i="3"/>
  <c r="AK28" i="3"/>
  <c r="AJ29" i="3"/>
  <c r="AK29" i="3"/>
  <c r="AJ30" i="3"/>
  <c r="AK30" i="3"/>
  <c r="AJ31" i="3"/>
  <c r="AK31" i="3"/>
  <c r="AJ32" i="3"/>
  <c r="AK32" i="3"/>
  <c r="AJ33" i="3"/>
  <c r="AK33" i="3"/>
  <c r="AJ34" i="3"/>
  <c r="AK34" i="3"/>
  <c r="AJ35" i="3"/>
  <c r="AK35" i="3"/>
  <c r="AJ36" i="3"/>
  <c r="AK36" i="3"/>
  <c r="AJ37" i="3"/>
  <c r="AK37" i="3"/>
  <c r="AJ38" i="3"/>
  <c r="AK38" i="3"/>
  <c r="AJ39" i="3"/>
  <c r="AK39" i="3"/>
  <c r="AJ40" i="3"/>
  <c r="AJ12" i="3"/>
  <c r="AK12" i="3"/>
  <c r="AF19" i="2"/>
  <c r="AI33" i="3" l="1"/>
  <c r="AI31" i="3"/>
  <c r="AI39" i="3"/>
  <c r="AL10" i="3"/>
  <c r="AL9" i="3" s="1"/>
  <c r="AK48" i="3"/>
  <c r="AK47" i="3" s="1"/>
  <c r="AM10" i="3"/>
  <c r="AM9" i="3" s="1"/>
  <c r="AI49" i="3"/>
  <c r="AI14" i="3"/>
  <c r="AI26" i="3"/>
  <c r="AI12" i="3"/>
  <c r="AJ48" i="3"/>
  <c r="AJ47" i="3" s="1"/>
  <c r="AI36" i="3"/>
  <c r="AI34" i="3"/>
  <c r="AI28" i="3"/>
  <c r="AI21" i="3"/>
  <c r="AI16" i="3"/>
  <c r="AI52" i="3"/>
  <c r="AI25" i="3"/>
  <c r="AI19" i="3"/>
  <c r="AI45" i="3"/>
  <c r="AI51" i="3"/>
  <c r="AI38" i="3"/>
  <c r="AI30" i="3"/>
  <c r="AI13" i="3"/>
  <c r="AJ42" i="3"/>
  <c r="AJ41" i="3" s="1"/>
  <c r="AJ11" i="3"/>
  <c r="AJ10" i="3" s="1"/>
  <c r="AI24" i="3"/>
  <c r="AI18" i="3"/>
  <c r="AK42" i="3"/>
  <c r="AK41" i="3" s="1"/>
  <c r="AI46" i="3"/>
  <c r="AI50" i="3"/>
  <c r="AI32" i="3"/>
  <c r="AI29" i="3"/>
  <c r="AI27" i="3"/>
  <c r="AI20" i="3"/>
  <c r="AI17" i="3"/>
  <c r="AI15" i="3"/>
  <c r="AI44" i="3"/>
  <c r="AI43" i="3"/>
  <c r="AI37" i="3"/>
  <c r="AI35" i="3"/>
  <c r="AI23" i="3"/>
  <c r="AI22" i="3"/>
  <c r="J20" i="2"/>
  <c r="K20" i="2"/>
  <c r="L20" i="2"/>
  <c r="O20" i="2"/>
  <c r="P20" i="2"/>
  <c r="Q20" i="2"/>
  <c r="R20" i="2"/>
  <c r="S20" i="2"/>
  <c r="T20" i="2"/>
  <c r="U20" i="2"/>
  <c r="V20" i="2"/>
  <c r="W20" i="2"/>
  <c r="X20" i="2"/>
  <c r="Y20" i="2"/>
  <c r="Z20" i="2"/>
  <c r="AA20" i="2"/>
  <c r="AB20" i="2"/>
  <c r="AC20" i="2"/>
  <c r="AD20" i="2"/>
  <c r="AE20" i="2"/>
  <c r="AF20" i="2"/>
  <c r="AG20" i="2"/>
  <c r="AH20" i="2"/>
  <c r="I20" i="2"/>
  <c r="J15" i="2"/>
  <c r="K15" i="2"/>
  <c r="L15" i="2"/>
  <c r="O15" i="2"/>
  <c r="P15" i="2"/>
  <c r="Q15" i="2"/>
  <c r="R15" i="2"/>
  <c r="S15" i="2"/>
  <c r="T15" i="2"/>
  <c r="U15" i="2"/>
  <c r="V15" i="2"/>
  <c r="W15" i="2"/>
  <c r="X15" i="2"/>
  <c r="Y15" i="2"/>
  <c r="Z15" i="2"/>
  <c r="AA15" i="2"/>
  <c r="AB15" i="2"/>
  <c r="AC15" i="2"/>
  <c r="AD15" i="2"/>
  <c r="AE15" i="2"/>
  <c r="AF15" i="2"/>
  <c r="AG15" i="2"/>
  <c r="AH15" i="2"/>
  <c r="AL15" i="2"/>
  <c r="AM15" i="2"/>
  <c r="I15" i="2"/>
  <c r="J13" i="2"/>
  <c r="K13" i="2"/>
  <c r="L13" i="2"/>
  <c r="O13" i="2"/>
  <c r="P13" i="2"/>
  <c r="Q13" i="2"/>
  <c r="R13" i="2"/>
  <c r="S13" i="2"/>
  <c r="T13" i="2"/>
  <c r="U13" i="2"/>
  <c r="V13" i="2"/>
  <c r="W13" i="2"/>
  <c r="X13" i="2"/>
  <c r="Y13" i="2"/>
  <c r="Z13" i="2"/>
  <c r="AA13" i="2"/>
  <c r="AB13" i="2"/>
  <c r="AC13" i="2"/>
  <c r="AD13" i="2"/>
  <c r="AE13" i="2"/>
  <c r="AF13" i="2"/>
  <c r="AG13" i="2"/>
  <c r="AH13" i="2"/>
  <c r="AL13" i="2"/>
  <c r="AM13" i="2"/>
  <c r="I13" i="2"/>
  <c r="J11" i="2"/>
  <c r="K11" i="2"/>
  <c r="L11" i="2"/>
  <c r="O11" i="2"/>
  <c r="P11" i="2"/>
  <c r="Q11" i="2"/>
  <c r="R11" i="2"/>
  <c r="S11" i="2"/>
  <c r="T11" i="2"/>
  <c r="T10" i="2" s="1"/>
  <c r="T9" i="2" s="1"/>
  <c r="U11" i="2"/>
  <c r="V11" i="2"/>
  <c r="W11" i="2"/>
  <c r="X11" i="2"/>
  <c r="Y11" i="2"/>
  <c r="AA11" i="2"/>
  <c r="AB11" i="2"/>
  <c r="AC11" i="2"/>
  <c r="AC10" i="2" s="1"/>
  <c r="AC9" i="2" s="1"/>
  <c r="AD11" i="2"/>
  <c r="AE11" i="2"/>
  <c r="AF11" i="2"/>
  <c r="AG11" i="2"/>
  <c r="AG10" i="2" s="1"/>
  <c r="AG9" i="2" s="1"/>
  <c r="AH11" i="2"/>
  <c r="AI11" i="2"/>
  <c r="AJ11" i="2"/>
  <c r="AK11" i="2"/>
  <c r="AL11" i="2"/>
  <c r="AM11" i="2"/>
  <c r="I11" i="2"/>
  <c r="AK21" i="2"/>
  <c r="AK20" i="2" s="1"/>
  <c r="AJ21" i="2"/>
  <c r="AJ17" i="2"/>
  <c r="AK17" i="2"/>
  <c r="AJ18" i="2"/>
  <c r="AK18" i="2"/>
  <c r="AJ19" i="2"/>
  <c r="AK19" i="2"/>
  <c r="AK16" i="2"/>
  <c r="AJ16" i="2"/>
  <c r="AJ14" i="2"/>
  <c r="AK14" i="2"/>
  <c r="AK13" i="2" s="1"/>
  <c r="J25" i="1"/>
  <c r="K25" i="1"/>
  <c r="L25" i="1"/>
  <c r="N25" i="1"/>
  <c r="O25" i="1"/>
  <c r="P25" i="1"/>
  <c r="Q25" i="1"/>
  <c r="R25" i="1"/>
  <c r="S25" i="1"/>
  <c r="T25" i="1"/>
  <c r="U25" i="1"/>
  <c r="V25" i="1"/>
  <c r="W25" i="1"/>
  <c r="X25" i="1"/>
  <c r="Y25" i="1"/>
  <c r="Z25" i="1"/>
  <c r="AA25" i="1"/>
  <c r="AB25" i="1"/>
  <c r="AC25" i="1"/>
  <c r="AD25" i="1"/>
  <c r="AE25" i="1"/>
  <c r="AF25" i="1"/>
  <c r="AG25" i="1"/>
  <c r="AH25" i="1"/>
  <c r="AM25" i="1"/>
  <c r="AK26" i="1"/>
  <c r="AK25" i="1" s="1"/>
  <c r="AJ26" i="1"/>
  <c r="AJ25" i="1" s="1"/>
  <c r="AK24" i="1"/>
  <c r="AJ24" i="1"/>
  <c r="AK23" i="1"/>
  <c r="AJ23" i="1"/>
  <c r="AK22" i="1"/>
  <c r="AJ22" i="1"/>
  <c r="J21" i="1"/>
  <c r="K21" i="1"/>
  <c r="L21" i="1"/>
  <c r="L20" i="1" s="1"/>
  <c r="L19" i="1" s="1"/>
  <c r="O21" i="1"/>
  <c r="O20" i="1" s="1"/>
  <c r="O19" i="1" s="1"/>
  <c r="P21" i="1"/>
  <c r="P20" i="1" s="1"/>
  <c r="P19" i="1" s="1"/>
  <c r="Q21" i="1"/>
  <c r="Q20" i="1" s="1"/>
  <c r="Q19" i="1" s="1"/>
  <c r="R21" i="1"/>
  <c r="S21" i="1"/>
  <c r="T21" i="1"/>
  <c r="T20" i="1" s="1"/>
  <c r="T19" i="1" s="1"/>
  <c r="U21" i="1"/>
  <c r="U20" i="1" s="1"/>
  <c r="U19" i="1" s="1"/>
  <c r="V21" i="1"/>
  <c r="V20" i="1" s="1"/>
  <c r="V19" i="1" s="1"/>
  <c r="W21" i="1"/>
  <c r="W20" i="1" s="1"/>
  <c r="W19" i="1" s="1"/>
  <c r="X21" i="1"/>
  <c r="X20" i="1" s="1"/>
  <c r="X19" i="1" s="1"/>
  <c r="Y21" i="1"/>
  <c r="Y20" i="1" s="1"/>
  <c r="Y19" i="1" s="1"/>
  <c r="Z21" i="1"/>
  <c r="AA21" i="1"/>
  <c r="AA20" i="1" s="1"/>
  <c r="AA19" i="1" s="1"/>
  <c r="AB21" i="1"/>
  <c r="AC21" i="1"/>
  <c r="AD21" i="1"/>
  <c r="AD20" i="1" s="1"/>
  <c r="AD19" i="1" s="1"/>
  <c r="AE21" i="1"/>
  <c r="AF21" i="1"/>
  <c r="AF20" i="1" s="1"/>
  <c r="AF19" i="1" s="1"/>
  <c r="AG21" i="1"/>
  <c r="AG20" i="1" s="1"/>
  <c r="AG19" i="1" s="1"/>
  <c r="AH21" i="1"/>
  <c r="AH20" i="1" s="1"/>
  <c r="AH19" i="1" s="1"/>
  <c r="I21" i="1"/>
  <c r="J10" i="1"/>
  <c r="J9" i="1" s="1"/>
  <c r="L10" i="1"/>
  <c r="L9" i="1" s="1"/>
  <c r="O10" i="1"/>
  <c r="O9" i="1" s="1"/>
  <c r="P10" i="1"/>
  <c r="P9" i="1" s="1"/>
  <c r="Q10" i="1"/>
  <c r="Q9" i="1" s="1"/>
  <c r="R10" i="1"/>
  <c r="R9" i="1" s="1"/>
  <c r="S10" i="1"/>
  <c r="S9" i="1" s="1"/>
  <c r="T10" i="1"/>
  <c r="T9" i="1" s="1"/>
  <c r="U10" i="1"/>
  <c r="U9" i="1" s="1"/>
  <c r="W10" i="1"/>
  <c r="W9" i="1" s="1"/>
  <c r="X10" i="1"/>
  <c r="X9" i="1" s="1"/>
  <c r="Y10" i="1"/>
  <c r="Y9" i="1" s="1"/>
  <c r="Z10" i="1"/>
  <c r="Z9" i="1" s="1"/>
  <c r="AA10" i="1"/>
  <c r="AA9" i="1" s="1"/>
  <c r="AB10" i="1"/>
  <c r="AB9" i="1" s="1"/>
  <c r="AC10" i="1"/>
  <c r="AC9" i="1" s="1"/>
  <c r="AD10" i="1"/>
  <c r="AD9" i="1" s="1"/>
  <c r="AE10" i="1"/>
  <c r="AE9" i="1" s="1"/>
  <c r="AG10" i="1"/>
  <c r="AG9" i="1" s="1"/>
  <c r="AH10" i="1"/>
  <c r="AH9" i="1" s="1"/>
  <c r="AL10" i="1"/>
  <c r="AL9" i="1" s="1"/>
  <c r="AM10" i="1"/>
  <c r="AM9" i="1" s="1"/>
  <c r="I10" i="1"/>
  <c r="I9" i="1" s="1"/>
  <c r="AJ12" i="1"/>
  <c r="AK12" i="1"/>
  <c r="AJ13" i="1"/>
  <c r="AK13" i="1"/>
  <c r="AJ14" i="1"/>
  <c r="AK14" i="1"/>
  <c r="AJ15" i="1"/>
  <c r="AK15" i="1"/>
  <c r="AJ16" i="1"/>
  <c r="AI16" i="1" s="1"/>
  <c r="AJ17" i="1"/>
  <c r="AK17" i="1"/>
  <c r="AJ18" i="1"/>
  <c r="AK18" i="1"/>
  <c r="AJ11" i="1"/>
  <c r="AK11" i="1"/>
  <c r="A3" i="2"/>
  <c r="A3" i="3" s="1"/>
  <c r="X10" i="2" l="1"/>
  <c r="X9" i="2" s="1"/>
  <c r="AC20" i="1"/>
  <c r="AC19" i="1" s="1"/>
  <c r="J10" i="2"/>
  <c r="J9" i="2" s="1"/>
  <c r="AE20" i="1"/>
  <c r="AE19" i="1" s="1"/>
  <c r="S20" i="1"/>
  <c r="S19" i="1" s="1"/>
  <c r="R20" i="1"/>
  <c r="R19" i="1" s="1"/>
  <c r="P10" i="2"/>
  <c r="P9" i="2" s="1"/>
  <c r="AB20" i="1"/>
  <c r="AB19" i="1" s="1"/>
  <c r="Z20" i="1"/>
  <c r="Z19" i="1" s="1"/>
  <c r="AK21" i="1"/>
  <c r="AK20" i="1" s="1"/>
  <c r="AK19" i="1" s="1"/>
  <c r="AB10" i="2"/>
  <c r="AB9" i="2" s="1"/>
  <c r="J20" i="1"/>
  <c r="J19" i="1" s="1"/>
  <c r="AJ15" i="2"/>
  <c r="AI21" i="2"/>
  <c r="AI20" i="2" s="1"/>
  <c r="AH10" i="2"/>
  <c r="AH9" i="2" s="1"/>
  <c r="AD10" i="2"/>
  <c r="AD9" i="2" s="1"/>
  <c r="Y10" i="2"/>
  <c r="Y9" i="2" s="1"/>
  <c r="U10" i="2"/>
  <c r="U9" i="2" s="1"/>
  <c r="Q10" i="2"/>
  <c r="Q9" i="2" s="1"/>
  <c r="I10" i="2"/>
  <c r="I9" i="2" s="1"/>
  <c r="AK15" i="2"/>
  <c r="AK10" i="2" s="1"/>
  <c r="AK9" i="2" s="1"/>
  <c r="AE10" i="2"/>
  <c r="AE9" i="2" s="1"/>
  <c r="W10" i="2"/>
  <c r="W9" i="2" s="1"/>
  <c r="S10" i="2"/>
  <c r="S9" i="2" s="1"/>
  <c r="O10" i="2"/>
  <c r="O9" i="2" s="1"/>
  <c r="AF10" i="2"/>
  <c r="AF9" i="2" s="1"/>
  <c r="AI48" i="3"/>
  <c r="AI47" i="3" s="1"/>
  <c r="AA10" i="2"/>
  <c r="AA9" i="2" s="1"/>
  <c r="K20" i="1"/>
  <c r="K19" i="1" s="1"/>
  <c r="R10" i="2"/>
  <c r="R9" i="2" s="1"/>
  <c r="AI14" i="2"/>
  <c r="AI13" i="2" s="1"/>
  <c r="AJ13" i="2"/>
  <c r="V10" i="2"/>
  <c r="V9" i="2" s="1"/>
  <c r="AI18" i="2"/>
  <c r="AJ20" i="2"/>
  <c r="AI42" i="3"/>
  <c r="AI41" i="3" s="1"/>
  <c r="K10" i="2"/>
  <c r="K9" i="2" s="1"/>
  <c r="L10" i="2"/>
  <c r="L9" i="2" s="1"/>
  <c r="AJ10" i="1"/>
  <c r="AJ9" i="1" s="1"/>
  <c r="AI12" i="1"/>
  <c r="AI22" i="1"/>
  <c r="AI24" i="1"/>
  <c r="AK10" i="1"/>
  <c r="AK9" i="1" s="1"/>
  <c r="AJ9" i="3"/>
  <c r="AI11" i="1"/>
  <c r="AI23" i="1"/>
  <c r="AI21" i="1" s="1"/>
  <c r="AI26" i="1"/>
  <c r="AI25" i="1" s="1"/>
  <c r="AI19" i="2"/>
  <c r="AI16" i="2"/>
  <c r="AI17" i="2"/>
  <c r="AJ21" i="1"/>
  <c r="AJ20" i="1" s="1"/>
  <c r="AJ19" i="1" s="1"/>
  <c r="AI15" i="1"/>
  <c r="AI13" i="1"/>
  <c r="AI17" i="1"/>
  <c r="AI18" i="1"/>
  <c r="AI14" i="1"/>
  <c r="V18" i="1"/>
  <c r="M18" i="1"/>
  <c r="AI20" i="1" l="1"/>
  <c r="AI19" i="1" s="1"/>
  <c r="AI15" i="2"/>
  <c r="AI10" i="2" s="1"/>
  <c r="AI9" i="2" s="1"/>
  <c r="AJ10" i="2"/>
  <c r="AJ9" i="2" s="1"/>
  <c r="AI10" i="1"/>
  <c r="AI9" i="1" s="1"/>
  <c r="AF18" i="1"/>
  <c r="AF10" i="1" s="1"/>
  <c r="AF9" i="1" s="1"/>
  <c r="V10" i="1"/>
  <c r="V9" i="1" s="1"/>
  <c r="J52" i="3"/>
  <c r="J51" i="3"/>
  <c r="J50" i="3"/>
  <c r="J49" i="3"/>
  <c r="M52" i="3"/>
  <c r="N52" i="3" s="1"/>
  <c r="M51" i="3"/>
  <c r="N51" i="3" s="1"/>
  <c r="M50" i="3"/>
  <c r="N50" i="3" s="1"/>
  <c r="M49" i="3"/>
  <c r="K42" i="3"/>
  <c r="K41" i="3" s="1"/>
  <c r="L42" i="3"/>
  <c r="L41" i="3" s="1"/>
  <c r="O42" i="3"/>
  <c r="O41" i="3" s="1"/>
  <c r="P42" i="3"/>
  <c r="P41" i="3" s="1"/>
  <c r="Q42" i="3"/>
  <c r="Q41" i="3" s="1"/>
  <c r="R42" i="3"/>
  <c r="R41" i="3" s="1"/>
  <c r="S42" i="3"/>
  <c r="S41" i="3" s="1"/>
  <c r="T42" i="3"/>
  <c r="T41" i="3" s="1"/>
  <c r="U42" i="3"/>
  <c r="U41" i="3" s="1"/>
  <c r="V42" i="3"/>
  <c r="V41" i="3" s="1"/>
  <c r="W42" i="3"/>
  <c r="W41" i="3" s="1"/>
  <c r="X42" i="3"/>
  <c r="X41" i="3" s="1"/>
  <c r="Y42" i="3"/>
  <c r="Y41" i="3" s="1"/>
  <c r="Z42" i="3"/>
  <c r="Z41" i="3" s="1"/>
  <c r="AA42" i="3"/>
  <c r="AA41" i="3" s="1"/>
  <c r="AB42" i="3"/>
  <c r="AB41" i="3" s="1"/>
  <c r="AC42" i="3"/>
  <c r="AC41" i="3" s="1"/>
  <c r="AD42" i="3"/>
  <c r="AD41" i="3" s="1"/>
  <c r="AG42" i="3"/>
  <c r="AG41" i="3" s="1"/>
  <c r="AH42" i="3"/>
  <c r="AH41" i="3" s="1"/>
  <c r="I42" i="3"/>
  <c r="I41" i="3" s="1"/>
  <c r="J44" i="3"/>
  <c r="J45" i="3"/>
  <c r="J46" i="3"/>
  <c r="J43" i="3"/>
  <c r="AE42" i="3"/>
  <c r="AE41" i="3" s="1"/>
  <c r="M46" i="3"/>
  <c r="N46" i="3" s="1"/>
  <c r="M45" i="3"/>
  <c r="N45" i="3" s="1"/>
  <c r="M44" i="3"/>
  <c r="N44" i="3" s="1"/>
  <c r="AF43" i="3"/>
  <c r="AF42" i="3" s="1"/>
  <c r="AF41" i="3" s="1"/>
  <c r="M43" i="3"/>
  <c r="N43" i="3" s="1"/>
  <c r="K11" i="3"/>
  <c r="K10" i="3" s="1"/>
  <c r="L11" i="3"/>
  <c r="L10" i="3" s="1"/>
  <c r="O11" i="3"/>
  <c r="O10" i="3" s="1"/>
  <c r="P11" i="3"/>
  <c r="P10" i="3" s="1"/>
  <c r="Q11" i="3"/>
  <c r="Q10" i="3" s="1"/>
  <c r="R11" i="3"/>
  <c r="R10" i="3" s="1"/>
  <c r="S11" i="3"/>
  <c r="S10" i="3" s="1"/>
  <c r="T11" i="3"/>
  <c r="T10" i="3" s="1"/>
  <c r="U11" i="3"/>
  <c r="U10" i="3" s="1"/>
  <c r="V11" i="3"/>
  <c r="V10" i="3" s="1"/>
  <c r="W11" i="3"/>
  <c r="W10" i="3" s="1"/>
  <c r="Y11" i="3"/>
  <c r="Y10" i="3" s="1"/>
  <c r="Z11" i="3"/>
  <c r="Z10" i="3" s="1"/>
  <c r="AA11" i="3"/>
  <c r="AA10" i="3" s="1"/>
  <c r="AB11" i="3"/>
  <c r="AB10" i="3" s="1"/>
  <c r="AC11" i="3"/>
  <c r="AC10" i="3" s="1"/>
  <c r="AD11" i="3"/>
  <c r="AD10" i="3" s="1"/>
  <c r="AE11" i="3"/>
  <c r="AE10" i="3" s="1"/>
  <c r="AF11" i="3"/>
  <c r="AF10" i="3" s="1"/>
  <c r="AG11" i="3"/>
  <c r="AG10" i="3" s="1"/>
  <c r="AH11" i="3"/>
  <c r="AH10" i="3" s="1"/>
  <c r="X40" i="3"/>
  <c r="J14" i="3"/>
  <c r="J15" i="3"/>
  <c r="J16" i="3"/>
  <c r="J17" i="3"/>
  <c r="J18" i="3"/>
  <c r="J19" i="3"/>
  <c r="J21" i="3"/>
  <c r="J22" i="3"/>
  <c r="J23" i="3"/>
  <c r="J24" i="3"/>
  <c r="J25" i="3"/>
  <c r="J26" i="3"/>
  <c r="J27" i="3"/>
  <c r="J28" i="3"/>
  <c r="J29" i="3"/>
  <c r="J30" i="3"/>
  <c r="J31" i="3"/>
  <c r="J32" i="3"/>
  <c r="J33" i="3"/>
  <c r="J34" i="3"/>
  <c r="J35" i="3"/>
  <c r="J36" i="3"/>
  <c r="J37" i="3"/>
  <c r="J38" i="3"/>
  <c r="J39" i="3"/>
  <c r="J13" i="3"/>
  <c r="M39" i="3"/>
  <c r="N39" i="3" s="1"/>
  <c r="M38" i="3"/>
  <c r="N38" i="3" s="1"/>
  <c r="M37" i="3"/>
  <c r="N37" i="3" s="1"/>
  <c r="M36" i="3"/>
  <c r="N36" i="3" s="1"/>
  <c r="M35" i="3"/>
  <c r="N35" i="3" s="1"/>
  <c r="M34" i="3"/>
  <c r="N34" i="3" s="1"/>
  <c r="M33" i="3"/>
  <c r="N33" i="3" s="1"/>
  <c r="M32" i="3"/>
  <c r="N32" i="3" s="1"/>
  <c r="M31" i="3"/>
  <c r="N31" i="3" s="1"/>
  <c r="M30" i="3"/>
  <c r="N30" i="3" s="1"/>
  <c r="M29" i="3"/>
  <c r="N29" i="3" s="1"/>
  <c r="M28" i="3"/>
  <c r="N28" i="3" s="1"/>
  <c r="M27" i="3"/>
  <c r="N27" i="3" s="1"/>
  <c r="M26" i="3"/>
  <c r="N26" i="3" s="1"/>
  <c r="M25" i="3"/>
  <c r="N25" i="3" s="1"/>
  <c r="M24" i="3"/>
  <c r="N24" i="3" s="1"/>
  <c r="M23" i="3"/>
  <c r="N23" i="3" s="1"/>
  <c r="M22" i="3"/>
  <c r="N22" i="3" s="1"/>
  <c r="M21" i="3"/>
  <c r="N21" i="3" s="1"/>
  <c r="M20" i="3"/>
  <c r="M19" i="3"/>
  <c r="N19" i="3" s="1"/>
  <c r="M18" i="3"/>
  <c r="N18" i="3" s="1"/>
  <c r="M17" i="3"/>
  <c r="N17" i="3" s="1"/>
  <c r="M16" i="3"/>
  <c r="N16" i="3" s="1"/>
  <c r="M15" i="3"/>
  <c r="N15" i="3" s="1"/>
  <c r="M14" i="3"/>
  <c r="N14" i="3" s="1"/>
  <c r="M13" i="3"/>
  <c r="N13" i="3" s="1"/>
  <c r="M12" i="3"/>
  <c r="N12" i="3" s="1"/>
  <c r="AL26" i="1"/>
  <c r="AL25" i="1" s="1"/>
  <c r="M26" i="1"/>
  <c r="M25" i="1" s="1"/>
  <c r="I26" i="1"/>
  <c r="I25" i="1" s="1"/>
  <c r="I20" i="1" s="1"/>
  <c r="I19" i="1" s="1"/>
  <c r="J48" i="3" l="1"/>
  <c r="J47" i="3" s="1"/>
  <c r="N20" i="3"/>
  <c r="J20" i="3"/>
  <c r="I20" i="3" s="1"/>
  <c r="I11" i="3" s="1"/>
  <c r="I10" i="3" s="1"/>
  <c r="I9" i="3" s="1"/>
  <c r="N49" i="3"/>
  <c r="N48" i="3" s="1"/>
  <c r="N47" i="3" s="1"/>
  <c r="M48" i="3"/>
  <c r="M47" i="3" s="1"/>
  <c r="X11" i="3"/>
  <c r="X10" i="3" s="1"/>
  <c r="AK40" i="3"/>
  <c r="N42" i="3"/>
  <c r="N41" i="3" s="1"/>
  <c r="J42" i="3"/>
  <c r="J41" i="3" s="1"/>
  <c r="AE9" i="3"/>
  <c r="U9" i="3"/>
  <c r="Q9" i="3"/>
  <c r="AA9" i="3"/>
  <c r="M42" i="3"/>
  <c r="M41" i="3" s="1"/>
  <c r="N11" i="3"/>
  <c r="N10" i="3" s="1"/>
  <c r="AC9" i="3"/>
  <c r="T9" i="3"/>
  <c r="AD9" i="3"/>
  <c r="Z9" i="3"/>
  <c r="R9" i="3"/>
  <c r="L9" i="3"/>
  <c r="M11" i="3"/>
  <c r="M10" i="3" s="1"/>
  <c r="J12" i="3"/>
  <c r="J11" i="3" s="1"/>
  <c r="J10" i="3" s="1"/>
  <c r="Z12" i="2"/>
  <c r="Z11" i="2" s="1"/>
  <c r="Z10" i="2" s="1"/>
  <c r="Z9" i="2" s="1"/>
  <c r="X9" i="3" l="1"/>
  <c r="Y9" i="3"/>
  <c r="V9" i="3"/>
  <c r="AH9" i="3"/>
  <c r="K9" i="3"/>
  <c r="AB9" i="3"/>
  <c r="O9" i="3"/>
  <c r="S9" i="3"/>
  <c r="AG9" i="3"/>
  <c r="W9" i="3"/>
  <c r="P9" i="3"/>
  <c r="AK11" i="3"/>
  <c r="AI40" i="3"/>
  <c r="AI11" i="3" s="1"/>
  <c r="M12" i="2"/>
  <c r="AN9" i="3"/>
  <c r="AO9" i="3"/>
  <c r="H9" i="1"/>
  <c r="AN9" i="2"/>
  <c r="AO9" i="2"/>
  <c r="M16" i="2"/>
  <c r="N16" i="2" s="1"/>
  <c r="M17" i="2"/>
  <c r="N17" i="2" s="1"/>
  <c r="M18" i="2"/>
  <c r="N18" i="2" s="1"/>
  <c r="M19" i="2"/>
  <c r="M21" i="2"/>
  <c r="M14" i="2"/>
  <c r="M11" i="1"/>
  <c r="M12" i="1"/>
  <c r="N12" i="1" s="1"/>
  <c r="M13" i="1"/>
  <c r="N13" i="1" s="1"/>
  <c r="M14" i="1"/>
  <c r="N14" i="1" s="1"/>
  <c r="M15" i="1"/>
  <c r="N15" i="1" s="1"/>
  <c r="M16" i="1"/>
  <c r="N16" i="1" s="1"/>
  <c r="M17" i="1"/>
  <c r="N17" i="1" s="1"/>
  <c r="M22" i="1"/>
  <c r="M23" i="1"/>
  <c r="M24" i="1"/>
  <c r="AK10" i="3" l="1"/>
  <c r="AK9" i="3" s="1"/>
  <c r="AI10" i="3"/>
  <c r="AI9" i="3" s="1"/>
  <c r="J9" i="3"/>
  <c r="N12" i="2"/>
  <c r="N11" i="2" s="1"/>
  <c r="M11" i="2"/>
  <c r="N21" i="2"/>
  <c r="M20" i="2"/>
  <c r="N14" i="2"/>
  <c r="N13" i="2" s="1"/>
  <c r="M13" i="2"/>
  <c r="M10" i="1"/>
  <c r="M21" i="1"/>
  <c r="M20" i="1" s="1"/>
  <c r="M19" i="1" s="1"/>
  <c r="N19" i="2"/>
  <c r="N15" i="2" s="1"/>
  <c r="M15" i="2"/>
  <c r="N24" i="1"/>
  <c r="AM24" i="1"/>
  <c r="AL24" i="1" s="1"/>
  <c r="N23" i="1"/>
  <c r="AM23" i="1"/>
  <c r="AL23" i="1" s="1"/>
  <c r="N22" i="1"/>
  <c r="AM22" i="1"/>
  <c r="N11" i="1"/>
  <c r="N10" i="1" s="1"/>
  <c r="N9" i="1" s="1"/>
  <c r="N9" i="3"/>
  <c r="M9" i="3"/>
  <c r="Y16" i="16"/>
  <c r="Z16" i="16" s="1"/>
  <c r="Y18" i="16"/>
  <c r="Z18" i="16" s="1"/>
  <c r="Y24" i="16"/>
  <c r="Z24" i="16" s="1"/>
  <c r="Y25" i="16"/>
  <c r="Z25" i="16" s="1"/>
  <c r="Y30" i="16"/>
  <c r="Z30" i="16" s="1"/>
  <c r="Y33" i="16"/>
  <c r="Z33" i="16" s="1"/>
  <c r="Y34" i="16"/>
  <c r="Z34" i="16" s="1"/>
  <c r="Y37" i="16"/>
  <c r="Z37" i="16" s="1"/>
  <c r="Y40" i="16"/>
  <c r="Z40" i="16" s="1"/>
  <c r="Y43" i="16"/>
  <c r="Z43" i="16" s="1"/>
  <c r="Y35" i="16"/>
  <c r="Z35" i="16" s="1"/>
  <c r="Y26" i="16"/>
  <c r="Z26" i="16" s="1"/>
  <c r="Y17" i="16"/>
  <c r="Z17" i="16" s="1"/>
  <c r="M10" i="2" l="1"/>
  <c r="M9" i="2" s="1"/>
  <c r="K11" i="1"/>
  <c r="K10" i="1" s="1"/>
  <c r="K9" i="1" s="1"/>
  <c r="M9" i="1"/>
  <c r="AM21" i="2"/>
  <c r="N20" i="2"/>
  <c r="N10" i="2" s="1"/>
  <c r="N9" i="2" s="1"/>
  <c r="AL22" i="1"/>
  <c r="AL21" i="1" s="1"/>
  <c r="AL20" i="1" s="1"/>
  <c r="AL19" i="1" s="1"/>
  <c r="AM21" i="1"/>
  <c r="AM20" i="1" s="1"/>
  <c r="AM19" i="1" s="1"/>
  <c r="N21" i="1"/>
  <c r="N20" i="1" s="1"/>
  <c r="N19" i="1" s="1"/>
  <c r="Y22" i="16"/>
  <c r="Y39" i="16"/>
  <c r="Z39" i="16" s="1"/>
  <c r="Y38" i="16"/>
  <c r="Z38" i="16" s="1"/>
  <c r="Y23" i="16"/>
  <c r="Z23" i="16" s="1"/>
  <c r="Y27" i="16"/>
  <c r="Z27" i="16" s="1"/>
  <c r="Y28" i="16"/>
  <c r="Z28" i="16" s="1"/>
  <c r="Y29" i="16"/>
  <c r="Z29" i="16" s="1"/>
  <c r="Y41" i="16"/>
  <c r="Z41" i="16" s="1"/>
  <c r="Y42" i="16"/>
  <c r="Z42" i="16" s="1"/>
  <c r="Y44" i="16"/>
  <c r="Z44" i="16" s="1"/>
  <c r="Y36" i="16"/>
  <c r="Z36" i="16" s="1"/>
  <c r="AM20" i="2" l="1"/>
  <c r="AM10" i="2" s="1"/>
  <c r="AM9" i="2" s="1"/>
  <c r="AL21" i="2"/>
  <c r="AL20" i="2" s="1"/>
  <c r="AL10" i="2" s="1"/>
  <c r="AL9" i="2" s="1"/>
  <c r="Y45" i="16"/>
  <c r="Z45" i="16" s="1"/>
  <c r="Y46" i="16"/>
  <c r="Z46" i="16" s="1"/>
  <c r="AC64" i="16"/>
  <c r="Y32" i="16"/>
  <c r="Y21" i="16"/>
  <c r="Z22" i="16"/>
  <c r="Z21" i="16" l="1"/>
  <c r="Z32" i="16"/>
  <c r="Y31" i="16"/>
  <c r="Z31" i="16" s="1"/>
  <c r="Z20" i="16"/>
  <c r="Y15" i="16" l="1"/>
  <c r="Z15" i="16" s="1"/>
  <c r="Y14" i="16"/>
  <c r="Z14" i="16" s="1"/>
  <c r="Y20" i="16"/>
  <c r="Y17" i="14" l="1"/>
  <c r="Z17" i="14" s="1"/>
  <c r="Y18" i="14"/>
  <c r="Z18" i="14" s="1"/>
  <c r="Y56" i="14"/>
  <c r="Y57" i="14"/>
  <c r="Z57" i="14" s="1"/>
  <c r="Y58" i="14"/>
  <c r="Z58" i="14" s="1"/>
  <c r="Y60" i="14"/>
  <c r="Z60" i="14" s="1"/>
  <c r="Y61" i="14"/>
  <c r="Z61" i="14" s="1"/>
  <c r="Y62" i="14"/>
  <c r="Z62" i="14" s="1"/>
  <c r="Y64" i="14"/>
  <c r="Z64" i="14" s="1"/>
  <c r="Y14" i="14"/>
  <c r="Z14" i="14"/>
  <c r="Z88" i="14"/>
  <c r="Y88" i="14"/>
  <c r="Z66" i="14"/>
  <c r="Y66" i="14"/>
  <c r="Y63" i="14"/>
  <c r="Z63" i="14" s="1"/>
  <c r="Y59" i="14"/>
  <c r="Z59" i="14" s="1"/>
  <c r="Z21" i="14"/>
  <c r="Y21" i="14"/>
  <c r="Y16" i="14"/>
  <c r="Z16" i="14" s="1"/>
  <c r="Z15" i="14"/>
  <c r="Y15" i="14"/>
  <c r="Y55" i="14" l="1"/>
  <c r="Y54" i="14" s="1"/>
  <c r="Z56" i="14"/>
  <c r="Z55" i="14" s="1"/>
  <c r="Z54" i="14" s="1"/>
  <c r="AF9" i="3" l="1"/>
  <c r="Y16" i="12"/>
  <c r="Z16" i="12" s="1"/>
  <c r="Y18" i="12"/>
  <c r="Z18" i="12" s="1"/>
  <c r="Z55" i="12"/>
  <c r="Z57" i="12"/>
  <c r="Z58" i="12"/>
  <c r="X198" i="12"/>
  <c r="W198" i="12"/>
  <c r="V198" i="12"/>
  <c r="U198" i="12"/>
  <c r="N198" i="12"/>
  <c r="O198" i="12" s="1"/>
  <c r="X197" i="12"/>
  <c r="W197" i="12"/>
  <c r="V197" i="12"/>
  <c r="U197" i="12"/>
  <c r="N197" i="12"/>
  <c r="AA196" i="12"/>
  <c r="Z196" i="12"/>
  <c r="Y196" i="12"/>
  <c r="T196" i="12"/>
  <c r="S196" i="12"/>
  <c r="R196" i="12"/>
  <c r="Q196" i="12"/>
  <c r="P196" i="12"/>
  <c r="M196" i="12"/>
  <c r="L196" i="12"/>
  <c r="K196" i="12"/>
  <c r="J196" i="12"/>
  <c r="I196" i="12"/>
  <c r="H196" i="12"/>
  <c r="G196" i="12"/>
  <c r="F196" i="12"/>
  <c r="E196" i="12"/>
  <c r="AA107" i="12"/>
  <c r="Z107" i="12"/>
  <c r="Y107" i="12"/>
  <c r="AA90" i="12"/>
  <c r="Z90" i="12"/>
  <c r="Y90" i="12"/>
  <c r="AA84" i="12"/>
  <c r="Z84" i="12"/>
  <c r="Y84" i="12"/>
  <c r="AA78" i="12"/>
  <c r="Z78" i="12"/>
  <c r="Y78" i="12"/>
  <c r="AA76" i="12"/>
  <c r="Z76" i="12"/>
  <c r="Y76" i="12"/>
  <c r="Z74" i="12"/>
  <c r="Z73" i="12"/>
  <c r="Z72" i="12"/>
  <c r="Z71" i="12"/>
  <c r="Z70" i="12"/>
  <c r="Z69" i="12"/>
  <c r="Z68" i="12"/>
  <c r="Z66" i="12"/>
  <c r="Z65" i="12"/>
  <c r="Z64" i="12"/>
  <c r="Z63" i="12"/>
  <c r="Z62" i="12"/>
  <c r="Z61" i="12"/>
  <c r="Z60" i="12"/>
  <c r="Z59" i="12"/>
  <c r="Z56" i="12"/>
  <c r="Z54" i="12"/>
  <c r="Z52" i="12"/>
  <c r="Z51" i="12"/>
  <c r="Z50" i="12"/>
  <c r="Z49" i="12"/>
  <c r="Z48" i="12"/>
  <c r="AA47" i="12"/>
  <c r="Y47" i="12"/>
  <c r="Z46" i="12"/>
  <c r="Y41" i="12"/>
  <c r="Y17" i="12"/>
  <c r="Z17" i="12" s="1"/>
  <c r="V196" i="12" l="1"/>
  <c r="X196" i="12"/>
  <c r="W196" i="12"/>
  <c r="Z75" i="12"/>
  <c r="N196" i="12"/>
  <c r="U196" i="12"/>
  <c r="AA75" i="12"/>
  <c r="Y75" i="12"/>
  <c r="Y20" i="12"/>
  <c r="Z47" i="12"/>
  <c r="Z14" i="12"/>
  <c r="Y14" i="12"/>
  <c r="O197" i="12"/>
  <c r="O196" i="12" s="1"/>
  <c r="AA14" i="12" l="1"/>
  <c r="Y15" i="12"/>
  <c r="Z15" i="12" s="1"/>
  <c r="P114" i="10" l="1"/>
  <c r="T114" i="10" s="1"/>
  <c r="L114" i="10"/>
  <c r="S113" i="10"/>
  <c r="R113" i="10"/>
  <c r="Q113" i="10"/>
  <c r="P113" i="10"/>
  <c r="O113" i="10"/>
  <c r="N113" i="10"/>
  <c r="M113" i="10"/>
  <c r="J113" i="10"/>
  <c r="I113" i="10"/>
  <c r="F113" i="10"/>
  <c r="P112" i="10"/>
  <c r="X112" i="10" s="1"/>
  <c r="L112" i="10"/>
  <c r="H112" i="10"/>
  <c r="G112" i="10"/>
  <c r="P111" i="10"/>
  <c r="L111" i="10"/>
  <c r="H111" i="10"/>
  <c r="G111" i="10"/>
  <c r="V110" i="10"/>
  <c r="V111" i="10" s="1"/>
  <c r="V112" i="10" s="1"/>
  <c r="P110" i="10"/>
  <c r="X110" i="10" s="1"/>
  <c r="L110" i="10"/>
  <c r="H110" i="10"/>
  <c r="G110" i="10"/>
  <c r="P109" i="10"/>
  <c r="L109" i="10"/>
  <c r="K109" i="10"/>
  <c r="G109" i="10" s="1"/>
  <c r="P108" i="10"/>
  <c r="L108" i="10"/>
  <c r="K108" i="10" s="1"/>
  <c r="G108" i="10" s="1"/>
  <c r="V107" i="10"/>
  <c r="P107" i="10"/>
  <c r="X107" i="10" s="1"/>
  <c r="L107" i="10"/>
  <c r="K107" i="10" s="1"/>
  <c r="G107" i="10" s="1"/>
  <c r="V106" i="10"/>
  <c r="P106" i="10"/>
  <c r="T106" i="10" s="1"/>
  <c r="H106" i="10" s="1"/>
  <c r="L106" i="10"/>
  <c r="K106" i="10" s="1"/>
  <c r="G106" i="10" s="1"/>
  <c r="P105" i="10"/>
  <c r="T105" i="10" s="1"/>
  <c r="H105" i="10" s="1"/>
  <c r="L105" i="10"/>
  <c r="K105" i="10" s="1"/>
  <c r="G105" i="10" s="1"/>
  <c r="P104" i="10"/>
  <c r="X104" i="10" s="1"/>
  <c r="L104" i="10"/>
  <c r="H104" i="10"/>
  <c r="G104" i="10"/>
  <c r="P103" i="10"/>
  <c r="X103" i="10" s="1"/>
  <c r="L103" i="10"/>
  <c r="U103" i="10" s="1"/>
  <c r="H103" i="10"/>
  <c r="G103" i="10"/>
  <c r="P102" i="10"/>
  <c r="T102" i="10" s="1"/>
  <c r="H102" i="10" s="1"/>
  <c r="O102" i="10"/>
  <c r="L102" i="10" s="1"/>
  <c r="P101" i="10"/>
  <c r="T101" i="10" s="1"/>
  <c r="H101" i="10" s="1"/>
  <c r="L101" i="10"/>
  <c r="P100" i="10"/>
  <c r="X100" i="10" s="1"/>
  <c r="L100" i="10"/>
  <c r="P99" i="10"/>
  <c r="X99" i="10" s="1"/>
  <c r="L99" i="10"/>
  <c r="P98" i="10"/>
  <c r="X98" i="10" s="1"/>
  <c r="L98" i="10"/>
  <c r="P97" i="10"/>
  <c r="T97" i="10" s="1"/>
  <c r="H97" i="10" s="1"/>
  <c r="L97" i="10"/>
  <c r="P96" i="10"/>
  <c r="X96" i="10" s="1"/>
  <c r="L96" i="10"/>
  <c r="P95" i="10"/>
  <c r="X95" i="10" s="1"/>
  <c r="L95" i="10"/>
  <c r="W94" i="10"/>
  <c r="S94" i="10"/>
  <c r="R94" i="10"/>
  <c r="N94" i="10"/>
  <c r="J94" i="10"/>
  <c r="I94" i="10"/>
  <c r="F94" i="10"/>
  <c r="T93" i="10"/>
  <c r="H93" i="10" s="1"/>
  <c r="P93" i="10"/>
  <c r="X93" i="10" s="1"/>
  <c r="L93" i="10"/>
  <c r="K93" i="10" s="1"/>
  <c r="G93" i="10" s="1"/>
  <c r="X92" i="10"/>
  <c r="T92" i="10"/>
  <c r="P92" i="10"/>
  <c r="L92" i="10"/>
  <c r="K92" i="10" s="1"/>
  <c r="G92" i="10" s="1"/>
  <c r="H92" i="10"/>
  <c r="T91" i="10"/>
  <c r="H91" i="10" s="1"/>
  <c r="P91" i="10"/>
  <c r="X91" i="10" s="1"/>
  <c r="L91" i="10"/>
  <c r="K91" i="10" s="1"/>
  <c r="G91" i="10" s="1"/>
  <c r="T90" i="10"/>
  <c r="H90" i="10" s="1"/>
  <c r="P90" i="10"/>
  <c r="U90" i="10" s="1"/>
  <c r="L90" i="10"/>
  <c r="K90" i="10" s="1"/>
  <c r="G90" i="10" s="1"/>
  <c r="T89" i="10"/>
  <c r="H89" i="10" s="1"/>
  <c r="P89" i="10"/>
  <c r="X89" i="10" s="1"/>
  <c r="L89" i="10"/>
  <c r="K89" i="10" s="1"/>
  <c r="G89" i="10" s="1"/>
  <c r="T88" i="10"/>
  <c r="P88" i="10"/>
  <c r="X88" i="10" s="1"/>
  <c r="L88" i="10"/>
  <c r="K88" i="10" s="1"/>
  <c r="G88" i="10" s="1"/>
  <c r="H88" i="10"/>
  <c r="T87" i="10"/>
  <c r="H87" i="10" s="1"/>
  <c r="P87" i="10"/>
  <c r="X87" i="10" s="1"/>
  <c r="L87" i="10"/>
  <c r="K87" i="10" s="1"/>
  <c r="G87" i="10" s="1"/>
  <c r="T86" i="10"/>
  <c r="H86" i="10" s="1"/>
  <c r="P86" i="10"/>
  <c r="L86" i="10"/>
  <c r="K86" i="10" s="1"/>
  <c r="G86" i="10" s="1"/>
  <c r="T85" i="10"/>
  <c r="H85" i="10" s="1"/>
  <c r="P85" i="10"/>
  <c r="X85" i="10" s="1"/>
  <c r="L85" i="10"/>
  <c r="K85" i="10" s="1"/>
  <c r="G85" i="10" s="1"/>
  <c r="T84" i="10"/>
  <c r="H84" i="10" s="1"/>
  <c r="P84" i="10"/>
  <c r="X84" i="10" s="1"/>
  <c r="L84" i="10"/>
  <c r="K84" i="10" s="1"/>
  <c r="G84" i="10" s="1"/>
  <c r="T83" i="10"/>
  <c r="H83" i="10" s="1"/>
  <c r="P83" i="10"/>
  <c r="X83" i="10" s="1"/>
  <c r="L83" i="10"/>
  <c r="K83" i="10" s="1"/>
  <c r="G83" i="10" s="1"/>
  <c r="T82" i="10"/>
  <c r="H82" i="10" s="1"/>
  <c r="P82" i="10"/>
  <c r="L82" i="10"/>
  <c r="K82" i="10" s="1"/>
  <c r="G82" i="10" s="1"/>
  <c r="T81" i="10"/>
  <c r="H81" i="10" s="1"/>
  <c r="P81" i="10"/>
  <c r="X81" i="10" s="1"/>
  <c r="L81" i="10"/>
  <c r="K81" i="10" s="1"/>
  <c r="G81" i="10" s="1"/>
  <c r="X80" i="10"/>
  <c r="T80" i="10"/>
  <c r="H80" i="10" s="1"/>
  <c r="P80" i="10"/>
  <c r="L80" i="10"/>
  <c r="K80" i="10" s="1"/>
  <c r="G80" i="10" s="1"/>
  <c r="T79" i="10"/>
  <c r="H79" i="10" s="1"/>
  <c r="P79" i="10"/>
  <c r="X79" i="10" s="1"/>
  <c r="L79" i="10"/>
  <c r="K79" i="10" s="1"/>
  <c r="G79" i="10" s="1"/>
  <c r="P78" i="10"/>
  <c r="L78" i="10"/>
  <c r="H78" i="10"/>
  <c r="G78" i="10"/>
  <c r="X77" i="10"/>
  <c r="T77" i="10"/>
  <c r="H77" i="10" s="1"/>
  <c r="P77" i="10"/>
  <c r="L77" i="10"/>
  <c r="G77" i="10"/>
  <c r="P76" i="10"/>
  <c r="L76" i="10"/>
  <c r="G76" i="10"/>
  <c r="P75" i="10"/>
  <c r="X75" i="10" s="1"/>
  <c r="L75" i="10"/>
  <c r="G75" i="10"/>
  <c r="P74" i="10"/>
  <c r="T74" i="10" s="1"/>
  <c r="H74" i="10" s="1"/>
  <c r="L74" i="10"/>
  <c r="G74" i="10"/>
  <c r="P73" i="10"/>
  <c r="X73" i="10" s="1"/>
  <c r="L73" i="10"/>
  <c r="G73" i="10"/>
  <c r="X72" i="10"/>
  <c r="T72" i="10"/>
  <c r="H72" i="10" s="1"/>
  <c r="O72" i="10"/>
  <c r="X71" i="10"/>
  <c r="T71" i="10"/>
  <c r="H71" i="10" s="1"/>
  <c r="L71" i="10"/>
  <c r="U71" i="10" s="1"/>
  <c r="K71" i="10"/>
  <c r="G71" i="10" s="1"/>
  <c r="X70" i="10"/>
  <c r="T70" i="10"/>
  <c r="H70" i="10" s="1"/>
  <c r="L70" i="10"/>
  <c r="U70" i="10" s="1"/>
  <c r="K70" i="10"/>
  <c r="G70" i="10" s="1"/>
  <c r="X69" i="10"/>
  <c r="T69" i="10"/>
  <c r="H69" i="10" s="1"/>
  <c r="L69" i="10"/>
  <c r="U69" i="10" s="1"/>
  <c r="K69" i="10"/>
  <c r="G69" i="10" s="1"/>
  <c r="X68" i="10"/>
  <c r="T68" i="10"/>
  <c r="H68" i="10" s="1"/>
  <c r="L68" i="10"/>
  <c r="U68" i="10" s="1"/>
  <c r="K68" i="10"/>
  <c r="G68" i="10" s="1"/>
  <c r="X67" i="10"/>
  <c r="V67" i="10"/>
  <c r="V69" i="10" s="1"/>
  <c r="T67" i="10"/>
  <c r="H67" i="10" s="1"/>
  <c r="L67" i="10"/>
  <c r="U67" i="10" s="1"/>
  <c r="K67" i="10"/>
  <c r="G67" i="10" s="1"/>
  <c r="S66" i="10"/>
  <c r="L66" i="10"/>
  <c r="K66" i="10"/>
  <c r="G66" i="10" s="1"/>
  <c r="R65" i="10"/>
  <c r="P65" i="10" s="1"/>
  <c r="L65" i="10"/>
  <c r="G65" i="10"/>
  <c r="R64" i="10"/>
  <c r="P64" i="10" s="1"/>
  <c r="L64" i="10"/>
  <c r="G64" i="10"/>
  <c r="R63" i="10"/>
  <c r="P63" i="10" s="1"/>
  <c r="U63" i="10" s="1"/>
  <c r="L63" i="10"/>
  <c r="G63" i="10"/>
  <c r="R62" i="10"/>
  <c r="P62" i="10" s="1"/>
  <c r="L62" i="10"/>
  <c r="G62" i="10"/>
  <c r="N61" i="10"/>
  <c r="J61" i="10"/>
  <c r="I61" i="10"/>
  <c r="F61" i="10"/>
  <c r="P60" i="10"/>
  <c r="O60" i="10"/>
  <c r="L60" i="10" s="1"/>
  <c r="S59" i="10"/>
  <c r="R59" i="10"/>
  <c r="N59" i="10"/>
  <c r="F59" i="10"/>
  <c r="S58" i="10"/>
  <c r="P58" i="10" s="1"/>
  <c r="X58" i="10" s="1"/>
  <c r="O58" i="10"/>
  <c r="L58" i="10" s="1"/>
  <c r="H58" i="10"/>
  <c r="P57" i="10"/>
  <c r="X57" i="10" s="1"/>
  <c r="L57" i="10"/>
  <c r="K57" i="10" s="1"/>
  <c r="G57" i="10" s="1"/>
  <c r="H57" i="10"/>
  <c r="P56" i="10"/>
  <c r="X56" i="10" s="1"/>
  <c r="L56" i="10"/>
  <c r="K56" i="10" s="1"/>
  <c r="H56" i="10"/>
  <c r="T55" i="10"/>
  <c r="H55" i="10" s="1"/>
  <c r="R55" i="10"/>
  <c r="O55" i="10"/>
  <c r="N55" i="10"/>
  <c r="J55" i="10"/>
  <c r="I55" i="10"/>
  <c r="F55" i="10"/>
  <c r="P54" i="10"/>
  <c r="L54" i="10"/>
  <c r="K54" i="10"/>
  <c r="G54" i="10" s="1"/>
  <c r="P53" i="10"/>
  <c r="L53" i="10"/>
  <c r="G53" i="10"/>
  <c r="J53" i="10" s="1"/>
  <c r="P52" i="10"/>
  <c r="L52" i="10"/>
  <c r="K52" i="10" s="1"/>
  <c r="G52" i="10" s="1"/>
  <c r="J52" i="10" s="1"/>
  <c r="P51" i="10"/>
  <c r="L51" i="10"/>
  <c r="G51" i="10"/>
  <c r="J51" i="10" s="1"/>
  <c r="X50" i="10"/>
  <c r="T50" i="10"/>
  <c r="H50" i="10" s="1"/>
  <c r="S50" i="10"/>
  <c r="L50" i="10"/>
  <c r="U50" i="10" s="1"/>
  <c r="G50" i="10"/>
  <c r="S49" i="10"/>
  <c r="P49" i="10" s="1"/>
  <c r="L49" i="10"/>
  <c r="G49" i="10"/>
  <c r="S48" i="10"/>
  <c r="P48" i="10" s="1"/>
  <c r="L48" i="10"/>
  <c r="K48" i="10" s="1"/>
  <c r="G48" i="10" s="1"/>
  <c r="S47" i="10"/>
  <c r="P47" i="10" s="1"/>
  <c r="T47" i="10" s="1"/>
  <c r="L47" i="10"/>
  <c r="K47" i="10" s="1"/>
  <c r="R46" i="10"/>
  <c r="O46" i="10"/>
  <c r="N46" i="10"/>
  <c r="I46" i="10"/>
  <c r="F46" i="10"/>
  <c r="P45" i="10"/>
  <c r="L45" i="10"/>
  <c r="K45" i="10"/>
  <c r="G45" i="10" s="1"/>
  <c r="J45" i="10" s="1"/>
  <c r="P44" i="10"/>
  <c r="X44" i="10" s="1"/>
  <c r="L44" i="10"/>
  <c r="P43" i="10"/>
  <c r="L43" i="10"/>
  <c r="K43" i="10" s="1"/>
  <c r="G43" i="10" s="1"/>
  <c r="J43" i="10" s="1"/>
  <c r="P42" i="10"/>
  <c r="U42" i="10" s="1"/>
  <c r="L42" i="10"/>
  <c r="K42" i="10" s="1"/>
  <c r="G42" i="10" s="1"/>
  <c r="J42" i="10" s="1"/>
  <c r="T41" i="10"/>
  <c r="H41" i="10" s="1"/>
  <c r="P41" i="10"/>
  <c r="X41" i="10" s="1"/>
  <c r="L41" i="10"/>
  <c r="K41" i="10" s="1"/>
  <c r="G41" i="10" s="1"/>
  <c r="S40" i="10"/>
  <c r="L40" i="10"/>
  <c r="K40" i="10" s="1"/>
  <c r="G40" i="10" s="1"/>
  <c r="P39" i="10"/>
  <c r="X39" i="10" s="1"/>
  <c r="L39" i="10"/>
  <c r="H39" i="10"/>
  <c r="G39" i="10"/>
  <c r="X38" i="10"/>
  <c r="V38" i="10"/>
  <c r="T38" i="10"/>
  <c r="H38" i="10" s="1"/>
  <c r="S38" i="10"/>
  <c r="L38" i="10"/>
  <c r="U38" i="10" s="1"/>
  <c r="G38" i="10"/>
  <c r="X37" i="10"/>
  <c r="T37" i="10"/>
  <c r="S37" i="10"/>
  <c r="L37" i="10"/>
  <c r="G37" i="10"/>
  <c r="R36" i="10"/>
  <c r="Q36" i="10"/>
  <c r="O36" i="10"/>
  <c r="N36" i="10"/>
  <c r="M36" i="10"/>
  <c r="I36" i="10"/>
  <c r="F36" i="10"/>
  <c r="T35" i="10"/>
  <c r="H35" i="10" s="1"/>
  <c r="P35" i="10"/>
  <c r="L35" i="10"/>
  <c r="K35" i="10" s="1"/>
  <c r="G35" i="10" s="1"/>
  <c r="T34" i="10"/>
  <c r="H34" i="10" s="1"/>
  <c r="P34" i="10"/>
  <c r="X34" i="10" s="1"/>
  <c r="L34" i="10"/>
  <c r="K34" i="10" s="1"/>
  <c r="G34" i="10" s="1"/>
  <c r="T33" i="10"/>
  <c r="H33" i="10" s="1"/>
  <c r="P33" i="10"/>
  <c r="X33" i="10" s="1"/>
  <c r="L33" i="10"/>
  <c r="K33" i="10" s="1"/>
  <c r="G33" i="10" s="1"/>
  <c r="P32" i="10"/>
  <c r="X32" i="10" s="1"/>
  <c r="L32" i="10"/>
  <c r="K32" i="10" s="1"/>
  <c r="G32" i="10" s="1"/>
  <c r="H32" i="10"/>
  <c r="S31" i="10"/>
  <c r="T31" i="10" s="1"/>
  <c r="H31" i="10" s="1"/>
  <c r="L31" i="10"/>
  <c r="K31" i="10" s="1"/>
  <c r="G31" i="10" s="1"/>
  <c r="S30" i="10"/>
  <c r="T30" i="10" s="1"/>
  <c r="H30" i="10" s="1"/>
  <c r="L30" i="10"/>
  <c r="K30" i="10" s="1"/>
  <c r="G30" i="10" s="1"/>
  <c r="P29" i="10"/>
  <c r="X29" i="10" s="1"/>
  <c r="L29" i="10"/>
  <c r="K29" i="10" s="1"/>
  <c r="G29" i="10" s="1"/>
  <c r="H29" i="10"/>
  <c r="S28" i="10"/>
  <c r="T28" i="10" s="1"/>
  <c r="H28" i="10" s="1"/>
  <c r="L28" i="10"/>
  <c r="K28" i="10" s="1"/>
  <c r="G28" i="10" s="1"/>
  <c r="P27" i="10"/>
  <c r="X27" i="10" s="1"/>
  <c r="L27" i="10"/>
  <c r="K27" i="10" s="1"/>
  <c r="G27" i="10" s="1"/>
  <c r="H27" i="10"/>
  <c r="P26" i="10"/>
  <c r="X26" i="10" s="1"/>
  <c r="L26" i="10"/>
  <c r="X25" i="10"/>
  <c r="S25" i="10"/>
  <c r="T25" i="10" s="1"/>
  <c r="H25" i="10" s="1"/>
  <c r="O25" i="10"/>
  <c r="L25" i="10" s="1"/>
  <c r="V24" i="10"/>
  <c r="P24" i="10"/>
  <c r="O24" i="10"/>
  <c r="L24" i="10" s="1"/>
  <c r="K24" i="10" s="1"/>
  <c r="R23" i="10"/>
  <c r="N23" i="10"/>
  <c r="J23" i="10"/>
  <c r="I23" i="10"/>
  <c r="F23" i="10"/>
  <c r="P22" i="10"/>
  <c r="X22" i="10" s="1"/>
  <c r="L22" i="10"/>
  <c r="K22" i="10" s="1"/>
  <c r="G22" i="10" s="1"/>
  <c r="V21" i="10"/>
  <c r="V20" i="10" s="1"/>
  <c r="P21" i="10"/>
  <c r="X21" i="10" s="1"/>
  <c r="L21" i="10"/>
  <c r="K21" i="10" s="1"/>
  <c r="H21" i="10"/>
  <c r="S20" i="10"/>
  <c r="R20" i="10"/>
  <c r="Q20" i="10"/>
  <c r="O20" i="10"/>
  <c r="N20" i="10"/>
  <c r="M20" i="10"/>
  <c r="J20" i="10"/>
  <c r="I20" i="10"/>
  <c r="F20" i="10"/>
  <c r="P19" i="10"/>
  <c r="T19" i="10" s="1"/>
  <c r="H19" i="10" s="1"/>
  <c r="L19" i="10"/>
  <c r="K19" i="10" s="1"/>
  <c r="G19" i="10" s="1"/>
  <c r="T18" i="10"/>
  <c r="P18" i="10"/>
  <c r="X18" i="10" s="1"/>
  <c r="L18" i="10"/>
  <c r="H18" i="10"/>
  <c r="G18" i="10"/>
  <c r="T17" i="10"/>
  <c r="H17" i="10" s="1"/>
  <c r="P17" i="10"/>
  <c r="X17" i="10" s="1"/>
  <c r="L17" i="10"/>
  <c r="K17" i="10" s="1"/>
  <c r="G17" i="10" s="1"/>
  <c r="J17" i="10" s="1"/>
  <c r="V16" i="10"/>
  <c r="P16" i="10"/>
  <c r="X16" i="10" s="1"/>
  <c r="L16" i="10"/>
  <c r="T15" i="10"/>
  <c r="P15" i="10"/>
  <c r="X15" i="10" s="1"/>
  <c r="L15" i="10"/>
  <c r="H15" i="10"/>
  <c r="P14" i="10"/>
  <c r="X14" i="10" s="1"/>
  <c r="L14" i="10"/>
  <c r="G14" i="10"/>
  <c r="J14" i="10" s="1"/>
  <c r="P13" i="10"/>
  <c r="X13" i="10" s="1"/>
  <c r="L13" i="10"/>
  <c r="S12" i="10"/>
  <c r="R12" i="10"/>
  <c r="Q12" i="10"/>
  <c r="O12" i="10"/>
  <c r="N12" i="10"/>
  <c r="M12" i="10"/>
  <c r="I12" i="10"/>
  <c r="F12" i="10"/>
  <c r="T11" i="10"/>
  <c r="T10" i="10" s="1"/>
  <c r="P11" i="10"/>
  <c r="P10" i="10" s="1"/>
  <c r="L11" i="10"/>
  <c r="K11" i="10" s="1"/>
  <c r="S10" i="10"/>
  <c r="R10" i="10"/>
  <c r="O10" i="10"/>
  <c r="N10" i="10"/>
  <c r="J10" i="10"/>
  <c r="I10" i="10"/>
  <c r="F10" i="10"/>
  <c r="Q9" i="10"/>
  <c r="P8" i="10"/>
  <c r="L8" i="10"/>
  <c r="N8" i="10" s="1"/>
  <c r="M9" i="10" l="1"/>
  <c r="U51" i="10"/>
  <c r="U74" i="10"/>
  <c r="T75" i="10"/>
  <c r="H75" i="10" s="1"/>
  <c r="L10" i="10"/>
  <c r="U78" i="10"/>
  <c r="I9" i="10"/>
  <c r="U45" i="10"/>
  <c r="U16" i="10"/>
  <c r="U18" i="10"/>
  <c r="U82" i="10"/>
  <c r="U111" i="10"/>
  <c r="K20" i="10"/>
  <c r="S36" i="10"/>
  <c r="U86" i="10"/>
  <c r="T95" i="10"/>
  <c r="H95" i="10" s="1"/>
  <c r="X101" i="10"/>
  <c r="T16" i="10"/>
  <c r="H16" i="10" s="1"/>
  <c r="N9" i="10"/>
  <c r="H11" i="10"/>
  <c r="U14" i="10"/>
  <c r="U35" i="10"/>
  <c r="L46" i="10"/>
  <c r="O59" i="10"/>
  <c r="U77" i="10"/>
  <c r="X97" i="10"/>
  <c r="T98" i="10"/>
  <c r="H98" i="10" s="1"/>
  <c r="T99" i="10"/>
  <c r="H99" i="10" s="1"/>
  <c r="O94" i="10"/>
  <c r="T14" i="10"/>
  <c r="H14" i="10" s="1"/>
  <c r="L20" i="10"/>
  <c r="T44" i="10"/>
  <c r="H44" i="10" s="1"/>
  <c r="X51" i="10"/>
  <c r="K60" i="10"/>
  <c r="G60" i="10" s="1"/>
  <c r="G59" i="10" s="1"/>
  <c r="L59" i="10"/>
  <c r="X62" i="10"/>
  <c r="T62" i="10"/>
  <c r="H62" i="10" s="1"/>
  <c r="U65" i="10"/>
  <c r="X65" i="10"/>
  <c r="T113" i="10"/>
  <c r="H113" i="10" s="1"/>
  <c r="H114" i="10"/>
  <c r="T13" i="10"/>
  <c r="U19" i="10"/>
  <c r="T22" i="10"/>
  <c r="U24" i="10"/>
  <c r="S26" i="10"/>
  <c r="P28" i="10"/>
  <c r="X28" i="10" s="1"/>
  <c r="P31" i="10"/>
  <c r="X31" i="10" s="1"/>
  <c r="T42" i="10"/>
  <c r="H42" i="10" s="1"/>
  <c r="S55" i="10"/>
  <c r="V68" i="10"/>
  <c r="T73" i="10"/>
  <c r="H73" i="10" s="1"/>
  <c r="X78" i="10"/>
  <c r="U80" i="10"/>
  <c r="X82" i="10"/>
  <c r="U84" i="10"/>
  <c r="X86" i="10"/>
  <c r="U88" i="10"/>
  <c r="X90" i="10"/>
  <c r="U92" i="10"/>
  <c r="T96" i="10"/>
  <c r="H96" i="10" s="1"/>
  <c r="T100" i="10"/>
  <c r="H100" i="10" s="1"/>
  <c r="F9" i="10"/>
  <c r="X19" i="10"/>
  <c r="G21" i="10"/>
  <c r="G20" i="10" s="1"/>
  <c r="T26" i="10"/>
  <c r="H26" i="10" s="1"/>
  <c r="X35" i="10"/>
  <c r="X42" i="10"/>
  <c r="U56" i="10"/>
  <c r="U57" i="10"/>
  <c r="R61" i="10"/>
  <c r="T63" i="10"/>
  <c r="H63" i="10" s="1"/>
  <c r="U110" i="10"/>
  <c r="U13" i="10"/>
  <c r="U15" i="10"/>
  <c r="U26" i="10"/>
  <c r="U33" i="10"/>
  <c r="U34" i="10"/>
  <c r="S46" i="10"/>
  <c r="T51" i="10"/>
  <c r="H51" i="10" s="1"/>
  <c r="X63" i="10"/>
  <c r="U73" i="10"/>
  <c r="R9" i="10"/>
  <c r="J12" i="10"/>
  <c r="U104" i="10"/>
  <c r="U105" i="10"/>
  <c r="U106" i="10"/>
  <c r="T107" i="10"/>
  <c r="H107" i="10" s="1"/>
  <c r="U112" i="10"/>
  <c r="U10" i="10"/>
  <c r="H10" i="10"/>
  <c r="G11" i="10"/>
  <c r="G10" i="10" s="1"/>
  <c r="K10" i="10"/>
  <c r="G24" i="10"/>
  <c r="U25" i="10"/>
  <c r="K25" i="10"/>
  <c r="G25" i="10" s="1"/>
  <c r="L23" i="10"/>
  <c r="X24" i="10"/>
  <c r="X43" i="10"/>
  <c r="T43" i="10"/>
  <c r="H43" i="10" s="1"/>
  <c r="U44" i="10"/>
  <c r="K44" i="10"/>
  <c r="X48" i="10"/>
  <c r="U48" i="10"/>
  <c r="T48" i="10"/>
  <c r="H48" i="10" s="1"/>
  <c r="K58" i="10"/>
  <c r="G58" i="10" s="1"/>
  <c r="L55" i="10"/>
  <c r="U58" i="10"/>
  <c r="X60" i="10"/>
  <c r="U60" i="10"/>
  <c r="T60" i="10"/>
  <c r="P59" i="10"/>
  <c r="U11" i="10"/>
  <c r="L12" i="10"/>
  <c r="P12" i="10"/>
  <c r="U17" i="10"/>
  <c r="P20" i="10"/>
  <c r="U21" i="10"/>
  <c r="U22" i="10"/>
  <c r="S24" i="10"/>
  <c r="H37" i="10"/>
  <c r="U43" i="10"/>
  <c r="K46" i="10"/>
  <c r="G47" i="10"/>
  <c r="H47" i="10"/>
  <c r="X53" i="10"/>
  <c r="U53" i="10"/>
  <c r="T53" i="10"/>
  <c r="H53" i="10" s="1"/>
  <c r="X54" i="10"/>
  <c r="U54" i="10"/>
  <c r="T54" i="10"/>
  <c r="H54" i="10" s="1"/>
  <c r="U64" i="10"/>
  <c r="X64" i="10"/>
  <c r="T64" i="10"/>
  <c r="H64" i="10" s="1"/>
  <c r="O23" i="10"/>
  <c r="K26" i="10"/>
  <c r="G26" i="10" s="1"/>
  <c r="P30" i="10"/>
  <c r="U39" i="10"/>
  <c r="T40" i="10"/>
  <c r="H40" i="10" s="1"/>
  <c r="P40" i="10"/>
  <c r="U41" i="10"/>
  <c r="X52" i="10"/>
  <c r="U52" i="10"/>
  <c r="T52" i="10"/>
  <c r="H52" i="10" s="1"/>
  <c r="K13" i="10"/>
  <c r="K15" i="10"/>
  <c r="G15" i="10" s="1"/>
  <c r="K16" i="10"/>
  <c r="G16" i="10" s="1"/>
  <c r="U37" i="10"/>
  <c r="L36" i="10"/>
  <c r="T45" i="10"/>
  <c r="H45" i="10" s="1"/>
  <c r="X45" i="10"/>
  <c r="P46" i="10"/>
  <c r="X49" i="10"/>
  <c r="U49" i="10"/>
  <c r="T49" i="10"/>
  <c r="H49" i="10" s="1"/>
  <c r="G56" i="10"/>
  <c r="U97" i="10"/>
  <c r="K97" i="10"/>
  <c r="G97" i="10" s="1"/>
  <c r="U101" i="10"/>
  <c r="K101" i="10"/>
  <c r="G101" i="10" s="1"/>
  <c r="K102" i="10"/>
  <c r="G102" i="10" s="1"/>
  <c r="U102" i="10"/>
  <c r="U47" i="10"/>
  <c r="P55" i="10"/>
  <c r="T65" i="10"/>
  <c r="H65" i="10" s="1"/>
  <c r="U75" i="10"/>
  <c r="U81" i="10"/>
  <c r="U85" i="10"/>
  <c r="U89" i="10"/>
  <c r="U93" i="10"/>
  <c r="U98" i="10"/>
  <c r="K98" i="10"/>
  <c r="G98" i="10" s="1"/>
  <c r="U114" i="10"/>
  <c r="K114" i="10"/>
  <c r="L113" i="10"/>
  <c r="U113" i="10" s="1"/>
  <c r="X47" i="10"/>
  <c r="U62" i="10"/>
  <c r="L72" i="10"/>
  <c r="U72" i="10" s="1"/>
  <c r="K72" i="10"/>
  <c r="G72" i="10" s="1"/>
  <c r="G61" i="10" s="1"/>
  <c r="X76" i="10"/>
  <c r="U76" i="10"/>
  <c r="T76" i="10"/>
  <c r="H76" i="10" s="1"/>
  <c r="U95" i="10"/>
  <c r="K95" i="10"/>
  <c r="L94" i="10"/>
  <c r="U99" i="10"/>
  <c r="K99" i="10"/>
  <c r="G99" i="10" s="1"/>
  <c r="O61" i="10"/>
  <c r="P66" i="10"/>
  <c r="P61" i="10" s="1"/>
  <c r="S61" i="10"/>
  <c r="U79" i="10"/>
  <c r="U83" i="10"/>
  <c r="U87" i="10"/>
  <c r="U91" i="10"/>
  <c r="U96" i="10"/>
  <c r="K96" i="10"/>
  <c r="G96" i="10" s="1"/>
  <c r="U100" i="10"/>
  <c r="K100" i="10"/>
  <c r="G100" i="10" s="1"/>
  <c r="X108" i="10"/>
  <c r="U108" i="10"/>
  <c r="P94" i="10"/>
  <c r="T108" i="10"/>
  <c r="H108" i="10" s="1"/>
  <c r="X109" i="10"/>
  <c r="U109" i="10"/>
  <c r="T109" i="10"/>
  <c r="H109" i="10" s="1"/>
  <c r="X74" i="10"/>
  <c r="X102" i="10"/>
  <c r="X105" i="10"/>
  <c r="U107" i="10"/>
  <c r="X111" i="10"/>
  <c r="X106" i="10"/>
  <c r="U31" i="10" l="1"/>
  <c r="U28" i="10"/>
  <c r="P23" i="10"/>
  <c r="K55" i="10"/>
  <c r="K61" i="10"/>
  <c r="H94" i="10"/>
  <c r="K59" i="10"/>
  <c r="O9" i="10"/>
  <c r="T20" i="10"/>
  <c r="H22" i="10"/>
  <c r="H20" i="10" s="1"/>
  <c r="T12" i="10"/>
  <c r="H13" i="10"/>
  <c r="H12" i="10" s="1"/>
  <c r="X61" i="10"/>
  <c r="X55" i="10"/>
  <c r="U55" i="10"/>
  <c r="T94" i="10"/>
  <c r="S23" i="10"/>
  <c r="S9" i="10" s="1"/>
  <c r="T24" i="10"/>
  <c r="X59" i="10"/>
  <c r="U59" i="10"/>
  <c r="K94" i="10"/>
  <c r="G95" i="10"/>
  <c r="G94" i="10" s="1"/>
  <c r="K113" i="10"/>
  <c r="G114" i="10"/>
  <c r="G113" i="10" s="1"/>
  <c r="L61" i="10"/>
  <c r="U61" i="10" s="1"/>
  <c r="G55" i="10"/>
  <c r="U46" i="10"/>
  <c r="X46" i="10"/>
  <c r="K12" i="10"/>
  <c r="G13" i="10"/>
  <c r="G12" i="10" s="1"/>
  <c r="X40" i="10"/>
  <c r="U40" i="10"/>
  <c r="X30" i="10"/>
  <c r="U30" i="10"/>
  <c r="T46" i="10"/>
  <c r="H46" i="10" s="1"/>
  <c r="X12" i="10"/>
  <c r="U12" i="10"/>
  <c r="H60" i="10"/>
  <c r="H59" i="10" s="1"/>
  <c r="T59" i="10"/>
  <c r="K23" i="10"/>
  <c r="L9" i="10"/>
  <c r="V8" i="10" s="1"/>
  <c r="G44" i="10"/>
  <c r="K36" i="10"/>
  <c r="U94" i="10"/>
  <c r="X94" i="10"/>
  <c r="T66" i="10"/>
  <c r="H66" i="10" s="1"/>
  <c r="H61" i="10" s="1"/>
  <c r="X66" i="10"/>
  <c r="U66" i="10"/>
  <c r="X23" i="10"/>
  <c r="U23" i="10"/>
  <c r="T36" i="10"/>
  <c r="H36" i="10" s="1"/>
  <c r="G23" i="10"/>
  <c r="P36" i="10"/>
  <c r="J47" i="10"/>
  <c r="J46" i="10" s="1"/>
  <c r="G46" i="10"/>
  <c r="X20" i="10"/>
  <c r="U20" i="10"/>
  <c r="P9" i="10"/>
  <c r="K9" i="10" l="1"/>
  <c r="T61" i="10"/>
  <c r="R8" i="10"/>
  <c r="W8" i="10"/>
  <c r="U9" i="10"/>
  <c r="T23" i="10"/>
  <c r="H24" i="10"/>
  <c r="X36" i="10"/>
  <c r="Y11" i="10" s="1"/>
  <c r="Y12" i="10" s="1"/>
  <c r="U36" i="10"/>
  <c r="J44" i="10"/>
  <c r="J36" i="10" s="1"/>
  <c r="J9" i="10" s="1"/>
  <c r="G36" i="10"/>
  <c r="G9" i="10" s="1"/>
  <c r="H23" i="10" l="1"/>
  <c r="H9" i="10" s="1"/>
  <c r="T9" i="10"/>
  <c r="N128" i="7" l="1"/>
  <c r="H128" i="7"/>
  <c r="G128" i="7" s="1"/>
  <c r="K111" i="7"/>
  <c r="H111" i="7"/>
  <c r="K110" i="7"/>
  <c r="H110" i="7"/>
  <c r="G110" i="7"/>
  <c r="F110" i="7"/>
  <c r="K109" i="7"/>
  <c r="H109" i="7"/>
  <c r="G109" i="7" s="1"/>
  <c r="K108" i="7"/>
  <c r="H108" i="7"/>
  <c r="G108" i="7" s="1"/>
  <c r="K107" i="7"/>
  <c r="H107" i="7"/>
  <c r="M106" i="7"/>
  <c r="M91" i="7" s="1"/>
  <c r="H106" i="7"/>
  <c r="G106" i="7" s="1"/>
  <c r="K105" i="7"/>
  <c r="H105" i="7"/>
  <c r="G105" i="7" s="1"/>
  <c r="K104" i="7"/>
  <c r="H104" i="7"/>
  <c r="G104" i="7" s="1"/>
  <c r="K103" i="7"/>
  <c r="H103" i="7"/>
  <c r="G103" i="7" s="1"/>
  <c r="K102" i="7"/>
  <c r="H102" i="7"/>
  <c r="G102" i="7" s="1"/>
  <c r="K101" i="7"/>
  <c r="H101" i="7"/>
  <c r="G101" i="7" s="1"/>
  <c r="K100" i="7"/>
  <c r="H100" i="7"/>
  <c r="G100" i="7" s="1"/>
  <c r="K99" i="7"/>
  <c r="H99" i="7"/>
  <c r="G99" i="7" s="1"/>
  <c r="K98" i="7"/>
  <c r="N98" i="7" s="1"/>
  <c r="N91" i="7" s="1"/>
  <c r="H98" i="7"/>
  <c r="K97" i="7"/>
  <c r="H97" i="7"/>
  <c r="G97" i="7" s="1"/>
  <c r="K96" i="7"/>
  <c r="H96" i="7"/>
  <c r="G96" i="7" s="1"/>
  <c r="K95" i="7"/>
  <c r="H95" i="7"/>
  <c r="G95" i="7" s="1"/>
  <c r="K94" i="7"/>
  <c r="H94" i="7"/>
  <c r="G94" i="7" s="1"/>
  <c r="K93" i="7"/>
  <c r="H93" i="7"/>
  <c r="G93" i="7" s="1"/>
  <c r="K92" i="7"/>
  <c r="H92" i="7"/>
  <c r="G92" i="7" s="1"/>
  <c r="P91" i="7"/>
  <c r="L91" i="7"/>
  <c r="J91" i="7"/>
  <c r="I91" i="7"/>
  <c r="F91" i="7"/>
  <c r="H90" i="7"/>
  <c r="O90" i="7" s="1"/>
  <c r="L89" i="7"/>
  <c r="K89" i="7"/>
  <c r="J89" i="7"/>
  <c r="G89" i="7"/>
  <c r="F89" i="7"/>
  <c r="K88" i="7"/>
  <c r="H88" i="7"/>
  <c r="G88" i="7" s="1"/>
  <c r="K87" i="7"/>
  <c r="H87" i="7"/>
  <c r="G87" i="7" s="1"/>
  <c r="K86" i="7"/>
  <c r="N86" i="7" s="1"/>
  <c r="H86" i="7"/>
  <c r="G86" i="7" s="1"/>
  <c r="K85" i="7"/>
  <c r="N85" i="7" s="1"/>
  <c r="H85" i="7"/>
  <c r="K84" i="7"/>
  <c r="H84" i="7"/>
  <c r="G84" i="7" s="1"/>
  <c r="K83" i="7"/>
  <c r="N83" i="7" s="1"/>
  <c r="H83" i="7"/>
  <c r="G83" i="7" s="1"/>
  <c r="K82" i="7"/>
  <c r="N82" i="7" s="1"/>
  <c r="H82" i="7"/>
  <c r="G82" i="7" s="1"/>
  <c r="M81" i="7"/>
  <c r="K81" i="7" s="1"/>
  <c r="H81" i="7"/>
  <c r="G81" i="7" s="1"/>
  <c r="K80" i="7"/>
  <c r="H80" i="7"/>
  <c r="G80" i="7" s="1"/>
  <c r="K79" i="7"/>
  <c r="N79" i="7" s="1"/>
  <c r="H79" i="7"/>
  <c r="G79" i="7" s="1"/>
  <c r="K78" i="7"/>
  <c r="N78" i="7" s="1"/>
  <c r="H78" i="7"/>
  <c r="K77" i="7"/>
  <c r="H77" i="7"/>
  <c r="G77" i="7" s="1"/>
  <c r="K76" i="7"/>
  <c r="N76" i="7" s="1"/>
  <c r="H76" i="7"/>
  <c r="G76" i="7" s="1"/>
  <c r="K75" i="7"/>
  <c r="N75" i="7" s="1"/>
  <c r="H75" i="7"/>
  <c r="G75" i="7" s="1"/>
  <c r="K74" i="7"/>
  <c r="N74" i="7" s="1"/>
  <c r="H74" i="7"/>
  <c r="K73" i="7"/>
  <c r="H73" i="7"/>
  <c r="G73" i="7" s="1"/>
  <c r="K72" i="7"/>
  <c r="H72" i="7"/>
  <c r="G72" i="7" s="1"/>
  <c r="K71" i="7"/>
  <c r="N71" i="7" s="1"/>
  <c r="H71" i="7"/>
  <c r="G71" i="7" s="1"/>
  <c r="K70" i="7"/>
  <c r="N70" i="7" s="1"/>
  <c r="H70" i="7"/>
  <c r="K69" i="7"/>
  <c r="H69" i="7"/>
  <c r="G69" i="7" s="1"/>
  <c r="K68" i="7"/>
  <c r="N68" i="7" s="1"/>
  <c r="H68" i="7"/>
  <c r="G68" i="7" s="1"/>
  <c r="K67" i="7"/>
  <c r="N67" i="7" s="1"/>
  <c r="H67" i="7"/>
  <c r="G67" i="7" s="1"/>
  <c r="K66" i="7"/>
  <c r="N66" i="7" s="1"/>
  <c r="H66" i="7"/>
  <c r="K65" i="7"/>
  <c r="H65" i="7"/>
  <c r="G65" i="7" s="1"/>
  <c r="K64" i="7"/>
  <c r="H64" i="7"/>
  <c r="G64" i="7" s="1"/>
  <c r="K63" i="7"/>
  <c r="N63" i="7" s="1"/>
  <c r="H63" i="7"/>
  <c r="G63" i="7" s="1"/>
  <c r="K62" i="7"/>
  <c r="N62" i="7" s="1"/>
  <c r="H62" i="7"/>
  <c r="K61" i="7"/>
  <c r="H61" i="7"/>
  <c r="G61" i="7" s="1"/>
  <c r="K60" i="7"/>
  <c r="O60" i="7" s="1"/>
  <c r="H60" i="7"/>
  <c r="K59" i="7"/>
  <c r="H59" i="7"/>
  <c r="K58" i="7"/>
  <c r="H58" i="7"/>
  <c r="K57" i="7"/>
  <c r="H57" i="7"/>
  <c r="G57" i="7"/>
  <c r="K56" i="7"/>
  <c r="H56" i="7"/>
  <c r="G56" i="7"/>
  <c r="K55" i="7"/>
  <c r="H55" i="7"/>
  <c r="G55" i="7"/>
  <c r="K54" i="7"/>
  <c r="H54" i="7"/>
  <c r="G54" i="7"/>
  <c r="K53" i="7"/>
  <c r="H53" i="7"/>
  <c r="G53" i="7"/>
  <c r="K52" i="7"/>
  <c r="H52" i="7"/>
  <c r="G52" i="7" s="1"/>
  <c r="K51" i="7"/>
  <c r="H51" i="7"/>
  <c r="P50" i="7"/>
  <c r="L50" i="7"/>
  <c r="J50" i="7"/>
  <c r="I50" i="7"/>
  <c r="F50" i="7"/>
  <c r="K49" i="7"/>
  <c r="H49" i="7"/>
  <c r="G49" i="7"/>
  <c r="K48" i="7"/>
  <c r="H48" i="7"/>
  <c r="G48" i="7"/>
  <c r="K47" i="7"/>
  <c r="H47" i="7"/>
  <c r="G47" i="7"/>
  <c r="K46" i="7"/>
  <c r="H46" i="7"/>
  <c r="G46" i="7"/>
  <c r="K45" i="7"/>
  <c r="H45" i="7"/>
  <c r="G45" i="7"/>
  <c r="K44" i="7"/>
  <c r="H44" i="7"/>
  <c r="G44" i="7"/>
  <c r="K43" i="7"/>
  <c r="H43" i="7"/>
  <c r="G43" i="7"/>
  <c r="K42" i="7"/>
  <c r="H42" i="7"/>
  <c r="G42" i="7"/>
  <c r="M41" i="7"/>
  <c r="L41" i="7"/>
  <c r="J41" i="7"/>
  <c r="I41" i="7"/>
  <c r="F41" i="7"/>
  <c r="M40" i="7"/>
  <c r="N40" i="7" s="1"/>
  <c r="H40" i="7"/>
  <c r="G40" i="7" s="1"/>
  <c r="N39" i="7"/>
  <c r="K39" i="7"/>
  <c r="H39" i="7"/>
  <c r="G39" i="7" s="1"/>
  <c r="N38" i="7"/>
  <c r="K38" i="7"/>
  <c r="H38" i="7"/>
  <c r="G38" i="7" s="1"/>
  <c r="K37" i="7"/>
  <c r="H37" i="7"/>
  <c r="G37" i="7" s="1"/>
  <c r="N36" i="7"/>
  <c r="K36" i="7"/>
  <c r="H36" i="7"/>
  <c r="G36" i="7"/>
  <c r="N35" i="7"/>
  <c r="K35" i="7"/>
  <c r="H35" i="7"/>
  <c r="G35" i="7"/>
  <c r="K34" i="7"/>
  <c r="H34" i="7"/>
  <c r="G34" i="7"/>
  <c r="K33" i="7"/>
  <c r="H33" i="7"/>
  <c r="G33" i="7"/>
  <c r="K32" i="7"/>
  <c r="H32" i="7"/>
  <c r="L31" i="7"/>
  <c r="J31" i="7"/>
  <c r="I31" i="7"/>
  <c r="F31" i="7"/>
  <c r="K29" i="7"/>
  <c r="N29" i="7" s="1"/>
  <c r="N28" i="7" s="1"/>
  <c r="H29" i="7"/>
  <c r="G29" i="7" s="1"/>
  <c r="G28" i="7" s="1"/>
  <c r="M28" i="7"/>
  <c r="L28" i="7"/>
  <c r="J28" i="7"/>
  <c r="I28" i="7"/>
  <c r="F28" i="7"/>
  <c r="K27" i="7"/>
  <c r="H27" i="7"/>
  <c r="G27" i="7" s="1"/>
  <c r="K26" i="7"/>
  <c r="N26" i="7" s="1"/>
  <c r="H26" i="7"/>
  <c r="G26" i="7" s="1"/>
  <c r="K25" i="7"/>
  <c r="N25" i="7" s="1"/>
  <c r="H25" i="7"/>
  <c r="M24" i="7"/>
  <c r="K24" i="7" s="1"/>
  <c r="J24" i="7"/>
  <c r="H24" i="7" s="1"/>
  <c r="K23" i="7"/>
  <c r="H23" i="7"/>
  <c r="K22" i="7"/>
  <c r="H22" i="7"/>
  <c r="G22" i="7" s="1"/>
  <c r="K21" i="7"/>
  <c r="H21" i="7"/>
  <c r="G21" i="7" s="1"/>
  <c r="K20" i="7"/>
  <c r="H20" i="7"/>
  <c r="K19" i="7"/>
  <c r="H19" i="7"/>
  <c r="G19" i="7" s="1"/>
  <c r="K18" i="7"/>
  <c r="H18" i="7"/>
  <c r="L13" i="7"/>
  <c r="I13" i="7"/>
  <c r="F13" i="7"/>
  <c r="H12" i="7"/>
  <c r="O12" i="7" s="1"/>
  <c r="K11" i="7"/>
  <c r="N11" i="7" s="1"/>
  <c r="H11" i="7"/>
  <c r="G11" i="7" s="1"/>
  <c r="K10" i="7"/>
  <c r="N10" i="7" s="1"/>
  <c r="H10" i="7"/>
  <c r="M9" i="7"/>
  <c r="L9" i="7"/>
  <c r="J9" i="7"/>
  <c r="I9" i="7"/>
  <c r="F9" i="7"/>
  <c r="L103" i="8"/>
  <c r="K103" i="8"/>
  <c r="J103" i="8"/>
  <c r="I103" i="8"/>
  <c r="H103" i="8"/>
  <c r="G103" i="8"/>
  <c r="F103" i="8"/>
  <c r="E103" i="8"/>
  <c r="D103" i="8"/>
  <c r="C103" i="8"/>
  <c r="E99" i="8"/>
  <c r="D99" i="8"/>
  <c r="D97" i="8" s="1"/>
  <c r="C99" i="8"/>
  <c r="L59" i="8"/>
  <c r="K59" i="8"/>
  <c r="J59" i="8"/>
  <c r="I59" i="8"/>
  <c r="H59" i="8"/>
  <c r="G59" i="8"/>
  <c r="F59" i="8"/>
  <c r="E59" i="8"/>
  <c r="D59" i="8"/>
  <c r="C59" i="8"/>
  <c r="F26" i="8"/>
  <c r="E26" i="8"/>
  <c r="D26" i="8"/>
  <c r="C26" i="8"/>
  <c r="F12" i="8"/>
  <c r="E12" i="8"/>
  <c r="D12" i="8"/>
  <c r="C12" i="8"/>
  <c r="E11" i="8"/>
  <c r="C11" i="8"/>
  <c r="F11" i="8" l="1"/>
  <c r="C97" i="8"/>
  <c r="E97" i="8"/>
  <c r="O36" i="7"/>
  <c r="O34" i="7"/>
  <c r="D11" i="8"/>
  <c r="O128" i="7"/>
  <c r="F8" i="7"/>
  <c r="O65" i="7"/>
  <c r="G41" i="7"/>
  <c r="J13" i="7"/>
  <c r="J8" i="7" s="1"/>
  <c r="O25" i="7"/>
  <c r="O38" i="7"/>
  <c r="O52" i="7"/>
  <c r="O11" i="7"/>
  <c r="K9" i="7"/>
  <c r="O27" i="7"/>
  <c r="O107" i="7"/>
  <c r="O39" i="7"/>
  <c r="O79" i="7"/>
  <c r="M31" i="7"/>
  <c r="O63" i="7"/>
  <c r="O86" i="7"/>
  <c r="O24" i="7"/>
  <c r="H31" i="7"/>
  <c r="O43" i="7"/>
  <c r="O47" i="7"/>
  <c r="O51" i="7"/>
  <c r="O55" i="7"/>
  <c r="O58" i="7"/>
  <c r="O73" i="7"/>
  <c r="O104" i="7"/>
  <c r="K106" i="7"/>
  <c r="O106" i="7" s="1"/>
  <c r="K28" i="7"/>
  <c r="O32" i="7"/>
  <c r="O45" i="7"/>
  <c r="O64" i="7"/>
  <c r="O72" i="7"/>
  <c r="O81" i="7"/>
  <c r="O88" i="7"/>
  <c r="O100" i="7"/>
  <c r="O109" i="7"/>
  <c r="O110" i="7"/>
  <c r="G31" i="7"/>
  <c r="I8" i="7"/>
  <c r="M13" i="7"/>
  <c r="O19" i="7"/>
  <c r="O21" i="7"/>
  <c r="M50" i="7"/>
  <c r="O53" i="7"/>
  <c r="O57" i="7"/>
  <c r="O62" i="7"/>
  <c r="O80" i="7"/>
  <c r="O87" i="7"/>
  <c r="O98" i="7"/>
  <c r="O102" i="7"/>
  <c r="O70" i="7"/>
  <c r="O78" i="7"/>
  <c r="O85" i="7"/>
  <c r="L8" i="7"/>
  <c r="K50" i="7"/>
  <c r="K13" i="7"/>
  <c r="O10" i="7"/>
  <c r="O22" i="7"/>
  <c r="O26" i="7"/>
  <c r="O29" i="7"/>
  <c r="O33" i="7"/>
  <c r="K40" i="7"/>
  <c r="O40" i="7" s="1"/>
  <c r="O44" i="7"/>
  <c r="H41" i="7"/>
  <c r="O48" i="7"/>
  <c r="N52" i="7"/>
  <c r="O56" i="7"/>
  <c r="O61" i="7"/>
  <c r="O67" i="7"/>
  <c r="N72" i="7"/>
  <c r="O74" i="7"/>
  <c r="O76" i="7"/>
  <c r="O77" i="7"/>
  <c r="O83" i="7"/>
  <c r="O84" i="7"/>
  <c r="O99" i="7"/>
  <c r="O103" i="7"/>
  <c r="O108" i="7"/>
  <c r="H28" i="7"/>
  <c r="O71" i="7"/>
  <c r="N9" i="7"/>
  <c r="N21" i="7"/>
  <c r="G25" i="7"/>
  <c r="O35" i="7"/>
  <c r="O37" i="7"/>
  <c r="O42" i="7"/>
  <c r="O46" i="7"/>
  <c r="O49" i="7"/>
  <c r="O54" i="7"/>
  <c r="O59" i="7"/>
  <c r="N64" i="7"/>
  <c r="O66" i="7"/>
  <c r="O68" i="7"/>
  <c r="O69" i="7"/>
  <c r="O75" i="7"/>
  <c r="N80" i="7"/>
  <c r="O82" i="7"/>
  <c r="N87" i="7"/>
  <c r="O101" i="7"/>
  <c r="O105" i="7"/>
  <c r="O111" i="7"/>
  <c r="H13" i="7"/>
  <c r="G24" i="7"/>
  <c r="G13" i="7" s="1"/>
  <c r="O18" i="7"/>
  <c r="N19" i="7"/>
  <c r="N22" i="7"/>
  <c r="N27" i="7"/>
  <c r="N31" i="7"/>
  <c r="K41" i="7"/>
  <c r="N46" i="7"/>
  <c r="N41" i="7" s="1"/>
  <c r="H50" i="7"/>
  <c r="N57" i="7"/>
  <c r="N61" i="7"/>
  <c r="N65" i="7"/>
  <c r="N69" i="7"/>
  <c r="N73" i="7"/>
  <c r="N77" i="7"/>
  <c r="N84" i="7"/>
  <c r="N88" i="7"/>
  <c r="H89" i="7"/>
  <c r="O89" i="7" s="1"/>
  <c r="N24" i="7"/>
  <c r="N81" i="7"/>
  <c r="H91" i="7"/>
  <c r="O92" i="7"/>
  <c r="O93" i="7"/>
  <c r="O94" i="7"/>
  <c r="O95" i="7"/>
  <c r="O96" i="7"/>
  <c r="O97" i="7"/>
  <c r="H9" i="7"/>
  <c r="G10" i="7"/>
  <c r="G9" i="7" s="1"/>
  <c r="G62" i="7"/>
  <c r="G66" i="7"/>
  <c r="G70" i="7"/>
  <c r="G74" i="7"/>
  <c r="G78" i="7"/>
  <c r="G85" i="7"/>
  <c r="G98" i="7"/>
  <c r="G91" i="7" s="1"/>
  <c r="O28" i="7" l="1"/>
  <c r="K91" i="7"/>
  <c r="O91" i="7" s="1"/>
  <c r="O50" i="7"/>
  <c r="M8" i="7"/>
  <c r="O13" i="7"/>
  <c r="K31" i="7"/>
  <c r="O31" i="7" s="1"/>
  <c r="H8" i="7"/>
  <c r="O41" i="7"/>
  <c r="N50" i="7"/>
  <c r="G50" i="7"/>
  <c r="G8" i="7" s="1"/>
  <c r="O9" i="7"/>
  <c r="N13" i="7"/>
  <c r="N8" i="7" s="1"/>
  <c r="K8" i="7" l="1"/>
  <c r="O8" i="7" s="1"/>
  <c r="I81" i="8"/>
  <c r="D6" i="8"/>
  <c r="C6" i="8"/>
  <c r="J81" i="8"/>
  <c r="F6" i="8"/>
  <c r="F58" i="8"/>
  <c r="F57" i="8"/>
  <c r="F81" i="8"/>
  <c r="E6" i="8"/>
  <c r="K81" i="8"/>
  <c r="H81" i="8"/>
  <c r="G81" i="8"/>
  <c r="C81" i="8"/>
  <c r="C58" i="8"/>
  <c r="C57" i="8"/>
  <c r="D81" i="8"/>
  <c r="D58" i="8"/>
  <c r="D57" i="8"/>
  <c r="E57" i="8"/>
  <c r="E81" i="8"/>
  <c r="E58" i="8"/>
  <c r="L81" i="8"/>
</calcChain>
</file>

<file path=xl/sharedStrings.xml><?xml version="1.0" encoding="utf-8"?>
<sst xmlns="http://schemas.openxmlformats.org/spreadsheetml/2006/main" count="2295" uniqueCount="675">
  <si>
    <t xml:space="preserve">Tên dự án </t>
  </si>
  <si>
    <t>Nhóm dự án</t>
  </si>
  <si>
    <t>Số Quyết định phê duyệt CTĐT/phê duyệt ĐT</t>
  </si>
  <si>
    <t>Tổng mức đầu tư</t>
  </si>
  <si>
    <t>Kế hoạch vốn 2021 - 2025 đã được giao</t>
  </si>
  <si>
    <t>Kế hoạch vốn NSTW đã giao hàng năm</t>
  </si>
  <si>
    <t xml:space="preserve">Số vốn NSTW đã giải ngân hàng năm </t>
  </si>
  <si>
    <t>Tổng số (tất cả các nguồn vốn)</t>
  </si>
  <si>
    <t>Trong đó: Vốn NSTW</t>
  </si>
  <si>
    <t>KH năm 2021</t>
  </si>
  <si>
    <t>KH năm 2021 kéo dài sang năm 2022</t>
  </si>
  <si>
    <t>KH năm 2022</t>
  </si>
  <si>
    <t>KH năm 2022 kéo dài sang năm 2023</t>
  </si>
  <si>
    <t>KH năm 2023</t>
  </si>
  <si>
    <t>KH năm 2024</t>
  </si>
  <si>
    <t>KH năm 2025</t>
  </si>
  <si>
    <t>STT</t>
  </si>
  <si>
    <t>Chủ đầu tư</t>
  </si>
  <si>
    <t>Thời gian khởi công</t>
  </si>
  <si>
    <t>Thời gian hoàn thành</t>
  </si>
  <si>
    <t>Địa điểm xây dựng (ghi rõ tại xã, phường nào)</t>
  </si>
  <si>
    <t>Trong đó: Vốn NSĐP</t>
  </si>
  <si>
    <t>Lũy kế vốn đã giải ngân từ khởi công đến hết năm 2020</t>
  </si>
  <si>
    <t>Kế hoạch vốn NSĐP đã giao hàng năm</t>
  </si>
  <si>
    <t>KH năm 2020 kéo dài sang năm 2021</t>
  </si>
  <si>
    <t>KH năm 2023 kéo dài sang năm 2024</t>
  </si>
  <si>
    <t>KH năm 2024 kéo dài sang năm 2025</t>
  </si>
  <si>
    <t xml:space="preserve">Số vốn NSĐP đã giải ngân hàng năm </t>
  </si>
  <si>
    <t>Tổng số</t>
  </si>
  <si>
    <t>Trong đó:</t>
  </si>
  <si>
    <t>Khó khăn vướng mắc trong triển khai thực hiện</t>
  </si>
  <si>
    <t>Nhu cầu vốn còn thiếu để hoàn thành dự án</t>
  </si>
  <si>
    <t>Ghi chú</t>
  </si>
  <si>
    <t>35=36+37</t>
  </si>
  <si>
    <t>36=23-33</t>
  </si>
  <si>
    <t>37=24-34</t>
  </si>
  <si>
    <t>I</t>
  </si>
  <si>
    <t>A</t>
  </si>
  <si>
    <t>VỐN ĐẦU TƯ CÔNG</t>
  </si>
  <si>
    <t xml:space="preserve">Đơn vị đề nghị tiếp nhận lại nhiệm vụ chủ đầu tư chương trình, dự án </t>
  </si>
  <si>
    <t>a</t>
  </si>
  <si>
    <t>Dự án đang thực hiện</t>
  </si>
  <si>
    <t>Vốn Xổ số kiến thiết</t>
  </si>
  <si>
    <t>II</t>
  </si>
  <si>
    <t>B</t>
  </si>
  <si>
    <t>VỐN SỰ NGHIỆP CÓ TÍNH CHẤT ĐẦU TƯ</t>
  </si>
  <si>
    <t>C</t>
  </si>
  <si>
    <t>Biểu 1</t>
  </si>
  <si>
    <t>TỔNG HỢP DANH MỤC DỰ ÁN SỬ DỤNG VỐN NGÂN SÁCH ĐỊA PHƯƠNG GIAI ĐOẠN 2021-2025</t>
  </si>
  <si>
    <t>Đơn vị tính: Triệu đồng</t>
  </si>
  <si>
    <t>TỔNG HỢP DANH MỤC DỰ ÁN SỬ DỤNG VỐN NGÂN SÁCH TRUNG ƯƠNG GIAI ĐOẠN 2021-2025</t>
  </si>
  <si>
    <t>Biểu 2</t>
  </si>
  <si>
    <t>VỐN HỖ TRỢ CÓ MỤC TIÊU TỪ NSTW</t>
  </si>
  <si>
    <t>III</t>
  </si>
  <si>
    <t>IV</t>
  </si>
  <si>
    <t>V</t>
  </si>
  <si>
    <t>Kế hoạch vốn CTMTQG đã giao hàng năm</t>
  </si>
  <si>
    <t xml:space="preserve">Số vốn CTMTQG đã giải ngân hàng năm </t>
  </si>
  <si>
    <t>Trong đó: Vốn CTMTQG</t>
  </si>
  <si>
    <t>Biểu 3</t>
  </si>
  <si>
    <t>TỔNG HỢP DANH MỤC DỰ ÁN SỬ DỤNG VỐN CÁC CHƯƠNG TRÌNH MỤC TIÊU QUỐC GIA GIAI ĐOẠN 2021-2025</t>
  </si>
  <si>
    <t>Chương trình mục tiêu quốc gia phát triển kinh tế - xã hội vùng đồng bào dân tộc thiểu số và miền núi</t>
  </si>
  <si>
    <t>Nội dung</t>
  </si>
  <si>
    <t>Thanh toán khối lượng hoàn thành</t>
  </si>
  <si>
    <t>TỔNG HỢP QUYẾT TOÁN DỰ ÁN HOÀN THÀNH</t>
  </si>
  <si>
    <t>NĂM 2025</t>
  </si>
  <si>
    <t>ĐVT: Triệu đồng</t>
  </si>
  <si>
    <t>Danh mục dự án</t>
  </si>
  <si>
    <t>Số 
dự án</t>
  </si>
  <si>
    <t>Tổng mức 
đầu tư</t>
  </si>
  <si>
    <t>Gía trị đề 
nghị quyết
 toán</t>
  </si>
  <si>
    <t>Gía trị quyết 
toán được 
duyệt</t>
  </si>
  <si>
    <t xml:space="preserve">                                                                                                                                                                                                                                                                                                                                                                                                                                                                                                                                                                                                                                                                                                                                                                                                                                                                                                                                                                                                                                                                                                                                               </t>
  </si>
  <si>
    <t>Tổng cộng các dự án HT (1+2+3)</t>
  </si>
  <si>
    <t>Bao gồm như sau:</t>
  </si>
  <si>
    <t>1/ Dự án đã phê duyệt quyết toán trong kỳ báo cáo</t>
  </si>
  <si>
    <t>Tổng cộng</t>
  </si>
  <si>
    <t xml:space="preserve">Các dự án thuộc thẩm quyền phê duyệt quyết toán của UBND tỉnh </t>
  </si>
  <si>
    <t>*</t>
  </si>
  <si>
    <t>Vốn Xây dựng cơ bản tập trung tỉnh+huyện</t>
  </si>
  <si>
    <t>Vốn Chương trình MTQG Phát triển kinh tế - xã hội vùng đồng bào dân tộc thiểu số và miền núi (nghị quyết 88)</t>
  </si>
  <si>
    <t>Ổn định dân cư phát triển kinh tế - xã hội vùng tái định cư thủy điện Sơn La huyện Tủa Chùa</t>
  </si>
  <si>
    <t>5</t>
  </si>
  <si>
    <t>Thuỷ lợi Huổi Trẳng, xã Tủa Thàng, vùng TĐC huyện Tủa Chùa</t>
  </si>
  <si>
    <t>6</t>
  </si>
  <si>
    <t>Cấp nước sinh hoạt điểm dân cư số 4, xã Tủa Thàng, vùng TĐC huyện Tủa Chùa</t>
  </si>
  <si>
    <t>Các dự án thuộc thẩm quyền phê duyệt quyết toán của UBND cấp huyện</t>
  </si>
  <si>
    <t>XDCBTT</t>
  </si>
  <si>
    <t>Vốn Chương trình MTQG Nông thôn mới</t>
  </si>
  <si>
    <t>1</t>
  </si>
  <si>
    <t>Cải tạo, nâng cấp đường nội thôn Sung Ún, xã Mường Báng</t>
  </si>
  <si>
    <t>Nước sinh hoạt thôn Háng Chở, xã Mường Báng</t>
  </si>
  <si>
    <t>Vốn Ngân sách NN huyện</t>
  </si>
  <si>
    <t>Nâng cấp Chợ thị trấn Tủa Chùa giai đoạn III</t>
  </si>
  <si>
    <t xml:space="preserve">Đường giao thông nội thôn Quyết Tiến, thị trấn Tủa Chùa </t>
  </si>
  <si>
    <t>Nâng cấp tuyến đường từ Đợi Khó Sì đi Làng Sảng 2, xã Tả Sìn Thàng</t>
  </si>
  <si>
    <t>Đường nội thôn Háng Tơ Mang, xã Mường Báng</t>
  </si>
  <si>
    <t>HS chỗ Hiệp thiếu Thẩm tra</t>
  </si>
  <si>
    <t>Nâng cấp, sửa chữa thủy lợi Tà Huổi Tráng 1 đến cánh đồng thôn Tà Huổi Tráng 2, xã Tủa Thàng</t>
  </si>
  <si>
    <t>Nâng cấp tuyến đường từ trung tâm xã - thông Háng Là, xã Sín Chải</t>
  </si>
  <si>
    <t>4.000</t>
  </si>
  <si>
    <t>Bổ sung, nâng cấp trường Tiểu học và THCS Lao Xả Phình, xã Lao Xả Phình</t>
  </si>
  <si>
    <t>Nâng cấp đường nội thôn Tủa Thàng từ nhà ông Giàng sáu Cha đến nhà ông Thào A Súa, xã Tủa Thàng</t>
  </si>
  <si>
    <t>Bổ sung, nâng cấp các trường Tiểu học và THCS trên địa bàn xã Tả Phìn</t>
  </si>
  <si>
    <t>4.525</t>
  </si>
  <si>
    <t>Đường ra khu sản xuất thôn Đề Bâu, xã Trung Thu</t>
  </si>
  <si>
    <t>Nâng cấp đường từ nhà ông Ly A Dè ra khu sản xuất Táng Tò thôn 1 xã Lao Xả Phình</t>
  </si>
  <si>
    <t xml:space="preserve">Nâng cấp tuyến đường nội thôn Đề Tâu (nhánh từ nhà ông Sùng A Xà đến nhà ông Khu), xã Mường Đun </t>
  </si>
  <si>
    <t>Chương trình MTQG giảm nghèo bền vững</t>
  </si>
  <si>
    <t>Vốn NSNN huyện</t>
  </si>
  <si>
    <t>Nước sinh hoạt thôn Háng Đề Dê, Tà Pao, trường THCS, tiểu học, trạm y tế xã Sính Phình</t>
  </si>
  <si>
    <t>Hiến</t>
  </si>
  <si>
    <t>Nâng cấp đoạn đường từ nương nhà ông Sùng A Sấu đến nhà ông Sùng A Sinh, thôn Háng Là, xã Sín Chải</t>
  </si>
  <si>
    <t>2/ Dự án đã nộp báo cáo chưa phê duyệt quyết toán</t>
  </si>
  <si>
    <t>Tổng mức
 đầu tư</t>
  </si>
  <si>
    <t>Giá trị đề
 nghị quyết 
toán</t>
  </si>
  <si>
    <t>Giá trị giải ngân</t>
  </si>
  <si>
    <t>Nhóm C</t>
  </si>
  <si>
    <t>Vốn Chương trình MTQG giảm nghèo bền vững</t>
  </si>
  <si>
    <t>Sân Vận động Huyện Tủa Chùa</t>
  </si>
  <si>
    <t>Tuyến đường Tả Sìn Thàng - Páo Tỉnh Làng - Sáng Tớ đi Sín Chải, Huổi Só</t>
  </si>
  <si>
    <t>Nâng cấp tuyến đường Thị trấn - Đề Dê Hu - Sính Phình</t>
  </si>
  <si>
    <t>Tuyến đường từ Sính Phình - Trung Thu - Lao Xả Phình - Tả Sìn Thàng (Trung tâm xã Trung Thu đi Bản Phô - Cáng Phình), huyện Tủa Chùa</t>
  </si>
  <si>
    <t xml:space="preserve">Đường Trung tâm xã Mường Đun - bản Hột </t>
  </si>
  <si>
    <t>Cbi</t>
  </si>
  <si>
    <t>Nâng cấp các tuyến đường nội thị thị trấn Tủa Chùa</t>
  </si>
  <si>
    <t>Quý</t>
  </si>
  <si>
    <t>Nâng cấp sửa chữa nhà khách Huyện ủy HĐND&amp;UBND huyện Tủa Chùa</t>
  </si>
  <si>
    <t>Xây dựng Trường PTDTBT Tiểu học xã Mường Đun, huyện Tủa Chùa</t>
  </si>
  <si>
    <t>Đường giao thông khu tái định cư Huổi lực, thị trấn Tủa Chùa, vùng TĐC huyện Tủa Chùa</t>
  </si>
  <si>
    <t>Đường sản xuất điểm dân cư Huổi Trẳng (Đường ra khu sản xuất Huổi Trẳng), xã Tủa Thàng</t>
  </si>
  <si>
    <t>2</t>
  </si>
  <si>
    <t>Đường giao thông nội bản Khu tái định cư Tà Huổi Tráng - Tà Si Láng, xã Tủa Thàng, vùng TĐC huyện Tủa Chùa</t>
  </si>
  <si>
    <t>Đường giao thông nội bản khu tái định cư Huổi Lóng, xã Huổi Só</t>
  </si>
  <si>
    <t>3</t>
  </si>
  <si>
    <t>Cấp nước sinh hoạt  điểm bản Làng Giang, xã Sín Chải, vùng TĐC huyện Tủa Chùa</t>
  </si>
  <si>
    <t>Đường giao thông Huổi Lóng đến thôn Huổi Ca, xã Huổi Só</t>
  </si>
  <si>
    <t>4</t>
  </si>
  <si>
    <t>Đường sản xuất cụm dân cư Tà Si Láng, xã Tủa Thàng</t>
  </si>
  <si>
    <t>CHƯƠNG TRÌNH MỤC TIÊU QUỐC GIA GIẢM NGHÈO BỀN VỮNG</t>
  </si>
  <si>
    <t>Sửa chữa, nâng cấp nước sinh hoạt trung tâm xã Tả Phìn, Tả Sìn Thàng và các bản lân cận</t>
  </si>
  <si>
    <t>Hiệp cầm chứng từ gốc chưa phô tô</t>
  </si>
  <si>
    <t>Vốn Hỗ trợ từ dịch vụ môi trường rừng không xác định được đối tượng chi từ năm 2011-2014</t>
  </si>
  <si>
    <t>Xây dựng hệ thống bảng,biển tuyên truyền phục vụ công tác quản lý, bảo vệ rừng, phòng cháy chữa cháy rừng, trên địa bàn huyện Tủa Chùa</t>
  </si>
  <si>
    <t>Nâng cấp tuyến đường nội thôn Bản Hẹ, xã Xá Nhè</t>
  </si>
  <si>
    <t>Nâng cấp tuyến đường giao thông nội thôn Háng Cu Tâu, xã Trung Thu</t>
  </si>
  <si>
    <t>Công trình thủy lợi thôn Phiêng Bung, xã Mường Báng</t>
  </si>
  <si>
    <t>Nâng cấp tuyến đường giao thông cổng thôn văn hóa thôn 3 đến nhà ông Ly Sáu Thanh, xã Lao Xả Phình</t>
  </si>
  <si>
    <t>Cải tạo, nâng cấp đường nội thôn Phai Tung, xã Mường Báng</t>
  </si>
  <si>
    <t>Cải tạo, nâng cấp đường nội thôn cụm 1 thôn Pú Ôn, xã Mường Báng</t>
  </si>
  <si>
    <t xml:space="preserve">3/ Dự án chưa nộp hồ sơ quyết toán: </t>
  </si>
  <si>
    <t>Số dự án</t>
  </si>
  <si>
    <t>Vốn đầu tư đã thanh toán</t>
  </si>
  <si>
    <t>Giao người thực hiện quyết toán</t>
  </si>
  <si>
    <t>Kỹ thuật đã bàn giao</t>
  </si>
  <si>
    <t>Nước sinh hoạt thôn Nà Áng, xã Mường Báng</t>
  </si>
  <si>
    <t>Đường vào khu sản xuất thôn Tỉnh B, xã Xá Nhè</t>
  </si>
  <si>
    <t>Nâng cấp tuyến đường đi ra khu sản xuất thôn Đề Tâu, xã Mường Đun</t>
  </si>
  <si>
    <t>Đường giao thông nội thôn Tà Huổi Tráng 1, xã Tủa Thàng</t>
  </si>
  <si>
    <t>Nâng cấp tuyến đường từ Háng Sùa đi Tà Dê, xã Tả Sín Thàng</t>
  </si>
  <si>
    <t>Bị đưa Hiệp</t>
  </si>
  <si>
    <t>Điện sinh hoạt điểm ĐCĐC Phàng Mủ Phình, xã Tả Phìn, huyện Tủa Chùa</t>
  </si>
  <si>
    <t>Biểu 01: TÌNH HÌNH TRIỂN KHAI THỰC HIỆN VÀ GIẢI NGÂN CÁC NGUỒN VỐN ĐẦU TƯ CÔNG NĂM 2025 ĐẾN THỜI ĐIỂM HIỆN NAY</t>
  </si>
  <si>
    <t>Đơn vị tính : triệu đồng</t>
  </si>
  <si>
    <t>Năng lực thiết kế</t>
  </si>
  <si>
    <t>Dự kiến thời gian KC-HT</t>
  </si>
  <si>
    <t>Số QĐ đầu tư</t>
  </si>
  <si>
    <t>Tổng mức đầu tư được duyệt và dự kiến</t>
  </si>
  <si>
    <t>Lũy kế kế hoạch vốn giao 2025</t>
  </si>
  <si>
    <t>KH giao năm 2025</t>
  </si>
  <si>
    <t>Giải ngân KHV năm 2025 đến thời điểm hiện nay</t>
  </si>
  <si>
    <t>Lũy kế giải ngân đến thời điểm báo cáo đến 2025</t>
  </si>
  <si>
    <t>Tỷ lệ % tại thời điểm hiện nay so với KH vốn giao năm 2025</t>
  </si>
  <si>
    <t>Kế hoạch vốn được giao 2024 và được phép  kéo dài thực hiện sang năm 2025</t>
  </si>
  <si>
    <t>Năm 2025</t>
  </si>
  <si>
    <t>Giải ngân KH 2024 và được phép  kéo dài thực hiện sang năm 2025</t>
  </si>
  <si>
    <t>Giải ngân KH Năm 2025</t>
  </si>
  <si>
    <t>Các dự án đầu tư</t>
  </si>
  <si>
    <t xml:space="preserve">Đường giao thông Hấu Chua - Làng Giang, xã Sín Chải </t>
  </si>
  <si>
    <t>249/QĐ-UBND ngày 15/3/2023</t>
  </si>
  <si>
    <t>Đường liên thôn Quyết Tiến (thị trấn) Sông Ún (xã Mường Báng)</t>
  </si>
  <si>
    <t>250/QĐ-UBND ngày 15/3/2023</t>
  </si>
  <si>
    <t>Kè bảo vệ đất sản xuất cánh đồng Na Pa, xã Tủa Thàng</t>
  </si>
  <si>
    <t>251/QĐ-UBND ngày 15/3/2023</t>
  </si>
  <si>
    <t>Sửa chữa, nâng cấp Nhà khách Văn phòng HĐND&amp;UBND huyện Tủa Chùa (cơ sở 02)</t>
  </si>
  <si>
    <t>3016/QĐ-UBND ngày 24/6/2024</t>
  </si>
  <si>
    <t>2410 ngày 20/12/2021 và 1701 ngày 12/7/2022</t>
  </si>
  <si>
    <t>Vốn Xây dựng cơ bản tập trung huyện quản lý</t>
  </si>
  <si>
    <t>(2)</t>
  </si>
  <si>
    <t>Các dự án chuyển tiếp hoàn thành sau năm 2024 (đối ứng) 0512</t>
  </si>
  <si>
    <t>Dự án sắp xếp ổn định dân cư bản Huổi Só, xã Huổi Só, huyện Tủa Chùa</t>
  </si>
  <si>
    <t>2023-2025</t>
  </si>
  <si>
    <t>1458 ngày 11/9/2023</t>
  </si>
  <si>
    <t>Dự án đối ứng vốn CTMTQG (ĐBDTTS)</t>
  </si>
  <si>
    <t>Các dự án khởi công mới năm 2024</t>
  </si>
  <si>
    <t>Nâng cấp, sửa chữa Nhà tập luyện và thi đấu, Trung tâm Hội nghị huyện Tủa Chùa</t>
  </si>
  <si>
    <t>2024-2025</t>
  </si>
  <si>
    <t>1792 ngày 4/5/2024</t>
  </si>
  <si>
    <t>Hạ tầng khu luyện tập tổng hợp huyện Tủa Chùa</t>
  </si>
  <si>
    <t>4907 ngày 30/10/2024</t>
  </si>
  <si>
    <t>Các dự án chuẩn bị đầu tư năm 2024</t>
  </si>
  <si>
    <t>Trụ sở Đảng ủy - HĐND và UBND xã Huổi Só. Đối ứng 0514</t>
  </si>
  <si>
    <t>3 tầng cấp III, SXD = 321,4 m2</t>
  </si>
  <si>
    <t>4653 ngày 02/10/2024</t>
  </si>
  <si>
    <t>Nâng cấp các tuyến đường nội thôn xã Mường Đun, huyện Tủa Chùa. Đối ứng 0492</t>
  </si>
  <si>
    <t>5663 ngày 30/12/2024</t>
  </si>
  <si>
    <t>Sửa chữa, nâng cấp công trình phụ trợ UBND xã Tủa Thàng</t>
  </si>
  <si>
    <t>2025</t>
  </si>
  <si>
    <t>106 ngày 24/1/2025</t>
  </si>
  <si>
    <t>Đường vào sân vận động huyện Tủa Chùa</t>
  </si>
  <si>
    <t>5664 ngày 30/12/2024</t>
  </si>
  <si>
    <t>Vốn Xây dựng cơ bản tập trung tỉnh quản lý</t>
  </si>
  <si>
    <t>2022-2023</t>
  </si>
  <si>
    <t>3227 ngày 14/12/2021</t>
  </si>
  <si>
    <t>CHƯƠNG TRÌNH MỤC TIÊU QUỐC GIA XÂY DỰNG NÔNG THÔN MỚI</t>
  </si>
  <si>
    <t>3033 ngày 14/11/2023</t>
  </si>
  <si>
    <t>Còn thẩm tra</t>
  </si>
  <si>
    <t>Các dự án khởi công mới năm 2024 mới giao KH 2022 chuyển sang 2024</t>
  </si>
  <si>
    <t xml:space="preserve">Nâng cấp đường đi khu sản xuất thôn Từ Ngài 1, 2 xã Mường Báng </t>
  </si>
  <si>
    <t>26 ngày 16/01/2024</t>
  </si>
  <si>
    <t>Cải tạo, nâng cấp đường ra khu sản xuất thôn Tiên Phong, xã Mường Bàng</t>
  </si>
  <si>
    <t>2983 ngày 14/6/2024</t>
  </si>
  <si>
    <t>3560 ngày 29/12/2023</t>
  </si>
  <si>
    <t>1372 ngày 15/4/2024</t>
  </si>
  <si>
    <t>Dự án đã phê duyệt DA nhưng chưa được bố trí vốn trong năm 2025</t>
  </si>
  <si>
    <t>Đường nội thôn Háng Trở, xã Mường Báng</t>
  </si>
  <si>
    <t>5143 ngày 29/11/2024</t>
  </si>
  <si>
    <t>Đường ra khu sản xuất thôn Phiêng Bung, xã Mường Báng</t>
  </si>
  <si>
    <t>5144 ngày 29/11/2024</t>
  </si>
  <si>
    <t>Đường nội thôn Phiêng Bung, xã Mường Báng</t>
  </si>
  <si>
    <t>5145 ngày 29/11/2024</t>
  </si>
  <si>
    <t>Đường giao thông bến thủy Huổi Trẳng, Huổi Só, Mường Lay</t>
  </si>
  <si>
    <t>2022-2024</t>
  </si>
  <si>
    <t>1412 ngày 13/8/2022</t>
  </si>
  <si>
    <t>1413 ngày 13/8/2022</t>
  </si>
  <si>
    <t>1414 ngày 13/8/2022</t>
  </si>
  <si>
    <t>1415 ngày 13/8/2022</t>
  </si>
  <si>
    <t>Nâng cấp tuyến đường Pàng Dề (Xá Nhè) -Phình Sáng, Tuần Giáo</t>
  </si>
  <si>
    <t>1000 ngày 21/6/2023</t>
  </si>
  <si>
    <t>Nâng cấp tuyến đường Lầu Câu Phình (xã Lao Xả Phình) - Làng Sảng (xã Tả Sìn Thàng)</t>
  </si>
  <si>
    <t>2952/QĐ-UBND  06/12/2022</t>
  </si>
  <si>
    <t>Nâng cấp tuyến đường Xá Nhè - Mường Đun</t>
  </si>
  <si>
    <t>2953/QĐ-UBND  06/12/2022</t>
  </si>
  <si>
    <t>2023-2024</t>
  </si>
  <si>
    <t>2954/QĐ-UBND  06/12/2022</t>
  </si>
  <si>
    <t>Hết nhu cầu chi</t>
  </si>
  <si>
    <t>VI</t>
  </si>
  <si>
    <t>2021-2023</t>
  </si>
  <si>
    <t>3229 ngày 14/12/2021</t>
  </si>
  <si>
    <t>Đường giao thông và hệ thống thoát nước bản Huổi só, xã Huổi Só</t>
  </si>
  <si>
    <t>2940 ngày 06/12/2022</t>
  </si>
  <si>
    <t>Cấp nước sinh hoạt bản Huổi só, xã Huổi Só</t>
  </si>
  <si>
    <t>2941 ngày 06/12/2022</t>
  </si>
  <si>
    <t>Thoát nước thải, vệ sinh môi trường bản Huổi só, xã Huổi Só</t>
  </si>
  <si>
    <t>2942 ngày 06/12/2022</t>
  </si>
  <si>
    <t>Cấp điện sinh hoạt bản Huổi só, xã Huổi Só</t>
  </si>
  <si>
    <t>2943 ngày 06/12/2022</t>
  </si>
  <si>
    <t>Hạ tầng thông tin và truyền thông bản Huổi só, xã Huổi Só</t>
  </si>
  <si>
    <t>2944 ngày 06/12/2022</t>
  </si>
  <si>
    <t>(4)</t>
  </si>
  <si>
    <t>8</t>
  </si>
  <si>
    <t>3072 ngày 21/11/2023</t>
  </si>
  <si>
    <t>15</t>
  </si>
  <si>
    <t>3058 ngày 16/11/2023</t>
  </si>
  <si>
    <t>Các dự án khởi công hoàn thành năm 2025</t>
  </si>
  <si>
    <t>Nước sinh hoạt trung tâm xã Tủa Thàng</t>
  </si>
  <si>
    <t>39 ngày 18/01/2024</t>
  </si>
  <si>
    <t>Nước sinh hoạt thôn Trung Gầu Bua, xã Sín Chải, huyện Tủa Chùa</t>
  </si>
  <si>
    <t>37 ngày 18/01/2024</t>
  </si>
  <si>
    <t>Nước sinh hoạt thôn Lầu Câu Phình, xã Lao Xả Phình</t>
  </si>
  <si>
    <t>5073 ngày 15/11/2024</t>
  </si>
  <si>
    <t>Nâng cấp tuyến đường nội thôn Tu Cha, xã Huổi Só</t>
  </si>
  <si>
    <t>13 ngày 09/01/2024</t>
  </si>
  <si>
    <t>3247 ngày 27/12/2023</t>
  </si>
  <si>
    <t>Mở mới tuyến đường giao thông nội đồng thôn Phi Giàng 1, xã Tủa Thàng (Từ Chế Ca Trung Phỉ Làng đi Mang Cua Chế)</t>
  </si>
  <si>
    <t>3239 ngày 25/12/2023</t>
  </si>
  <si>
    <t>7</t>
  </si>
  <si>
    <t>Xây mới nhà Văn hóa thôn Đề Ca Hồ, xã Trung Thu</t>
  </si>
  <si>
    <t>4855 ngày 16/10/2024</t>
  </si>
  <si>
    <t>3136 ngày 04/12/2023</t>
  </si>
  <si>
    <t>9</t>
  </si>
  <si>
    <t>Mở mới tuyến đường từ Tà Dung vào khu sản xuất Chớ Tính 3, xã Tả Phìn</t>
  </si>
  <si>
    <t>3141 ngày 06/12/2023</t>
  </si>
  <si>
    <t>10</t>
  </si>
  <si>
    <t>Đường ra khu sản xuất thôn Vàng Chua, xã Sính Phình</t>
  </si>
  <si>
    <t>4874 ngày 22/10/2024</t>
  </si>
  <si>
    <t>11</t>
  </si>
  <si>
    <t>Nhà Văn hóa thôn Tà Lào Cáo</t>
  </si>
  <si>
    <t>4679 ngày 10/10/2024</t>
  </si>
  <si>
    <t>12</t>
  </si>
  <si>
    <t>Cầu qua suối cạn thôn Tả Phìn nối giữa đường trục thôn và đường vàoTrường Tiểu học Tả Phìn, xã Tả Phìn</t>
  </si>
  <si>
    <t>1397 ngày 19/4/2024</t>
  </si>
  <si>
    <t>13</t>
  </si>
  <si>
    <t>Đường nội thôn Pú Ôn, xã Mường Báng</t>
  </si>
  <si>
    <t>3199 ngày 18/12/2023</t>
  </si>
  <si>
    <t>14</t>
  </si>
  <si>
    <t>Nâng cấp tuyến đường nội thôn Nậm Bành, xã Huổi Só</t>
  </si>
  <si>
    <t>5077 ngày 15/11/2024</t>
  </si>
  <si>
    <t>Nâng cấp tuyến đường nội thôn Hồng Ngài, xã Huổi Só</t>
  </si>
  <si>
    <t>5076 ngày 15/11/2024</t>
  </si>
  <si>
    <t>16</t>
  </si>
  <si>
    <t>Nhà văn hóa thôn 2, xã Huổi Só</t>
  </si>
  <si>
    <t>5066 ngày 14/11/2024</t>
  </si>
  <si>
    <t>17</t>
  </si>
  <si>
    <t xml:space="preserve">Xây mới nhà văn hóa Bản Đun, xã Mường Đun </t>
  </si>
  <si>
    <t>4925 ngày 01/11/2024</t>
  </si>
  <si>
    <t>18</t>
  </si>
  <si>
    <t>Xây mới nhà văn hóa Đun Nưa, xã Mường Đun</t>
  </si>
  <si>
    <t>4949 ngày 07/11/2024</t>
  </si>
  <si>
    <t>19</t>
  </si>
  <si>
    <t>Nâng cấp tuyến đường nội thôn, Thôn Đề Bâu đi đến trục đường chính vàng Chua, xã Trung Thu</t>
  </si>
  <si>
    <t>4939 ngày 05/11/2024</t>
  </si>
  <si>
    <t>20</t>
  </si>
  <si>
    <t>Đường nội thôn bản Túc, xã Mường Đun</t>
  </si>
  <si>
    <t>5061 ngày 14/11/2024</t>
  </si>
  <si>
    <t>21</t>
  </si>
  <si>
    <t>Đường Nội thôn Phi Dinh, xã Sính Phình</t>
  </si>
  <si>
    <t>4973 ngày 12/11/2024</t>
  </si>
  <si>
    <t>22</t>
  </si>
  <si>
    <t>Xây mới nhà Văn hóa bản Nà Xa, xã Mường Đun</t>
  </si>
  <si>
    <t>5074 ngày 15/11/2024</t>
  </si>
  <si>
    <t>23</t>
  </si>
  <si>
    <t>Đường Làng Sảng 1 - Háng Dao Cang, xã Tả Sín Thàng</t>
  </si>
  <si>
    <t>5075 ngày 15/11/2024</t>
  </si>
  <si>
    <t>24</t>
  </si>
  <si>
    <t xml:space="preserve">Bổ sung, nâng cấp các trường Tiểu học và THCS trên địa bàn xã Trung Thu </t>
  </si>
  <si>
    <t>08 ngày 09/01/2024</t>
  </si>
  <si>
    <t>25</t>
  </si>
  <si>
    <t>Bổ sung, nâng cấp các trường Tiểu học và THCS trên địa bàn xã Mường Đun</t>
  </si>
  <si>
    <t>17 ngày 12/01/2024</t>
  </si>
  <si>
    <t>26</t>
  </si>
  <si>
    <t>Bổ sung, nâng cấp trường Tiểu học Xá Nhè, xã Xá Nhè</t>
  </si>
  <si>
    <t>14 ngày 09/01/2024</t>
  </si>
  <si>
    <t>27</t>
  </si>
  <si>
    <t>Bổ sung, nâng cấp trường Tiểu học Tả Sìn Thàng, xã Tả Sìn Thàng</t>
  </si>
  <si>
    <t>3194 ngày 14/12/2023</t>
  </si>
  <si>
    <t>28</t>
  </si>
  <si>
    <t>Bổ sung, nâng cấp các trường Tiểu học và THCS trên địa bàn xã Sín Chải</t>
  </si>
  <si>
    <t>86 ngày 26/01/2024</t>
  </si>
  <si>
    <t>VII</t>
  </si>
  <si>
    <t>Vốn Ngân sách Trung ương</t>
  </si>
  <si>
    <t>Nâng cấp tuyến đường Thị trấn - Sính Phình - Tả Phìn, huyện Tủa Chùa</t>
  </si>
  <si>
    <t>2021-2024</t>
  </si>
  <si>
    <t>976 ngày 30/5/2021</t>
  </si>
  <si>
    <t>VIII</t>
  </si>
  <si>
    <t>2104/QĐ-UBND 14/11/2022</t>
  </si>
  <si>
    <t>892/QĐ-UBND 11/5/2022</t>
  </si>
  <si>
    <t>2021/QĐ-UBND 03/11/2022</t>
  </si>
  <si>
    <t>1887/QĐ-UBND 11/10/2022</t>
  </si>
  <si>
    <t>Đường Đề Chu - Tủa Thàng, xã Tủa Thàng, vùng TĐC huyện Tủa Chùa</t>
  </si>
  <si>
    <t>2166/QĐ-UBND 25/11/2022</t>
  </si>
  <si>
    <t>Đường Tà Si Láng - Pắc Na, xã Tủa Thàng, vùng TĐC huyện Tủa Chùa</t>
  </si>
  <si>
    <t>592/QĐ-UBND 23/4/2021</t>
  </si>
  <si>
    <t>Đường UBND xã Huổi Só - khu TĐC Huổi Lóng, xã Huổi Só, vùng TĐC huyện Tủa Chùa</t>
  </si>
  <si>
    <t>2023-20254</t>
  </si>
  <si>
    <t>2167/QĐ-UBND 25/11/2022</t>
  </si>
  <si>
    <t>813/QĐ-UBND 27/5/2021</t>
  </si>
  <si>
    <t>Cấp nước sinh hoạt điểm tái định cư Tà Si Láng, xã Tủa Thàng, vùng TĐC huyện Tủa Chùa</t>
  </si>
  <si>
    <t>759/QĐ-UBND 20/5/2021</t>
  </si>
  <si>
    <t>2199/QĐ-UBND 30/11/2022</t>
  </si>
  <si>
    <t>Đường giao thông Tả Phìn - Huổi Só - Sông Đà, vùng TĐC huyện Tủa Chùa</t>
  </si>
  <si>
    <t>2168/QĐ-UBND 25/11/2022</t>
  </si>
  <si>
    <t>Đường giao thông Huổi Só - Háng Pàng - Páo Tỉnh Làng xã Tả Sìn Thàng, vùng TĐC huyện Tủa Chùa</t>
  </si>
  <si>
    <t>2170/QĐ-UBND 25/11/2022</t>
  </si>
  <si>
    <t>894/QĐ-UBND 11/5/2022</t>
  </si>
  <si>
    <t>891/QĐ-UBND 11/5/2022</t>
  </si>
  <si>
    <t>Thủy lợi  bản Làng Giang , xã Sín Chải, vùng TĐC huyện Tủa Chùa</t>
  </si>
  <si>
    <t>737/QĐ-UBND 17/5/2021</t>
  </si>
  <si>
    <t>Cấp nước sinh hoạt cụm Pa Phông thuộc khu tái định cư Huổi Lóng, xã Huổi Só, vùng TĐC huyện Tủa Chùa</t>
  </si>
  <si>
    <t>693/QĐ-UBND 11/5/2022</t>
  </si>
  <si>
    <t>Cấp nước sinh hoạt thôn Huổi Ca thuộc khu tái định cư Huổi Lóng, xã Huổi Só, vùng TĐC huyện Tủa Chùa</t>
  </si>
  <si>
    <t>820/QĐ-UBND 27/5/2021</t>
  </si>
  <si>
    <t>738/QĐ-UBND 17/5/2021</t>
  </si>
  <si>
    <t>Vốn dự phòng ngân sách trung ương bừng sáng Điện Biên</t>
  </si>
  <si>
    <t>Dự án cấp điện nông thôn từ lưới điện quốc gia (Chương trình “Bừng sáng Điện Biên”) - huyện Tủa Chùa</t>
  </si>
  <si>
    <t>2024-2026</t>
  </si>
  <si>
    <t>1539 ngày 23/8/2024</t>
  </si>
  <si>
    <t>Sửa chữa Trụ sở Phòng Tài chính - Kế hoạch huyện Tủa Chùa</t>
  </si>
  <si>
    <t>Biểu 01: TÌNH HÌNH TRIỂN KHAI THỰC HIỆN VÀ GIẢI NGÂN CÁC NGUỒN VỐN ĐẦU TƯ CÔNG NĂM 2024 ĐẾN THỜI ĐIỂM HIỆN NAY</t>
  </si>
  <si>
    <t>Lũy kế giao vốn đến 2024</t>
  </si>
  <si>
    <t>Lũy kế giải ngân đến 2024</t>
  </si>
  <si>
    <t>Thừa</t>
  </si>
  <si>
    <t>Nhu cầu vốn còn thiếu</t>
  </si>
  <si>
    <t>Lũy kế kế hoạch vốn giao 2024</t>
  </si>
  <si>
    <t>KH giao năm 2024</t>
  </si>
  <si>
    <t>Giải ngân KHV năm 2024 đến thời điểm hiện nay</t>
  </si>
  <si>
    <t>Lũy kế giải ngân đến thời điểm báo cáo đến 2024</t>
  </si>
  <si>
    <t>Tỷ lệ % tại thời điểm hiện nay so với KH vốn giao năm 2024</t>
  </si>
  <si>
    <t>% khối lượng ngoài hiện trường</t>
  </si>
  <si>
    <t>Kế hoạch vốn được giao 2022 và được phép  kéo dài thực hiện sang năm 2024</t>
  </si>
  <si>
    <t>Kế hoạch vốn được giao 2023 và được phép  kéo dài thực hiện sang năm 2024</t>
  </si>
  <si>
    <t>Năm 2024</t>
  </si>
  <si>
    <t>Giải ngân KH 2022 và được phép  kéo dài thực hiện sang năm 2024</t>
  </si>
  <si>
    <t>Giải ngân KH 2023 và được phép  kéo dài thực hiện sang năm 2024</t>
  </si>
  <si>
    <t>Giải ngân KH Năm 2024</t>
  </si>
  <si>
    <t>3339/QĐ-UBND ngày 19/7/2024</t>
  </si>
  <si>
    <t>84%</t>
  </si>
  <si>
    <t>247/QĐ-UBND ngày 14/3/2023</t>
  </si>
  <si>
    <t xml:space="preserve">Đã bàn giao công trình đưa vào sử dụng </t>
  </si>
  <si>
    <t>Đã hoàn thành 20% khối lượng theo hợp đồng</t>
  </si>
  <si>
    <t>3193/QĐ-UBND ngày 14/12/2023</t>
  </si>
  <si>
    <t>100%</t>
  </si>
  <si>
    <t>Sửa chữa nâng cấp nhà khách Văn phòng HĐND&amp;UBND huyện Tủa Chùa (cơ sở 2)</t>
  </si>
  <si>
    <t>Khắc phục hậu quả mưa lũ Kè chắn đất cánh đồng Tà Là Cáo, xã Sính Phình</t>
  </si>
  <si>
    <t>2021-2022</t>
  </si>
  <si>
    <t>597 ngày 18/6/2021</t>
  </si>
  <si>
    <t>Nguồn tăng thu ngân sách</t>
  </si>
  <si>
    <t>1723 ngày 23/9/2021</t>
  </si>
  <si>
    <t>Hết</t>
  </si>
  <si>
    <t>1656 ngày 09/9/2021</t>
  </si>
  <si>
    <t>2755 ngày 29/9/2023</t>
  </si>
  <si>
    <t>hết</t>
  </si>
  <si>
    <t>2901 ngày 19/10/2023</t>
  </si>
  <si>
    <t>Nợ vốn</t>
  </si>
  <si>
    <t>235 ngày 08/02/2022</t>
  </si>
  <si>
    <t>Bổ sung, nâng cấp các trường Tiểu học và THCS trên địa bàn xã Tủa Thàng</t>
  </si>
  <si>
    <t>3363 ngày 30/12/2021</t>
  </si>
  <si>
    <t>Bổ sung, nâng cấp các trường Tiểu học và THCS trên địa bàn xã Sính Phình</t>
  </si>
  <si>
    <t>3364 ngày 30/12/2021</t>
  </si>
  <si>
    <t>Đường Nhù Pông Chua đi thôn 3 xã Sính Phình</t>
  </si>
  <si>
    <t>2945 ngày 06/12/2022</t>
  </si>
  <si>
    <t>Mở mới tuyến đường từ Đở Áng Đàng đi thôn Phiêng Páng, xã Sính Phình</t>
  </si>
  <si>
    <t>2946 ngày 6/12/2023</t>
  </si>
  <si>
    <t>Nâng cấp tuyến đường nội thôn Nà Sa từ ông Thào A Lử đến nhà ông Giàng A Hạng, xã Tả Phìn</t>
  </si>
  <si>
    <t>2947 ngày 06/12/2022</t>
  </si>
  <si>
    <t>2948 ngày 06/12/2022</t>
  </si>
  <si>
    <t>2950 ngày 06/12/2022</t>
  </si>
  <si>
    <t>2951 ngày 06/12/2022</t>
  </si>
  <si>
    <t xml:space="preserve"> Cấp điện sinh hoạt bản Huổi só, xã Huổi Só</t>
  </si>
  <si>
    <t>3054 ngày 15/11/2023</t>
  </si>
  <si>
    <t>Còn QT</t>
  </si>
  <si>
    <t>3061 ngày 16/11/2023</t>
  </si>
  <si>
    <t>3084 ngày 22/11/2023</t>
  </si>
  <si>
    <t>3037 ngày 14/11/2023</t>
  </si>
  <si>
    <t>Đường nội thôn Pàng Dề A, xã Xá Nhè</t>
  </si>
  <si>
    <t>3055 ngày 15/11/2023</t>
  </si>
  <si>
    <t>3031 ngày 14/11/2023</t>
  </si>
  <si>
    <t>3032 ngày 14/11/2023</t>
  </si>
  <si>
    <t>3079 ngày 21/11/2023</t>
  </si>
  <si>
    <t>3057 ngày 15/11/2023</t>
  </si>
  <si>
    <t>3034 ngày 14/11/2023</t>
  </si>
  <si>
    <t>Nâng đường nội thôn Háng Tơ Mang, xã Mường Báng</t>
  </si>
  <si>
    <t>3035 ngày 14/11/2023</t>
  </si>
  <si>
    <t>3056 ngày 15/11/2023</t>
  </si>
  <si>
    <t>3036 ngày 14/11/2023</t>
  </si>
  <si>
    <t>45%</t>
  </si>
  <si>
    <t>IX</t>
  </si>
  <si>
    <t xml:space="preserve">Đã nghiệm thu hoàn thành công trình </t>
  </si>
  <si>
    <t>Ban QLDA&amp;PTQĐ huyện</t>
  </si>
  <si>
    <t>UBND huyện Tủa Chùa</t>
  </si>
  <si>
    <t>Mẫu số 01/QTNĐ</t>
  </si>
  <si>
    <t>(Ban hành kèm theo Thông tư số 96/2021/TT-BTC ngày 11 tháng 11 năm 2021 của Bộ trưởng Bộ Tài chính)</t>
  </si>
  <si>
    <t>CHỦ ĐẦU TƯ: BAN QLDA VÀ PTQĐ HUYỆN TỦA CHÙA</t>
  </si>
  <si>
    <t>BÁO CÁO QUYẾT TOÁN VỐN ĐẦU TƯ CÔNG NGUỒN NGÂN SÁCH NHÀ NƯỚC THEO NĂM NGÂN SÁCH 2024</t>
  </si>
  <si>
    <t>Đơn vị tính đồng</t>
  </si>
  <si>
    <t>Địa điểm mở tài khoản</t>
  </si>
  <si>
    <t>Mã dự án đầu tư</t>
  </si>
  <si>
    <t>Luỹ kế vốn đã giải ngân từ khởi công đến hết năm ngân sách trước năm quyết toán</t>
  </si>
  <si>
    <t>Số vốn tạm ứng theo chế độ chưa thu hồi của các năm trước nộp điều chỉnh giảm trong năm quyết toán</t>
  </si>
  <si>
    <t>Thanh toán khối lượng hoàn thành trong năm quyết toán phần vốn tạm ứng theo chế độ chưa thu hồi từ khởi công đến hết năm ngân sách trước năm quyết toán</t>
  </si>
  <si>
    <t>Kế hoạch và giải ngân vốn kế hoạch các năm trước được kéo dài thời gian thực hiện và giải ngân sang năm quyết toán</t>
  </si>
  <si>
    <t>Kế hoạch và giải ngân vốn kế hoạch năm quyết toán</t>
  </si>
  <si>
    <t>Tổng số vốn đã thanh toán khối lượng hoàn thành được quyết toán trong năm quyết toán</t>
  </si>
  <si>
    <t>Lũy kế vốn tạm ứng theo chế độ chưa thu hồi đến hết năm quyết toán chuyển sang các năm sau</t>
  </si>
  <si>
    <r>
      <t>Lũy kế số vốn đã giải ngân từ khởi công đến hết</t>
    </r>
    <r>
      <rPr>
        <sz val="9"/>
        <rFont val="Times New Roman"/>
        <family val="1"/>
      </rPr>
      <t> </t>
    </r>
    <r>
      <rPr>
        <b/>
        <sz val="9"/>
        <rFont val="Times New Roman"/>
        <family val="1"/>
      </rPr>
      <t>năm quyết toàn</t>
    </r>
  </si>
  <si>
    <t>Vốn kế hoạch được kéo dài</t>
  </si>
  <si>
    <t>Giải ngân</t>
  </si>
  <si>
    <t>Vốn kế hoạch tiếp tục được phép kéo dài thời gian thực hiện và giải ngân sang năm sau năm quyết toán (nếu có)</t>
  </si>
  <si>
    <t>Số vốn còn lại chưa giải ngân hủy bỏ (nếu có)</t>
  </si>
  <si>
    <t>Vốn kế hoạch năm quyết toán</t>
  </si>
  <si>
    <t>Vốn kế hoạch được phép kéo dài thời gian thực hiện và giải ngân sang năm sau năm quyết toán (nếu có)</t>
  </si>
  <si>
    <t>Trong đó: vốn tạm ứng theo chế độ chưa thu hồi</t>
  </si>
  <si>
    <t>Tổng số</t>
  </si>
  <si>
    <t>Vốn tạm ứng</t>
  </si>
  <si>
    <t>11=12+13</t>
  </si>
  <si>
    <t>15=10-11-14</t>
  </si>
  <si>
    <t>17= 18+19</t>
  </si>
  <si>
    <t>21=16-17-20</t>
  </si>
  <si>
    <t>22=9+12 +18</t>
  </si>
  <si>
    <t>23=7-8-9+13+19</t>
  </si>
  <si>
    <t>24=6-8+11+17</t>
  </si>
  <si>
    <t>Vốn trong nước</t>
  </si>
  <si>
    <t>Vốn nước ngoài, trong đó:</t>
  </si>
  <si>
    <t>- Giải ngân theo cơ chế ghi thu, ghi chi</t>
  </si>
  <si>
    <t>- Giải ngân theo cơ chế tài chính trong nước</t>
  </si>
  <si>
    <t>A.1</t>
  </si>
  <si>
    <t>Các dự án thuộc kế hoạch năm 2024</t>
  </si>
  <si>
    <t>A.11</t>
  </si>
  <si>
    <t>Thanh toán KBNN huyện</t>
  </si>
  <si>
    <t>KBNN huyện Tủa Chùa</t>
  </si>
  <si>
    <t>Vốn XDCB Tập trung huyện quản lý</t>
  </si>
  <si>
    <t>7944767</t>
  </si>
  <si>
    <t>Dự án sắp xếp ổn định dân cư bản Huổi Só, xã Huổi Só, huyện Tủa Chùa. Đối ứng 0512</t>
  </si>
  <si>
    <t>Vốn XDCB Tập trung tỉnh quản lý uỷ quyền huyện thanh toán</t>
  </si>
  <si>
    <t>Nâng cấp các tuyến đường nội thị thị trấn Tủa Chùa, huyện Tủa Chùa</t>
  </si>
  <si>
    <t>Nâng cấp, sửa chữa Nhà khách Huyện ủy - HĐND và UBND huyện Tủa Chùa</t>
  </si>
  <si>
    <t>Xây dựng trường PTDT bán trú tiểu học xã Mường Đun, huyện Tủa Chùa</t>
  </si>
  <si>
    <t>8059350</t>
  </si>
  <si>
    <t>8059351</t>
  </si>
  <si>
    <t>8019879</t>
  </si>
  <si>
    <t>8019880</t>
  </si>
  <si>
    <t>8029887</t>
  </si>
  <si>
    <t>Chương trình MTQG phát triển KT-XH vùng ĐBDTTS và miền núi giai đoạn 2021-2025</t>
  </si>
  <si>
    <t xml:space="preserve">Đường Nhù Pông Chua đi thôn 3 xã Sính Phình. </t>
  </si>
  <si>
    <t>Mở mới tuyến đường từ Đở Áng Đàng đi thôn Phiêng Páng, xã Sính Phình.</t>
  </si>
  <si>
    <t>Nâng cấp tuyến đường nội thôn Nà Sa từ ông Thào A Lử đến nhà ông Giàng A Hạng, xã Tả Phìn. Mã DA: 8012989</t>
  </si>
  <si>
    <t xml:space="preserve">Nâng cấp tuyến đường từ trung tâm xã - thông Háng Là, xã Sín Chải. </t>
  </si>
  <si>
    <t>Bổ sung, nâng cấp trường Tiểu học và THCS Lao Xả Phình, xã Lao Xả Phình.</t>
  </si>
  <si>
    <t xml:space="preserve">Bổ sung, nâng cấp các trường Tiểu học và THCS trên địa bàn xã Tả Phìn. </t>
  </si>
  <si>
    <t>A.12</t>
  </si>
  <si>
    <t>Thanh toán KBNN tỉnh Điện Biên</t>
  </si>
  <si>
    <t>Vốn Ngân sách trung ương hỗ trợ</t>
  </si>
  <si>
    <t>Nâng cấp đường thị trấn - Sính Phình - Tả Phìn, huyện Tủa Chùa</t>
  </si>
  <si>
    <t>KBNN tỉnh Điện Biên</t>
  </si>
  <si>
    <t>8033868</t>
  </si>
  <si>
    <t>8008671</t>
  </si>
  <si>
    <t>7971185</t>
  </si>
  <si>
    <t>7971184</t>
  </si>
  <si>
    <t>7972863</t>
  </si>
  <si>
    <t>CHƯƠNG TRÌNH MỤC TIÊU QUỐC GIA PHÁT TRIỂN KINH TẾ - XÃ HỘI VÙNG ĐỒNG BÀO DÂN TỘC THIỂU SỐ VÀ MIỀN NÚI (NQ88)</t>
  </si>
  <si>
    <t>7969931</t>
  </si>
  <si>
    <t>7969928</t>
  </si>
  <si>
    <t>8059352</t>
  </si>
  <si>
    <t>7969933</t>
  </si>
  <si>
    <t>7969932</t>
  </si>
  <si>
    <t>8012997</t>
  </si>
  <si>
    <t>8013005</t>
  </si>
  <si>
    <t>8013007</t>
  </si>
  <si>
    <t>8012998</t>
  </si>
  <si>
    <t>8012663</t>
  </si>
  <si>
    <t>8012999</t>
  </si>
  <si>
    <t>8012996</t>
  </si>
  <si>
    <t>8012981</t>
  </si>
  <si>
    <t>8013000</t>
  </si>
  <si>
    <t>8012662</t>
  </si>
  <si>
    <t>8012994</t>
  </si>
  <si>
    <t>8013006</t>
  </si>
  <si>
    <t>Đường sản xuất cụm dân cư Tà Si Láng, xã Tủa Thàng, vùng TĐC huyện Tủa Chùa</t>
  </si>
  <si>
    <t>8012980</t>
  </si>
  <si>
    <t>Thủy lợi  bản Làng Giang, xã Sín Chải, vùng TĐC huyện Tủa Chùa</t>
  </si>
  <si>
    <t>8013002</t>
  </si>
  <si>
    <t>8013001</t>
  </si>
  <si>
    <t>8013003</t>
  </si>
  <si>
    <t>Vốn dự phòng Ngân sách trung ương</t>
  </si>
  <si>
    <t>Dự án cấp điện nông thôn từ lưới điện quốc gia (Chương trình”Bừng sáng Điện Biên”) - huyện Tủa Chùa</t>
  </si>
  <si>
    <t>Tủa Chùa, ngày          tháng        năm 2025</t>
  </si>
  <si>
    <t>ĐẠI DIỆN CHỦ ĐẦU TƯ</t>
  </si>
  <si>
    <t>(Ký, ghi rõ họ tên, chức vụ và đóng dấu)</t>
  </si>
  <si>
    <t>Giám đốc</t>
  </si>
  <si>
    <t>Lê Quang Đạo</t>
  </si>
  <si>
    <t>8012995</t>
  </si>
  <si>
    <t>8013004</t>
  </si>
  <si>
    <t>BÁO CÁO QUYẾT TOÁN VỐN ĐẦU TƯ CÔNG NGUỒN NGÂN SÁCH NHÀ NƯỚC THEO NĂM NGÂN SÁCH 2023</t>
  </si>
  <si>
    <r>
      <t>Lũy kế số vốn đã giải ngân từ khởi công đến hết</t>
    </r>
    <r>
      <rPr>
        <sz val="8"/>
        <rFont val="Times New Roman"/>
        <family val="1"/>
      </rPr>
      <t> </t>
    </r>
    <r>
      <rPr>
        <b/>
        <sz val="8"/>
        <rFont val="Times New Roman"/>
        <family val="1"/>
      </rPr>
      <t>năm quyết toàn</t>
    </r>
  </si>
  <si>
    <t>Các dự án thuộc kế hoạch năm 2023</t>
  </si>
  <si>
    <t>Thanh toán KBNN huyện Tủa Chùa</t>
  </si>
  <si>
    <t>Xây dựng cổng chào và hệ thống đèn chiếu sáng tuyến đường từ Trụ sở UBND xã Mường Báng - Đội 10 và vào Khu TĐC Huổi Lực huyện Tủa Chùa (xây mới)</t>
  </si>
  <si>
    <t>Đấu giá đất Huổi Lực thị trấn Tủa Chùa</t>
  </si>
  <si>
    <t>Nâng cấp tuyến đường Sính Phình - Dê Giàng (phân đoạn Km3 -:- Km 3+981); đường vào Trạm Y tế và điểm trường tiểu học số 2 xã Sính Phình</t>
  </si>
  <si>
    <t>Cải tạo, sửa chữa Trung tâm Giáo dục nghề nghiệp - Giáo dục thường xuyên huyện</t>
  </si>
  <si>
    <t>Nâng cấp tuyến đường Mường Đun - Nà Sa (Phân đoạn: Lý trình Km0+00 đến km1+200)</t>
  </si>
  <si>
    <t>Vốn bảo trì giao thông đường bộ</t>
  </si>
  <si>
    <t>Xử lý một số vị trí mất an toàn giao thông, sửa chữa hư hỏng nền, mặt đường, công trình thoát nước đường Tả Sìn Thàng - Sín Chải</t>
  </si>
  <si>
    <t>Trường Mầm non thị trấn Tủa Chùa (giai đoạn 2)</t>
  </si>
  <si>
    <t xml:space="preserve">Nâng cấp đường liên thôn từ Kể Cải - Từ Ngài 2 - Từ Ngài 1 - Háng Trở </t>
  </si>
  <si>
    <t>8012986</t>
  </si>
  <si>
    <t>Nâng cấp đường liên thôn Đông Phi - Háng Tơ Mang, xã Mường Báng</t>
  </si>
  <si>
    <t>8012987</t>
  </si>
  <si>
    <t>Thủy lợi Nà Luông Tinh Bản Đun, xã Mường Đun</t>
  </si>
  <si>
    <t>7969930</t>
  </si>
  <si>
    <t>Nâng cấp tuyến đường nội thôn Tà Huổi Tráng 1, xã Tủa Thàng</t>
  </si>
  <si>
    <t>7969929</t>
  </si>
  <si>
    <t>Sửa chữa, nâng cấp tuyến đường từ thôn Bản Hột đi Bản Kép, xã Mường Đun</t>
  </si>
  <si>
    <t>7969934</t>
  </si>
  <si>
    <t>Nâng cấp đường nội thôn Tiên Phong, xã Mường Báng</t>
  </si>
  <si>
    <t>7969935</t>
  </si>
  <si>
    <t>Nâng cấp đường nội thôn Nà Áng, xã Mường Báng</t>
  </si>
  <si>
    <t>7969937</t>
  </si>
  <si>
    <t>Nhà văn hóa thôn Từ Ngài 1, xã Mường Báng</t>
  </si>
  <si>
    <t>7969936</t>
  </si>
  <si>
    <t>Nước sinh hoạt trung tâm xã Trung Thu, huyện Tủa Chùa</t>
  </si>
  <si>
    <t>7969938</t>
  </si>
  <si>
    <t>Nước sinh hoạt thôn 3, xã Lao Xả Phình, huyện Tủa Chùa</t>
  </si>
  <si>
    <t>8012993</t>
  </si>
  <si>
    <t xml:space="preserve">Mở mới tuyến đường từ Đở Áng Đàng đi thôn Phiêng Páng, xã Sính Phình. </t>
  </si>
  <si>
    <t>Nâng cấp tuyến đường nội thôn Nà Sa từ ông Thào A Lử đến nhà ông Giàng A Hạng, xã Tả Phìn.</t>
  </si>
  <si>
    <t>Chợ Huổi Lóng xã Huổi Só</t>
  </si>
  <si>
    <t>8012985</t>
  </si>
  <si>
    <t>Tủa Chùa, ngày          tháng        năm 2024</t>
  </si>
  <si>
    <t>CHỦ ĐẦU TƯ: BAN QLDA CÁC CÔNG TRÌNH HUYỆN TỦA CHÙA</t>
  </si>
  <si>
    <t>BÁO CÁO QUYẾT TOÁN VỐN ĐẦU TƯ CÔNG NGUỒN NGÂN SÁCH NHÀ NƯỚC THEO NĂM NGÂN SÁCH 2022</t>
  </si>
  <si>
    <r>
      <t>Lũy kế số vốn đã giải ngân từ khởi công đến hết</t>
    </r>
    <r>
      <rPr>
        <sz val="10"/>
        <rFont val="Times New Roman"/>
        <family val="1"/>
      </rPr>
      <t> </t>
    </r>
    <r>
      <rPr>
        <b/>
        <sz val="10"/>
        <rFont val="Times New Roman"/>
        <family val="1"/>
      </rPr>
      <t>năm quyết toàn</t>
    </r>
  </si>
  <si>
    <t>Các dự án thuộc kế hoạch năm 2022</t>
  </si>
  <si>
    <t>Vốn Ngân sách nhà nước huyện</t>
  </si>
  <si>
    <t xml:space="preserve">Đầu tư xây dựng cơ sở hạ tầng khu đất để đấu giá quyền sử dụng đất ở tại tổ dân phố Đồng Tâm, thị trấn Tủa Chùa, huyện Tủa Chùa </t>
  </si>
  <si>
    <t>Đấu giá đất Huổi Lực, thị trấn Tủa Chùa</t>
  </si>
  <si>
    <t>Xây dựng hạng mục phụ trợ Nhà văn hóa xã Sín Chải</t>
  </si>
  <si>
    <t>Xây dựng Nhà văn hoá TDP Thống Nhất thị trấn Tủa Chùa</t>
  </si>
  <si>
    <t>Nâng cấp tuyến đường nội thị thị trấn Tủa Chùa</t>
  </si>
  <si>
    <t>Vốn Ngân sách trung ương theo Quyết định 2085</t>
  </si>
  <si>
    <t>Nhà sinh hoạt cộng đồng + trang thiết bị điểm ĐCĐC Phàng Mủ Phình, xã Tả Phìn, huyện Tủa Chùa</t>
  </si>
  <si>
    <t>Trường mầm non Lao Xả Phình, huyện Tủa Chùa</t>
  </si>
  <si>
    <t>Vốn XDCB tập trung tỉnh quản lý</t>
  </si>
  <si>
    <t xml:space="preserve">Trường mầm non Huổi Só, huyện Tủa Chùa  </t>
  </si>
  <si>
    <t xml:space="preserve">Trường mầm non Tủa Thàng số 1, huyện Tủa Chùa  </t>
  </si>
  <si>
    <t>Đường Trung tâm xã Mường Đun - bản Hột, huyện Tủa Chùa</t>
  </si>
  <si>
    <t>Tủa Chùa, ngày          tháng        năm 2023</t>
  </si>
  <si>
    <t>Số 447 ngày 08/4/2021</t>
  </si>
  <si>
    <t>Chương trình hỗ trợ đồng bào dân tộc miền núi theo Quyết định số 2085/QĐ-TTg ngày 31/10/2016 của Thủ tướng Chính phủ</t>
  </si>
  <si>
    <t>2021-2021</t>
  </si>
  <si>
    <t>Thị trấn</t>
  </si>
  <si>
    <t>Xã Mường Đun</t>
  </si>
  <si>
    <t>Xã Huổi Só</t>
  </si>
  <si>
    <t>Xã Mường Báng</t>
  </si>
  <si>
    <t>Huyện Tủa Chùa</t>
  </si>
  <si>
    <t>Xã Sín Chải</t>
  </si>
  <si>
    <t>Thị trấn, xã Mường Báng</t>
  </si>
  <si>
    <t xml:space="preserve">Thị trấn </t>
  </si>
  <si>
    <t>Vốn hỗ trợ thực hiện chính sách bảo vệ và phát triển đất trồng lúa và các nguồn vốn khác</t>
  </si>
  <si>
    <t>Sửa chữa các công trình thủy lợi Đề Bâu, xã Trung Thu; thủy lợi Háng Tơ Mang, xã Mường Báng</t>
  </si>
  <si>
    <t>Phòng Nông nghiệp và Môi trường huyện</t>
  </si>
  <si>
    <t>Các xã: Trung Thu, Mường Báng</t>
  </si>
  <si>
    <t>287/QĐ-UBND ngày 21/3/2025</t>
  </si>
  <si>
    <t>Dự án tạm dừng. Chuyển giai đoạn 2026-2030</t>
  </si>
  <si>
    <t>Xã Tủa Thàng</t>
  </si>
  <si>
    <t>Các xã: Sính Phình, Tả Phìn; Thị trấn</t>
  </si>
  <si>
    <t>Các xã: Tả Phìn, Huổi Só</t>
  </si>
  <si>
    <t>Xã Xá Nhè</t>
  </si>
  <si>
    <t>Xã Lao Xả Phình</t>
  </si>
  <si>
    <t>Xã Trung Thu</t>
  </si>
  <si>
    <t>Xã Tả Phìn</t>
  </si>
  <si>
    <t>Xã Sính Phình</t>
  </si>
  <si>
    <t>Xã Tả Sín Thàng</t>
  </si>
  <si>
    <t>Xã Tả Sìn Thàng</t>
  </si>
  <si>
    <t>Xây dựng mới nhà văn hóa - Khu thể thao các thôn, bản: Pàng Dề B, Phiêng Quảng, xã Xá Nhè; Đề Dê Hu 2, xã Sính Phình, huyện Tủa Chùa</t>
  </si>
  <si>
    <t>Phòng Văn hóa, Khoa học và Thông tin huyện</t>
  </si>
  <si>
    <t>Các xã: Xá Nhè, Sính Phình</t>
  </si>
  <si>
    <t>4974 ngày 12/11/2024</t>
  </si>
  <si>
    <t xml:space="preserve">Chương trình mục tiêu quốc gia giảm nghèo bền vững </t>
  </si>
  <si>
    <t>Các xã: Lao Xả Phình, Tả Sìn Thàng</t>
  </si>
  <si>
    <t>Các xã: Xá Nhè, Mường Đun</t>
  </si>
  <si>
    <t>Chương trình mục tiêu quốc gia xây dựng nông thôn mới (bao gồm cả vốn trong nước và nước ngoài)</t>
  </si>
  <si>
    <t xml:space="preserve">II </t>
  </si>
  <si>
    <t>Nâng cấp, cải tạo vỉa hè tuyến đường tỉnh ĐT.140 (đoạn Cổng chào - ngã tư đi Xá Nhè), huyện Tủa Chùa</t>
  </si>
  <si>
    <t>UBND xã Mường Báng</t>
  </si>
  <si>
    <t xml:space="preserve">5670 ngày 30/12/2024 </t>
  </si>
  <si>
    <t>Vốn cân đối NSNN huyện</t>
  </si>
  <si>
    <t>Phòng Giáo dục và Đào tạo huyện Tủa Chùa</t>
  </si>
  <si>
    <t>19/5/2025</t>
  </si>
  <si>
    <t>15/11/2025</t>
  </si>
  <si>
    <t>67/QĐ-UBND ngày 21/01/2025</t>
  </si>
  <si>
    <t>01/7/2025</t>
  </si>
  <si>
    <t>96/QĐ-UBND ngày 24/01/2025</t>
  </si>
  <si>
    <t>28/4/2025</t>
  </si>
  <si>
    <t>28/02/2026</t>
  </si>
  <si>
    <t>21/5/2025</t>
  </si>
  <si>
    <t>21/3/2026</t>
  </si>
  <si>
    <t>06/5/2025</t>
  </si>
  <si>
    <t>06/3/2026</t>
  </si>
  <si>
    <t>Vốn sự nghiệp giáo dục</t>
  </si>
  <si>
    <t xml:space="preserve">Trường Mầm non Trung Thu, huyện Tủa Chùa </t>
  </si>
  <si>
    <t>Trường Mầm non Trung Thu, huyện Tủa Chùa (giai đoạn 1)</t>
  </si>
  <si>
    <t>Bổ sung, nâng cấp trường PTDTBT TH Kim Đồng, huyện Tủa Chùa</t>
  </si>
  <si>
    <t>Bổ sung, nâng cấp trường Tiểu học Thị trấn, huyện Tủa Chùa</t>
  </si>
  <si>
    <t>Bổ sung, nâng cấp trường Trung học cơ sở Thị trấn, huyện Tủa Chùa</t>
  </si>
  <si>
    <t>274/QĐ-UBND ngày 18/3/2025</t>
  </si>
  <si>
    <t>275/QĐ-UBND ngày 19/3/2025</t>
  </si>
  <si>
    <t>261/QĐ-UBND ngày 14/3/2025</t>
  </si>
  <si>
    <t>Xã Tủa Chùa</t>
  </si>
  <si>
    <t>(Kèm theo Báo cáo số            /BC-UBND ngày        /      /2025 của UBND huyện Tủa Chùa)</t>
  </si>
  <si>
    <t>Bàn giao cho Ban QLDA khu vực (dự kiến thành lập mới)</t>
  </si>
  <si>
    <t>2025
(giải ngân đến 16/6/2025)</t>
  </si>
  <si>
    <t>Kế hoạch vốn NSĐP còn lại chưa thực hiện bàn giao cho đơn vị khác đến thời điểm 16/6/2025</t>
  </si>
  <si>
    <t>Kế hoạch vốn NSTW còn lại chưa thực hiện bàn giao cho đơn vị khác đến thời điểm 16/6/2025</t>
  </si>
  <si>
    <t>Kế hoạch vốn CTMTQG còn lại chưa thực hiện bàn giao cho đơn vị khác đến thời điểm 16/6/2025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</si>
</sst>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 #,##0.00_-;\-* #,##0.00_-;_-* &quot;-&quot;??_-;_-@_-"/>
    <numFmt numFmtId="165" formatCode="_(* #,##0.00_);_(* \(#,##0.00\);_(* &quot;-&quot;??_);_(@_)"/>
    <numFmt numFmtId="166" formatCode="_(* #,##0_);_(* \(#,##0\);_(* &quot;-&quot;??_);_(@_)"/>
    <numFmt numFmtId="167" formatCode="_-* #,##0\ _₫_-;\-* #,##0\ _₫_-;_-* &quot;-&quot;??\ _₫_-;_-@_-"/>
    <numFmt numFmtId="168" formatCode="_-* #,##0_-;\-* #,##0_-;_-* &quot;-&quot;??_-;_-@_-"/>
    <numFmt numFmtId="169" formatCode="#,##0.0"/>
    <numFmt numFmtId="170" formatCode="0_);\(0\)"/>
    <numFmt numFmtId="171" formatCode="_(* #,##0.0000_);_(* \(#,##0.0000\);_(* &quot;-&quot;??_);_(@_)"/>
    <numFmt numFmtId="172" formatCode="_(* #,##0.000_);_(* \(#,##0.000\);_(* &quot;-&quot;??_);_(@_)"/>
    <numFmt numFmtId="173" formatCode="0.000"/>
    <numFmt numFmtId="174" formatCode="_-* #,##0.000_-;\-* #,##0.000_-;_-* &quot;-&quot;??_-;_-@_-"/>
    <numFmt numFmtId="175" formatCode="_(* #,##0.000_);_(* \(#,##0.000\);_(* &quot;-&quot;???_);_(@_)"/>
    <numFmt numFmtId="176" formatCode="_-* #,##0.0000_-;\-* #,##0.0000_-;_-* &quot;-&quot;??_-;_-@_-"/>
    <numFmt numFmtId="177" formatCode="_-* #,##0.0000\ _₫_-;\-* #,##0.0000\ _₫_-;_-* &quot;-&quot;??\ _₫_-;_-@_-"/>
  </numFmts>
  <fonts count="62">
    <font>
      <sz val="11"/>
      <color theme="1"/>
      <name val="Calibri"/>
      <family val="2"/>
      <charset val="163"/>
      <scheme val="minor"/>
    </font>
    <font>
      <sz val="11"/>
      <color theme="1"/>
      <name val="Calibri"/>
      <family val="2"/>
      <scheme val="minor"/>
    </font>
    <font>
      <sz val="11"/>
      <color theme="1"/>
      <name val="Calibri"/>
      <family val="2"/>
      <charset val="163"/>
      <scheme val="minor"/>
    </font>
    <font>
      <sz val="12"/>
      <color theme="1"/>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2"/>
      <color theme="1"/>
      <name val="Times New Roman"/>
      <family val="2"/>
    </font>
    <font>
      <sz val="10"/>
      <name val="Times New Roman"/>
      <family val="1"/>
    </font>
    <font>
      <b/>
      <sz val="10"/>
      <name val="Times New Roman"/>
      <family val="1"/>
    </font>
    <font>
      <b/>
      <sz val="11"/>
      <name val="Times New Roman"/>
      <family val="1"/>
    </font>
    <font>
      <i/>
      <sz val="11"/>
      <name val="Times New Roman"/>
      <family val="1"/>
    </font>
    <font>
      <sz val="12"/>
      <color rgb="FFFF0000"/>
      <name val="Times New Roman"/>
      <family val="1"/>
    </font>
    <font>
      <sz val="10"/>
      <name val="Helv"/>
      <family val="2"/>
    </font>
    <font>
      <sz val="11"/>
      <name val="Times New Roman"/>
      <family val="1"/>
    </font>
    <font>
      <sz val="14"/>
      <name val="Times New Roman"/>
      <family val="1"/>
    </font>
    <font>
      <b/>
      <i/>
      <u/>
      <sz val="11"/>
      <name val="Times New Roman"/>
      <family val="1"/>
    </font>
    <font>
      <sz val="11"/>
      <color rgb="FFFF0000"/>
      <name val="Times New Roman"/>
      <family val="1"/>
    </font>
    <font>
      <sz val="11"/>
      <color indexed="8"/>
      <name val="Calibri"/>
      <family val="2"/>
    </font>
    <font>
      <b/>
      <i/>
      <sz val="11"/>
      <name val="Times New Roman"/>
      <family val="1"/>
    </font>
    <font>
      <sz val="10"/>
      <name val="Arial"/>
      <family val="2"/>
    </font>
    <font>
      <sz val="11"/>
      <color theme="1"/>
      <name val="Arial"/>
      <family val="2"/>
    </font>
    <font>
      <b/>
      <u/>
      <sz val="11"/>
      <color rgb="FFFF0000"/>
      <name val="Times New Roman"/>
      <family val="1"/>
    </font>
    <font>
      <b/>
      <sz val="11"/>
      <color rgb="FFFF0000"/>
      <name val="Times New Roman"/>
      <family val="1"/>
    </font>
    <font>
      <sz val="11"/>
      <name val="Calibri"/>
      <family val="2"/>
      <charset val="163"/>
      <scheme val="minor"/>
    </font>
    <font>
      <b/>
      <sz val="12"/>
      <color rgb="FFFF0000"/>
      <name val="Times New Roman"/>
      <family val="1"/>
    </font>
    <font>
      <i/>
      <sz val="11"/>
      <color rgb="FFFF0000"/>
      <name val="Times New Roman"/>
      <family val="1"/>
    </font>
    <font>
      <u/>
      <sz val="11"/>
      <color rgb="FFFF0000"/>
      <name val="Times New Roman"/>
      <family val="1"/>
    </font>
    <font>
      <b/>
      <sz val="13"/>
      <color rgb="FFFF0000"/>
      <name val="Times New Roman"/>
      <family val="1"/>
    </font>
    <font>
      <sz val="13"/>
      <color rgb="FFFF0000"/>
      <name val="Times New Roman"/>
      <family val="1"/>
    </font>
    <font>
      <i/>
      <sz val="12"/>
      <color rgb="FFFF0000"/>
      <name val="Times New Roman"/>
      <family val="1"/>
    </font>
    <font>
      <sz val="10"/>
      <name val=".VnTime"/>
      <family val="2"/>
    </font>
    <font>
      <u val="singleAccounting"/>
      <sz val="11"/>
      <name val="Times New Roman"/>
      <family val="1"/>
    </font>
    <font>
      <sz val="12"/>
      <color theme="1"/>
      <name val="Times New Roman"/>
      <family val="1"/>
      <charset val="163"/>
    </font>
    <font>
      <u val="singleAccounting"/>
      <sz val="11"/>
      <color rgb="FFFF0000"/>
      <name val="Times New Roman"/>
      <family val="1"/>
    </font>
    <font>
      <sz val="11"/>
      <color theme="3"/>
      <name val="Times New Roman"/>
      <family val="1"/>
    </font>
    <font>
      <sz val="12"/>
      <color theme="3"/>
      <name val="Times New Roman"/>
      <family val="1"/>
    </font>
    <font>
      <sz val="13"/>
      <color theme="3"/>
      <name val="Times New Roman"/>
      <family val="1"/>
    </font>
    <font>
      <sz val="11"/>
      <color rgb="FF00B0F0"/>
      <name val="Times New Roman"/>
      <family val="1"/>
    </font>
    <font>
      <sz val="8"/>
      <name val="Calibri"/>
      <family val="2"/>
      <charset val="163"/>
      <scheme val="minor"/>
    </font>
    <font>
      <u/>
      <sz val="11"/>
      <color theme="10"/>
      <name val="Calibri"/>
      <family val="2"/>
      <charset val="163"/>
      <scheme val="minor"/>
    </font>
    <font>
      <i/>
      <sz val="10"/>
      <name val="Times New Roman"/>
      <family val="1"/>
    </font>
    <font>
      <b/>
      <sz val="16"/>
      <name val="Times New Roman"/>
      <family val="1"/>
    </font>
    <font>
      <sz val="16"/>
      <name val="Times New Roman"/>
      <family val="1"/>
    </font>
    <font>
      <b/>
      <sz val="9"/>
      <name val="Times New Roman"/>
      <family val="1"/>
    </font>
    <font>
      <sz val="9"/>
      <name val="Times New Roman"/>
      <family val="1"/>
    </font>
    <font>
      <b/>
      <i/>
      <sz val="10"/>
      <name val="Times New Roman"/>
      <family val="1"/>
    </font>
    <font>
      <u val="singleAccounting"/>
      <sz val="10"/>
      <name val="Times New Roman"/>
      <family val="1"/>
    </font>
    <font>
      <sz val="10"/>
      <color rgb="FFFF0000"/>
      <name val="Times New Roman"/>
      <family val="1"/>
    </font>
    <font>
      <i/>
      <sz val="16"/>
      <name val="Times New Roman"/>
      <family val="1"/>
    </font>
    <font>
      <b/>
      <sz val="10"/>
      <color rgb="FFFF0000"/>
      <name val="Times New Roman"/>
      <family val="1"/>
    </font>
    <font>
      <b/>
      <sz val="8"/>
      <name val="Times New Roman"/>
      <family val="1"/>
    </font>
    <font>
      <sz val="8"/>
      <name val="Times New Roman"/>
      <family val="1"/>
    </font>
    <font>
      <sz val="8"/>
      <color rgb="FF0070C0"/>
      <name val="Times New Roman"/>
      <family val="1"/>
    </font>
    <font>
      <sz val="8"/>
      <color rgb="FFFF0000"/>
      <name val="Times New Roman"/>
      <family val="1"/>
    </font>
    <font>
      <sz val="8"/>
      <color rgb="FF00B0F0"/>
      <name val="Times New Roman"/>
      <family val="1"/>
    </font>
    <font>
      <b/>
      <sz val="8"/>
      <color rgb="FFFF0000"/>
      <name val="Times New Roman"/>
      <family val="1"/>
    </font>
    <font>
      <b/>
      <sz val="14"/>
      <name val="Times New Roman"/>
      <family val="1"/>
    </font>
    <font>
      <sz val="12"/>
      <name val=".VnTime"/>
      <family val="2"/>
    </font>
    <font>
      <b/>
      <sz val="12"/>
      <color theme="1"/>
      <name val="Times New Roman"/>
      <family val="1"/>
    </font>
    <font>
      <i/>
      <sz val="14"/>
      <name val="Times New Roman"/>
      <family val="1"/>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26">
    <xf numFmtId="0" fontId="0" fillId="0" borderId="0"/>
    <xf numFmtId="164" fontId="2" fillId="0" borderId="0" applyFont="0" applyFill="0" applyBorder="0" applyAlignment="0" applyProtection="0"/>
    <xf numFmtId="165" fontId="8" fillId="0" borderId="0" applyFont="0" applyFill="0" applyBorder="0" applyAlignment="0" applyProtection="0"/>
    <xf numFmtId="0" fontId="14" fillId="0" borderId="0"/>
    <xf numFmtId="165" fontId="16" fillId="0" borderId="0" applyFont="0" applyFill="0" applyBorder="0" applyAlignment="0" applyProtection="0"/>
    <xf numFmtId="0" fontId="14" fillId="0" borderId="0"/>
    <xf numFmtId="165" fontId="16" fillId="0" borderId="0" applyFont="0" applyFill="0" applyBorder="0" applyAlignment="0" applyProtection="0"/>
    <xf numFmtId="165" fontId="19" fillId="0" borderId="0" applyFont="0" applyFill="0" applyBorder="0" applyAlignment="0" applyProtection="0"/>
    <xf numFmtId="0" fontId="4" fillId="0" borderId="0"/>
    <xf numFmtId="0" fontId="21" fillId="0" borderId="0"/>
    <xf numFmtId="0" fontId="22" fillId="0" borderId="0"/>
    <xf numFmtId="0" fontId="16" fillId="0" borderId="0"/>
    <xf numFmtId="0" fontId="21" fillId="0" borderId="0"/>
    <xf numFmtId="0" fontId="1" fillId="0" borderId="0"/>
    <xf numFmtId="0" fontId="21" fillId="0" borderId="0"/>
    <xf numFmtId="165" fontId="19" fillId="0" borderId="0" applyFont="0" applyFill="0" applyBorder="0" applyAlignment="0" applyProtection="0"/>
    <xf numFmtId="0" fontId="14" fillId="0" borderId="0"/>
    <xf numFmtId="165" fontId="21"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0" fontId="32" fillId="0" borderId="0"/>
    <xf numFmtId="0" fontId="1" fillId="0" borderId="0"/>
    <xf numFmtId="0" fontId="41" fillId="0" borderId="0" applyNumberFormat="0" applyFill="0" applyBorder="0" applyAlignment="0" applyProtection="0"/>
    <xf numFmtId="0" fontId="21" fillId="0" borderId="0"/>
    <xf numFmtId="0" fontId="59" fillId="0" borderId="0"/>
    <xf numFmtId="165" fontId="59" fillId="0" borderId="0" applyFont="0" applyFill="0" applyBorder="0" applyAlignment="0" applyProtection="0"/>
  </cellStyleXfs>
  <cellXfs count="911">
    <xf numFmtId="0" fontId="0" fillId="0" borderId="0" xfId="0"/>
    <xf numFmtId="0" fontId="15" fillId="4" borderId="0" xfId="0" applyFont="1" applyFill="1" applyAlignment="1">
      <alignment horizontal="center" vertical="center" wrapText="1"/>
    </xf>
    <xf numFmtId="0" fontId="15" fillId="4" borderId="0" xfId="0" applyFont="1" applyFill="1" applyAlignment="1">
      <alignment vertical="center" wrapText="1"/>
    </xf>
    <xf numFmtId="0" fontId="12" fillId="4" borderId="0" xfId="3" applyFont="1" applyFill="1" applyAlignment="1">
      <alignment horizontal="right" vertical="center" wrapText="1"/>
    </xf>
    <xf numFmtId="0" fontId="11" fillId="4" borderId="1" xfId="3" applyFont="1" applyFill="1" applyBorder="1" applyAlignment="1">
      <alignment horizontal="center" vertical="center" wrapText="1"/>
    </xf>
    <xf numFmtId="0" fontId="11" fillId="4" borderId="1" xfId="3" applyFont="1" applyFill="1" applyBorder="1" applyAlignment="1">
      <alignment vertical="center" wrapText="1"/>
    </xf>
    <xf numFmtId="0" fontId="11" fillId="4" borderId="0" xfId="0" applyFont="1" applyFill="1" applyAlignment="1">
      <alignment horizontal="center" vertical="center" wrapText="1"/>
    </xf>
    <xf numFmtId="0" fontId="11" fillId="4" borderId="0" xfId="0" applyFont="1" applyFill="1" applyAlignment="1">
      <alignment vertical="center" wrapText="1"/>
    </xf>
    <xf numFmtId="0" fontId="15" fillId="4" borderId="1" xfId="3" applyFont="1" applyFill="1" applyBorder="1" applyAlignment="1">
      <alignment horizontal="center" vertical="center" wrapText="1"/>
    </xf>
    <xf numFmtId="0" fontId="15" fillId="4" borderId="1" xfId="3" applyFont="1" applyFill="1" applyBorder="1" applyAlignment="1">
      <alignment vertical="center" wrapText="1"/>
    </xf>
    <xf numFmtId="0" fontId="11" fillId="4" borderId="1" xfId="3" applyFont="1" applyFill="1" applyBorder="1" applyAlignment="1">
      <alignment horizontal="left" vertical="center" wrapText="1"/>
    </xf>
    <xf numFmtId="166" fontId="11" fillId="4" borderId="1" xfId="4" applyNumberFormat="1" applyFont="1" applyFill="1" applyBorder="1" applyAlignment="1">
      <alignment vertical="center" wrapText="1"/>
    </xf>
    <xf numFmtId="0" fontId="12" fillId="4" borderId="0" xfId="3" applyFont="1" applyFill="1" applyAlignment="1">
      <alignment horizontal="center" vertical="center" wrapText="1"/>
    </xf>
    <xf numFmtId="0" fontId="17" fillId="4" borderId="0" xfId="3" applyFont="1" applyFill="1" applyAlignment="1">
      <alignment horizontal="left" vertical="center" wrapText="1"/>
    </xf>
    <xf numFmtId="0" fontId="12" fillId="4" borderId="0" xfId="3" applyFont="1" applyFill="1" applyAlignment="1">
      <alignment vertical="center" wrapText="1"/>
    </xf>
    <xf numFmtId="0" fontId="11" fillId="4" borderId="9" xfId="3" applyFont="1" applyFill="1" applyBorder="1" applyAlignment="1">
      <alignment horizontal="center" vertical="center" wrapText="1"/>
    </xf>
    <xf numFmtId="0" fontId="11" fillId="4" borderId="9" xfId="3" applyFont="1" applyFill="1" applyBorder="1" applyAlignment="1">
      <alignment horizontal="left" vertical="center" wrapText="1"/>
    </xf>
    <xf numFmtId="166" fontId="11" fillId="4" borderId="9" xfId="4" applyNumberFormat="1" applyFont="1" applyFill="1" applyBorder="1" applyAlignment="1">
      <alignment vertical="center" wrapText="1"/>
    </xf>
    <xf numFmtId="1" fontId="11" fillId="4" borderId="1" xfId="5" applyNumberFormat="1" applyFont="1" applyFill="1" applyBorder="1" applyAlignment="1">
      <alignment horizontal="center" vertical="center"/>
    </xf>
    <xf numFmtId="0" fontId="11" fillId="4" borderId="1" xfId="0" applyFont="1" applyFill="1" applyBorder="1" applyAlignment="1">
      <alignment horizontal="left" vertical="center" wrapText="1"/>
    </xf>
    <xf numFmtId="166" fontId="11" fillId="4" borderId="1" xfId="1" applyNumberFormat="1" applyFont="1" applyFill="1" applyBorder="1" applyAlignment="1">
      <alignment vertical="center" wrapText="1"/>
    </xf>
    <xf numFmtId="166" fontId="15" fillId="4" borderId="1" xfId="1" applyNumberFormat="1" applyFont="1" applyFill="1" applyBorder="1" applyAlignment="1">
      <alignment vertical="center" wrapText="1"/>
    </xf>
    <xf numFmtId="166" fontId="11" fillId="4" borderId="1" xfId="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 xfId="0" applyFont="1" applyFill="1" applyBorder="1" applyAlignment="1">
      <alignment horizontal="left" vertical="center" wrapText="1"/>
    </xf>
    <xf numFmtId="166" fontId="18" fillId="4" borderId="1" xfId="1" applyNumberFormat="1" applyFont="1" applyFill="1" applyBorder="1" applyAlignment="1">
      <alignment vertical="center" wrapText="1"/>
    </xf>
    <xf numFmtId="166" fontId="18" fillId="4" borderId="1" xfId="1"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0" xfId="0" applyFont="1" applyFill="1" applyAlignment="1">
      <alignment vertical="center" wrapText="1"/>
    </xf>
    <xf numFmtId="166" fontId="11" fillId="4" borderId="1" xfId="5" applyNumberFormat="1" applyFont="1" applyFill="1" applyBorder="1" applyAlignment="1">
      <alignment vertical="center" wrapText="1"/>
    </xf>
    <xf numFmtId="166" fontId="11" fillId="4" borderId="1" xfId="5" applyNumberFormat="1" applyFont="1" applyFill="1" applyBorder="1" applyAlignment="1">
      <alignment horizontal="center" vertical="center" wrapText="1"/>
    </xf>
    <xf numFmtId="0" fontId="15" fillId="4" borderId="1" xfId="0" applyFont="1" applyFill="1" applyBorder="1" applyAlignment="1">
      <alignment horizontal="left" vertical="center" wrapText="1"/>
    </xf>
    <xf numFmtId="166" fontId="15" fillId="4" borderId="1" xfId="5" applyNumberFormat="1" applyFont="1" applyFill="1" applyBorder="1" applyAlignment="1">
      <alignment vertical="center" wrapText="1"/>
    </xf>
    <xf numFmtId="167" fontId="15" fillId="4" borderId="1" xfId="1" applyNumberFormat="1" applyFont="1" applyFill="1" applyBorder="1" applyAlignment="1">
      <alignment vertical="center"/>
    </xf>
    <xf numFmtId="166" fontId="15" fillId="4" borderId="1" xfId="6" applyNumberFormat="1" applyFont="1" applyFill="1" applyBorder="1" applyAlignment="1">
      <alignment horizontal="center" vertical="center" wrapText="1"/>
    </xf>
    <xf numFmtId="166" fontId="20" fillId="4" borderId="1" xfId="7" applyNumberFormat="1" applyFont="1" applyFill="1" applyBorder="1" applyAlignment="1">
      <alignment horizontal="justify" vertical="center" wrapText="1"/>
    </xf>
    <xf numFmtId="166" fontId="15" fillId="4" borderId="1" xfId="5" applyNumberFormat="1" applyFont="1" applyFill="1" applyBorder="1" applyAlignment="1">
      <alignment horizontal="center" vertical="center" wrapText="1"/>
    </xf>
    <xf numFmtId="166" fontId="18" fillId="2" borderId="1" xfId="7" quotePrefix="1" applyNumberFormat="1" applyFont="1" applyFill="1" applyBorder="1" applyAlignment="1">
      <alignment horizontal="center" vertical="center"/>
    </xf>
    <xf numFmtId="0" fontId="18" fillId="2" borderId="1" xfId="8" applyFont="1" applyFill="1" applyBorder="1" applyAlignment="1">
      <alignment horizontal="left" vertical="center" wrapText="1"/>
    </xf>
    <xf numFmtId="166" fontId="18" fillId="2" borderId="1" xfId="5" applyNumberFormat="1" applyFont="1" applyFill="1" applyBorder="1" applyAlignment="1">
      <alignment vertical="center" wrapText="1"/>
    </xf>
    <xf numFmtId="166" fontId="18" fillId="2" borderId="1" xfId="5"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0" xfId="0" applyFont="1" applyFill="1" applyAlignment="1">
      <alignment vertical="center" wrapText="1"/>
    </xf>
    <xf numFmtId="0" fontId="18" fillId="2" borderId="1" xfId="0" applyFont="1" applyFill="1" applyBorder="1" applyAlignment="1">
      <alignment horizontal="left" vertical="center" wrapText="1"/>
    </xf>
    <xf numFmtId="166" fontId="18" fillId="4" borderId="1" xfId="7" quotePrefix="1" applyNumberFormat="1" applyFont="1" applyFill="1" applyBorder="1" applyAlignment="1">
      <alignment horizontal="center" vertical="center"/>
    </xf>
    <xf numFmtId="0" fontId="18" fillId="4" borderId="1" xfId="8" applyFont="1" applyFill="1" applyBorder="1" applyAlignment="1">
      <alignment horizontal="left" vertical="center" wrapText="1"/>
    </xf>
    <xf numFmtId="166" fontId="18" fillId="4" borderId="1" xfId="5" applyNumberFormat="1" applyFont="1" applyFill="1" applyBorder="1" applyAlignment="1">
      <alignment vertical="center" wrapText="1"/>
    </xf>
    <xf numFmtId="166" fontId="18" fillId="4" borderId="1" xfId="5" applyNumberFormat="1" applyFont="1" applyFill="1" applyBorder="1" applyAlignment="1">
      <alignment horizontal="center" vertical="center" wrapText="1"/>
    </xf>
    <xf numFmtId="0" fontId="15" fillId="4" borderId="1" xfId="8" applyFont="1" applyFill="1" applyBorder="1" applyAlignment="1">
      <alignment horizontal="left" vertical="center" wrapText="1"/>
    </xf>
    <xf numFmtId="0" fontId="15" fillId="4" borderId="10" xfId="0" applyFont="1" applyFill="1" applyBorder="1" applyAlignment="1">
      <alignment horizontal="center" vertical="center" wrapText="1"/>
    </xf>
    <xf numFmtId="0" fontId="15" fillId="4" borderId="10" xfId="0" applyFont="1" applyFill="1" applyBorder="1" applyAlignment="1">
      <alignment vertical="center" wrapText="1"/>
    </xf>
    <xf numFmtId="166" fontId="15" fillId="4" borderId="10" xfId="1" applyNumberFormat="1" applyFont="1" applyFill="1" applyBorder="1" applyAlignment="1">
      <alignment vertical="center" wrapText="1"/>
    </xf>
    <xf numFmtId="166" fontId="11" fillId="4" borderId="1" xfId="0" applyNumberFormat="1" applyFont="1" applyFill="1" applyBorder="1" applyAlignment="1">
      <alignment vertical="center" wrapText="1"/>
    </xf>
    <xf numFmtId="0" fontId="15" fillId="4" borderId="4" xfId="3" applyFont="1" applyFill="1" applyBorder="1" applyAlignment="1">
      <alignment horizontal="center" vertical="center" wrapText="1"/>
    </xf>
    <xf numFmtId="0" fontId="11" fillId="4" borderId="4" xfId="0" applyFont="1" applyFill="1" applyBorder="1" applyAlignment="1">
      <alignment horizontal="left" vertical="center" wrapText="1"/>
    </xf>
    <xf numFmtId="166" fontId="11" fillId="4" borderId="4" xfId="1" applyNumberFormat="1" applyFont="1" applyFill="1" applyBorder="1" applyAlignment="1">
      <alignment vertical="center" wrapText="1"/>
    </xf>
    <xf numFmtId="0" fontId="15" fillId="4" borderId="4" xfId="0" applyFont="1" applyFill="1" applyBorder="1" applyAlignment="1">
      <alignment horizontal="left" vertical="center" wrapText="1"/>
    </xf>
    <xf numFmtId="166" fontId="15" fillId="4" borderId="4" xfId="1" applyNumberFormat="1" applyFont="1" applyFill="1" applyBorder="1" applyAlignment="1">
      <alignment vertical="center" wrapText="1"/>
    </xf>
    <xf numFmtId="166" fontId="15" fillId="4" borderId="4" xfId="1" applyNumberFormat="1" applyFont="1" applyFill="1" applyBorder="1" applyAlignment="1">
      <alignment horizontal="center" vertical="center" wrapText="1"/>
    </xf>
    <xf numFmtId="49" fontId="18" fillId="2" borderId="1" xfId="9" quotePrefix="1" applyNumberFormat="1" applyFont="1" applyFill="1" applyBorder="1" applyAlignment="1">
      <alignment horizontal="center" vertical="center" wrapText="1"/>
    </xf>
    <xf numFmtId="0" fontId="18" fillId="2" borderId="1" xfId="10" applyFont="1" applyFill="1" applyBorder="1" applyAlignment="1">
      <alignment horizontal="justify" vertical="center" wrapText="1"/>
    </xf>
    <xf numFmtId="166" fontId="18" fillId="2" borderId="1" xfId="1" applyNumberFormat="1" applyFont="1" applyFill="1" applyBorder="1" applyAlignment="1">
      <alignment vertical="center" wrapText="1"/>
    </xf>
    <xf numFmtId="164" fontId="18" fillId="2" borderId="1" xfId="1" applyFont="1" applyFill="1" applyBorder="1" applyAlignment="1">
      <alignment horizontal="center" vertical="center" wrapText="1"/>
    </xf>
    <xf numFmtId="0" fontId="18" fillId="2" borderId="6" xfId="0" applyFont="1" applyFill="1" applyBorder="1" applyAlignment="1">
      <alignment horizontal="center" vertical="center" wrapText="1"/>
    </xf>
    <xf numFmtId="1" fontId="23" fillId="2" borderId="1" xfId="5" applyNumberFormat="1" applyFont="1" applyFill="1" applyBorder="1" applyAlignment="1">
      <alignment horizontal="center" vertical="center"/>
    </xf>
    <xf numFmtId="1" fontId="23" fillId="2" borderId="1" xfId="10" applyNumberFormat="1" applyFont="1" applyFill="1" applyBorder="1" applyAlignment="1">
      <alignment vertical="center" wrapText="1"/>
    </xf>
    <xf numFmtId="166" fontId="23" fillId="2" borderId="1" xfId="5" applyNumberFormat="1" applyFont="1" applyFill="1" applyBorder="1" applyAlignment="1">
      <alignment vertical="center" wrapText="1"/>
    </xf>
    <xf numFmtId="164" fontId="23" fillId="2" borderId="1" xfId="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0" xfId="0" applyFont="1" applyFill="1" applyAlignment="1">
      <alignment vertical="center" wrapText="1"/>
    </xf>
    <xf numFmtId="0" fontId="24" fillId="2" borderId="0" xfId="0" applyFont="1" applyFill="1" applyAlignment="1">
      <alignment vertical="center" wrapText="1"/>
    </xf>
    <xf numFmtId="0" fontId="11" fillId="4" borderId="6" xfId="0" applyFont="1" applyFill="1" applyBorder="1" applyAlignment="1">
      <alignment horizontal="center" vertical="center" wrapText="1"/>
    </xf>
    <xf numFmtId="0" fontId="11" fillId="4" borderId="1" xfId="0" applyFont="1" applyFill="1" applyBorder="1" applyAlignment="1">
      <alignment horizontal="center" vertical="center" wrapText="1"/>
    </xf>
    <xf numFmtId="1" fontId="15" fillId="4" borderId="1" xfId="5" applyNumberFormat="1" applyFont="1" applyFill="1" applyBorder="1" applyAlignment="1">
      <alignment horizontal="center" vertical="center"/>
    </xf>
    <xf numFmtId="0" fontId="4" fillId="0" borderId="1" xfId="11" applyFont="1" applyBorder="1" applyAlignment="1">
      <alignment horizontal="left" vertical="center" wrapText="1"/>
    </xf>
    <xf numFmtId="166" fontId="15" fillId="4" borderId="1" xfId="7" quotePrefix="1" applyNumberFormat="1" applyFont="1" applyFill="1" applyBorder="1" applyAlignment="1">
      <alignment horizontal="justify" vertical="center" wrapText="1"/>
    </xf>
    <xf numFmtId="166" fontId="15" fillId="4" borderId="1" xfId="7" applyNumberFormat="1" applyFont="1" applyFill="1" applyBorder="1" applyAlignment="1">
      <alignment vertical="center"/>
    </xf>
    <xf numFmtId="1" fontId="18" fillId="2" borderId="1" xfId="5" applyNumberFormat="1" applyFont="1" applyFill="1" applyBorder="1" applyAlignment="1">
      <alignment horizontal="center" vertical="center"/>
    </xf>
    <xf numFmtId="1" fontId="18" fillId="2" borderId="1" xfId="10" applyNumberFormat="1" applyFont="1" applyFill="1" applyBorder="1" applyAlignment="1">
      <alignment vertical="center" wrapText="1"/>
    </xf>
    <xf numFmtId="0" fontId="24" fillId="2" borderId="1" xfId="0" applyFont="1" applyFill="1" applyBorder="1" applyAlignment="1">
      <alignment horizontal="center" vertical="center" wrapText="1"/>
    </xf>
    <xf numFmtId="1" fontId="18" fillId="5" borderId="1" xfId="5" applyNumberFormat="1" applyFont="1" applyFill="1" applyBorder="1" applyAlignment="1">
      <alignment horizontal="center" vertical="center"/>
    </xf>
    <xf numFmtId="0" fontId="18" fillId="5" borderId="1" xfId="0" applyFont="1" applyFill="1" applyBorder="1" applyAlignment="1">
      <alignment horizontal="left" vertical="center" wrapText="1"/>
    </xf>
    <xf numFmtId="166" fontId="18" fillId="5" borderId="1" xfId="5" applyNumberFormat="1" applyFont="1" applyFill="1" applyBorder="1" applyAlignment="1">
      <alignment vertical="center" wrapText="1"/>
    </xf>
    <xf numFmtId="166" fontId="18" fillId="5" borderId="1" xfId="5"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vertical="center" wrapText="1"/>
    </xf>
    <xf numFmtId="1" fontId="18" fillId="4" borderId="1" xfId="5" applyNumberFormat="1" applyFont="1" applyFill="1" applyBorder="1" applyAlignment="1">
      <alignment horizontal="center" vertical="center"/>
    </xf>
    <xf numFmtId="1" fontId="18" fillId="4" borderId="1" xfId="10" applyNumberFormat="1" applyFont="1" applyFill="1" applyBorder="1" applyAlignment="1">
      <alignment vertical="center" wrapText="1"/>
    </xf>
    <xf numFmtId="164" fontId="18" fillId="4" borderId="1" xfId="1"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0" xfId="0" applyFont="1" applyFill="1" applyAlignment="1">
      <alignment vertical="center" wrapText="1"/>
    </xf>
    <xf numFmtId="166" fontId="11" fillId="4" borderId="1" xfId="7" quotePrefix="1" applyNumberFormat="1" applyFont="1" applyFill="1" applyBorder="1" applyAlignment="1">
      <alignment horizontal="justify" vertical="center" wrapText="1"/>
    </xf>
    <xf numFmtId="1" fontId="15" fillId="4" borderId="1" xfId="9" quotePrefix="1" applyNumberFormat="1" applyFont="1" applyFill="1" applyBorder="1" applyAlignment="1">
      <alignment vertical="center" wrapText="1"/>
    </xf>
    <xf numFmtId="0" fontId="18" fillId="2" borderId="1" xfId="12" quotePrefix="1" applyFont="1" applyFill="1" applyBorder="1" applyAlignment="1">
      <alignment horizontal="center" vertical="center"/>
    </xf>
    <xf numFmtId="0" fontId="18" fillId="2" borderId="1" xfId="12" applyFont="1" applyFill="1" applyBorder="1" applyAlignment="1">
      <alignment horizontal="left" vertical="center" wrapText="1"/>
    </xf>
    <xf numFmtId="166" fontId="11" fillId="4" borderId="1" xfId="3" applyNumberFormat="1" applyFont="1" applyFill="1" applyBorder="1" applyAlignment="1">
      <alignment vertical="center" wrapText="1"/>
    </xf>
    <xf numFmtId="0" fontId="11" fillId="4" borderId="11" xfId="3" applyFont="1" applyFill="1" applyBorder="1" applyAlignment="1">
      <alignment horizontal="center" vertical="center" wrapText="1"/>
    </xf>
    <xf numFmtId="0" fontId="11" fillId="4" borderId="11" xfId="3" applyFont="1" applyFill="1" applyBorder="1" applyAlignment="1">
      <alignment vertical="center" wrapText="1"/>
    </xf>
    <xf numFmtId="166" fontId="11" fillId="4" borderId="11" xfId="3"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13" applyFont="1" applyFill="1" applyBorder="1" applyAlignment="1">
      <alignment horizontal="justify" vertical="center" wrapText="1"/>
    </xf>
    <xf numFmtId="166" fontId="15" fillId="2" borderId="1" xfId="6" applyNumberFormat="1" applyFont="1" applyFill="1" applyBorder="1" applyAlignment="1">
      <alignment vertical="center" wrapText="1"/>
    </xf>
    <xf numFmtId="166" fontId="15" fillId="2" borderId="1" xfId="6" applyNumberFormat="1" applyFont="1" applyFill="1" applyBorder="1" applyAlignment="1">
      <alignment horizontal="center" vertical="center" wrapText="1"/>
    </xf>
    <xf numFmtId="166" fontId="15" fillId="2" borderId="1" xfId="1" applyNumberFormat="1" applyFont="1" applyFill="1" applyBorder="1" applyAlignment="1">
      <alignment vertical="center" wrapText="1"/>
    </xf>
    <xf numFmtId="166" fontId="15" fillId="2" borderId="1" xfId="1" applyNumberFormat="1" applyFont="1" applyFill="1" applyBorder="1" applyAlignment="1">
      <alignment horizontal="center" vertical="center" wrapText="1"/>
    </xf>
    <xf numFmtId="0" fontId="15" fillId="2" borderId="0" xfId="0" applyFont="1" applyFill="1" applyAlignment="1">
      <alignment vertical="center" wrapText="1"/>
    </xf>
    <xf numFmtId="0" fontId="18" fillId="2" borderId="1" xfId="13" applyFont="1" applyFill="1" applyBorder="1" applyAlignment="1">
      <alignment horizontal="justify" vertical="center" wrapText="1"/>
    </xf>
    <xf numFmtId="166" fontId="18" fillId="2" borderId="1" xfId="6" applyNumberFormat="1" applyFont="1" applyFill="1" applyBorder="1" applyAlignment="1">
      <alignment vertical="center" wrapText="1"/>
    </xf>
    <xf numFmtId="166" fontId="18" fillId="2" borderId="1" xfId="6" applyNumberFormat="1" applyFont="1" applyFill="1" applyBorder="1" applyAlignment="1">
      <alignment horizontal="center" vertical="center" wrapText="1"/>
    </xf>
    <xf numFmtId="166" fontId="18" fillId="2" borderId="1" xfId="1" applyNumberFormat="1" applyFont="1" applyFill="1" applyBorder="1" applyAlignment="1">
      <alignment horizontal="center" vertical="center" wrapText="1"/>
    </xf>
    <xf numFmtId="0" fontId="18" fillId="2" borderId="1" xfId="0" applyFont="1" applyFill="1" applyBorder="1" applyAlignment="1">
      <alignment horizontal="center" vertical="center"/>
    </xf>
    <xf numFmtId="1" fontId="18" fillId="2" borderId="1" xfId="9" applyNumberFormat="1" applyFont="1" applyFill="1" applyBorder="1" applyAlignment="1">
      <alignment horizontal="left" vertical="center" wrapText="1"/>
    </xf>
    <xf numFmtId="0" fontId="23" fillId="2" borderId="1" xfId="0" applyFont="1" applyFill="1" applyBorder="1" applyAlignment="1">
      <alignment horizontal="center" vertical="center"/>
    </xf>
    <xf numFmtId="1" fontId="23" fillId="2" borderId="1" xfId="9" applyNumberFormat="1" applyFont="1" applyFill="1" applyBorder="1" applyAlignment="1">
      <alignment horizontal="left" vertical="center" wrapText="1"/>
    </xf>
    <xf numFmtId="166" fontId="23" fillId="2" borderId="1" xfId="6" applyNumberFormat="1" applyFont="1" applyFill="1" applyBorder="1" applyAlignment="1">
      <alignment vertical="center" wrapText="1"/>
    </xf>
    <xf numFmtId="166" fontId="23" fillId="2" borderId="1" xfId="6" applyNumberFormat="1" applyFont="1" applyFill="1" applyBorder="1" applyAlignment="1">
      <alignment horizontal="center" vertical="center" wrapText="1"/>
    </xf>
    <xf numFmtId="166" fontId="23" fillId="2" borderId="1" xfId="1" applyNumberFormat="1" applyFont="1" applyFill="1" applyBorder="1" applyAlignment="1">
      <alignment vertical="center" wrapText="1"/>
    </xf>
    <xf numFmtId="166" fontId="23" fillId="2" borderId="1" xfId="1" applyNumberFormat="1" applyFont="1" applyFill="1" applyBorder="1" applyAlignment="1">
      <alignment horizontal="center" vertical="center" wrapText="1"/>
    </xf>
    <xf numFmtId="166" fontId="18" fillId="4" borderId="1" xfId="6" applyNumberFormat="1" applyFont="1" applyFill="1" applyBorder="1" applyAlignment="1">
      <alignment vertical="center" wrapText="1"/>
    </xf>
    <xf numFmtId="166" fontId="18" fillId="4" borderId="1" xfId="6" applyNumberFormat="1" applyFont="1" applyFill="1" applyBorder="1" applyAlignment="1">
      <alignment horizontal="center" vertical="center" wrapText="1"/>
    </xf>
    <xf numFmtId="0" fontId="11" fillId="4" borderId="3" xfId="3" applyFont="1" applyFill="1" applyBorder="1" applyAlignment="1">
      <alignment vertical="center" wrapText="1"/>
    </xf>
    <xf numFmtId="166" fontId="11" fillId="4" borderId="3" xfId="3" applyNumberFormat="1" applyFont="1" applyFill="1" applyBorder="1" applyAlignment="1">
      <alignment vertical="center" wrapText="1"/>
    </xf>
    <xf numFmtId="166" fontId="11" fillId="4" borderId="3" xfId="3" applyNumberFormat="1" applyFont="1" applyFill="1" applyBorder="1" applyAlignment="1">
      <alignment horizontal="left" vertical="center" wrapText="1"/>
    </xf>
    <xf numFmtId="166" fontId="11" fillId="4" borderId="1" xfId="3" applyNumberFormat="1" applyFont="1" applyFill="1" applyBorder="1" applyAlignment="1">
      <alignment horizontal="left" vertical="center" wrapText="1"/>
    </xf>
    <xf numFmtId="0" fontId="11" fillId="4" borderId="1" xfId="5" applyFont="1" applyFill="1" applyBorder="1" applyAlignment="1">
      <alignment horizontal="left" vertical="center" wrapText="1"/>
    </xf>
    <xf numFmtId="166" fontId="18" fillId="4" borderId="1" xfId="7" quotePrefix="1" applyNumberFormat="1" applyFont="1" applyFill="1" applyBorder="1" applyAlignment="1">
      <alignment horizontal="left" vertical="center" wrapText="1"/>
    </xf>
    <xf numFmtId="166" fontId="24" fillId="4" borderId="1" xfId="5" applyNumberFormat="1" applyFont="1" applyFill="1" applyBorder="1" applyAlignment="1">
      <alignment vertical="center" wrapText="1"/>
    </xf>
    <xf numFmtId="0" fontId="24" fillId="4" borderId="0" xfId="0" applyFont="1" applyFill="1" applyAlignment="1">
      <alignment horizontal="center" vertical="center" wrapText="1"/>
    </xf>
    <xf numFmtId="0" fontId="24" fillId="4" borderId="1" xfId="0" applyFont="1" applyFill="1" applyBorder="1" applyAlignment="1">
      <alignment vertical="center" wrapText="1"/>
    </xf>
    <xf numFmtId="0" fontId="24" fillId="2" borderId="1" xfId="0" applyFont="1" applyFill="1" applyBorder="1" applyAlignment="1">
      <alignment vertical="center" wrapText="1"/>
    </xf>
    <xf numFmtId="1" fontId="11" fillId="4" borderId="1" xfId="5" applyNumberFormat="1" applyFont="1" applyFill="1" applyBorder="1" applyAlignment="1">
      <alignment horizontal="center" vertical="center" wrapText="1"/>
    </xf>
    <xf numFmtId="0" fontId="11" fillId="4" borderId="1" xfId="0" applyFont="1" applyFill="1" applyBorder="1" applyAlignment="1">
      <alignment vertical="center" wrapText="1"/>
    </xf>
    <xf numFmtId="1" fontId="23" fillId="4" borderId="1" xfId="5" applyNumberFormat="1" applyFont="1" applyFill="1" applyBorder="1" applyAlignment="1">
      <alignment horizontal="center" vertical="center" wrapText="1"/>
    </xf>
    <xf numFmtId="0" fontId="23" fillId="4" borderId="1" xfId="5" applyFont="1" applyFill="1" applyBorder="1" applyAlignment="1">
      <alignment horizontal="left" vertical="center" wrapText="1"/>
    </xf>
    <xf numFmtId="166" fontId="23" fillId="4" borderId="1" xfId="5" applyNumberFormat="1" applyFont="1" applyFill="1" applyBorder="1" applyAlignment="1">
      <alignment vertical="center" wrapText="1"/>
    </xf>
    <xf numFmtId="166" fontId="23" fillId="4" borderId="1" xfId="5" applyNumberFormat="1"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0" xfId="0" applyFont="1" applyFill="1" applyAlignment="1">
      <alignment vertical="center" wrapText="1"/>
    </xf>
    <xf numFmtId="0" fontId="23" fillId="4" borderId="1" xfId="0" applyFont="1" applyFill="1" applyBorder="1" applyAlignment="1">
      <alignment vertical="center" wrapText="1"/>
    </xf>
    <xf numFmtId="166" fontId="24" fillId="2" borderId="1" xfId="5" applyNumberFormat="1" applyFont="1" applyFill="1" applyBorder="1" applyAlignment="1">
      <alignment horizontal="center" vertical="center" wrapText="1"/>
    </xf>
    <xf numFmtId="0" fontId="18" fillId="2" borderId="1" xfId="0" applyFont="1" applyFill="1" applyBorder="1" applyAlignment="1">
      <alignment vertical="center" wrapText="1"/>
    </xf>
    <xf numFmtId="166" fontId="25" fillId="4" borderId="1" xfId="3" applyNumberFormat="1" applyFont="1" applyFill="1" applyBorder="1" applyAlignment="1">
      <alignment vertical="center" wrapText="1"/>
    </xf>
    <xf numFmtId="166" fontId="25" fillId="4" borderId="1" xfId="3" applyNumberFormat="1" applyFont="1" applyFill="1" applyBorder="1" applyAlignment="1">
      <alignment horizontal="center" vertical="center" wrapText="1"/>
    </xf>
    <xf numFmtId="0" fontId="15" fillId="4" borderId="1" xfId="0" applyFont="1" applyFill="1" applyBorder="1" applyAlignment="1">
      <alignment horizontal="center" vertical="center"/>
    </xf>
    <xf numFmtId="166" fontId="15" fillId="4" borderId="1" xfId="6" applyNumberFormat="1" applyFont="1" applyFill="1" applyBorder="1" applyAlignment="1">
      <alignment vertical="center" wrapText="1"/>
    </xf>
    <xf numFmtId="166" fontId="15" fillId="4" borderId="1" xfId="1" applyNumberFormat="1" applyFont="1" applyFill="1" applyBorder="1" applyAlignment="1">
      <alignment horizontal="center" vertical="center" wrapText="1"/>
    </xf>
    <xf numFmtId="166" fontId="11" fillId="4" borderId="1" xfId="7" applyNumberFormat="1" applyFont="1" applyFill="1" applyBorder="1" applyAlignment="1">
      <alignment horizontal="justify" vertical="center" wrapText="1"/>
    </xf>
    <xf numFmtId="1" fontId="23" fillId="4" borderId="1" xfId="5" applyNumberFormat="1" applyFont="1" applyFill="1" applyBorder="1" applyAlignment="1">
      <alignment horizontal="center" vertical="center"/>
    </xf>
    <xf numFmtId="0" fontId="23" fillId="4" borderId="1" xfId="14" applyFont="1" applyFill="1" applyBorder="1" applyAlignment="1">
      <alignment horizontal="left" vertical="center" wrapText="1"/>
    </xf>
    <xf numFmtId="0" fontId="23" fillId="4" borderId="1" xfId="0" applyFont="1" applyFill="1" applyBorder="1" applyAlignment="1">
      <alignment horizontal="center" vertical="center" wrapText="1"/>
    </xf>
    <xf numFmtId="1" fontId="23" fillId="4" borderId="1" xfId="9" applyNumberFormat="1" applyFont="1" applyFill="1" applyBorder="1" applyAlignment="1">
      <alignment horizontal="justify" vertical="center" wrapText="1"/>
    </xf>
    <xf numFmtId="1" fontId="18" fillId="4" borderId="1" xfId="9" applyNumberFormat="1" applyFont="1" applyFill="1" applyBorder="1" applyAlignment="1">
      <alignment horizontal="justify" vertical="center" wrapText="1"/>
    </xf>
    <xf numFmtId="166" fontId="18" fillId="2" borderId="1" xfId="15" applyNumberFormat="1" applyFont="1" applyFill="1" applyBorder="1" applyAlignment="1">
      <alignment vertical="center"/>
    </xf>
    <xf numFmtId="164" fontId="18" fillId="2" borderId="1" xfId="1" applyFont="1" applyFill="1" applyBorder="1" applyAlignment="1">
      <alignment horizontal="right" vertical="center"/>
    </xf>
    <xf numFmtId="166" fontId="24" fillId="4" borderId="1" xfId="5" applyNumberFormat="1" applyFont="1" applyFill="1" applyBorder="1" applyAlignment="1">
      <alignment horizontal="center" vertical="center" wrapText="1"/>
    </xf>
    <xf numFmtId="1" fontId="15" fillId="4" borderId="0" xfId="5" applyNumberFormat="1" applyFont="1" applyFill="1" applyAlignment="1">
      <alignment horizontal="center" vertical="center"/>
    </xf>
    <xf numFmtId="166" fontId="15" fillId="4" borderId="0" xfId="7" applyNumberFormat="1" applyFont="1" applyFill="1" applyBorder="1" applyAlignment="1">
      <alignment vertical="center" wrapText="1"/>
    </xf>
    <xf numFmtId="166" fontId="15" fillId="4" borderId="0" xfId="5" applyNumberFormat="1" applyFont="1" applyFill="1" applyAlignment="1">
      <alignment vertical="center" wrapText="1"/>
    </xf>
    <xf numFmtId="166" fontId="15" fillId="4" borderId="0" xfId="5" applyNumberFormat="1" applyFont="1" applyFill="1" applyAlignment="1">
      <alignment horizontal="center" vertical="center" wrapText="1"/>
    </xf>
    <xf numFmtId="166" fontId="15" fillId="4" borderId="0" xfId="0" applyNumberFormat="1" applyFont="1" applyFill="1" applyAlignment="1">
      <alignment vertical="center" wrapText="1"/>
    </xf>
    <xf numFmtId="0" fontId="23" fillId="4" borderId="1" xfId="3" applyFont="1" applyFill="1" applyBorder="1" applyAlignment="1">
      <alignment horizontal="center" vertical="center" wrapText="1"/>
    </xf>
    <xf numFmtId="166" fontId="23" fillId="4" borderId="1" xfId="6" applyNumberFormat="1" applyFont="1" applyFill="1" applyBorder="1" applyAlignment="1">
      <alignment horizontal="center" vertical="center" wrapText="1"/>
    </xf>
    <xf numFmtId="0" fontId="15" fillId="4" borderId="0" xfId="0" applyFont="1" applyFill="1" applyAlignment="1">
      <alignment vertical="center"/>
    </xf>
    <xf numFmtId="0" fontId="15" fillId="4" borderId="0" xfId="0" applyFont="1" applyFill="1" applyAlignment="1">
      <alignment horizontal="center" vertical="center"/>
    </xf>
    <xf numFmtId="0" fontId="15" fillId="4" borderId="0" xfId="16" applyFont="1" applyFill="1" applyAlignment="1">
      <alignment horizontal="center" vertical="center" wrapText="1"/>
    </xf>
    <xf numFmtId="164" fontId="15" fillId="4" borderId="0" xfId="1" applyFont="1" applyFill="1" applyAlignment="1">
      <alignment vertical="center"/>
    </xf>
    <xf numFmtId="10" fontId="15" fillId="4" borderId="0" xfId="6" applyNumberFormat="1" applyFont="1" applyFill="1" applyAlignment="1">
      <alignment vertical="center"/>
    </xf>
    <xf numFmtId="0" fontId="15" fillId="4" borderId="0" xfId="16" applyFont="1" applyFill="1" applyAlignment="1">
      <alignment vertical="center"/>
    </xf>
    <xf numFmtId="0" fontId="11" fillId="4" borderId="0" xfId="5" applyFont="1" applyFill="1" applyAlignment="1">
      <alignment vertical="center" wrapText="1"/>
    </xf>
    <xf numFmtId="0" fontId="11" fillId="4" borderId="0" xfId="5" applyFont="1" applyFill="1" applyAlignment="1">
      <alignment horizontal="center" vertical="center" wrapText="1"/>
    </xf>
    <xf numFmtId="0" fontId="15" fillId="4" borderId="0" xfId="5" applyFont="1" applyFill="1" applyAlignment="1">
      <alignment horizontal="center" vertical="center" wrapText="1"/>
    </xf>
    <xf numFmtId="164" fontId="11" fillId="4" borderId="0" xfId="1" applyFont="1" applyFill="1" applyAlignment="1">
      <alignment vertical="center" wrapText="1"/>
    </xf>
    <xf numFmtId="4" fontId="15" fillId="4" borderId="0" xfId="0" applyNumberFormat="1" applyFont="1" applyFill="1" applyAlignment="1">
      <alignment vertical="center" wrapText="1"/>
    </xf>
    <xf numFmtId="164" fontId="11" fillId="4" borderId="1" xfId="1" applyFont="1" applyFill="1" applyBorder="1" applyAlignment="1">
      <alignment horizontal="center" vertical="center" wrapText="1"/>
    </xf>
    <xf numFmtId="164" fontId="11" fillId="4" borderId="1" xfId="1" applyFont="1" applyFill="1" applyBorder="1" applyAlignment="1">
      <alignment horizontal="left" vertical="center" wrapText="1"/>
    </xf>
    <xf numFmtId="10" fontId="11" fillId="4" borderId="1" xfId="6" applyNumberFormat="1" applyFont="1" applyFill="1" applyBorder="1" applyAlignment="1">
      <alignment horizontal="center" vertical="center" wrapText="1"/>
    </xf>
    <xf numFmtId="164" fontId="11" fillId="4" borderId="0" xfId="1" applyFont="1" applyFill="1" applyAlignment="1">
      <alignment vertical="center"/>
    </xf>
    <xf numFmtId="0" fontId="11" fillId="4" borderId="1" xfId="16" applyFont="1" applyFill="1" applyBorder="1" applyAlignment="1">
      <alignment horizontal="center" vertical="center" wrapText="1"/>
    </xf>
    <xf numFmtId="165" fontId="11" fillId="4" borderId="1" xfId="6" applyFont="1" applyFill="1" applyBorder="1" applyAlignment="1">
      <alignment horizontal="center" vertical="center" wrapText="1"/>
    </xf>
    <xf numFmtId="165" fontId="11" fillId="4" borderId="1" xfId="5" applyNumberFormat="1" applyFont="1" applyFill="1" applyBorder="1" applyAlignment="1">
      <alignment horizontal="center" vertical="center" wrapText="1"/>
    </xf>
    <xf numFmtId="0" fontId="11" fillId="4" borderId="0" xfId="0" applyFont="1" applyFill="1" applyAlignment="1">
      <alignment vertical="center"/>
    </xf>
    <xf numFmtId="3" fontId="15" fillId="4" borderId="1" xfId="12" applyNumberFormat="1" applyFont="1" applyFill="1" applyBorder="1" applyAlignment="1">
      <alignment vertical="center"/>
    </xf>
    <xf numFmtId="164" fontId="15" fillId="4" borderId="1" xfId="1" applyFont="1" applyFill="1" applyBorder="1" applyAlignment="1">
      <alignment horizontal="center" vertical="center" wrapText="1"/>
    </xf>
    <xf numFmtId="164" fontId="15" fillId="4" borderId="1" xfId="1" applyFont="1" applyFill="1" applyBorder="1" applyAlignment="1">
      <alignment vertical="center"/>
    </xf>
    <xf numFmtId="10" fontId="15" fillId="4" borderId="1" xfId="6" applyNumberFormat="1" applyFont="1" applyFill="1" applyBorder="1" applyAlignment="1">
      <alignment horizontal="center" vertical="center" wrapText="1"/>
    </xf>
    <xf numFmtId="165" fontId="15" fillId="4" borderId="1" xfId="5" applyNumberFormat="1" applyFont="1" applyFill="1" applyBorder="1" applyAlignment="1">
      <alignment horizontal="center" vertical="center" wrapText="1"/>
    </xf>
    <xf numFmtId="166" fontId="11" fillId="4" borderId="1" xfId="16" applyNumberFormat="1" applyFont="1" applyFill="1" applyBorder="1" applyAlignment="1">
      <alignment horizontal="center" vertical="center" wrapText="1"/>
    </xf>
    <xf numFmtId="166" fontId="11" fillId="4" borderId="1" xfId="6" applyNumberFormat="1" applyFont="1" applyFill="1" applyBorder="1" applyAlignment="1">
      <alignment horizontal="center" vertical="center" wrapText="1"/>
    </xf>
    <xf numFmtId="49" fontId="11" fillId="4" borderId="1" xfId="9" applyNumberFormat="1" applyFont="1" applyFill="1" applyBorder="1" applyAlignment="1">
      <alignment horizontal="center" vertical="center"/>
    </xf>
    <xf numFmtId="1" fontId="11" fillId="4" borderId="1" xfId="9" applyNumberFormat="1" applyFont="1" applyFill="1" applyBorder="1" applyAlignment="1">
      <alignment vertical="center" wrapText="1"/>
    </xf>
    <xf numFmtId="1" fontId="11" fillId="4" borderId="1" xfId="9" applyNumberFormat="1" applyFont="1" applyFill="1" applyBorder="1" applyAlignment="1">
      <alignment horizontal="center" vertical="center" wrapText="1"/>
    </xf>
    <xf numFmtId="0" fontId="15" fillId="4" borderId="1" xfId="16" quotePrefix="1" applyFont="1" applyFill="1" applyBorder="1" applyAlignment="1">
      <alignment horizontal="center" vertical="center" wrapText="1"/>
    </xf>
    <xf numFmtId="1" fontId="15" fillId="4" borderId="1" xfId="9" applyNumberFormat="1" applyFont="1" applyFill="1" applyBorder="1" applyAlignment="1">
      <alignment horizontal="center" vertical="center" wrapText="1"/>
    </xf>
    <xf numFmtId="49" fontId="15" fillId="4" borderId="1" xfId="9" applyNumberFormat="1" applyFont="1" applyFill="1" applyBorder="1" applyAlignment="1">
      <alignment horizontal="center" vertical="center"/>
    </xf>
    <xf numFmtId="1" fontId="15" fillId="4" borderId="1" xfId="9" applyNumberFormat="1" applyFont="1" applyFill="1" applyBorder="1" applyAlignment="1">
      <alignment horizontal="left" vertical="center" wrapText="1"/>
    </xf>
    <xf numFmtId="1" fontId="15" fillId="4" borderId="1" xfId="9" quotePrefix="1" applyNumberFormat="1" applyFont="1" applyFill="1" applyBorder="1" applyAlignment="1">
      <alignment horizontal="center" vertical="center" wrapText="1"/>
    </xf>
    <xf numFmtId="1" fontId="15" fillId="4" borderId="1" xfId="9" applyNumberFormat="1" applyFont="1" applyFill="1" applyBorder="1" applyAlignment="1">
      <alignment horizontal="right" vertical="center"/>
    </xf>
    <xf numFmtId="0" fontId="15" fillId="4" borderId="1" xfId="10" applyFont="1" applyFill="1" applyBorder="1" applyAlignment="1">
      <alignment horizontal="justify" vertical="center" wrapText="1"/>
    </xf>
    <xf numFmtId="0" fontId="15" fillId="4" borderId="1" xfId="10" applyFont="1" applyFill="1" applyBorder="1" applyAlignment="1">
      <alignment horizontal="center" vertical="center" wrapText="1"/>
    </xf>
    <xf numFmtId="1" fontId="15" fillId="4" borderId="1" xfId="9" quotePrefix="1" applyNumberFormat="1" applyFont="1" applyFill="1" applyBorder="1" applyAlignment="1">
      <alignment horizontal="center" vertical="center"/>
    </xf>
    <xf numFmtId="164" fontId="26" fillId="2" borderId="1" xfId="1" applyFont="1" applyFill="1" applyBorder="1" applyAlignment="1">
      <alignment vertical="center" wrapText="1"/>
    </xf>
    <xf numFmtId="164" fontId="18" fillId="4" borderId="1" xfId="1" applyFont="1" applyFill="1" applyBorder="1" applyAlignment="1">
      <alignment vertical="center"/>
    </xf>
    <xf numFmtId="0" fontId="11" fillId="4" borderId="1" xfId="16" quotePrefix="1" applyFont="1" applyFill="1" applyBorder="1" applyAlignment="1">
      <alignment horizontal="center" vertical="center" wrapText="1"/>
    </xf>
    <xf numFmtId="49" fontId="15" fillId="4" borderId="1" xfId="9" quotePrefix="1" applyNumberFormat="1" applyFont="1" applyFill="1" applyBorder="1" applyAlignment="1">
      <alignment horizontal="center" vertical="center" wrapText="1"/>
    </xf>
    <xf numFmtId="166" fontId="15" fillId="4" borderId="1" xfId="7" quotePrefix="1" applyNumberFormat="1" applyFont="1" applyFill="1" applyBorder="1" applyAlignment="1">
      <alignment horizontal="center" vertical="center" wrapText="1"/>
    </xf>
    <xf numFmtId="169" fontId="15" fillId="4" borderId="1" xfId="9" applyNumberFormat="1" applyFont="1" applyFill="1" applyBorder="1" applyAlignment="1">
      <alignment horizontal="center" vertical="center" wrapText="1"/>
    </xf>
    <xf numFmtId="166" fontId="15" fillId="4" borderId="1" xfId="15" applyNumberFormat="1" applyFont="1" applyFill="1" applyBorder="1" applyAlignment="1">
      <alignment horizontal="right" vertical="center" wrapText="1"/>
    </xf>
    <xf numFmtId="164" fontId="15" fillId="4" borderId="1" xfId="1" applyFont="1" applyFill="1" applyBorder="1" applyAlignment="1">
      <alignment vertical="center" wrapText="1"/>
    </xf>
    <xf numFmtId="166" fontId="15" fillId="4" borderId="1" xfId="17" applyNumberFormat="1" applyFont="1" applyFill="1" applyBorder="1" applyAlignment="1">
      <alignment horizontal="center" vertical="center" wrapText="1"/>
    </xf>
    <xf numFmtId="166" fontId="15" fillId="4" borderId="1" xfId="15" applyNumberFormat="1" applyFont="1" applyFill="1" applyBorder="1" applyAlignment="1">
      <alignment horizontal="right" vertical="center"/>
    </xf>
    <xf numFmtId="49" fontId="11" fillId="4" borderId="1" xfId="9" quotePrefix="1" applyNumberFormat="1" applyFont="1" applyFill="1" applyBorder="1" applyAlignment="1">
      <alignment horizontal="center" vertical="center" wrapText="1"/>
    </xf>
    <xf numFmtId="166" fontId="11" fillId="4" borderId="1" xfId="7" quotePrefix="1" applyNumberFormat="1" applyFont="1" applyFill="1" applyBorder="1" applyAlignment="1">
      <alignment horizontal="center" vertical="center" wrapText="1"/>
    </xf>
    <xf numFmtId="169" fontId="11" fillId="4" borderId="1" xfId="9" applyNumberFormat="1" applyFont="1" applyFill="1" applyBorder="1" applyAlignment="1">
      <alignment horizontal="center" vertical="center" wrapText="1"/>
    </xf>
    <xf numFmtId="166" fontId="11" fillId="4" borderId="1" xfId="15" applyNumberFormat="1" applyFont="1" applyFill="1" applyBorder="1" applyAlignment="1">
      <alignment horizontal="right" vertical="center" wrapText="1"/>
    </xf>
    <xf numFmtId="164" fontId="11" fillId="4" borderId="1" xfId="1" applyFont="1" applyFill="1" applyBorder="1" applyAlignment="1">
      <alignment vertical="center"/>
    </xf>
    <xf numFmtId="164" fontId="11" fillId="4" borderId="1" xfId="1" applyFont="1" applyFill="1" applyBorder="1" applyAlignment="1">
      <alignment vertical="center" wrapText="1"/>
    </xf>
    <xf numFmtId="0" fontId="15" fillId="4" borderId="1" xfId="14" applyFont="1" applyFill="1" applyBorder="1" applyAlignment="1">
      <alignment horizontal="left" vertical="center" wrapText="1"/>
    </xf>
    <xf numFmtId="166" fontId="15" fillId="4" borderId="1" xfId="7" applyNumberFormat="1" applyFont="1" applyFill="1" applyBorder="1" applyAlignment="1">
      <alignment horizontal="right" vertical="center"/>
    </xf>
    <xf numFmtId="0" fontId="11" fillId="4" borderId="1" xfId="14" applyFont="1" applyFill="1" applyBorder="1" applyAlignment="1">
      <alignment horizontal="left" vertical="center" wrapText="1"/>
    </xf>
    <xf numFmtId="166" fontId="11" fillId="4" borderId="1" xfId="7" applyNumberFormat="1" applyFont="1" applyFill="1" applyBorder="1" applyAlignment="1">
      <alignment horizontal="right" vertical="center"/>
    </xf>
    <xf numFmtId="0" fontId="15" fillId="4" borderId="1" xfId="13" applyFont="1" applyFill="1" applyBorder="1" applyAlignment="1">
      <alignment horizontal="justify" vertical="center" wrapText="1"/>
    </xf>
    <xf numFmtId="0" fontId="15" fillId="4" borderId="1" xfId="13" applyFont="1" applyFill="1" applyBorder="1" applyAlignment="1">
      <alignment horizontal="center" vertical="center" wrapText="1"/>
    </xf>
    <xf numFmtId="0" fontId="18" fillId="4" borderId="1" xfId="13" applyFont="1" applyFill="1" applyBorder="1" applyAlignment="1">
      <alignment horizontal="justify" vertical="center" wrapText="1"/>
    </xf>
    <xf numFmtId="0" fontId="18" fillId="4" borderId="1" xfId="13" applyFont="1" applyFill="1" applyBorder="1" applyAlignment="1">
      <alignment horizontal="center" vertical="center" wrapText="1"/>
    </xf>
    <xf numFmtId="0" fontId="18" fillId="4" borderId="1" xfId="16" quotePrefix="1" applyFont="1" applyFill="1" applyBorder="1" applyAlignment="1">
      <alignment horizontal="center" vertical="center" wrapText="1"/>
    </xf>
    <xf numFmtId="1" fontId="18" fillId="4" borderId="1" xfId="9" applyNumberFormat="1" applyFont="1" applyFill="1" applyBorder="1" applyAlignment="1">
      <alignment horizontal="center" vertical="center" wrapText="1"/>
    </xf>
    <xf numFmtId="10" fontId="18" fillId="4" borderId="1" xfId="6" applyNumberFormat="1" applyFont="1" applyFill="1" applyBorder="1" applyAlignment="1">
      <alignment horizontal="center" vertical="center" wrapText="1"/>
    </xf>
    <xf numFmtId="165" fontId="18" fillId="4" borderId="1" xfId="5" applyNumberFormat="1" applyFont="1" applyFill="1" applyBorder="1" applyAlignment="1">
      <alignment horizontal="center" vertical="center" wrapText="1"/>
    </xf>
    <xf numFmtId="0" fontId="18" fillId="4" borderId="0" xfId="0" applyFont="1" applyFill="1" applyAlignment="1">
      <alignment vertical="center"/>
    </xf>
    <xf numFmtId="166" fontId="15" fillId="4" borderId="1" xfId="7" applyNumberFormat="1" applyFont="1" applyFill="1" applyBorder="1" applyAlignment="1">
      <alignment horizontal="center" vertical="center" wrapText="1"/>
    </xf>
    <xf numFmtId="166" fontId="15" fillId="4" borderId="1" xfId="7" quotePrefix="1" applyNumberFormat="1" applyFont="1" applyFill="1" applyBorder="1" applyAlignment="1">
      <alignment horizontal="left" vertical="center" wrapText="1"/>
    </xf>
    <xf numFmtId="164" fontId="12" fillId="4" borderId="1" xfId="1" applyFont="1" applyFill="1" applyBorder="1" applyAlignment="1">
      <alignment vertical="center" wrapText="1"/>
    </xf>
    <xf numFmtId="3" fontId="11" fillId="4" borderId="1" xfId="9" quotePrefix="1" applyNumberFormat="1" applyFont="1" applyFill="1" applyBorder="1" applyAlignment="1">
      <alignment horizontal="right" vertical="center" wrapText="1"/>
    </xf>
    <xf numFmtId="164" fontId="11" fillId="4" borderId="1" xfId="1" quotePrefix="1" applyFont="1" applyFill="1" applyBorder="1" applyAlignment="1">
      <alignment horizontal="right" vertical="center" wrapText="1"/>
    </xf>
    <xf numFmtId="1" fontId="18" fillId="4" borderId="1" xfId="9" applyNumberFormat="1" applyFont="1" applyFill="1" applyBorder="1" applyAlignment="1">
      <alignment horizontal="left" vertical="center" wrapText="1"/>
    </xf>
    <xf numFmtId="1" fontId="18" fillId="4" borderId="1" xfId="9" quotePrefix="1" applyNumberFormat="1" applyFont="1" applyFill="1" applyBorder="1" applyAlignment="1">
      <alignment horizontal="center" vertical="center" wrapText="1"/>
    </xf>
    <xf numFmtId="167" fontId="18" fillId="4" borderId="1" xfId="1" applyNumberFormat="1" applyFont="1" applyFill="1" applyBorder="1" applyAlignment="1">
      <alignment vertical="center"/>
    </xf>
    <xf numFmtId="164" fontId="16" fillId="4" borderId="1" xfId="1" applyFont="1" applyFill="1" applyBorder="1" applyAlignment="1">
      <alignment horizontal="justify" vertical="center" wrapText="1"/>
    </xf>
    <xf numFmtId="170" fontId="15" fillId="4" borderId="1" xfId="1" applyNumberFormat="1" applyFont="1" applyFill="1" applyBorder="1" applyAlignment="1">
      <alignment horizontal="center" vertical="center" wrapText="1"/>
    </xf>
    <xf numFmtId="167" fontId="15" fillId="4" borderId="1" xfId="7" applyNumberFormat="1" applyFont="1" applyFill="1" applyBorder="1" applyAlignment="1">
      <alignment horizontal="right" vertical="center" wrapText="1"/>
    </xf>
    <xf numFmtId="49" fontId="18" fillId="4" borderId="1" xfId="9" applyNumberFormat="1" applyFont="1" applyFill="1" applyBorder="1" applyAlignment="1">
      <alignment horizontal="center" vertical="center"/>
    </xf>
    <xf numFmtId="1" fontId="18" fillId="4" borderId="1" xfId="10" applyNumberFormat="1" applyFont="1" applyFill="1" applyBorder="1" applyAlignment="1">
      <alignment horizontal="center" vertical="center" wrapText="1"/>
    </xf>
    <xf numFmtId="3" fontId="18" fillId="4" borderId="1" xfId="9" quotePrefix="1" applyNumberFormat="1" applyFont="1" applyFill="1" applyBorder="1" applyAlignment="1">
      <alignment horizontal="center" vertical="center" wrapText="1"/>
    </xf>
    <xf numFmtId="166" fontId="18" fillId="4" borderId="1" xfId="15" applyNumberFormat="1" applyFont="1" applyFill="1" applyBorder="1" applyAlignment="1">
      <alignment horizontal="right" vertical="center"/>
    </xf>
    <xf numFmtId="164" fontId="27" fillId="4" borderId="1" xfId="1" applyFont="1" applyFill="1" applyBorder="1" applyAlignment="1">
      <alignment vertical="center" wrapText="1"/>
    </xf>
    <xf numFmtId="1" fontId="11" fillId="4" borderId="1" xfId="9" applyNumberFormat="1" applyFont="1" applyFill="1" applyBorder="1" applyAlignment="1">
      <alignment horizontal="justify" vertical="center" wrapText="1"/>
    </xf>
    <xf numFmtId="1" fontId="15" fillId="4" borderId="1" xfId="10" applyNumberFormat="1" applyFont="1" applyFill="1" applyBorder="1" applyAlignment="1">
      <alignment horizontal="center" vertical="center" wrapText="1"/>
    </xf>
    <xf numFmtId="3" fontId="15" fillId="4" borderId="1" xfId="9" quotePrefix="1" applyNumberFormat="1" applyFont="1" applyFill="1" applyBorder="1" applyAlignment="1">
      <alignment horizontal="center" vertical="center" wrapText="1"/>
    </xf>
    <xf numFmtId="1" fontId="15" fillId="4" borderId="1" xfId="9" applyNumberFormat="1" applyFont="1" applyFill="1" applyBorder="1" applyAlignment="1">
      <alignment horizontal="justify" vertical="center" wrapText="1"/>
    </xf>
    <xf numFmtId="166" fontId="15" fillId="4" borderId="1" xfId="15" applyNumberFormat="1" applyFont="1" applyFill="1" applyBorder="1" applyAlignment="1">
      <alignment horizontal="center" vertical="center" wrapText="1"/>
    </xf>
    <xf numFmtId="166" fontId="15" fillId="4" borderId="1" xfId="18" applyNumberFormat="1" applyFont="1" applyFill="1" applyBorder="1" applyAlignment="1">
      <alignment horizontal="center" vertical="center" wrapText="1"/>
    </xf>
    <xf numFmtId="166" fontId="11" fillId="4" borderId="1" xfId="7" applyNumberFormat="1" applyFont="1" applyFill="1" applyBorder="1" applyAlignment="1">
      <alignment horizontal="center" vertical="center"/>
    </xf>
    <xf numFmtId="166" fontId="11" fillId="4" borderId="1" xfId="7" applyNumberFormat="1" applyFont="1" applyFill="1" applyBorder="1" applyAlignment="1">
      <alignment horizontal="center" vertical="center" wrapText="1"/>
    </xf>
    <xf numFmtId="1" fontId="11" fillId="4" borderId="1" xfId="9" quotePrefix="1" applyNumberFormat="1" applyFont="1" applyFill="1" applyBorder="1" applyAlignment="1">
      <alignment horizontal="center" vertical="center" wrapText="1"/>
    </xf>
    <xf numFmtId="167" fontId="11" fillId="4" borderId="1" xfId="1" applyNumberFormat="1" applyFont="1" applyFill="1" applyBorder="1" applyAlignment="1">
      <alignment vertical="center"/>
    </xf>
    <xf numFmtId="166" fontId="15" fillId="4" borderId="1" xfId="7" quotePrefix="1" applyNumberFormat="1" applyFont="1" applyFill="1" applyBorder="1" applyAlignment="1">
      <alignment horizontal="center" vertical="center"/>
    </xf>
    <xf numFmtId="0" fontId="15" fillId="4" borderId="1" xfId="8" applyFont="1" applyFill="1" applyBorder="1" applyAlignment="1">
      <alignment horizontal="center" vertical="center" wrapText="1"/>
    </xf>
    <xf numFmtId="0" fontId="11" fillId="4" borderId="1" xfId="5" applyFont="1" applyFill="1" applyBorder="1" applyAlignment="1">
      <alignment horizontal="center" vertical="center" wrapText="1"/>
    </xf>
    <xf numFmtId="1" fontId="15" fillId="4" borderId="1" xfId="5" applyNumberFormat="1" applyFont="1" applyFill="1" applyBorder="1" applyAlignment="1">
      <alignment horizontal="center" vertical="center" wrapText="1"/>
    </xf>
    <xf numFmtId="0" fontId="15" fillId="4" borderId="1" xfId="5" applyFont="1" applyFill="1" applyBorder="1" applyAlignment="1">
      <alignment horizontal="left" vertical="center" wrapText="1"/>
    </xf>
    <xf numFmtId="0" fontId="15" fillId="4" borderId="1" xfId="5" applyFont="1" applyFill="1" applyBorder="1" applyAlignment="1">
      <alignment horizontal="center" vertical="center" wrapText="1"/>
    </xf>
    <xf numFmtId="0" fontId="15" fillId="4" borderId="1" xfId="5" quotePrefix="1" applyFont="1" applyFill="1" applyBorder="1" applyAlignment="1">
      <alignment horizontal="center" vertical="center" wrapText="1"/>
    </xf>
    <xf numFmtId="165" fontId="15" fillId="4" borderId="1" xfId="6" applyFont="1" applyFill="1" applyBorder="1" applyAlignment="1">
      <alignment horizontal="center" vertical="center" wrapText="1"/>
    </xf>
    <xf numFmtId="1" fontId="15" fillId="4" borderId="0" xfId="9" applyNumberFormat="1" applyFont="1" applyFill="1" applyAlignment="1">
      <alignment horizontal="left" vertical="center" wrapText="1"/>
    </xf>
    <xf numFmtId="1" fontId="15" fillId="4" borderId="0" xfId="9" applyNumberFormat="1" applyFont="1" applyFill="1" applyAlignment="1">
      <alignment horizontal="center" vertical="center" wrapText="1"/>
    </xf>
    <xf numFmtId="1" fontId="15" fillId="4" borderId="0" xfId="9" quotePrefix="1" applyNumberFormat="1" applyFont="1" applyFill="1" applyAlignment="1">
      <alignment horizontal="center" vertical="center" wrapText="1"/>
    </xf>
    <xf numFmtId="167" fontId="15" fillId="4" borderId="0" xfId="1" applyNumberFormat="1" applyFont="1" applyFill="1" applyBorder="1" applyAlignment="1">
      <alignment vertical="center"/>
    </xf>
    <xf numFmtId="164" fontId="15" fillId="4" borderId="0" xfId="1" applyFont="1" applyFill="1" applyBorder="1" applyAlignment="1">
      <alignment horizontal="center" vertical="center" wrapText="1"/>
    </xf>
    <xf numFmtId="164" fontId="11" fillId="4" borderId="0" xfId="1" applyFont="1" applyFill="1" applyBorder="1" applyAlignment="1">
      <alignment horizontal="center" vertical="center" wrapText="1"/>
    </xf>
    <xf numFmtId="10" fontId="15" fillId="4" borderId="0" xfId="6" applyNumberFormat="1" applyFont="1" applyFill="1" applyBorder="1" applyAlignment="1">
      <alignment horizontal="center" vertical="center" wrapText="1"/>
    </xf>
    <xf numFmtId="165" fontId="15" fillId="4" borderId="0" xfId="5" applyNumberFormat="1" applyFont="1" applyFill="1" applyAlignment="1">
      <alignment horizontal="center" vertical="center" wrapText="1"/>
    </xf>
    <xf numFmtId="0" fontId="24" fillId="2" borderId="1" xfId="12" quotePrefix="1" applyFont="1" applyFill="1" applyBorder="1" applyAlignment="1">
      <alignment horizontal="center" vertical="center"/>
    </xf>
    <xf numFmtId="0" fontId="24" fillId="2" borderId="1" xfId="12" applyFont="1" applyFill="1" applyBorder="1" applyAlignment="1">
      <alignment horizontal="left" vertical="center" wrapText="1"/>
    </xf>
    <xf numFmtId="0" fontId="24" fillId="2" borderId="1" xfId="12" applyFont="1" applyFill="1" applyBorder="1" applyAlignment="1">
      <alignment horizontal="center" vertical="center" wrapText="1"/>
    </xf>
    <xf numFmtId="0" fontId="24" fillId="2" borderId="1" xfId="16" applyFont="1" applyFill="1" applyBorder="1" applyAlignment="1">
      <alignment horizontal="center" vertical="center" wrapText="1"/>
    </xf>
    <xf numFmtId="166" fontId="24" fillId="2" borderId="1" xfId="1" applyNumberFormat="1" applyFont="1" applyFill="1" applyBorder="1" applyAlignment="1">
      <alignment vertical="center"/>
    </xf>
    <xf numFmtId="164" fontId="24" fillId="2" borderId="1" xfId="1" applyFont="1" applyFill="1" applyBorder="1" applyAlignment="1">
      <alignment horizontal="center" vertical="center" wrapText="1"/>
    </xf>
    <xf numFmtId="164" fontId="24" fillId="2" borderId="1" xfId="1" applyFont="1" applyFill="1" applyBorder="1" applyAlignment="1">
      <alignment vertical="center"/>
    </xf>
    <xf numFmtId="10" fontId="24" fillId="2" borderId="1" xfId="6" applyNumberFormat="1" applyFont="1" applyFill="1" applyBorder="1" applyAlignment="1">
      <alignment horizontal="center" vertical="center" wrapText="1"/>
    </xf>
    <xf numFmtId="165" fontId="24" fillId="2" borderId="1" xfId="5" applyNumberFormat="1" applyFont="1" applyFill="1" applyBorder="1" applyAlignment="1">
      <alignment horizontal="center" vertical="center" wrapText="1"/>
    </xf>
    <xf numFmtId="0" fontId="24" fillId="2" borderId="0" xfId="0" applyFont="1" applyFill="1" applyAlignment="1">
      <alignment vertical="center"/>
    </xf>
    <xf numFmtId="0" fontId="11" fillId="2" borderId="1" xfId="3" applyFont="1" applyFill="1" applyBorder="1" applyAlignment="1">
      <alignment horizontal="center" vertical="center" wrapText="1"/>
    </xf>
    <xf numFmtId="0" fontId="11" fillId="2" borderId="1" xfId="3" applyFont="1" applyFill="1" applyBorder="1" applyAlignment="1">
      <alignment vertical="center" wrapText="1"/>
    </xf>
    <xf numFmtId="0" fontId="11" fillId="2" borderId="1" xfId="16" applyFont="1" applyFill="1" applyBorder="1" applyAlignment="1">
      <alignment horizontal="center" vertical="center" wrapText="1"/>
    </xf>
    <xf numFmtId="165" fontId="11" fillId="2" borderId="1" xfId="6" applyFont="1" applyFill="1" applyBorder="1" applyAlignment="1">
      <alignment horizontal="center" vertical="center" wrapText="1"/>
    </xf>
    <xf numFmtId="164" fontId="11" fillId="2" borderId="1" xfId="1" applyFont="1" applyFill="1" applyBorder="1" applyAlignment="1">
      <alignment horizontal="center" vertical="center" wrapText="1"/>
    </xf>
    <xf numFmtId="10" fontId="11" fillId="2" borderId="1" xfId="6" applyNumberFormat="1" applyFont="1" applyFill="1" applyBorder="1" applyAlignment="1">
      <alignment horizontal="center" vertical="center" wrapText="1"/>
    </xf>
    <xf numFmtId="165" fontId="11" fillId="2" borderId="1" xfId="5" applyNumberFormat="1" applyFont="1" applyFill="1" applyBorder="1" applyAlignment="1">
      <alignment horizontal="center" vertical="center" wrapText="1"/>
    </xf>
    <xf numFmtId="0" fontId="11" fillId="2" borderId="0" xfId="0" applyFont="1" applyFill="1" applyAlignment="1">
      <alignment vertical="center"/>
    </xf>
    <xf numFmtId="0" fontId="15" fillId="2" borderId="1" xfId="3" applyFont="1" applyFill="1" applyBorder="1" applyAlignment="1">
      <alignment horizontal="center" vertical="center" wrapText="1"/>
    </xf>
    <xf numFmtId="0" fontId="15" fillId="2" borderId="1" xfId="12" applyFont="1" applyFill="1" applyBorder="1" applyAlignment="1">
      <alignment horizontal="left" vertical="center" wrapText="1"/>
    </xf>
    <xf numFmtId="0" fontId="15" fillId="2" borderId="1" xfId="12" applyFont="1" applyFill="1" applyBorder="1" applyAlignment="1">
      <alignment horizontal="center" vertical="center" wrapText="1"/>
    </xf>
    <xf numFmtId="0" fontId="15" fillId="2" borderId="1" xfId="16" applyFont="1" applyFill="1" applyBorder="1" applyAlignment="1">
      <alignment horizontal="center" vertical="center" wrapText="1"/>
    </xf>
    <xf numFmtId="3" fontId="15" fillId="2" borderId="1" xfId="12" applyNumberFormat="1" applyFont="1" applyFill="1" applyBorder="1" applyAlignment="1">
      <alignment vertical="center"/>
    </xf>
    <xf numFmtId="164" fontId="15" fillId="2" borderId="1" xfId="1" applyFont="1" applyFill="1" applyBorder="1" applyAlignment="1">
      <alignment horizontal="center" vertical="center" wrapText="1"/>
    </xf>
    <xf numFmtId="164" fontId="15" fillId="2" borderId="1" xfId="1" applyFont="1" applyFill="1" applyBorder="1" applyAlignment="1">
      <alignment vertical="center"/>
    </xf>
    <xf numFmtId="10" fontId="15" fillId="2" borderId="1" xfId="6" applyNumberFormat="1" applyFont="1" applyFill="1" applyBorder="1" applyAlignment="1">
      <alignment horizontal="center" vertical="center" wrapText="1"/>
    </xf>
    <xf numFmtId="165" fontId="15" fillId="2" borderId="1" xfId="5" applyNumberFormat="1" applyFont="1" applyFill="1" applyBorder="1" applyAlignment="1">
      <alignment horizontal="center" vertical="center" wrapText="1"/>
    </xf>
    <xf numFmtId="0" fontId="15" fillId="2" borderId="0" xfId="0" applyFont="1" applyFill="1" applyAlignment="1">
      <alignment vertical="center"/>
    </xf>
    <xf numFmtId="0" fontId="15" fillId="2" borderId="1" xfId="12" quotePrefix="1" applyFont="1" applyFill="1" applyBorder="1" applyAlignment="1">
      <alignment horizontal="center" vertical="center"/>
    </xf>
    <xf numFmtId="164" fontId="12" fillId="2" borderId="1" xfId="1" applyFont="1" applyFill="1" applyBorder="1" applyAlignment="1">
      <alignment horizontal="right" vertical="center" wrapText="1"/>
    </xf>
    <xf numFmtId="165" fontId="9" fillId="2" borderId="1" xfId="6" applyFont="1" applyFill="1" applyBorder="1" applyAlignment="1">
      <alignment horizontal="center" vertical="center" wrapText="1"/>
    </xf>
    <xf numFmtId="166" fontId="9" fillId="2" borderId="1" xfId="6" applyNumberFormat="1" applyFont="1" applyFill="1" applyBorder="1" applyAlignment="1">
      <alignment horizontal="center" vertical="center" wrapText="1"/>
    </xf>
    <xf numFmtId="0" fontId="24" fillId="4" borderId="1" xfId="0" applyFont="1" applyFill="1" applyBorder="1" applyAlignment="1">
      <alignment horizontal="left" vertical="center" wrapText="1"/>
    </xf>
    <xf numFmtId="0" fontId="24" fillId="4" borderId="1" xfId="16" applyFont="1" applyFill="1" applyBorder="1" applyAlignment="1">
      <alignment horizontal="center" vertical="center" wrapText="1"/>
    </xf>
    <xf numFmtId="164" fontId="24" fillId="4" borderId="1" xfId="1" applyFont="1" applyFill="1" applyBorder="1" applyAlignment="1">
      <alignment horizontal="center" vertical="center" wrapText="1"/>
    </xf>
    <xf numFmtId="10" fontId="24" fillId="4" borderId="1" xfId="6" applyNumberFormat="1" applyFont="1" applyFill="1" applyBorder="1" applyAlignment="1">
      <alignment horizontal="center" vertical="center" wrapText="1"/>
    </xf>
    <xf numFmtId="0" fontId="24" fillId="4" borderId="0" xfId="0" applyFont="1" applyFill="1" applyAlignment="1">
      <alignment vertical="center"/>
    </xf>
    <xf numFmtId="1" fontId="24" fillId="2" borderId="1" xfId="5" applyNumberFormat="1" applyFont="1" applyFill="1" applyBorder="1" applyAlignment="1">
      <alignment horizontal="center" vertical="center"/>
    </xf>
    <xf numFmtId="0" fontId="24" fillId="2" borderId="1" xfId="0" applyFont="1" applyFill="1" applyBorder="1" applyAlignment="1">
      <alignment horizontal="left" vertical="center" wrapText="1"/>
    </xf>
    <xf numFmtId="166" fontId="24" fillId="2" borderId="1" xfId="16" applyNumberFormat="1" applyFont="1" applyFill="1" applyBorder="1" applyAlignment="1">
      <alignment horizontal="center" vertical="center" wrapText="1"/>
    </xf>
    <xf numFmtId="166" fontId="24" fillId="2" borderId="1" xfId="6" applyNumberFormat="1" applyFont="1" applyFill="1" applyBorder="1" applyAlignment="1">
      <alignment horizontal="center" vertical="center" wrapText="1"/>
    </xf>
    <xf numFmtId="10" fontId="18" fillId="2" borderId="1" xfId="6" applyNumberFormat="1" applyFont="1" applyFill="1" applyBorder="1" applyAlignment="1">
      <alignment horizontal="center" vertical="center" wrapText="1"/>
    </xf>
    <xf numFmtId="1" fontId="18" fillId="2" borderId="1" xfId="9" applyNumberFormat="1" applyFont="1" applyFill="1" applyBorder="1" applyAlignment="1">
      <alignment horizontal="center" vertical="center" wrapText="1"/>
    </xf>
    <xf numFmtId="1" fontId="18" fillId="2" borderId="1" xfId="9" quotePrefix="1" applyNumberFormat="1" applyFont="1" applyFill="1" applyBorder="1" applyAlignment="1">
      <alignment horizontal="center" vertical="center" wrapText="1"/>
    </xf>
    <xf numFmtId="167" fontId="18" fillId="2" borderId="1" xfId="1" applyNumberFormat="1" applyFont="1" applyFill="1" applyBorder="1" applyAlignment="1">
      <alignment vertical="center"/>
    </xf>
    <xf numFmtId="0" fontId="18" fillId="2" borderId="0" xfId="0" applyFont="1" applyFill="1" applyAlignment="1">
      <alignment vertical="center"/>
    </xf>
    <xf numFmtId="166" fontId="11" fillId="2" borderId="1" xfId="7" applyNumberFormat="1" applyFont="1" applyFill="1" applyBorder="1" applyAlignment="1">
      <alignment horizontal="center" vertical="center"/>
    </xf>
    <xf numFmtId="166" fontId="11" fillId="2" borderId="1" xfId="7" applyNumberFormat="1" applyFont="1" applyFill="1" applyBorder="1" applyAlignment="1">
      <alignment horizontal="justify" vertical="center" wrapText="1"/>
    </xf>
    <xf numFmtId="166" fontId="11" fillId="2" borderId="1" xfId="7" applyNumberFormat="1" applyFont="1" applyFill="1" applyBorder="1" applyAlignment="1">
      <alignment horizontal="center" vertical="center" wrapText="1"/>
    </xf>
    <xf numFmtId="1" fontId="11" fillId="2" borderId="1" xfId="9" quotePrefix="1" applyNumberFormat="1" applyFont="1" applyFill="1" applyBorder="1" applyAlignment="1">
      <alignment horizontal="center" vertical="center" wrapText="1"/>
    </xf>
    <xf numFmtId="1" fontId="11" fillId="2" borderId="1" xfId="9" applyNumberFormat="1" applyFont="1" applyFill="1" applyBorder="1" applyAlignment="1">
      <alignment horizontal="center" vertical="center" wrapText="1"/>
    </xf>
    <xf numFmtId="167" fontId="11" fillId="2" borderId="1" xfId="1" applyNumberFormat="1" applyFont="1" applyFill="1" applyBorder="1" applyAlignment="1">
      <alignment vertical="center"/>
    </xf>
    <xf numFmtId="164" fontId="11" fillId="2" borderId="1" xfId="1" applyFont="1" applyFill="1" applyBorder="1" applyAlignment="1">
      <alignment vertical="center"/>
    </xf>
    <xf numFmtId="166" fontId="15" fillId="2" borderId="1" xfId="7" quotePrefix="1" applyNumberFormat="1" applyFont="1" applyFill="1" applyBorder="1" applyAlignment="1">
      <alignment horizontal="center" vertical="center"/>
    </xf>
    <xf numFmtId="0" fontId="15" fillId="2" borderId="1" xfId="8" applyFont="1" applyFill="1" applyBorder="1" applyAlignment="1">
      <alignment horizontal="left" vertical="center" wrapText="1"/>
    </xf>
    <xf numFmtId="0" fontId="15" fillId="2" borderId="1" xfId="8" applyFont="1" applyFill="1" applyBorder="1" applyAlignment="1">
      <alignment horizontal="center" vertical="center" wrapText="1"/>
    </xf>
    <xf numFmtId="1" fontId="15" fillId="2" borderId="1" xfId="9" quotePrefix="1" applyNumberFormat="1" applyFont="1" applyFill="1" applyBorder="1" applyAlignment="1">
      <alignment horizontal="center" vertical="center" wrapText="1"/>
    </xf>
    <xf numFmtId="1" fontId="15" fillId="2" borderId="1" xfId="9" applyNumberFormat="1" applyFont="1" applyFill="1" applyBorder="1" applyAlignment="1">
      <alignment horizontal="center" vertical="center" wrapText="1"/>
    </xf>
    <xf numFmtId="167" fontId="15" fillId="2" borderId="1" xfId="1" applyNumberFormat="1" applyFont="1" applyFill="1" applyBorder="1" applyAlignment="1">
      <alignment vertical="center"/>
    </xf>
    <xf numFmtId="164" fontId="15" fillId="2" borderId="1" xfId="1" applyFont="1" applyFill="1" applyBorder="1" applyAlignment="1">
      <alignment horizontal="right"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1" fontId="11" fillId="2" borderId="1" xfId="5" applyNumberFormat="1" applyFont="1" applyFill="1" applyBorder="1" applyAlignment="1">
      <alignment horizontal="center" vertical="center" wrapText="1"/>
    </xf>
    <xf numFmtId="0" fontId="11" fillId="2" borderId="1" xfId="5" applyFont="1" applyFill="1" applyBorder="1" applyAlignment="1">
      <alignment horizontal="left" vertical="center" wrapText="1"/>
    </xf>
    <xf numFmtId="0" fontId="11" fillId="2" borderId="1" xfId="5" applyFont="1" applyFill="1" applyBorder="1" applyAlignment="1">
      <alignment horizontal="center" vertical="center" wrapText="1"/>
    </xf>
    <xf numFmtId="166" fontId="11" fillId="2" borderId="1" xfId="1" applyNumberFormat="1" applyFont="1" applyFill="1" applyBorder="1" applyAlignment="1">
      <alignment horizontal="center" vertical="center" wrapText="1"/>
    </xf>
    <xf numFmtId="1" fontId="15" fillId="2" borderId="1" xfId="5" applyNumberFormat="1" applyFont="1" applyFill="1" applyBorder="1" applyAlignment="1">
      <alignment horizontal="center" vertical="center" wrapText="1"/>
    </xf>
    <xf numFmtId="0" fontId="15" fillId="2" borderId="1" xfId="5" applyFont="1" applyFill="1" applyBorder="1" applyAlignment="1">
      <alignment horizontal="left" vertical="center" wrapText="1"/>
    </xf>
    <xf numFmtId="0" fontId="15" fillId="2" borderId="1" xfId="5" applyFont="1" applyFill="1" applyBorder="1" applyAlignment="1">
      <alignment horizontal="center" vertical="center" wrapText="1"/>
    </xf>
    <xf numFmtId="0" fontId="15" fillId="2" borderId="1" xfId="5" quotePrefix="1" applyFont="1" applyFill="1" applyBorder="1" applyAlignment="1">
      <alignment horizontal="center" vertical="center" wrapText="1"/>
    </xf>
    <xf numFmtId="165" fontId="15" fillId="2" borderId="1" xfId="6" applyFont="1" applyFill="1" applyBorder="1" applyAlignment="1">
      <alignment horizontal="center" vertical="center" wrapText="1"/>
    </xf>
    <xf numFmtId="164" fontId="11" fillId="0" borderId="0" xfId="1" applyFont="1" applyFill="1" applyAlignment="1">
      <alignment vertical="center" wrapText="1"/>
    </xf>
    <xf numFmtId="0" fontId="11" fillId="0" borderId="0" xfId="5" applyFont="1" applyAlignment="1">
      <alignment vertical="center" wrapText="1"/>
    </xf>
    <xf numFmtId="164" fontId="11" fillId="2" borderId="0" xfId="1" applyFont="1" applyFill="1" applyAlignment="1">
      <alignment vertical="center" wrapText="1"/>
    </xf>
    <xf numFmtId="164" fontId="11" fillId="0" borderId="4" xfId="1" applyFont="1" applyFill="1" applyBorder="1" applyAlignment="1">
      <alignment horizontal="center" vertical="center" wrapText="1"/>
    </xf>
    <xf numFmtId="0" fontId="11" fillId="0" borderId="4" xfId="16" applyFont="1" applyBorder="1" applyAlignment="1">
      <alignment horizontal="center" vertical="center" wrapText="1"/>
    </xf>
    <xf numFmtId="1" fontId="24" fillId="4" borderId="4" xfId="5" applyNumberFormat="1" applyFont="1" applyFill="1" applyBorder="1" applyAlignment="1">
      <alignment horizontal="center" vertical="center" wrapText="1"/>
    </xf>
    <xf numFmtId="0" fontId="24" fillId="4" borderId="4" xfId="5" applyFont="1" applyFill="1" applyBorder="1" applyAlignment="1">
      <alignment horizontal="center" vertical="center" wrapText="1"/>
    </xf>
    <xf numFmtId="0" fontId="24" fillId="4" borderId="4" xfId="16" applyFont="1" applyFill="1" applyBorder="1" applyAlignment="1">
      <alignment horizontal="center" vertical="center" wrapText="1"/>
    </xf>
    <xf numFmtId="164" fontId="24" fillId="2" borderId="4" xfId="1" applyFont="1" applyFill="1" applyBorder="1" applyAlignment="1">
      <alignment horizontal="center" vertical="center" wrapText="1"/>
    </xf>
    <xf numFmtId="171" fontId="24" fillId="2" borderId="4" xfId="1" applyNumberFormat="1" applyFont="1" applyFill="1" applyBorder="1" applyAlignment="1">
      <alignment horizontal="center" vertical="center" wrapText="1"/>
    </xf>
    <xf numFmtId="164" fontId="24" fillId="4" borderId="4" xfId="1" applyFont="1" applyFill="1" applyBorder="1" applyAlignment="1">
      <alignment horizontal="center" vertical="center" wrapText="1"/>
    </xf>
    <xf numFmtId="10" fontId="24" fillId="4" borderId="4" xfId="6" applyNumberFormat="1" applyFont="1" applyFill="1" applyBorder="1" applyAlignment="1">
      <alignment horizontal="center" vertical="center" wrapText="1"/>
    </xf>
    <xf numFmtId="165" fontId="24" fillId="4" borderId="4" xfId="5" applyNumberFormat="1" applyFont="1" applyFill="1" applyBorder="1" applyAlignment="1">
      <alignment horizontal="center" vertical="center" wrapText="1"/>
    </xf>
    <xf numFmtId="164" fontId="11" fillId="0" borderId="1" xfId="1" applyFont="1" applyFill="1" applyBorder="1" applyAlignment="1">
      <alignment horizontal="center" vertical="center" wrapText="1"/>
    </xf>
    <xf numFmtId="164" fontId="15" fillId="0" borderId="1" xfId="1"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164" fontId="29" fillId="4" borderId="1" xfId="1" applyFont="1" applyFill="1" applyBorder="1" applyAlignment="1">
      <alignment horizontal="center" vertical="center" wrapText="1"/>
    </xf>
    <xf numFmtId="166" fontId="15" fillId="0" borderId="1" xfId="1" applyNumberFormat="1" applyFont="1" applyFill="1" applyBorder="1" applyAlignment="1">
      <alignment horizontal="center" vertical="center" wrapText="1"/>
    </xf>
    <xf numFmtId="9" fontId="30" fillId="4" borderId="1" xfId="6" quotePrefix="1" applyNumberFormat="1" applyFont="1" applyFill="1" applyBorder="1" applyAlignment="1">
      <alignment horizontal="center" vertical="center" wrapText="1"/>
    </xf>
    <xf numFmtId="166" fontId="11" fillId="4" borderId="1" xfId="1" applyNumberFormat="1" applyFont="1" applyFill="1" applyBorder="1" applyAlignment="1">
      <alignment vertical="center"/>
    </xf>
    <xf numFmtId="0" fontId="24" fillId="4" borderId="1" xfId="3" applyFont="1" applyFill="1" applyBorder="1" applyAlignment="1">
      <alignment horizontal="center" vertical="center" wrapText="1"/>
    </xf>
    <xf numFmtId="0" fontId="24" fillId="4" borderId="1" xfId="3" applyFont="1" applyFill="1" applyBorder="1" applyAlignment="1">
      <alignment vertical="center" wrapText="1"/>
    </xf>
    <xf numFmtId="165" fontId="24" fillId="4" borderId="1" xfId="6" applyFont="1" applyFill="1" applyBorder="1" applyAlignment="1">
      <alignment horizontal="center" vertical="center" wrapText="1"/>
    </xf>
    <xf numFmtId="9" fontId="30" fillId="4" borderId="1" xfId="6" applyNumberFormat="1" applyFont="1" applyFill="1" applyBorder="1" applyAlignment="1">
      <alignment horizontal="center" vertical="center" wrapText="1"/>
    </xf>
    <xf numFmtId="165" fontId="24" fillId="4" borderId="1" xfId="5" applyNumberFormat="1" applyFont="1" applyFill="1" applyBorder="1" applyAlignment="1">
      <alignment horizontal="center" vertical="center" wrapText="1"/>
    </xf>
    <xf numFmtId="165" fontId="18" fillId="4" borderId="0" xfId="0" applyNumberFormat="1" applyFont="1" applyFill="1" applyAlignment="1">
      <alignment vertical="center"/>
    </xf>
    <xf numFmtId="9" fontId="11" fillId="4" borderId="1" xfId="6" applyNumberFormat="1" applyFont="1" applyFill="1" applyBorder="1" applyAlignment="1">
      <alignment horizontal="center" vertical="center" wrapText="1"/>
    </xf>
    <xf numFmtId="0" fontId="18" fillId="4" borderId="1" xfId="12" quotePrefix="1" applyFont="1" applyFill="1" applyBorder="1" applyAlignment="1">
      <alignment horizontal="center" vertical="center"/>
    </xf>
    <xf numFmtId="0" fontId="18" fillId="4" borderId="1" xfId="12" applyFont="1" applyFill="1" applyBorder="1" applyAlignment="1">
      <alignment horizontal="left" vertical="center" wrapText="1"/>
    </xf>
    <xf numFmtId="0" fontId="18" fillId="4" borderId="1" xfId="12" applyFont="1" applyFill="1" applyBorder="1" applyAlignment="1">
      <alignment horizontal="center" vertical="center" wrapText="1"/>
    </xf>
    <xf numFmtId="0" fontId="18" fillId="4" borderId="1" xfId="16" applyFont="1" applyFill="1" applyBorder="1" applyAlignment="1">
      <alignment horizontal="center" vertical="center" wrapText="1"/>
    </xf>
    <xf numFmtId="3" fontId="18" fillId="4" borderId="1" xfId="12" applyNumberFormat="1" applyFont="1" applyFill="1" applyBorder="1" applyAlignment="1">
      <alignment vertical="center"/>
    </xf>
    <xf numFmtId="0" fontId="18" fillId="4" borderId="1" xfId="3" applyFont="1" applyFill="1" applyBorder="1" applyAlignment="1">
      <alignment horizontal="center" vertical="center" wrapText="1"/>
    </xf>
    <xf numFmtId="167" fontId="31" fillId="4" borderId="1" xfId="19" applyNumberFormat="1" applyFont="1" applyFill="1" applyBorder="1" applyAlignment="1">
      <alignment horizontal="right" vertical="center" wrapText="1"/>
    </xf>
    <xf numFmtId="166" fontId="18" fillId="4" borderId="1" xfId="1" applyNumberFormat="1" applyFont="1" applyFill="1" applyBorder="1" applyAlignment="1">
      <alignment vertical="center"/>
    </xf>
    <xf numFmtId="0" fontId="18" fillId="4" borderId="1" xfId="3" quotePrefix="1" applyFont="1" applyFill="1" applyBorder="1" applyAlignment="1">
      <alignment horizontal="center" vertical="center" wrapText="1"/>
    </xf>
    <xf numFmtId="0" fontId="24" fillId="4" borderId="1" xfId="12" quotePrefix="1" applyFont="1" applyFill="1" applyBorder="1" applyAlignment="1">
      <alignment horizontal="center" vertical="center"/>
    </xf>
    <xf numFmtId="0" fontId="24" fillId="4" borderId="1" xfId="3" quotePrefix="1" applyFont="1" applyFill="1" applyBorder="1" applyAlignment="1">
      <alignment horizontal="center" vertical="center" wrapText="1"/>
    </xf>
    <xf numFmtId="166" fontId="24" fillId="4" borderId="1" xfId="1" applyNumberFormat="1" applyFont="1" applyFill="1" applyBorder="1" applyAlignment="1">
      <alignment horizontal="center" vertical="center" wrapText="1"/>
    </xf>
    <xf numFmtId="0" fontId="18" fillId="4" borderId="1" xfId="20" applyFont="1" applyFill="1" applyBorder="1" applyAlignment="1">
      <alignment horizontal="left" vertical="center" wrapText="1"/>
    </xf>
    <xf numFmtId="0" fontId="18" fillId="4" borderId="1" xfId="20" applyFont="1" applyFill="1" applyBorder="1" applyAlignment="1">
      <alignment horizontal="center" vertical="center" wrapText="1"/>
    </xf>
    <xf numFmtId="165" fontId="18" fillId="4" borderId="1" xfId="6" applyFont="1" applyFill="1" applyBorder="1" applyAlignment="1">
      <alignment horizontal="center" vertical="center" wrapText="1"/>
    </xf>
    <xf numFmtId="166" fontId="11" fillId="0" borderId="1" xfId="6" applyNumberFormat="1" applyFont="1" applyFill="1" applyBorder="1" applyAlignment="1">
      <alignment horizontal="center" vertical="center" wrapText="1"/>
    </xf>
    <xf numFmtId="166" fontId="33" fillId="0" borderId="1" xfId="1" applyNumberFormat="1" applyFont="1" applyFill="1" applyBorder="1" applyAlignment="1">
      <alignment horizontal="center" vertical="center" wrapText="1"/>
    </xf>
    <xf numFmtId="165" fontId="30" fillId="4" borderId="1" xfId="6" quotePrefix="1" applyFont="1" applyFill="1" applyBorder="1" applyAlignment="1">
      <alignment horizontal="center" vertical="center" wrapText="1"/>
    </xf>
    <xf numFmtId="164" fontId="18" fillId="3" borderId="1" xfId="1" applyFont="1" applyFill="1" applyBorder="1" applyAlignment="1">
      <alignment vertical="center"/>
    </xf>
    <xf numFmtId="1" fontId="15" fillId="2" borderId="1" xfId="9" quotePrefix="1" applyNumberFormat="1" applyFont="1" applyFill="1" applyBorder="1" applyAlignment="1">
      <alignment horizontal="center" vertical="center"/>
    </xf>
    <xf numFmtId="164" fontId="15" fillId="2" borderId="1" xfId="1" applyFont="1" applyFill="1" applyBorder="1" applyAlignment="1">
      <alignment vertical="center" wrapText="1"/>
    </xf>
    <xf numFmtId="49" fontId="15" fillId="2" borderId="1" xfId="9" quotePrefix="1" applyNumberFormat="1" applyFont="1" applyFill="1" applyBorder="1" applyAlignment="1">
      <alignment horizontal="center" vertical="center" wrapText="1"/>
    </xf>
    <xf numFmtId="164" fontId="11" fillId="2" borderId="1" xfId="1" applyFont="1" applyFill="1" applyBorder="1" applyAlignment="1">
      <alignment vertical="center" wrapText="1"/>
    </xf>
    <xf numFmtId="9" fontId="29" fillId="4" borderId="1" xfId="6" applyNumberFormat="1" applyFont="1" applyFill="1" applyBorder="1" applyAlignment="1">
      <alignment horizontal="center" vertical="center" wrapText="1"/>
    </xf>
    <xf numFmtId="49" fontId="18" fillId="3" borderId="1" xfId="9" quotePrefix="1" applyNumberFormat="1" applyFont="1" applyFill="1" applyBorder="1" applyAlignment="1">
      <alignment horizontal="center" vertical="center" wrapText="1"/>
    </xf>
    <xf numFmtId="0" fontId="34" fillId="3" borderId="1" xfId="14" applyFont="1" applyFill="1" applyBorder="1" applyAlignment="1">
      <alignment horizontal="left" vertical="center" wrapText="1"/>
    </xf>
    <xf numFmtId="1" fontId="24" fillId="3" borderId="1" xfId="9" applyNumberFormat="1" applyFont="1" applyFill="1" applyBorder="1" applyAlignment="1">
      <alignment horizontal="center" vertical="center" wrapText="1"/>
    </xf>
    <xf numFmtId="1" fontId="16" fillId="3" borderId="1" xfId="9" applyNumberFormat="1" applyFont="1" applyFill="1" applyBorder="1" applyAlignment="1">
      <alignment horizontal="center" vertical="center" wrapText="1"/>
    </xf>
    <xf numFmtId="166" fontId="16" fillId="3" borderId="1" xfId="7" applyNumberFormat="1" applyFont="1" applyFill="1" applyBorder="1" applyAlignment="1">
      <alignment horizontal="right" vertical="center"/>
    </xf>
    <xf numFmtId="166" fontId="15" fillId="3" borderId="1" xfId="6" applyNumberFormat="1" applyFont="1" applyFill="1" applyBorder="1" applyAlignment="1">
      <alignment horizontal="center" vertical="center" wrapText="1"/>
    </xf>
    <xf numFmtId="164" fontId="15" fillId="3" borderId="1" xfId="1" applyFont="1" applyFill="1" applyBorder="1" applyAlignment="1">
      <alignment horizontal="center" vertical="center" wrapText="1"/>
    </xf>
    <xf numFmtId="3" fontId="34" fillId="3" borderId="1" xfId="0" applyNumberFormat="1" applyFont="1" applyFill="1" applyBorder="1" applyAlignment="1">
      <alignment horizontal="right" vertical="center" wrapText="1"/>
    </xf>
    <xf numFmtId="164" fontId="18" fillId="3" borderId="1" xfId="1" applyFont="1" applyFill="1" applyBorder="1" applyAlignment="1">
      <alignment vertical="center" wrapText="1"/>
    </xf>
    <xf numFmtId="164" fontId="18" fillId="3" borderId="1" xfId="1" applyFont="1" applyFill="1" applyBorder="1" applyAlignment="1">
      <alignment horizontal="center" vertical="center" wrapText="1"/>
    </xf>
    <xf numFmtId="10" fontId="15" fillId="3" borderId="1" xfId="6" applyNumberFormat="1" applyFont="1" applyFill="1" applyBorder="1" applyAlignment="1">
      <alignment horizontal="center" vertical="center" wrapText="1"/>
    </xf>
    <xf numFmtId="166" fontId="18" fillId="3" borderId="1" xfId="1" applyNumberFormat="1" applyFont="1" applyFill="1" applyBorder="1" applyAlignment="1">
      <alignment horizontal="center" vertical="center" wrapText="1"/>
    </xf>
    <xf numFmtId="0" fontId="18" fillId="3" borderId="0" xfId="0" applyFont="1" applyFill="1" applyAlignment="1">
      <alignment vertical="center"/>
    </xf>
    <xf numFmtId="0" fontId="18" fillId="3" borderId="1" xfId="10" applyFont="1" applyFill="1" applyBorder="1" applyAlignment="1">
      <alignment horizontal="center" vertical="center" wrapText="1"/>
    </xf>
    <xf numFmtId="0" fontId="15" fillId="2" borderId="1" xfId="13" applyFont="1" applyFill="1" applyBorder="1" applyAlignment="1">
      <alignment horizontal="center" vertical="center" wrapText="1"/>
    </xf>
    <xf numFmtId="164" fontId="18" fillId="0" borderId="1" xfId="1" applyFont="1" applyFill="1" applyBorder="1" applyAlignment="1">
      <alignment horizontal="center" vertical="center" wrapText="1"/>
    </xf>
    <xf numFmtId="166" fontId="35" fillId="0" borderId="1" xfId="1" applyNumberFormat="1" applyFont="1" applyFill="1" applyBorder="1" applyAlignment="1">
      <alignment horizontal="center" vertical="center" wrapText="1"/>
    </xf>
    <xf numFmtId="166" fontId="18" fillId="0" borderId="1" xfId="1" applyNumberFormat="1" applyFont="1" applyFill="1" applyBorder="1" applyAlignment="1">
      <alignment horizontal="center" vertical="center" wrapText="1"/>
    </xf>
    <xf numFmtId="3" fontId="15" fillId="0" borderId="1" xfId="21" applyNumberFormat="1" applyFont="1" applyBorder="1" applyAlignment="1">
      <alignment horizontal="right" vertical="center" wrapText="1"/>
    </xf>
    <xf numFmtId="166" fontId="31" fillId="3" borderId="1" xfId="19" applyNumberFormat="1" applyFont="1" applyFill="1" applyBorder="1" applyAlignment="1">
      <alignment vertical="center" wrapText="1"/>
    </xf>
    <xf numFmtId="3" fontId="15" fillId="0" borderId="1" xfId="9" quotePrefix="1" applyNumberFormat="1" applyFont="1" applyBorder="1" applyAlignment="1">
      <alignment horizontal="right" vertical="center" wrapText="1"/>
    </xf>
    <xf numFmtId="3" fontId="11" fillId="0" borderId="1" xfId="9" quotePrefix="1" applyNumberFormat="1" applyFont="1" applyBorder="1" applyAlignment="1">
      <alignment horizontal="right" vertical="center" wrapText="1"/>
    </xf>
    <xf numFmtId="164" fontId="11" fillId="2" borderId="1" xfId="1" quotePrefix="1" applyFont="1" applyFill="1" applyBorder="1" applyAlignment="1">
      <alignment horizontal="right" vertical="center" wrapText="1"/>
    </xf>
    <xf numFmtId="1" fontId="15" fillId="2" borderId="1" xfId="5" applyNumberFormat="1" applyFont="1" applyFill="1" applyBorder="1" applyAlignment="1">
      <alignment horizontal="center" vertical="center"/>
    </xf>
    <xf numFmtId="166" fontId="15" fillId="4" borderId="1" xfId="7" applyNumberFormat="1" applyFont="1" applyFill="1" applyBorder="1" applyAlignment="1">
      <alignment vertical="center" wrapText="1"/>
    </xf>
    <xf numFmtId="167" fontId="15" fillId="4" borderId="1" xfId="1" applyNumberFormat="1" applyFont="1" applyFill="1" applyBorder="1" applyAlignment="1">
      <alignment horizontal="right" vertical="center" wrapText="1"/>
    </xf>
    <xf numFmtId="164" fontId="15" fillId="6" borderId="1" xfId="1" applyFont="1" applyFill="1" applyBorder="1" applyAlignment="1">
      <alignment horizontal="center" vertical="center" wrapText="1"/>
    </xf>
    <xf numFmtId="3" fontId="28" fillId="0" borderId="1" xfId="21" applyNumberFormat="1" applyFont="1" applyBorder="1" applyAlignment="1">
      <alignment horizontal="right" vertical="center" wrapText="1"/>
    </xf>
    <xf numFmtId="3" fontId="18" fillId="0" borderId="1" xfId="21" applyNumberFormat="1" applyFont="1" applyBorder="1" applyAlignment="1">
      <alignment horizontal="right" vertical="center" wrapText="1"/>
    </xf>
    <xf numFmtId="1" fontId="15" fillId="4" borderId="1" xfId="10" applyNumberFormat="1" applyFont="1" applyFill="1" applyBorder="1" applyAlignment="1">
      <alignment vertical="center" wrapText="1"/>
    </xf>
    <xf numFmtId="166" fontId="6" fillId="4" borderId="1" xfId="19" applyNumberFormat="1" applyFont="1" applyFill="1" applyBorder="1" applyAlignment="1">
      <alignment vertical="center" wrapText="1"/>
    </xf>
    <xf numFmtId="167" fontId="11" fillId="0" borderId="1" xfId="1" applyNumberFormat="1" applyFont="1" applyFill="1" applyBorder="1" applyAlignment="1">
      <alignment vertical="center"/>
    </xf>
    <xf numFmtId="166" fontId="36" fillId="2" borderId="1" xfId="7" quotePrefix="1" applyNumberFormat="1" applyFont="1" applyFill="1" applyBorder="1" applyAlignment="1">
      <alignment horizontal="center" vertical="center"/>
    </xf>
    <xf numFmtId="0" fontId="36" fillId="4" borderId="1" xfId="8" applyFont="1" applyFill="1" applyBorder="1" applyAlignment="1">
      <alignment horizontal="left" vertical="center" wrapText="1"/>
    </xf>
    <xf numFmtId="0" fontId="36" fillId="4" borderId="1" xfId="8" applyFont="1" applyFill="1" applyBorder="1" applyAlignment="1">
      <alignment horizontal="center" vertical="center" wrapText="1"/>
    </xf>
    <xf numFmtId="1" fontId="36" fillId="4" borderId="1" xfId="9" quotePrefix="1" applyNumberFormat="1" applyFont="1" applyFill="1" applyBorder="1" applyAlignment="1">
      <alignment horizontal="center" vertical="center" wrapText="1"/>
    </xf>
    <xf numFmtId="1" fontId="36" fillId="4" borderId="1" xfId="9" applyNumberFormat="1" applyFont="1" applyFill="1" applyBorder="1" applyAlignment="1">
      <alignment horizontal="center" vertical="center" wrapText="1"/>
    </xf>
    <xf numFmtId="167" fontId="36" fillId="4" borderId="1" xfId="1" applyNumberFormat="1" applyFont="1" applyFill="1" applyBorder="1" applyAlignment="1">
      <alignment vertical="center"/>
    </xf>
    <xf numFmtId="164" fontId="36" fillId="0" borderId="1" xfId="1" applyFont="1" applyFill="1" applyBorder="1" applyAlignment="1">
      <alignment horizontal="center" vertical="center" wrapText="1"/>
    </xf>
    <xf numFmtId="166" fontId="36" fillId="0" borderId="1" xfId="1" applyNumberFormat="1" applyFont="1" applyFill="1" applyBorder="1" applyAlignment="1">
      <alignment horizontal="center" vertical="center" wrapText="1"/>
    </xf>
    <xf numFmtId="166" fontId="36" fillId="4" borderId="1" xfId="6" applyNumberFormat="1" applyFont="1" applyFill="1" applyBorder="1" applyAlignment="1">
      <alignment horizontal="center" vertical="center" wrapText="1"/>
    </xf>
    <xf numFmtId="164" fontId="36" fillId="2" borderId="1" xfId="1" applyFont="1" applyFill="1" applyBorder="1" applyAlignment="1">
      <alignment horizontal="center" vertical="center" wrapText="1"/>
    </xf>
    <xf numFmtId="167" fontId="37" fillId="3" borderId="1" xfId="1" applyNumberFormat="1" applyFont="1" applyFill="1" applyBorder="1" applyAlignment="1">
      <alignment horizontal="right" vertical="center" wrapText="1"/>
    </xf>
    <xf numFmtId="164" fontId="36" fillId="2" borderId="1" xfId="1" applyFont="1" applyFill="1" applyBorder="1" applyAlignment="1">
      <alignment horizontal="right" vertical="center" wrapText="1"/>
    </xf>
    <xf numFmtId="164" fontId="36" fillId="4" borderId="1" xfId="1" applyFont="1" applyFill="1" applyBorder="1" applyAlignment="1">
      <alignment horizontal="center" vertical="center" wrapText="1"/>
    </xf>
    <xf numFmtId="10" fontId="36" fillId="4" borderId="1" xfId="6" applyNumberFormat="1" applyFont="1" applyFill="1" applyBorder="1" applyAlignment="1">
      <alignment horizontal="center" vertical="center" wrapText="1"/>
    </xf>
    <xf numFmtId="9" fontId="38" fillId="4" borderId="1" xfId="6" applyNumberFormat="1" applyFont="1" applyFill="1" applyBorder="1" applyAlignment="1">
      <alignment horizontal="center" vertical="center" wrapText="1"/>
    </xf>
    <xf numFmtId="0" fontId="36" fillId="4" borderId="0" xfId="0" applyFont="1" applyFill="1" applyAlignment="1">
      <alignment vertical="center"/>
    </xf>
    <xf numFmtId="166" fontId="36" fillId="4" borderId="1" xfId="7" quotePrefix="1" applyNumberFormat="1" applyFont="1" applyFill="1" applyBorder="1" applyAlignment="1">
      <alignment horizontal="center" vertical="center"/>
    </xf>
    <xf numFmtId="171" fontId="15" fillId="2" borderId="1" xfId="1" applyNumberFormat="1" applyFont="1" applyFill="1" applyBorder="1" applyAlignment="1">
      <alignment horizontal="right" vertical="center" wrapText="1"/>
    </xf>
    <xf numFmtId="166" fontId="39" fillId="4" borderId="1" xfId="7" quotePrefix="1" applyNumberFormat="1" applyFont="1" applyFill="1" applyBorder="1" applyAlignment="1">
      <alignment horizontal="center" vertical="center"/>
    </xf>
    <xf numFmtId="0" fontId="39" fillId="4" borderId="1" xfId="8" applyFont="1" applyFill="1" applyBorder="1" applyAlignment="1">
      <alignment horizontal="left" vertical="center" wrapText="1"/>
    </xf>
    <xf numFmtId="0" fontId="39" fillId="4" borderId="1" xfId="8" applyFont="1" applyFill="1" applyBorder="1" applyAlignment="1">
      <alignment horizontal="center" vertical="center" wrapText="1"/>
    </xf>
    <xf numFmtId="1" fontId="39" fillId="4" borderId="1" xfId="9" quotePrefix="1" applyNumberFormat="1" applyFont="1" applyFill="1" applyBorder="1" applyAlignment="1">
      <alignment horizontal="center" vertical="center" wrapText="1"/>
    </xf>
    <xf numFmtId="1" fontId="39" fillId="4" borderId="1" xfId="9" applyNumberFormat="1" applyFont="1" applyFill="1" applyBorder="1" applyAlignment="1">
      <alignment horizontal="center" vertical="center" wrapText="1"/>
    </xf>
    <xf numFmtId="167" fontId="39" fillId="4" borderId="1" xfId="1" applyNumberFormat="1" applyFont="1" applyFill="1" applyBorder="1" applyAlignment="1">
      <alignment vertical="center"/>
    </xf>
    <xf numFmtId="166" fontId="39" fillId="4" borderId="1" xfId="6" applyNumberFormat="1" applyFont="1" applyFill="1" applyBorder="1" applyAlignment="1">
      <alignment horizontal="center" vertical="center" wrapText="1"/>
    </xf>
    <xf numFmtId="164" fontId="39" fillId="2" borderId="1" xfId="1" applyFont="1" applyFill="1" applyBorder="1" applyAlignment="1">
      <alignment horizontal="center" vertical="center" wrapText="1"/>
    </xf>
    <xf numFmtId="164" fontId="39" fillId="2" borderId="1" xfId="1" applyFont="1" applyFill="1" applyBorder="1" applyAlignment="1">
      <alignment horizontal="right" vertical="center" wrapText="1"/>
    </xf>
    <xf numFmtId="164" fontId="39" fillId="4" borderId="1" xfId="1" applyFont="1" applyFill="1" applyBorder="1" applyAlignment="1">
      <alignment horizontal="center" vertical="center" wrapText="1"/>
    </xf>
    <xf numFmtId="10" fontId="39" fillId="4" borderId="1" xfId="6" applyNumberFormat="1" applyFont="1" applyFill="1" applyBorder="1" applyAlignment="1">
      <alignment horizontal="center" vertical="center" wrapText="1"/>
    </xf>
    <xf numFmtId="0" fontId="39" fillId="4" borderId="0" xfId="0" applyFont="1" applyFill="1" applyAlignment="1">
      <alignment vertical="center"/>
    </xf>
    <xf numFmtId="164" fontId="18" fillId="2" borderId="1" xfId="1" applyFont="1" applyFill="1" applyBorder="1" applyAlignment="1">
      <alignment horizontal="right" vertical="center" wrapText="1"/>
    </xf>
    <xf numFmtId="0" fontId="39" fillId="4" borderId="1" xfId="0" applyFont="1" applyFill="1" applyBorder="1" applyAlignment="1">
      <alignment horizontal="center" vertical="center"/>
    </xf>
    <xf numFmtId="0" fontId="39" fillId="4" borderId="1" xfId="0" applyFont="1" applyFill="1" applyBorder="1" applyAlignment="1">
      <alignment horizontal="left" vertical="center" wrapText="1"/>
    </xf>
    <xf numFmtId="0" fontId="39" fillId="4" borderId="1" xfId="0" applyFont="1" applyFill="1" applyBorder="1" applyAlignment="1">
      <alignment horizontal="center" vertical="center" wrapText="1"/>
    </xf>
    <xf numFmtId="0" fontId="18" fillId="4" borderId="1" xfId="8" applyFont="1" applyFill="1" applyBorder="1" applyAlignment="1">
      <alignment horizontal="center" vertical="center" wrapText="1"/>
    </xf>
    <xf numFmtId="167" fontId="13" fillId="3" borderId="1" xfId="1" applyNumberFormat="1" applyFont="1" applyFill="1" applyBorder="1" applyAlignment="1">
      <alignment horizontal="right" vertical="center" wrapText="1"/>
    </xf>
    <xf numFmtId="164" fontId="30" fillId="4" borderId="1" xfId="1" applyFont="1" applyFill="1" applyBorder="1" applyAlignment="1">
      <alignment horizontal="center" vertical="center" wrapText="1"/>
    </xf>
    <xf numFmtId="164" fontId="15" fillId="0" borderId="0" xfId="1" applyFont="1" applyFill="1" applyBorder="1" applyAlignment="1">
      <alignment vertical="center"/>
    </xf>
    <xf numFmtId="167" fontId="15" fillId="0" borderId="0" xfId="1" applyNumberFormat="1" applyFont="1" applyFill="1" applyBorder="1" applyAlignment="1">
      <alignment vertical="center"/>
    </xf>
    <xf numFmtId="166" fontId="15" fillId="4" borderId="0" xfId="6" applyNumberFormat="1" applyFont="1" applyFill="1" applyBorder="1" applyAlignment="1">
      <alignment horizontal="center" vertical="center" wrapText="1"/>
    </xf>
    <xf numFmtId="164" fontId="15" fillId="2" borderId="0" xfId="1" applyFont="1" applyFill="1" applyBorder="1" applyAlignment="1">
      <alignment horizontal="center" vertical="center" wrapText="1"/>
    </xf>
    <xf numFmtId="164" fontId="11" fillId="2" borderId="0" xfId="1" applyFont="1" applyFill="1" applyBorder="1" applyAlignment="1">
      <alignment horizontal="center" vertical="center" wrapText="1"/>
    </xf>
    <xf numFmtId="9" fontId="15" fillId="4" borderId="0" xfId="6" applyNumberFormat="1" applyFont="1" applyFill="1" applyBorder="1" applyAlignment="1">
      <alignment horizontal="center" vertical="center" wrapText="1"/>
    </xf>
    <xf numFmtId="3" fontId="13" fillId="6" borderId="1" xfId="0" applyNumberFormat="1" applyFont="1" applyFill="1" applyBorder="1" applyAlignment="1">
      <alignment vertical="center" wrapText="1"/>
    </xf>
    <xf numFmtId="164" fontId="15" fillId="0" borderId="0" xfId="1" applyFont="1" applyFill="1" applyAlignment="1">
      <alignment vertical="center"/>
    </xf>
    <xf numFmtId="0" fontId="15" fillId="0" borderId="0" xfId="0" applyFont="1" applyAlignment="1">
      <alignment vertical="center"/>
    </xf>
    <xf numFmtId="164" fontId="15" fillId="2" borderId="0" xfId="1" applyFont="1" applyFill="1" applyAlignment="1">
      <alignment vertical="center"/>
    </xf>
    <xf numFmtId="172" fontId="15" fillId="4" borderId="0" xfId="6" applyNumberFormat="1" applyFont="1" applyFill="1" applyAlignment="1">
      <alignment vertical="center"/>
    </xf>
    <xf numFmtId="0" fontId="9" fillId="4" borderId="0" xfId="0" applyFont="1" applyFill="1" applyAlignment="1">
      <alignment vertical="center" wrapText="1"/>
    </xf>
    <xf numFmtId="0" fontId="42" fillId="4" borderId="0" xfId="0" applyFont="1" applyFill="1" applyAlignment="1">
      <alignment vertical="center" wrapText="1"/>
    </xf>
    <xf numFmtId="0" fontId="9" fillId="4" borderId="0" xfId="0" applyFont="1" applyFill="1" applyAlignment="1">
      <alignment horizontal="center" vertical="center" wrapText="1"/>
    </xf>
    <xf numFmtId="167" fontId="9" fillId="4" borderId="0" xfId="19" applyNumberFormat="1" applyFont="1" applyFill="1" applyAlignment="1">
      <alignment vertical="center" wrapText="1"/>
    </xf>
    <xf numFmtId="167" fontId="44" fillId="4" borderId="0" xfId="19" applyNumberFormat="1" applyFont="1" applyFill="1" applyAlignment="1">
      <alignment vertical="center" wrapText="1"/>
    </xf>
    <xf numFmtId="0" fontId="44" fillId="4" borderId="0" xfId="0" applyFont="1" applyFill="1" applyAlignment="1">
      <alignment vertical="center" wrapText="1"/>
    </xf>
    <xf numFmtId="0" fontId="44" fillId="4" borderId="0" xfId="0" applyFont="1" applyFill="1" applyAlignment="1">
      <alignment horizontal="center" vertical="center" wrapText="1"/>
    </xf>
    <xf numFmtId="0" fontId="45" fillId="4" borderId="1" xfId="0" applyFont="1" applyFill="1" applyBorder="1" applyAlignment="1">
      <alignment horizontal="center" vertical="center" wrapText="1"/>
    </xf>
    <xf numFmtId="167" fontId="45" fillId="4" borderId="1" xfId="19" applyNumberFormat="1" applyFont="1" applyFill="1" applyBorder="1" applyAlignment="1">
      <alignment horizontal="center" vertical="center" wrapText="1"/>
    </xf>
    <xf numFmtId="0" fontId="46" fillId="4" borderId="0" xfId="0" applyFont="1" applyFill="1" applyAlignment="1">
      <alignment vertical="center" wrapText="1"/>
    </xf>
    <xf numFmtId="0" fontId="10" fillId="4" borderId="1" xfId="0" applyFont="1" applyFill="1" applyBorder="1" applyAlignment="1">
      <alignment horizontal="center" vertical="center" wrapText="1"/>
    </xf>
    <xf numFmtId="167" fontId="10" fillId="4" borderId="1" xfId="19" applyNumberFormat="1" applyFont="1" applyFill="1" applyBorder="1" applyAlignment="1">
      <alignment horizontal="center" vertical="center" wrapText="1"/>
    </xf>
    <xf numFmtId="167" fontId="9" fillId="4" borderId="1" xfId="0" applyNumberFormat="1" applyFont="1" applyFill="1" applyBorder="1" applyAlignment="1">
      <alignment horizontal="center" vertical="center" wrapText="1"/>
    </xf>
    <xf numFmtId="0" fontId="10" fillId="4" borderId="0" xfId="0" applyFont="1" applyFill="1" applyAlignment="1">
      <alignment wrapText="1"/>
    </xf>
    <xf numFmtId="0" fontId="47" fillId="4" borderId="1" xfId="0" applyFont="1" applyFill="1" applyBorder="1" applyAlignment="1">
      <alignment horizontal="center" vertical="center" wrapText="1"/>
    </xf>
    <xf numFmtId="0" fontId="47" fillId="4" borderId="1" xfId="0" applyFont="1" applyFill="1" applyBorder="1" applyAlignment="1">
      <alignment horizontal="left" vertical="center" wrapText="1"/>
    </xf>
    <xf numFmtId="167" fontId="42" fillId="4" borderId="0" xfId="0" applyNumberFormat="1" applyFont="1" applyFill="1" applyAlignment="1">
      <alignment wrapText="1"/>
    </xf>
    <xf numFmtId="167" fontId="47" fillId="4" borderId="0" xfId="0" applyNumberFormat="1" applyFont="1" applyFill="1" applyAlignment="1">
      <alignment wrapText="1"/>
    </xf>
    <xf numFmtId="0" fontId="47" fillId="4" borderId="0" xfId="0" applyFont="1" applyFill="1" applyAlignment="1">
      <alignment wrapText="1"/>
    </xf>
    <xf numFmtId="0" fontId="42" fillId="4" borderId="1" xfId="0" applyFont="1" applyFill="1" applyBorder="1" applyAlignment="1">
      <alignment horizontal="center" vertical="center" wrapText="1"/>
    </xf>
    <xf numFmtId="0" fontId="42" fillId="4" borderId="0" xfId="0" applyFont="1" applyFill="1" applyAlignment="1">
      <alignment wrapText="1"/>
    </xf>
    <xf numFmtId="0" fontId="42" fillId="4"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9" fillId="4" borderId="1" xfId="0" applyFont="1" applyFill="1" applyBorder="1" applyAlignment="1">
      <alignment horizontal="center" vertical="center" wrapText="1"/>
    </xf>
    <xf numFmtId="167" fontId="9" fillId="4" borderId="0" xfId="0" applyNumberFormat="1" applyFont="1" applyFill="1" applyAlignment="1">
      <alignment wrapText="1"/>
    </xf>
    <xf numFmtId="167" fontId="10" fillId="4" borderId="0" xfId="0" applyNumberFormat="1" applyFont="1" applyFill="1" applyAlignment="1">
      <alignment wrapText="1"/>
    </xf>
    <xf numFmtId="0" fontId="9" fillId="4" borderId="0" xfId="0" applyFont="1" applyFill="1" applyAlignment="1">
      <alignment wrapText="1"/>
    </xf>
    <xf numFmtId="0" fontId="10" fillId="4" borderId="1" xfId="0" applyFont="1" applyFill="1" applyBorder="1" applyAlignment="1">
      <alignment horizontal="left" vertical="center" wrapText="1"/>
    </xf>
    <xf numFmtId="167" fontId="9" fillId="4" borderId="1" xfId="19" applyNumberFormat="1" applyFont="1" applyFill="1" applyBorder="1" applyAlignment="1">
      <alignment horizontal="center" vertical="center" wrapText="1"/>
    </xf>
    <xf numFmtId="167" fontId="9" fillId="4" borderId="1" xfId="19" applyNumberFormat="1" applyFont="1" applyFill="1" applyBorder="1" applyAlignment="1">
      <alignment vertical="center" wrapText="1"/>
    </xf>
    <xf numFmtId="166" fontId="9" fillId="4" borderId="1" xfId="19"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1" xfId="20" applyFont="1" applyFill="1" applyBorder="1" applyAlignment="1">
      <alignment horizontal="left" vertical="center" wrapText="1"/>
    </xf>
    <xf numFmtId="0" fontId="9" fillId="4" borderId="1" xfId="0" quotePrefix="1" applyFont="1" applyFill="1" applyBorder="1" applyAlignment="1">
      <alignment horizontal="center" vertical="center" wrapText="1"/>
    </xf>
    <xf numFmtId="0" fontId="10" fillId="4" borderId="1" xfId="0" applyFont="1" applyFill="1" applyBorder="1" applyAlignment="1">
      <alignment vertical="center" wrapText="1"/>
    </xf>
    <xf numFmtId="0" fontId="9" fillId="4" borderId="1" xfId="10" applyFont="1" applyFill="1" applyBorder="1" applyAlignment="1">
      <alignment horizontal="justify" vertical="center" wrapText="1"/>
    </xf>
    <xf numFmtId="166" fontId="9" fillId="4" borderId="1" xfId="19" applyNumberFormat="1" applyFont="1" applyFill="1" applyBorder="1" applyAlignment="1">
      <alignment horizontal="justify" vertical="center" wrapText="1"/>
    </xf>
    <xf numFmtId="49" fontId="9" fillId="4" borderId="1" xfId="9" quotePrefix="1" applyNumberFormat="1" applyFont="1" applyFill="1" applyBorder="1" applyAlignment="1">
      <alignment horizontal="center" vertical="center" wrapText="1"/>
    </xf>
    <xf numFmtId="167" fontId="9" fillId="4" borderId="0" xfId="19" applyNumberFormat="1" applyFont="1" applyFill="1" applyAlignment="1">
      <alignment wrapText="1"/>
    </xf>
    <xf numFmtId="0" fontId="9" fillId="4" borderId="1" xfId="10" applyFont="1" applyFill="1" applyBorder="1" applyAlignment="1">
      <alignment horizontal="center" vertical="center" wrapText="1"/>
    </xf>
    <xf numFmtId="166" fontId="10" fillId="4" borderId="1" xfId="19" applyNumberFormat="1" applyFont="1" applyFill="1" applyBorder="1" applyAlignment="1">
      <alignment horizontal="center" vertical="center" wrapText="1"/>
    </xf>
    <xf numFmtId="166" fontId="10" fillId="4" borderId="1" xfId="19" quotePrefix="1" applyNumberFormat="1" applyFont="1" applyFill="1" applyBorder="1" applyAlignment="1">
      <alignment horizontal="justify" vertical="center" wrapText="1"/>
    </xf>
    <xf numFmtId="170" fontId="9" fillId="4" borderId="1" xfId="19" applyNumberFormat="1" applyFont="1" applyFill="1" applyBorder="1" applyAlignment="1">
      <alignment horizontal="center" vertical="center" wrapText="1"/>
    </xf>
    <xf numFmtId="0" fontId="9" fillId="4" borderId="1" xfId="20" applyFont="1" applyFill="1" applyBorder="1" applyAlignment="1">
      <alignment vertical="center" wrapText="1"/>
    </xf>
    <xf numFmtId="0" fontId="9" fillId="4" borderId="1" xfId="20" applyFont="1" applyFill="1" applyBorder="1" applyAlignment="1">
      <alignment horizontal="center" vertical="center" wrapText="1"/>
    </xf>
    <xf numFmtId="1" fontId="9" fillId="4" borderId="1" xfId="10" applyNumberFormat="1" applyFont="1" applyFill="1" applyBorder="1" applyAlignment="1">
      <alignment vertical="center" wrapText="1"/>
    </xf>
    <xf numFmtId="167" fontId="48" fillId="4" borderId="0" xfId="19" applyNumberFormat="1" applyFont="1" applyFill="1" applyAlignment="1">
      <alignment wrapText="1"/>
    </xf>
    <xf numFmtId="0" fontId="10" fillId="4" borderId="1" xfId="20" applyFont="1" applyFill="1" applyBorder="1" applyAlignment="1">
      <alignment horizontal="left" vertical="center" wrapText="1"/>
    </xf>
    <xf numFmtId="0" fontId="49" fillId="0" borderId="1" xfId="0" applyFont="1" applyBorder="1" applyAlignment="1">
      <alignment horizontal="center" vertical="center" wrapText="1"/>
    </xf>
    <xf numFmtId="0" fontId="49" fillId="0" borderId="1" xfId="0" applyFont="1" applyBorder="1" applyAlignment="1">
      <alignment horizontal="left" vertical="center" wrapText="1"/>
    </xf>
    <xf numFmtId="0" fontId="49" fillId="0" borderId="0" xfId="0" applyFont="1" applyAlignment="1">
      <alignment vertical="center" wrapText="1"/>
    </xf>
    <xf numFmtId="0" fontId="10" fillId="4" borderId="0" xfId="0" applyFont="1" applyFill="1" applyAlignment="1">
      <alignment vertical="center" wrapText="1"/>
    </xf>
    <xf numFmtId="0" fontId="49" fillId="4" borderId="1" xfId="0" applyFont="1" applyFill="1" applyBorder="1" applyAlignment="1">
      <alignment horizontal="center" vertical="center" wrapText="1"/>
    </xf>
    <xf numFmtId="0" fontId="49" fillId="4" borderId="1" xfId="0" applyFont="1" applyFill="1" applyBorder="1" applyAlignment="1">
      <alignment horizontal="left" vertical="center" wrapText="1"/>
    </xf>
    <xf numFmtId="166" fontId="49" fillId="4" borderId="1" xfId="7" quotePrefix="1" applyNumberFormat="1" applyFont="1" applyFill="1" applyBorder="1" applyAlignment="1">
      <alignment horizontal="center" vertical="center" wrapText="1"/>
    </xf>
    <xf numFmtId="0" fontId="49" fillId="4" borderId="0" xfId="0" applyFont="1" applyFill="1" applyAlignment="1">
      <alignment vertical="center" wrapText="1"/>
    </xf>
    <xf numFmtId="0" fontId="49" fillId="4" borderId="1" xfId="0" quotePrefix="1" applyFont="1" applyFill="1" applyBorder="1" applyAlignment="1">
      <alignment horizontal="center" vertical="center"/>
    </xf>
    <xf numFmtId="0" fontId="49" fillId="4" borderId="1" xfId="0" quotePrefix="1" applyFont="1" applyFill="1" applyBorder="1" applyAlignment="1">
      <alignment horizontal="center" vertical="center" wrapText="1"/>
    </xf>
    <xf numFmtId="166" fontId="49" fillId="4" borderId="1" xfId="19" applyNumberFormat="1" applyFont="1" applyFill="1" applyBorder="1" applyAlignment="1">
      <alignment vertical="center" wrapText="1"/>
    </xf>
    <xf numFmtId="0" fontId="49" fillId="4" borderId="1" xfId="8" quotePrefix="1" applyFont="1" applyFill="1" applyBorder="1" applyAlignment="1">
      <alignment horizontal="center" vertical="center" wrapText="1"/>
    </xf>
    <xf numFmtId="0" fontId="10" fillId="4" borderId="1" xfId="8" quotePrefix="1" applyFont="1" applyFill="1" applyBorder="1" applyAlignment="1">
      <alignment horizontal="center" vertical="center" wrapText="1"/>
    </xf>
    <xf numFmtId="166" fontId="9" fillId="4" borderId="0" xfId="19" quotePrefix="1" applyNumberFormat="1" applyFont="1" applyFill="1" applyBorder="1" applyAlignment="1">
      <alignment horizontal="center" vertical="center"/>
    </xf>
    <xf numFmtId="0" fontId="9" fillId="4" borderId="0" xfId="8" applyFont="1" applyFill="1" applyAlignment="1">
      <alignment horizontal="left" vertical="center" wrapText="1"/>
    </xf>
    <xf numFmtId="0" fontId="9" fillId="4" borderId="0" xfId="8" quotePrefix="1" applyFont="1" applyFill="1" applyAlignment="1">
      <alignment horizontal="center" vertical="center" wrapText="1"/>
    </xf>
    <xf numFmtId="167" fontId="9" fillId="4" borderId="0" xfId="19" applyNumberFormat="1" applyFont="1" applyFill="1" applyBorder="1" applyAlignment="1">
      <alignment horizontal="center" vertical="center" wrapText="1"/>
    </xf>
    <xf numFmtId="166" fontId="9" fillId="4" borderId="0" xfId="19" applyNumberFormat="1" applyFont="1" applyFill="1" applyBorder="1" applyAlignment="1">
      <alignment horizontal="center" vertical="center" wrapText="1"/>
    </xf>
    <xf numFmtId="3" fontId="9" fillId="4" borderId="0" xfId="0" applyNumberFormat="1" applyFont="1" applyFill="1" applyAlignment="1">
      <alignment vertical="center" wrapText="1"/>
    </xf>
    <xf numFmtId="167" fontId="9" fillId="4" borderId="0" xfId="0" applyNumberFormat="1" applyFont="1" applyFill="1" applyAlignment="1">
      <alignment horizontal="center" vertical="center" wrapText="1"/>
    </xf>
    <xf numFmtId="0" fontId="50" fillId="4" borderId="0" xfId="0" applyFont="1" applyFill="1" applyAlignment="1">
      <alignment vertical="center" wrapText="1"/>
    </xf>
    <xf numFmtId="0" fontId="43" fillId="4" borderId="0" xfId="0" applyFont="1" applyFill="1" applyAlignment="1">
      <alignment vertical="center" wrapText="1"/>
    </xf>
    <xf numFmtId="0" fontId="9" fillId="4" borderId="1" xfId="8" quotePrefix="1" applyFont="1" applyFill="1" applyBorder="1" applyAlignment="1">
      <alignment horizontal="center" vertical="center" wrapText="1"/>
    </xf>
    <xf numFmtId="167" fontId="9" fillId="4" borderId="1" xfId="19" applyNumberFormat="1" applyFont="1" applyFill="1" applyBorder="1" applyAlignment="1">
      <alignment horizontal="right" vertical="center" wrapText="1"/>
    </xf>
    <xf numFmtId="3" fontId="9" fillId="4" borderId="1" xfId="0" applyNumberFormat="1" applyFont="1" applyFill="1" applyBorder="1" applyAlignment="1">
      <alignment vertical="center" wrapText="1"/>
    </xf>
    <xf numFmtId="167" fontId="51" fillId="4" borderId="1" xfId="19" applyNumberFormat="1" applyFont="1" applyFill="1" applyBorder="1" applyAlignment="1">
      <alignment horizontal="center" vertical="center" wrapText="1"/>
    </xf>
    <xf numFmtId="167" fontId="49" fillId="4" borderId="0" xfId="0" applyNumberFormat="1" applyFont="1" applyFill="1" applyAlignment="1">
      <alignment wrapText="1"/>
    </xf>
    <xf numFmtId="0" fontId="49" fillId="4" borderId="0" xfId="0" applyFont="1" applyFill="1" applyAlignment="1">
      <alignment wrapText="1"/>
    </xf>
    <xf numFmtId="167" fontId="10" fillId="2" borderId="1" xfId="19" applyNumberFormat="1" applyFont="1" applyFill="1" applyBorder="1" applyAlignment="1">
      <alignment horizontal="center" vertical="center" wrapText="1"/>
    </xf>
    <xf numFmtId="0" fontId="49" fillId="4" borderId="1" xfId="10" applyFont="1" applyFill="1" applyBorder="1" applyAlignment="1">
      <alignment horizontal="justify" vertical="center" wrapText="1"/>
    </xf>
    <xf numFmtId="49" fontId="49" fillId="4" borderId="1" xfId="9" quotePrefix="1" applyNumberFormat="1" applyFont="1" applyFill="1" applyBorder="1" applyAlignment="1">
      <alignment horizontal="center" vertical="center" wrapText="1"/>
    </xf>
    <xf numFmtId="0" fontId="49" fillId="4" borderId="1" xfId="14" applyFont="1" applyFill="1" applyBorder="1" applyAlignment="1">
      <alignment horizontal="left" vertical="center" wrapText="1"/>
    </xf>
    <xf numFmtId="0" fontId="49" fillId="4" borderId="1" xfId="22" applyFont="1" applyFill="1" applyBorder="1" applyAlignment="1">
      <alignment horizontal="center" vertical="center" wrapText="1"/>
    </xf>
    <xf numFmtId="169" fontId="49" fillId="4" borderId="1" xfId="9" quotePrefix="1" applyNumberFormat="1" applyFont="1" applyFill="1" applyBorder="1" applyAlignment="1">
      <alignment horizontal="center" vertical="center" wrapText="1"/>
    </xf>
    <xf numFmtId="167" fontId="49" fillId="4" borderId="0" xfId="19" applyNumberFormat="1" applyFont="1" applyFill="1" applyAlignment="1">
      <alignment wrapText="1"/>
    </xf>
    <xf numFmtId="0" fontId="49" fillId="4" borderId="1" xfId="10" applyFont="1" applyFill="1" applyBorder="1" applyAlignment="1">
      <alignment horizontal="center" vertical="center" wrapText="1"/>
    </xf>
    <xf numFmtId="0" fontId="49" fillId="4" borderId="1" xfId="23" applyFont="1" applyFill="1" applyBorder="1" applyAlignment="1">
      <alignment horizontal="justify" vertical="center" wrapText="1"/>
    </xf>
    <xf numFmtId="166" fontId="49" fillId="4" borderId="1" xfId="19" quotePrefix="1" applyNumberFormat="1" applyFont="1" applyFill="1" applyBorder="1" applyAlignment="1">
      <alignment horizontal="left" vertical="center" wrapText="1"/>
    </xf>
    <xf numFmtId="170" fontId="49" fillId="4" borderId="1" xfId="19" applyNumberFormat="1" applyFont="1" applyFill="1" applyBorder="1" applyAlignment="1">
      <alignment horizontal="center" vertical="center" wrapText="1"/>
    </xf>
    <xf numFmtId="1" fontId="49" fillId="4" borderId="1" xfId="10" applyNumberFormat="1" applyFont="1" applyFill="1" applyBorder="1" applyAlignment="1">
      <alignment vertical="center" wrapText="1"/>
    </xf>
    <xf numFmtId="0" fontId="49" fillId="2" borderId="1" xfId="0" applyFont="1" applyFill="1" applyBorder="1" applyAlignment="1">
      <alignment horizontal="center" vertical="center" wrapText="1"/>
    </xf>
    <xf numFmtId="0" fontId="49" fillId="2" borderId="1" xfId="0" applyFont="1" applyFill="1" applyBorder="1" applyAlignment="1">
      <alignment horizontal="left" vertical="center" wrapText="1"/>
    </xf>
    <xf numFmtId="0" fontId="49" fillId="2" borderId="1" xfId="0" quotePrefix="1" applyFont="1" applyFill="1" applyBorder="1" applyAlignment="1">
      <alignment horizontal="center" vertical="center"/>
    </xf>
    <xf numFmtId="0" fontId="49" fillId="2" borderId="0" xfId="0" applyFont="1" applyFill="1" applyAlignment="1">
      <alignment vertical="center" wrapText="1"/>
    </xf>
    <xf numFmtId="166" fontId="49" fillId="2" borderId="1" xfId="7" quotePrefix="1" applyNumberFormat="1" applyFont="1" applyFill="1" applyBorder="1" applyAlignment="1">
      <alignment horizontal="center" vertical="center" wrapText="1"/>
    </xf>
    <xf numFmtId="167" fontId="51" fillId="2" borderId="1" xfId="19" applyNumberFormat="1" applyFont="1" applyFill="1" applyBorder="1" applyAlignment="1">
      <alignment horizontal="center" vertical="center" wrapText="1"/>
    </xf>
    <xf numFmtId="0" fontId="53" fillId="4" borderId="0" xfId="0" applyFont="1" applyFill="1" applyAlignment="1">
      <alignment wrapText="1"/>
    </xf>
    <xf numFmtId="0" fontId="53" fillId="4" borderId="0" xfId="0" applyFont="1" applyFill="1" applyAlignment="1">
      <alignment horizontal="center" vertical="center" wrapText="1"/>
    </xf>
    <xf numFmtId="0" fontId="53" fillId="4" borderId="0" xfId="0" applyFont="1" applyFill="1" applyAlignment="1">
      <alignment horizontal="center" wrapText="1"/>
    </xf>
    <xf numFmtId="167" fontId="53" fillId="4" borderId="0" xfId="19" applyNumberFormat="1" applyFont="1" applyFill="1" applyAlignment="1">
      <alignment wrapText="1"/>
    </xf>
    <xf numFmtId="0" fontId="53" fillId="4" borderId="0" xfId="0" applyFont="1" applyFill="1" applyAlignment="1">
      <alignment vertical="center" wrapText="1"/>
    </xf>
    <xf numFmtId="0" fontId="52" fillId="4" borderId="1" xfId="0" applyFont="1" applyFill="1" applyBorder="1" applyAlignment="1">
      <alignment horizontal="center" vertical="center" wrapText="1"/>
    </xf>
    <xf numFmtId="167" fontId="52" fillId="4" borderId="1" xfId="19" applyNumberFormat="1" applyFont="1" applyFill="1" applyBorder="1" applyAlignment="1">
      <alignment horizontal="center" vertical="center" wrapText="1"/>
    </xf>
    <xf numFmtId="167" fontId="53" fillId="4" borderId="0" xfId="0" applyNumberFormat="1" applyFont="1" applyFill="1" applyAlignment="1">
      <alignment wrapText="1"/>
    </xf>
    <xf numFmtId="167" fontId="52" fillId="4" borderId="0" xfId="0" applyNumberFormat="1" applyFont="1" applyFill="1" applyAlignment="1">
      <alignment wrapText="1"/>
    </xf>
    <xf numFmtId="0" fontId="52" fillId="4" borderId="0" xfId="0" applyFont="1" applyFill="1" applyAlignment="1">
      <alignment wrapText="1"/>
    </xf>
    <xf numFmtId="0" fontId="52" fillId="4" borderId="1" xfId="0" applyFont="1" applyFill="1" applyBorder="1" applyAlignment="1">
      <alignment horizontal="left" vertical="center" wrapText="1"/>
    </xf>
    <xf numFmtId="0" fontId="53" fillId="4" borderId="1" xfId="0" applyFont="1" applyFill="1" applyBorder="1" applyAlignment="1">
      <alignment horizontal="center" vertical="center" wrapText="1"/>
    </xf>
    <xf numFmtId="0" fontId="53" fillId="4" borderId="1" xfId="0" applyFont="1" applyFill="1" applyBorder="1" applyAlignment="1">
      <alignment horizontal="justify" vertical="center" wrapText="1"/>
    </xf>
    <xf numFmtId="0" fontId="52" fillId="4" borderId="1" xfId="0" applyFont="1" applyFill="1" applyBorder="1" applyAlignment="1">
      <alignment horizontal="justify" vertical="center" wrapText="1"/>
    </xf>
    <xf numFmtId="0" fontId="52" fillId="4" borderId="1" xfId="20" applyFont="1" applyFill="1" applyBorder="1" applyAlignment="1">
      <alignment horizontal="left" vertical="center" wrapText="1"/>
    </xf>
    <xf numFmtId="0" fontId="54" fillId="4" borderId="1" xfId="0" applyFont="1" applyFill="1" applyBorder="1" applyAlignment="1">
      <alignment horizontal="center" vertical="center" wrapText="1"/>
    </xf>
    <xf numFmtId="166" fontId="54" fillId="4" borderId="1" xfId="19" applyNumberFormat="1" applyFont="1" applyFill="1" applyBorder="1" applyAlignment="1">
      <alignment vertical="center" wrapText="1"/>
    </xf>
    <xf numFmtId="0" fontId="55" fillId="4" borderId="1" xfId="0" applyFont="1" applyFill="1" applyBorder="1" applyAlignment="1">
      <alignment horizontal="center" vertical="center" wrapText="1"/>
    </xf>
    <xf numFmtId="0" fontId="55" fillId="4" borderId="1" xfId="13" applyFont="1" applyFill="1" applyBorder="1" applyAlignment="1">
      <alignment horizontal="justify" vertical="center" wrapText="1"/>
    </xf>
    <xf numFmtId="166" fontId="53" fillId="4" borderId="1" xfId="7" quotePrefix="1" applyNumberFormat="1" applyFont="1" applyFill="1" applyBorder="1" applyAlignment="1">
      <alignment horizontal="center" vertical="center" wrapText="1"/>
    </xf>
    <xf numFmtId="0" fontId="53" fillId="4" borderId="1" xfId="0" quotePrefix="1" applyFont="1" applyFill="1" applyBorder="1" applyAlignment="1">
      <alignment horizontal="center" vertical="center"/>
    </xf>
    <xf numFmtId="0" fontId="56" fillId="4" borderId="1" xfId="0" applyFont="1" applyFill="1" applyBorder="1" applyAlignment="1">
      <alignment horizontal="center" vertical="center" wrapText="1"/>
    </xf>
    <xf numFmtId="1" fontId="56" fillId="4" borderId="1" xfId="9" quotePrefix="1" applyNumberFormat="1" applyFont="1" applyFill="1" applyBorder="1" applyAlignment="1">
      <alignment horizontal="justify" vertical="center" wrapText="1"/>
    </xf>
    <xf numFmtId="0" fontId="53" fillId="4" borderId="1" xfId="0" quotePrefix="1" applyFont="1" applyFill="1" applyBorder="1" applyAlignment="1">
      <alignment horizontal="center" vertical="center" wrapText="1"/>
    </xf>
    <xf numFmtId="0" fontId="55" fillId="4" borderId="0" xfId="0" applyFont="1" applyFill="1" applyAlignment="1">
      <alignment vertical="center" wrapText="1"/>
    </xf>
    <xf numFmtId="166" fontId="53" fillId="4" borderId="1" xfId="19" quotePrefix="1" applyNumberFormat="1" applyFont="1" applyFill="1" applyBorder="1" applyAlignment="1">
      <alignment horizontal="center" vertical="center"/>
    </xf>
    <xf numFmtId="167" fontId="53" fillId="4" borderId="1" xfId="19" applyNumberFormat="1" applyFont="1" applyFill="1" applyBorder="1" applyAlignment="1">
      <alignment vertical="center" wrapText="1"/>
    </xf>
    <xf numFmtId="0" fontId="53" fillId="4" borderId="1" xfId="3" applyFont="1" applyFill="1" applyBorder="1" applyAlignment="1">
      <alignment horizontal="center" vertical="center" wrapText="1"/>
    </xf>
    <xf numFmtId="0" fontId="53" fillId="4" borderId="1" xfId="20" applyFont="1" applyFill="1" applyBorder="1" applyAlignment="1">
      <alignment horizontal="left" vertical="center" wrapText="1"/>
    </xf>
    <xf numFmtId="0" fontId="53" fillId="4" borderId="1" xfId="12" quotePrefix="1" applyFont="1" applyFill="1" applyBorder="1" applyAlignment="1">
      <alignment horizontal="center" vertical="center"/>
    </xf>
    <xf numFmtId="0" fontId="53" fillId="4" borderId="1" xfId="12" applyFont="1" applyFill="1" applyBorder="1" applyAlignment="1">
      <alignment horizontal="left" vertical="center" wrapText="1"/>
    </xf>
    <xf numFmtId="0" fontId="53" fillId="4" borderId="1" xfId="0" applyFont="1" applyFill="1" applyBorder="1" applyAlignment="1">
      <alignment horizontal="left" vertical="center" wrapText="1"/>
    </xf>
    <xf numFmtId="0" fontId="52" fillId="4" borderId="1" xfId="0" applyFont="1" applyFill="1" applyBorder="1" applyAlignment="1">
      <alignment vertical="center" wrapText="1"/>
    </xf>
    <xf numFmtId="166" fontId="53" fillId="4" borderId="1" xfId="19" applyNumberFormat="1" applyFont="1" applyFill="1" applyBorder="1" applyAlignment="1">
      <alignment horizontal="justify" vertical="center" wrapText="1"/>
    </xf>
    <xf numFmtId="49" fontId="53" fillId="4" borderId="1" xfId="9" quotePrefix="1" applyNumberFormat="1" applyFont="1" applyFill="1" applyBorder="1" applyAlignment="1">
      <alignment horizontal="center" vertical="center" wrapText="1"/>
    </xf>
    <xf numFmtId="166" fontId="53" fillId="4" borderId="1" xfId="19" quotePrefix="1" applyNumberFormat="1" applyFont="1" applyFill="1" applyBorder="1" applyAlignment="1">
      <alignment horizontal="justify" vertical="center" wrapText="1"/>
    </xf>
    <xf numFmtId="0" fontId="53" fillId="4" borderId="1" xfId="10" applyFont="1" applyFill="1" applyBorder="1" applyAlignment="1">
      <alignment horizontal="justify" vertical="center" wrapText="1"/>
    </xf>
    <xf numFmtId="169" fontId="53" fillId="4" borderId="1" xfId="9" quotePrefix="1" applyNumberFormat="1" applyFont="1" applyFill="1" applyBorder="1" applyAlignment="1">
      <alignment horizontal="center" vertical="center" wrapText="1"/>
    </xf>
    <xf numFmtId="167" fontId="53" fillId="4" borderId="1" xfId="19" quotePrefix="1" applyNumberFormat="1" applyFont="1" applyFill="1" applyBorder="1" applyAlignment="1">
      <alignment horizontal="center" vertical="center" wrapText="1"/>
    </xf>
    <xf numFmtId="166" fontId="52" fillId="4" borderId="1" xfId="19" applyNumberFormat="1" applyFont="1" applyFill="1" applyBorder="1" applyAlignment="1">
      <alignment horizontal="center" vertical="center"/>
    </xf>
    <xf numFmtId="166" fontId="52" fillId="4" borderId="1" xfId="19" quotePrefix="1" applyNumberFormat="1" applyFont="1" applyFill="1" applyBorder="1" applyAlignment="1">
      <alignment horizontal="justify" vertical="center" wrapText="1"/>
    </xf>
    <xf numFmtId="170" fontId="53" fillId="4" borderId="1" xfId="19" applyNumberFormat="1" applyFont="1" applyFill="1" applyBorder="1" applyAlignment="1">
      <alignment horizontal="center" vertical="center" wrapText="1"/>
    </xf>
    <xf numFmtId="0" fontId="53" fillId="4" borderId="1" xfId="20" applyFont="1" applyFill="1" applyBorder="1" applyAlignment="1">
      <alignment horizontal="center" vertical="center" wrapText="1"/>
    </xf>
    <xf numFmtId="170" fontId="55" fillId="4" borderId="1" xfId="19" applyNumberFormat="1" applyFont="1" applyFill="1" applyBorder="1" applyAlignment="1">
      <alignment horizontal="center" vertical="center" wrapText="1"/>
    </xf>
    <xf numFmtId="166" fontId="55" fillId="4" borderId="1" xfId="19" quotePrefix="1" applyNumberFormat="1" applyFont="1" applyFill="1" applyBorder="1" applyAlignment="1">
      <alignment horizontal="justify" vertical="center" wrapText="1"/>
    </xf>
    <xf numFmtId="166" fontId="55" fillId="4" borderId="1" xfId="7" quotePrefix="1" applyNumberFormat="1" applyFont="1" applyFill="1" applyBorder="1" applyAlignment="1">
      <alignment horizontal="center" vertical="center" wrapText="1"/>
    </xf>
    <xf numFmtId="167" fontId="55" fillId="4" borderId="0" xfId="0" applyNumberFormat="1" applyFont="1" applyFill="1" applyAlignment="1">
      <alignment wrapText="1"/>
    </xf>
    <xf numFmtId="167" fontId="57" fillId="4" borderId="0" xfId="0" applyNumberFormat="1" applyFont="1" applyFill="1" applyAlignment="1">
      <alignment wrapText="1"/>
    </xf>
    <xf numFmtId="0" fontId="55" fillId="4" borderId="0" xfId="0" applyFont="1" applyFill="1" applyAlignment="1">
      <alignment wrapText="1"/>
    </xf>
    <xf numFmtId="0" fontId="53" fillId="4" borderId="0" xfId="0" applyFont="1" applyFill="1" applyAlignment="1">
      <alignment vertical="top" wrapText="1"/>
    </xf>
    <xf numFmtId="167" fontId="57" fillId="4" borderId="1" xfId="19" applyNumberFormat="1"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1" xfId="0" applyFont="1" applyFill="1" applyBorder="1" applyAlignment="1">
      <alignment horizontal="left" vertical="center" wrapText="1"/>
    </xf>
    <xf numFmtId="0" fontId="55" fillId="2" borderId="1" xfId="0" applyFont="1" applyFill="1" applyBorder="1" applyAlignment="1">
      <alignment horizontal="center" vertical="center" wrapText="1"/>
    </xf>
    <xf numFmtId="167" fontId="57" fillId="2" borderId="1" xfId="19" applyNumberFormat="1" applyFont="1" applyFill="1" applyBorder="1" applyAlignment="1">
      <alignment horizontal="center" vertical="center" wrapText="1"/>
    </xf>
    <xf numFmtId="0" fontId="55" fillId="2" borderId="0" xfId="0" applyFont="1" applyFill="1" applyAlignment="1">
      <alignment vertical="center" wrapText="1"/>
    </xf>
    <xf numFmtId="1" fontId="55" fillId="2" borderId="1" xfId="9" quotePrefix="1" applyNumberFormat="1" applyFont="1" applyFill="1" applyBorder="1" applyAlignment="1">
      <alignment horizontal="justify" vertical="center" wrapText="1"/>
    </xf>
    <xf numFmtId="0" fontId="55" fillId="2" borderId="1" xfId="8" quotePrefix="1" applyFont="1" applyFill="1" applyBorder="1" applyAlignment="1">
      <alignment horizontal="center" vertical="center" wrapText="1"/>
    </xf>
    <xf numFmtId="166" fontId="55" fillId="2" borderId="1" xfId="19" quotePrefix="1" applyNumberFormat="1" applyFont="1" applyFill="1" applyBorder="1" applyAlignment="1">
      <alignment horizontal="center" vertical="center"/>
    </xf>
    <xf numFmtId="0" fontId="55" fillId="2" borderId="1" xfId="8" applyFont="1" applyFill="1" applyBorder="1" applyAlignment="1">
      <alignment horizontal="left" vertical="center" wrapText="1"/>
    </xf>
    <xf numFmtId="0" fontId="55" fillId="2" borderId="1" xfId="8" applyFont="1" applyFill="1" applyBorder="1" applyAlignment="1">
      <alignment horizontal="center" vertical="center" wrapText="1"/>
    </xf>
    <xf numFmtId="166" fontId="55" fillId="4" borderId="1" xfId="19" applyNumberFormat="1" applyFont="1" applyFill="1" applyBorder="1" applyAlignment="1">
      <alignment vertical="center" wrapText="1"/>
    </xf>
    <xf numFmtId="0" fontId="53" fillId="2" borderId="1" xfId="0" applyFont="1" applyFill="1" applyBorder="1" applyAlignment="1">
      <alignment horizontal="center" vertical="center" wrapText="1"/>
    </xf>
    <xf numFmtId="167" fontId="52" fillId="2" borderId="1" xfId="19" applyNumberFormat="1" applyFont="1" applyFill="1" applyBorder="1" applyAlignment="1">
      <alignment horizontal="center" vertical="center" wrapText="1"/>
    </xf>
    <xf numFmtId="166" fontId="55" fillId="2" borderId="1" xfId="19" applyNumberFormat="1" applyFont="1" applyFill="1" applyBorder="1" applyAlignment="1">
      <alignment vertical="center" wrapText="1"/>
    </xf>
    <xf numFmtId="0" fontId="55" fillId="2" borderId="1" xfId="0" quotePrefix="1" applyFont="1" applyFill="1" applyBorder="1" applyAlignment="1">
      <alignment horizontal="center" vertical="center"/>
    </xf>
    <xf numFmtId="167" fontId="9" fillId="4" borderId="1" xfId="19" quotePrefix="1" applyNumberFormat="1" applyFont="1" applyFill="1" applyBorder="1" applyAlignment="1">
      <alignment horizontal="center" vertical="center" wrapText="1"/>
    </xf>
    <xf numFmtId="0" fontId="9" fillId="4" borderId="1" xfId="0" quotePrefix="1" applyFont="1" applyFill="1" applyBorder="1" applyAlignment="1">
      <alignment horizontal="center" vertical="center"/>
    </xf>
    <xf numFmtId="166" fontId="10" fillId="4" borderId="1" xfId="19" applyNumberFormat="1" applyFont="1" applyFill="1" applyBorder="1" applyAlignment="1">
      <alignment vertical="center" wrapText="1"/>
    </xf>
    <xf numFmtId="1" fontId="9" fillId="4" borderId="1" xfId="9" applyNumberFormat="1" applyFont="1" applyFill="1" applyBorder="1" applyAlignment="1">
      <alignment horizontal="left" vertical="center" wrapText="1"/>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1" fontId="9" fillId="4" borderId="1" xfId="9" quotePrefix="1" applyNumberFormat="1" applyFont="1" applyFill="1" applyBorder="1" applyAlignment="1">
      <alignment horizontal="justify" vertical="center" wrapText="1"/>
    </xf>
    <xf numFmtId="0" fontId="53" fillId="2" borderId="1" xfId="0" applyFont="1" applyFill="1" applyBorder="1" applyAlignment="1">
      <alignment horizontal="left" vertical="center" wrapText="1"/>
    </xf>
    <xf numFmtId="167" fontId="53" fillId="2" borderId="0" xfId="0" applyNumberFormat="1" applyFont="1" applyFill="1" applyAlignment="1">
      <alignment wrapText="1"/>
    </xf>
    <xf numFmtId="167" fontId="52" fillId="2" borderId="0" xfId="0" applyNumberFormat="1" applyFont="1" applyFill="1" applyAlignment="1">
      <alignment wrapText="1"/>
    </xf>
    <xf numFmtId="0" fontId="53" fillId="2" borderId="0" xfId="0" applyFont="1" applyFill="1" applyAlignment="1">
      <alignment wrapText="1"/>
    </xf>
    <xf numFmtId="167" fontId="51" fillId="4" borderId="0" xfId="0" applyNumberFormat="1" applyFont="1" applyFill="1" applyAlignment="1">
      <alignment wrapText="1"/>
    </xf>
    <xf numFmtId="0" fontId="55" fillId="4" borderId="1" xfId="23" applyFont="1" applyFill="1" applyBorder="1" applyAlignment="1">
      <alignment horizontal="justify" vertical="center" wrapText="1"/>
    </xf>
    <xf numFmtId="166" fontId="55" fillId="4" borderId="1" xfId="19" quotePrefix="1" applyNumberFormat="1" applyFont="1" applyFill="1" applyBorder="1" applyAlignment="1">
      <alignment horizontal="left" vertical="center" wrapText="1"/>
    </xf>
    <xf numFmtId="0" fontId="49" fillId="4" borderId="1" xfId="13" applyFont="1" applyFill="1" applyBorder="1" applyAlignment="1">
      <alignment horizontal="justify" vertical="center" wrapText="1"/>
    </xf>
    <xf numFmtId="49" fontId="49" fillId="4" borderId="1" xfId="24" applyNumberFormat="1" applyFont="1" applyFill="1" applyBorder="1" applyAlignment="1">
      <alignment horizontal="left" vertical="center" wrapText="1"/>
    </xf>
    <xf numFmtId="167" fontId="49" fillId="4" borderId="0" xfId="0" applyNumberFormat="1" applyFont="1" applyFill="1" applyAlignment="1">
      <alignment vertical="center" wrapText="1"/>
    </xf>
    <xf numFmtId="1" fontId="49" fillId="4" borderId="1" xfId="9" quotePrefix="1" applyNumberFormat="1" applyFont="1" applyFill="1" applyBorder="1" applyAlignment="1">
      <alignment horizontal="justify" vertical="center" wrapText="1"/>
    </xf>
    <xf numFmtId="49" fontId="4" fillId="4" borderId="1" xfId="9" applyNumberFormat="1" applyFont="1" applyFill="1" applyBorder="1" applyAlignment="1">
      <alignment horizontal="center" vertical="center" wrapText="1"/>
    </xf>
    <xf numFmtId="1" fontId="4" fillId="4" borderId="1" xfId="9" applyNumberFormat="1" applyFont="1" applyFill="1" applyBorder="1" applyAlignment="1">
      <alignment horizontal="left" vertical="center" wrapText="1"/>
    </xf>
    <xf numFmtId="1" fontId="4" fillId="4" borderId="1" xfId="9" quotePrefix="1" applyNumberFormat="1" applyFont="1" applyFill="1" applyBorder="1" applyAlignment="1">
      <alignment horizontal="center" vertical="center" wrapText="1"/>
    </xf>
    <xf numFmtId="1" fontId="4" fillId="4" borderId="1" xfId="9" applyNumberFormat="1" applyFont="1" applyFill="1" applyBorder="1" applyAlignment="1">
      <alignment horizontal="center" vertical="center" wrapText="1"/>
    </xf>
    <xf numFmtId="167" fontId="4" fillId="4" borderId="1" xfId="1" applyNumberFormat="1" applyFont="1" applyFill="1" applyBorder="1" applyAlignment="1">
      <alignment vertical="center" wrapText="1"/>
    </xf>
    <xf numFmtId="0" fontId="4" fillId="4" borderId="1" xfId="16" quotePrefix="1" applyFont="1" applyFill="1" applyBorder="1" applyAlignment="1">
      <alignment horizontal="center" vertical="center" wrapText="1"/>
    </xf>
    <xf numFmtId="166" fontId="4" fillId="4" borderId="1" xfId="6" applyNumberFormat="1" applyFont="1" applyFill="1" applyBorder="1" applyAlignment="1">
      <alignment horizontal="center" vertical="center" wrapText="1"/>
    </xf>
    <xf numFmtId="0" fontId="4" fillId="4" borderId="1" xfId="10" applyFont="1" applyFill="1" applyBorder="1" applyAlignment="1">
      <alignment horizontal="justify" vertical="center" wrapText="1"/>
    </xf>
    <xf numFmtId="0" fontId="4" fillId="4" borderId="1" xfId="0" applyFont="1" applyFill="1" applyBorder="1" applyAlignment="1">
      <alignment horizontal="center" vertical="center" wrapText="1"/>
    </xf>
    <xf numFmtId="168" fontId="4" fillId="4" borderId="1" xfId="1" applyNumberFormat="1" applyFont="1" applyFill="1" applyBorder="1" applyAlignment="1">
      <alignment horizontal="center" vertical="center" wrapText="1"/>
    </xf>
    <xf numFmtId="0" fontId="4" fillId="4" borderId="1" xfId="3" applyFont="1" applyFill="1" applyBorder="1" applyAlignment="1">
      <alignment horizontal="center" vertical="center" wrapText="1"/>
    </xf>
    <xf numFmtId="165" fontId="4" fillId="4" borderId="1" xfId="6"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1" xfId="3" applyFont="1" applyFill="1" applyBorder="1" applyAlignment="1">
      <alignment vertical="center" wrapText="1"/>
    </xf>
    <xf numFmtId="168" fontId="5" fillId="4" borderId="1" xfId="1" applyNumberFormat="1" applyFont="1" applyFill="1" applyBorder="1" applyAlignment="1">
      <alignment horizontal="left" vertical="center" wrapText="1"/>
    </xf>
    <xf numFmtId="0" fontId="4" fillId="4" borderId="1" xfId="12" applyFont="1" applyFill="1" applyBorder="1" applyAlignment="1">
      <alignment horizontal="left" vertical="center" wrapText="1"/>
    </xf>
    <xf numFmtId="3" fontId="4" fillId="4" borderId="1" xfId="12" applyNumberFormat="1" applyFont="1" applyFill="1" applyBorder="1" applyAlignment="1">
      <alignment vertical="center" wrapText="1"/>
    </xf>
    <xf numFmtId="0" fontId="4" fillId="4" borderId="1" xfId="12" quotePrefix="1" applyFont="1" applyFill="1" applyBorder="1" applyAlignment="1">
      <alignment horizontal="center" vertical="center" wrapText="1"/>
    </xf>
    <xf numFmtId="0" fontId="4" fillId="4" borderId="1" xfId="16" applyFont="1" applyFill="1" applyBorder="1" applyAlignment="1">
      <alignment horizontal="center" vertical="center" wrapText="1"/>
    </xf>
    <xf numFmtId="0" fontId="4" fillId="4" borderId="1" xfId="12" applyFont="1" applyFill="1" applyBorder="1" applyAlignment="1">
      <alignment horizontal="center" vertical="center" wrapText="1"/>
    </xf>
    <xf numFmtId="0" fontId="5" fillId="4" borderId="0" xfId="0" applyFont="1" applyFill="1" applyAlignment="1">
      <alignment vertical="center" wrapText="1"/>
    </xf>
    <xf numFmtId="0" fontId="4" fillId="4" borderId="0" xfId="0" applyFont="1" applyFill="1" applyAlignment="1">
      <alignment horizontal="center" vertical="center" wrapText="1"/>
    </xf>
    <xf numFmtId="0" fontId="4" fillId="4" borderId="0" xfId="0" applyFont="1" applyFill="1" applyAlignment="1">
      <alignment vertical="center" wrapText="1"/>
    </xf>
    <xf numFmtId="0" fontId="5" fillId="4" borderId="1" xfId="0" applyFont="1" applyFill="1" applyBorder="1" applyAlignment="1">
      <alignment vertical="center" wrapText="1"/>
    </xf>
    <xf numFmtId="166" fontId="5" fillId="4" borderId="1" xfId="0" applyNumberFormat="1" applyFont="1" applyFill="1" applyBorder="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4" fillId="4" borderId="1" xfId="0" applyFont="1" applyFill="1" applyBorder="1" applyAlignment="1">
      <alignment vertical="center" wrapText="1"/>
    </xf>
    <xf numFmtId="168" fontId="4" fillId="4" borderId="1" xfId="1" applyNumberFormat="1" applyFont="1" applyFill="1" applyBorder="1" applyAlignment="1">
      <alignment vertical="center" wrapText="1"/>
    </xf>
    <xf numFmtId="168" fontId="4" fillId="4" borderId="1" xfId="0" applyNumberFormat="1" applyFont="1" applyFill="1" applyBorder="1" applyAlignment="1">
      <alignment vertical="center" wrapText="1"/>
    </xf>
    <xf numFmtId="166" fontId="4" fillId="4" borderId="1" xfId="0" applyNumberFormat="1" applyFont="1" applyFill="1" applyBorder="1" applyAlignment="1">
      <alignment vertical="center" wrapText="1"/>
    </xf>
    <xf numFmtId="173" fontId="4" fillId="4" borderId="1" xfId="0" applyNumberFormat="1" applyFont="1" applyFill="1" applyBorder="1" applyAlignment="1">
      <alignment vertical="center" wrapText="1"/>
    </xf>
    <xf numFmtId="166" fontId="5" fillId="0" borderId="1" xfId="7" applyNumberFormat="1" applyFont="1" applyFill="1" applyBorder="1" applyAlignment="1">
      <alignment horizontal="center" vertical="center" wrapText="1"/>
    </xf>
    <xf numFmtId="168" fontId="5" fillId="0" borderId="1" xfId="1" applyNumberFormat="1" applyFont="1" applyFill="1" applyBorder="1" applyAlignment="1">
      <alignment horizontal="justify" vertical="center" wrapText="1"/>
    </xf>
    <xf numFmtId="168" fontId="5" fillId="0" borderId="1" xfId="1" applyNumberFormat="1" applyFont="1" applyFill="1" applyBorder="1" applyAlignment="1">
      <alignment horizontal="center" vertical="center" wrapText="1"/>
    </xf>
    <xf numFmtId="168" fontId="5" fillId="0" borderId="1" xfId="1" applyNumberFormat="1" applyFont="1" applyFill="1" applyBorder="1" applyAlignment="1">
      <alignment vertical="center" wrapText="1"/>
    </xf>
    <xf numFmtId="166" fontId="4" fillId="0" borderId="1" xfId="7" quotePrefix="1" applyNumberFormat="1" applyFont="1" applyFill="1" applyBorder="1" applyAlignment="1">
      <alignment horizontal="center" vertical="center" wrapText="1"/>
    </xf>
    <xf numFmtId="168" fontId="4" fillId="0" borderId="1" xfId="1" applyNumberFormat="1" applyFont="1" applyFill="1" applyBorder="1" applyAlignment="1">
      <alignment horizontal="left" vertical="center" wrapText="1"/>
    </xf>
    <xf numFmtId="168" fontId="4" fillId="0" borderId="1" xfId="1" quotePrefix="1" applyNumberFormat="1" applyFont="1" applyFill="1" applyBorder="1" applyAlignment="1">
      <alignment horizontal="center" vertical="center" wrapText="1"/>
    </xf>
    <xf numFmtId="168" fontId="4" fillId="0" borderId="1" xfId="1" applyNumberFormat="1" applyFont="1" applyFill="1" applyBorder="1" applyAlignment="1">
      <alignment horizontal="center" vertical="center" wrapText="1"/>
    </xf>
    <xf numFmtId="168" fontId="4" fillId="0" borderId="1" xfId="1" applyNumberFormat="1" applyFont="1" applyFill="1" applyBorder="1" applyAlignment="1">
      <alignment vertical="center" wrapText="1"/>
    </xf>
    <xf numFmtId="1" fontId="5" fillId="0" borderId="1" xfId="5" applyNumberFormat="1" applyFont="1" applyBorder="1" applyAlignment="1">
      <alignment horizontal="center" vertical="center" wrapText="1"/>
    </xf>
    <xf numFmtId="0" fontId="5" fillId="0" borderId="1" xfId="0" applyFont="1" applyBorder="1" applyAlignment="1">
      <alignment horizontal="left" vertical="center" wrapText="1"/>
    </xf>
    <xf numFmtId="168" fontId="5" fillId="0" borderId="1" xfId="1" applyNumberFormat="1" applyFont="1" applyFill="1" applyBorder="1" applyAlignment="1">
      <alignment horizontal="left" vertical="center" wrapText="1"/>
    </xf>
    <xf numFmtId="1" fontId="4" fillId="0" borderId="1" xfId="5"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8" fontId="5"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4" fillId="0" borderId="1" xfId="0" applyFont="1" applyBorder="1" applyAlignment="1">
      <alignment vertical="center" wrapText="1"/>
    </xf>
    <xf numFmtId="168" fontId="7" fillId="0" borderId="1" xfId="1" applyNumberFormat="1" applyFont="1" applyFill="1" applyBorder="1" applyAlignment="1">
      <alignment vertical="center" wrapText="1"/>
    </xf>
    <xf numFmtId="168" fontId="6" fillId="0" borderId="1" xfId="1" applyNumberFormat="1" applyFont="1" applyFill="1" applyBorder="1" applyAlignment="1">
      <alignment vertical="center" wrapText="1"/>
    </xf>
    <xf numFmtId="1" fontId="4" fillId="0" borderId="1" xfId="9" applyNumberFormat="1" applyFont="1" applyBorder="1" applyAlignment="1">
      <alignment horizontal="left" vertical="center" wrapText="1"/>
    </xf>
    <xf numFmtId="0" fontId="6" fillId="0" borderId="1" xfId="0" applyFont="1" applyBorder="1" applyAlignment="1">
      <alignment vertical="center" wrapText="1"/>
    </xf>
    <xf numFmtId="168" fontId="7" fillId="0" borderId="1" xfId="1" applyNumberFormat="1" applyFont="1" applyFill="1" applyBorder="1" applyAlignment="1">
      <alignment horizontal="center" vertical="center" wrapText="1"/>
    </xf>
    <xf numFmtId="0" fontId="4" fillId="0" borderId="1" xfId="1" quotePrefix="1" applyNumberFormat="1" applyFont="1" applyFill="1" applyBorder="1" applyAlignment="1">
      <alignment horizontal="center" vertical="center" wrapText="1"/>
    </xf>
    <xf numFmtId="0" fontId="5" fillId="0" borderId="0" xfId="0" applyFont="1"/>
    <xf numFmtId="0" fontId="6"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xf numFmtId="0" fontId="7" fillId="0" borderId="0" xfId="0" applyFont="1"/>
    <xf numFmtId="0" fontId="7" fillId="0" borderId="0" xfId="0" applyFont="1" applyAlignment="1">
      <alignment vertical="center"/>
    </xf>
    <xf numFmtId="0" fontId="7" fillId="2" borderId="0" xfId="0" applyFont="1" applyFill="1"/>
    <xf numFmtId="0" fontId="5" fillId="2" borderId="0" xfId="0" applyFont="1" applyFill="1" applyAlignment="1">
      <alignment vertical="center"/>
    </xf>
    <xf numFmtId="166" fontId="4" fillId="4" borderId="1" xfId="0" applyNumberFormat="1" applyFont="1" applyFill="1" applyBorder="1" applyAlignment="1">
      <alignment vertical="center"/>
    </xf>
    <xf numFmtId="174" fontId="4" fillId="4" borderId="1" xfId="1" applyNumberFormat="1" applyFont="1" applyFill="1" applyBorder="1" applyAlignment="1">
      <alignment vertical="center" wrapText="1"/>
    </xf>
    <xf numFmtId="166" fontId="7" fillId="4" borderId="1" xfId="0" applyNumberFormat="1" applyFont="1" applyFill="1" applyBorder="1" applyAlignment="1">
      <alignment vertical="center" wrapText="1"/>
    </xf>
    <xf numFmtId="167" fontId="7" fillId="4" borderId="1" xfId="0" applyNumberFormat="1" applyFont="1" applyFill="1" applyBorder="1" applyAlignment="1">
      <alignment vertical="center" wrapText="1"/>
    </xf>
    <xf numFmtId="0" fontId="3" fillId="4" borderId="1" xfId="0" applyFont="1" applyFill="1" applyBorder="1" applyAlignment="1">
      <alignment vertical="center" wrapText="1"/>
    </xf>
    <xf numFmtId="172" fontId="5" fillId="4" borderId="1" xfId="0" applyNumberFormat="1" applyFont="1" applyFill="1" applyBorder="1" applyAlignment="1">
      <alignment vertical="center" wrapText="1"/>
    </xf>
    <xf numFmtId="172" fontId="4" fillId="4" borderId="1" xfId="0" applyNumberFormat="1" applyFont="1" applyFill="1" applyBorder="1" applyAlignment="1">
      <alignment vertical="center" wrapText="1"/>
    </xf>
    <xf numFmtId="168" fontId="4" fillId="0" borderId="1" xfId="0" applyNumberFormat="1" applyFont="1" applyBorder="1" applyAlignment="1">
      <alignment vertical="center" wrapText="1"/>
    </xf>
    <xf numFmtId="168" fontId="7" fillId="0" borderId="1" xfId="0" applyNumberFormat="1" applyFont="1" applyBorder="1" applyAlignment="1">
      <alignment vertical="center" wrapText="1"/>
    </xf>
    <xf numFmtId="177" fontId="4" fillId="4" borderId="1" xfId="0" applyNumberFormat="1" applyFont="1" applyFill="1" applyBorder="1" applyAlignment="1">
      <alignment vertical="center" wrapText="1"/>
    </xf>
    <xf numFmtId="3" fontId="5" fillId="4" borderId="1" xfId="0" applyNumberFormat="1" applyFont="1" applyFill="1" applyBorder="1" applyAlignment="1">
      <alignment vertical="center" wrapText="1"/>
    </xf>
    <xf numFmtId="176" fontId="4" fillId="4" borderId="1" xfId="0" applyNumberFormat="1" applyFont="1" applyFill="1" applyBorder="1" applyAlignment="1">
      <alignment vertical="center" wrapText="1"/>
    </xf>
    <xf numFmtId="1" fontId="5" fillId="0" borderId="1" xfId="9" applyNumberFormat="1" applyFont="1" applyBorder="1" applyAlignment="1">
      <alignment horizontal="left" vertical="center" wrapText="1"/>
    </xf>
    <xf numFmtId="176" fontId="6" fillId="0" borderId="1" xfId="1" applyNumberFormat="1" applyFont="1" applyFill="1" applyBorder="1" applyAlignment="1">
      <alignment vertical="center" wrapText="1"/>
    </xf>
    <xf numFmtId="176" fontId="7" fillId="0" borderId="1" xfId="1" applyNumberFormat="1" applyFont="1" applyFill="1" applyBorder="1" applyAlignment="1">
      <alignment vertical="center" wrapText="1"/>
    </xf>
    <xf numFmtId="0" fontId="5" fillId="4" borderId="1" xfId="0" applyFont="1" applyFill="1" applyBorder="1" applyAlignment="1">
      <alignment horizontal="center" vertical="center" wrapText="1"/>
    </xf>
    <xf numFmtId="0" fontId="58" fillId="4" borderId="0" xfId="0" applyFont="1" applyFill="1" applyAlignment="1">
      <alignment vertical="center" wrapText="1"/>
    </xf>
    <xf numFmtId="0" fontId="61" fillId="4" borderId="0" xfId="0" applyFont="1" applyFill="1" applyAlignment="1">
      <alignment vertical="center" wrapText="1"/>
    </xf>
    <xf numFmtId="0" fontId="16" fillId="4" borderId="0" xfId="0" applyFont="1" applyFill="1" applyAlignment="1">
      <alignment horizontal="center" vertical="center" wrapText="1"/>
    </xf>
    <xf numFmtId="0" fontId="16" fillId="4" borderId="0" xfId="0" applyFont="1" applyFill="1" applyAlignment="1">
      <alignment vertical="center" wrapText="1"/>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3" fontId="3" fillId="4" borderId="1" xfId="0" applyNumberFormat="1"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xf numFmtId="0" fontId="3" fillId="4" borderId="0" xfId="0" applyFont="1" applyFill="1"/>
    <xf numFmtId="0" fontId="4" fillId="4" borderId="1" xfId="0" quotePrefix="1"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0" xfId="0" applyFont="1" applyFill="1" applyAlignment="1">
      <alignment horizontal="center" vertical="center"/>
    </xf>
    <xf numFmtId="0" fontId="4" fillId="4" borderId="0" xfId="0" applyFont="1" applyFill="1" applyAlignment="1">
      <alignment wrapText="1"/>
    </xf>
    <xf numFmtId="0" fontId="4" fillId="4" borderId="0" xfId="0" applyFont="1" applyFill="1"/>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66" fontId="5" fillId="4" borderId="1" xfId="0" applyNumberFormat="1" applyFont="1" applyFill="1" applyBorder="1" applyAlignment="1">
      <alignment horizontal="center" vertical="center"/>
    </xf>
    <xf numFmtId="172" fontId="5" fillId="4" borderId="1" xfId="0" applyNumberFormat="1" applyFont="1" applyFill="1" applyBorder="1" applyAlignment="1">
      <alignment horizontal="center" vertical="center"/>
    </xf>
    <xf numFmtId="0" fontId="5" fillId="4" borderId="1" xfId="0" applyFont="1" applyFill="1" applyBorder="1" applyAlignment="1">
      <alignment vertical="center"/>
    </xf>
    <xf numFmtId="166" fontId="5" fillId="4" borderId="1" xfId="0" applyNumberFormat="1" applyFont="1" applyFill="1" applyBorder="1" applyAlignment="1">
      <alignment vertical="center"/>
    </xf>
    <xf numFmtId="0" fontId="4" fillId="4" borderId="1" xfId="0" applyFont="1" applyFill="1" applyBorder="1" applyAlignment="1">
      <alignment vertical="center"/>
    </xf>
    <xf numFmtId="0" fontId="7" fillId="4" borderId="1" xfId="0" applyFont="1" applyFill="1" applyBorder="1" applyAlignment="1">
      <alignment horizontal="center" vertical="center"/>
    </xf>
    <xf numFmtId="0" fontId="7" fillId="4" borderId="1" xfId="0" applyFont="1" applyFill="1" applyBorder="1"/>
    <xf numFmtId="166" fontId="7" fillId="4" borderId="1" xfId="0" applyNumberFormat="1" applyFont="1" applyFill="1" applyBorder="1" applyAlignment="1">
      <alignment vertical="center"/>
    </xf>
    <xf numFmtId="171" fontId="7" fillId="4" borderId="1" xfId="0" applyNumberFormat="1" applyFont="1" applyFill="1" applyBorder="1" applyAlignment="1">
      <alignment vertical="center"/>
    </xf>
    <xf numFmtId="172" fontId="7" fillId="4" borderId="1" xfId="0" applyNumberFormat="1" applyFont="1" applyFill="1" applyBorder="1" applyAlignment="1">
      <alignment vertical="center"/>
    </xf>
    <xf numFmtId="0" fontId="4" fillId="4" borderId="1" xfId="0" applyFont="1" applyFill="1" applyBorder="1"/>
    <xf numFmtId="1" fontId="4" fillId="4" borderId="1" xfId="5" applyNumberFormat="1" applyFont="1" applyFill="1" applyBorder="1" applyAlignment="1">
      <alignment horizontal="center" vertical="center"/>
    </xf>
    <xf numFmtId="166" fontId="4" fillId="4" borderId="1" xfId="7" quotePrefix="1" applyNumberFormat="1" applyFont="1" applyFill="1" applyBorder="1" applyAlignment="1">
      <alignment horizontal="center" vertical="center" wrapText="1"/>
    </xf>
    <xf numFmtId="166" fontId="7" fillId="4" borderId="1" xfId="0" applyNumberFormat="1" applyFont="1" applyFill="1" applyBorder="1"/>
    <xf numFmtId="168" fontId="4" fillId="4" borderId="1" xfId="1" applyNumberFormat="1" applyFont="1" applyFill="1" applyBorder="1" applyAlignment="1">
      <alignment vertical="center"/>
    </xf>
    <xf numFmtId="174" fontId="4" fillId="4" borderId="1" xfId="1" applyNumberFormat="1" applyFont="1" applyFill="1" applyBorder="1" applyAlignment="1">
      <alignment vertical="center"/>
    </xf>
    <xf numFmtId="175" fontId="4" fillId="4" borderId="1" xfId="0" applyNumberFormat="1" applyFont="1" applyFill="1" applyBorder="1" applyAlignment="1">
      <alignment vertical="center"/>
    </xf>
    <xf numFmtId="168" fontId="4" fillId="4" borderId="1" xfId="0" applyNumberFormat="1" applyFont="1" applyFill="1" applyBorder="1" applyAlignment="1">
      <alignment vertical="center"/>
    </xf>
    <xf numFmtId="170" fontId="4" fillId="4" borderId="1" xfId="1" applyNumberFormat="1" applyFont="1" applyFill="1" applyBorder="1" applyAlignment="1">
      <alignment horizontal="center" vertical="center" wrapText="1"/>
    </xf>
    <xf numFmtId="1" fontId="4" fillId="4" borderId="1" xfId="9" applyNumberFormat="1" applyFont="1" applyFill="1" applyBorder="1" applyAlignment="1">
      <alignment horizontal="justify" vertical="center" wrapText="1"/>
    </xf>
    <xf numFmtId="166" fontId="4" fillId="4" borderId="1" xfId="7" applyNumberFormat="1" applyFont="1" applyFill="1" applyBorder="1" applyAlignment="1">
      <alignment horizontal="center" vertical="center" wrapText="1"/>
    </xf>
    <xf numFmtId="166" fontId="4" fillId="4" borderId="1" xfId="15" applyNumberFormat="1" applyFont="1" applyFill="1" applyBorder="1" applyAlignment="1">
      <alignment horizontal="right" vertical="center"/>
    </xf>
    <xf numFmtId="166" fontId="4" fillId="4" borderId="1" xfId="15" applyNumberFormat="1" applyFont="1" applyFill="1" applyBorder="1" applyAlignment="1">
      <alignment horizontal="center" vertical="center" wrapText="1"/>
    </xf>
    <xf numFmtId="166" fontId="4" fillId="4" borderId="1" xfId="18" applyNumberFormat="1" applyFont="1" applyFill="1" applyBorder="1" applyAlignment="1">
      <alignment horizontal="center" vertical="center" wrapText="1"/>
    </xf>
    <xf numFmtId="3" fontId="4" fillId="4" borderId="1" xfId="0" applyNumberFormat="1" applyFont="1" applyFill="1" applyBorder="1" applyAlignment="1">
      <alignment vertical="center"/>
    </xf>
    <xf numFmtId="0" fontId="60" fillId="4" borderId="1" xfId="0" applyFont="1" applyFill="1" applyBorder="1" applyAlignment="1">
      <alignment vertical="center" wrapText="1"/>
    </xf>
    <xf numFmtId="0" fontId="5" fillId="4" borderId="1" xfId="16" quotePrefix="1" applyFont="1" applyFill="1" applyBorder="1" applyAlignment="1">
      <alignment horizontal="center" vertical="center" wrapText="1"/>
    </xf>
    <xf numFmtId="1" fontId="5" fillId="4" borderId="1" xfId="9" applyNumberFormat="1" applyFont="1" applyFill="1" applyBorder="1" applyAlignment="1">
      <alignment horizontal="center" vertical="center" wrapText="1"/>
    </xf>
    <xf numFmtId="166" fontId="5" fillId="4" borderId="1" xfId="6" applyNumberFormat="1" applyFont="1" applyFill="1" applyBorder="1" applyAlignment="1">
      <alignment horizontal="center" vertical="center" wrapText="1"/>
    </xf>
    <xf numFmtId="0" fontId="5" fillId="4" borderId="1" xfId="0" applyFont="1" applyFill="1" applyBorder="1"/>
    <xf numFmtId="0" fontId="5" fillId="4" borderId="1" xfId="0" applyFont="1" applyFill="1" applyBorder="1" applyAlignment="1">
      <alignment horizontal="center"/>
    </xf>
    <xf numFmtId="166" fontId="7" fillId="4" borderId="1" xfId="6" applyNumberFormat="1" applyFont="1" applyFill="1" applyBorder="1" applyAlignment="1">
      <alignment horizontal="center" vertical="center" wrapText="1"/>
    </xf>
    <xf numFmtId="172" fontId="7" fillId="4" borderId="1" xfId="6" applyNumberFormat="1" applyFont="1" applyFill="1" applyBorder="1" applyAlignment="1">
      <alignment horizontal="center" vertical="center" wrapText="1"/>
    </xf>
    <xf numFmtId="0" fontId="4" fillId="4" borderId="1" xfId="13" applyFont="1" applyFill="1" applyBorder="1" applyAlignment="1">
      <alignment horizontal="justify" vertical="center" wrapText="1"/>
    </xf>
    <xf numFmtId="166" fontId="4" fillId="4" borderId="1" xfId="1" applyNumberFormat="1" applyFont="1" applyFill="1" applyBorder="1" applyAlignment="1">
      <alignment vertical="center"/>
    </xf>
    <xf numFmtId="172" fontId="4" fillId="4" borderId="1" xfId="0" applyNumberFormat="1" applyFont="1" applyFill="1" applyBorder="1" applyAlignment="1">
      <alignment vertical="center"/>
    </xf>
    <xf numFmtId="172" fontId="4" fillId="4" borderId="1" xfId="1" applyNumberFormat="1" applyFont="1" applyFill="1" applyBorder="1" applyAlignment="1">
      <alignment vertical="center"/>
    </xf>
    <xf numFmtId="166" fontId="4" fillId="4" borderId="1" xfId="7" quotePrefix="1" applyNumberFormat="1" applyFont="1" applyFill="1" applyBorder="1" applyAlignment="1">
      <alignment horizontal="justify" vertical="center" wrapText="1"/>
    </xf>
    <xf numFmtId="166" fontId="4" fillId="4" borderId="1" xfId="7" applyNumberFormat="1" applyFont="1" applyFill="1" applyBorder="1" applyAlignment="1">
      <alignment vertical="center"/>
    </xf>
    <xf numFmtId="166" fontId="6" fillId="4" borderId="1" xfId="0" applyNumberFormat="1" applyFont="1" applyFill="1" applyBorder="1" applyAlignment="1">
      <alignment vertical="center"/>
    </xf>
    <xf numFmtId="0" fontId="4" fillId="4" borderId="1" xfId="0" applyFont="1" applyFill="1" applyBorder="1" applyAlignment="1">
      <alignment horizontal="center"/>
    </xf>
    <xf numFmtId="49" fontId="4" fillId="4" borderId="1" xfId="9" quotePrefix="1" applyNumberFormat="1" applyFont="1" applyFill="1" applyBorder="1" applyAlignment="1">
      <alignment horizontal="center" vertical="center" wrapText="1"/>
    </xf>
    <xf numFmtId="0" fontId="4" fillId="4" borderId="1" xfId="14" applyFont="1" applyFill="1" applyBorder="1" applyAlignment="1">
      <alignment horizontal="left" vertical="center" wrapText="1"/>
    </xf>
    <xf numFmtId="166" fontId="4" fillId="4" borderId="1" xfId="7" applyNumberFormat="1" applyFont="1" applyFill="1" applyBorder="1" applyAlignment="1">
      <alignment horizontal="right" vertical="center"/>
    </xf>
    <xf numFmtId="171" fontId="7" fillId="4" borderId="1" xfId="0" applyNumberFormat="1" applyFont="1" applyFill="1" applyBorder="1"/>
    <xf numFmtId="174" fontId="4" fillId="4" borderId="1" xfId="0" applyNumberFormat="1" applyFont="1" applyFill="1" applyBorder="1" applyAlignment="1">
      <alignment vertical="center"/>
    </xf>
    <xf numFmtId="0" fontId="3" fillId="4" borderId="1" xfId="0" applyFont="1" applyFill="1" applyBorder="1" applyAlignment="1">
      <alignment horizontal="center" vertical="center" wrapText="1"/>
    </xf>
    <xf numFmtId="176" fontId="4" fillId="4" borderId="1" xfId="1" applyNumberFormat="1" applyFont="1" applyFill="1" applyBorder="1" applyAlignment="1">
      <alignment vertical="center" wrapText="1"/>
    </xf>
    <xf numFmtId="176" fontId="4" fillId="0" borderId="1" xfId="1" applyNumberFormat="1" applyFont="1" applyFill="1" applyBorder="1" applyAlignment="1">
      <alignment vertical="center" wrapText="1"/>
    </xf>
    <xf numFmtId="171" fontId="4" fillId="4" borderId="1" xfId="0" applyNumberFormat="1" applyFont="1" applyFill="1" applyBorder="1" applyAlignment="1">
      <alignment vertical="center"/>
    </xf>
    <xf numFmtId="176" fontId="4" fillId="4" borderId="1" xfId="0" applyNumberFormat="1" applyFont="1" applyFill="1" applyBorder="1" applyAlignment="1">
      <alignment vertical="center"/>
    </xf>
    <xf numFmtId="1" fontId="4" fillId="4" borderId="1" xfId="5" applyNumberFormat="1" applyFont="1" applyFill="1" applyBorder="1" applyAlignment="1">
      <alignment horizontal="center" vertical="center" wrapText="1"/>
    </xf>
    <xf numFmtId="166" fontId="4" fillId="4" borderId="1" xfId="25" applyNumberFormat="1" applyFont="1" applyFill="1" applyBorder="1" applyAlignment="1">
      <alignment horizontal="center" vertical="center" wrapText="1"/>
    </xf>
    <xf numFmtId="0" fontId="4" fillId="4" borderId="1" xfId="3" quotePrefix="1" applyFont="1" applyFill="1" applyBorder="1" applyAlignment="1">
      <alignment horizontal="center" vertical="center" wrapText="1"/>
    </xf>
    <xf numFmtId="166" fontId="4" fillId="4" borderId="1" xfId="25" applyNumberFormat="1" applyFont="1" applyFill="1" applyBorder="1" applyAlignment="1">
      <alignment horizontal="right" vertical="center" wrapText="1"/>
    </xf>
    <xf numFmtId="176" fontId="6" fillId="4" borderId="1" xfId="1" applyNumberFormat="1" applyFont="1" applyFill="1" applyBorder="1" applyAlignment="1">
      <alignment vertical="center" wrapText="1"/>
    </xf>
    <xf numFmtId="168" fontId="6" fillId="4" borderId="1" xfId="1" applyNumberFormat="1" applyFont="1" applyFill="1" applyBorder="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164" fontId="11" fillId="4" borderId="2" xfId="1" applyFont="1" applyFill="1" applyBorder="1" applyAlignment="1">
      <alignment horizontal="center" vertical="center" wrapText="1"/>
    </xf>
    <xf numFmtId="164" fontId="11" fillId="4" borderId="3" xfId="1" applyFont="1" applyFill="1" applyBorder="1" applyAlignment="1">
      <alignment horizontal="center" vertical="center" wrapText="1"/>
    </xf>
    <xf numFmtId="164" fontId="11" fillId="4" borderId="4" xfId="1" applyFont="1" applyFill="1" applyBorder="1" applyAlignment="1">
      <alignment horizontal="center" vertical="center" wrapText="1"/>
    </xf>
    <xf numFmtId="164" fontId="11" fillId="4" borderId="5" xfId="1" applyFont="1" applyFill="1" applyBorder="1" applyAlignment="1">
      <alignment horizontal="center" vertical="center" wrapText="1"/>
    </xf>
    <xf numFmtId="164" fontId="11" fillId="4" borderId="8" xfId="1" applyFont="1" applyFill="1" applyBorder="1" applyAlignment="1">
      <alignment horizontal="center" vertical="center" wrapText="1"/>
    </xf>
    <xf numFmtId="164" fontId="11" fillId="4" borderId="6" xfId="1" applyFont="1" applyFill="1" applyBorder="1" applyAlignment="1">
      <alignment horizontal="center" vertical="center" wrapText="1"/>
    </xf>
    <xf numFmtId="0" fontId="11" fillId="4" borderId="0" xfId="16" applyFont="1" applyFill="1" applyAlignment="1">
      <alignment horizontal="center" vertical="center" wrapText="1"/>
    </xf>
    <xf numFmtId="0" fontId="15" fillId="4" borderId="7" xfId="5" applyFont="1" applyFill="1" applyBorder="1" applyAlignment="1">
      <alignment horizontal="center" vertical="center" wrapText="1"/>
    </xf>
    <xf numFmtId="1" fontId="11" fillId="4" borderId="2" xfId="5" applyNumberFormat="1" applyFont="1" applyFill="1" applyBorder="1" applyAlignment="1">
      <alignment horizontal="center" vertical="center" wrapText="1"/>
    </xf>
    <xf numFmtId="1" fontId="11" fillId="4" borderId="3" xfId="5" applyNumberFormat="1" applyFont="1" applyFill="1" applyBorder="1" applyAlignment="1">
      <alignment horizontal="center" vertical="center" wrapText="1"/>
    </xf>
    <xf numFmtId="1" fontId="11" fillId="4" borderId="4" xfId="5" applyNumberFormat="1" applyFont="1" applyFill="1" applyBorder="1" applyAlignment="1">
      <alignment horizontal="center" vertical="center" wrapText="1"/>
    </xf>
    <xf numFmtId="0" fontId="11" fillId="4" borderId="2" xfId="5" applyFont="1" applyFill="1" applyBorder="1" applyAlignment="1">
      <alignment horizontal="center" vertical="center" wrapText="1"/>
    </xf>
    <xf numFmtId="0" fontId="11" fillId="4" borderId="3" xfId="5" applyFont="1" applyFill="1" applyBorder="1" applyAlignment="1">
      <alignment horizontal="center" vertical="center" wrapText="1"/>
    </xf>
    <xf numFmtId="0" fontId="11" fillId="4" borderId="4" xfId="5" applyFont="1" applyFill="1" applyBorder="1" applyAlignment="1">
      <alignment horizontal="center" vertical="center" wrapText="1"/>
    </xf>
    <xf numFmtId="0" fontId="11" fillId="4" borderId="2" xfId="16" applyFont="1" applyFill="1" applyBorder="1" applyAlignment="1">
      <alignment horizontal="center" vertical="center" wrapText="1"/>
    </xf>
    <xf numFmtId="0" fontId="11" fillId="4" borderId="3" xfId="16" applyFont="1" applyFill="1" applyBorder="1" applyAlignment="1">
      <alignment horizontal="center" vertical="center" wrapText="1"/>
    </xf>
    <xf numFmtId="0" fontId="11" fillId="4" borderId="4" xfId="16" applyFont="1" applyFill="1" applyBorder="1" applyAlignment="1">
      <alignment horizontal="center" vertical="center" wrapText="1"/>
    </xf>
    <xf numFmtId="10" fontId="11" fillId="4" borderId="2" xfId="6" applyNumberFormat="1" applyFont="1" applyFill="1" applyBorder="1" applyAlignment="1">
      <alignment horizontal="center" vertical="center" wrapText="1"/>
    </xf>
    <xf numFmtId="10" fontId="11" fillId="4" borderId="3" xfId="6" applyNumberFormat="1" applyFont="1" applyFill="1" applyBorder="1" applyAlignment="1">
      <alignment horizontal="center" vertical="center" wrapText="1"/>
    </xf>
    <xf numFmtId="10" fontId="11" fillId="4" borderId="4" xfId="6" applyNumberFormat="1" applyFont="1" applyFill="1" applyBorder="1" applyAlignment="1">
      <alignment horizontal="center" vertical="center" wrapText="1"/>
    </xf>
    <xf numFmtId="0" fontId="52" fillId="4" borderId="1" xfId="0" applyFont="1" applyFill="1" applyBorder="1" applyAlignment="1">
      <alignment horizontal="center" vertical="center" wrapText="1"/>
    </xf>
    <xf numFmtId="167" fontId="52" fillId="4" borderId="1" xfId="19" applyNumberFormat="1" applyFont="1" applyFill="1" applyBorder="1" applyAlignment="1">
      <alignment horizontal="center" vertical="center" wrapText="1"/>
    </xf>
    <xf numFmtId="0" fontId="52" fillId="4" borderId="0" xfId="0" applyFont="1" applyFill="1" applyAlignment="1">
      <alignment horizontal="center" vertical="center" wrapText="1"/>
    </xf>
    <xf numFmtId="0" fontId="53" fillId="4" borderId="0" xfId="0" applyFont="1" applyFill="1" applyAlignment="1">
      <alignment horizontal="center" vertical="center" wrapText="1"/>
    </xf>
    <xf numFmtId="0" fontId="53" fillId="4" borderId="0" xfId="0" applyFont="1" applyFill="1" applyAlignment="1">
      <alignment horizontal="right" vertical="center" wrapText="1"/>
    </xf>
    <xf numFmtId="0" fontId="52" fillId="4" borderId="2"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52" fillId="4" borderId="0" xfId="0" applyFont="1" applyFill="1" applyAlignment="1">
      <alignment horizontal="center" wrapText="1"/>
    </xf>
    <xf numFmtId="0" fontId="45" fillId="4" borderId="1" xfId="0" applyFont="1" applyFill="1" applyBorder="1" applyAlignment="1">
      <alignment horizontal="center" vertical="center" wrapText="1"/>
    </xf>
    <xf numFmtId="167" fontId="45" fillId="4" borderId="1" xfId="19" applyNumberFormat="1" applyFont="1" applyFill="1" applyBorder="1" applyAlignment="1">
      <alignment horizontal="center" vertical="center" wrapText="1"/>
    </xf>
    <xf numFmtId="0" fontId="10" fillId="4" borderId="0" xfId="0" applyFont="1" applyFill="1" applyAlignment="1">
      <alignment horizontal="center" vertical="center" wrapText="1"/>
    </xf>
    <xf numFmtId="0" fontId="42" fillId="4" borderId="0" xfId="0" applyFont="1" applyFill="1" applyAlignment="1">
      <alignment horizontal="center" vertical="center" wrapText="1"/>
    </xf>
    <xf numFmtId="0" fontId="43" fillId="4" borderId="0" xfId="0" applyFont="1" applyFill="1" applyAlignment="1">
      <alignment horizontal="center" vertical="center" wrapText="1"/>
    </xf>
    <xf numFmtId="0" fontId="9" fillId="4" borderId="0" xfId="0" applyFont="1" applyFill="1" applyAlignment="1">
      <alignment horizontal="right" vertical="center" wrapText="1"/>
    </xf>
    <xf numFmtId="0" fontId="45" fillId="4" borderId="2"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50"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167" fontId="10" fillId="4" borderId="1" xfId="19" applyNumberFormat="1" applyFont="1" applyFill="1" applyBorder="1" applyAlignment="1">
      <alignment horizontal="center" vertical="center" wrapText="1"/>
    </xf>
    <xf numFmtId="0" fontId="5" fillId="4" borderId="0" xfId="0" applyFont="1" applyFill="1" applyAlignment="1">
      <alignment horizontal="center" vertical="center" wrapText="1"/>
    </xf>
    <xf numFmtId="0" fontId="6" fillId="4" borderId="0" xfId="0" applyFont="1" applyFill="1" applyAlignment="1">
      <alignment horizontal="center" vertical="center" wrapText="1"/>
    </xf>
    <xf numFmtId="0" fontId="58" fillId="4" borderId="0" xfId="0" applyFont="1" applyFill="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164" fontId="11" fillId="0" borderId="2" xfId="1" applyFont="1" applyFill="1" applyBorder="1" applyAlignment="1">
      <alignment horizontal="center" vertical="center" wrapText="1"/>
    </xf>
    <xf numFmtId="164" fontId="11" fillId="0" borderId="3" xfId="1" applyFont="1" applyFill="1" applyBorder="1" applyAlignment="1">
      <alignment horizontal="center" vertical="center" wrapText="1"/>
    </xf>
    <xf numFmtId="164" fontId="11" fillId="0" borderId="4" xfId="1" applyFont="1" applyFill="1" applyBorder="1" applyAlignment="1">
      <alignment horizontal="center" vertical="center" wrapText="1"/>
    </xf>
    <xf numFmtId="0" fontId="11" fillId="0" borderId="2" xfId="16" applyFont="1" applyBorder="1" applyAlignment="1">
      <alignment horizontal="center" vertical="center" wrapText="1"/>
    </xf>
    <xf numFmtId="0" fontId="11" fillId="0" borderId="3" xfId="16" applyFont="1" applyBorder="1" applyAlignment="1">
      <alignment horizontal="center" vertical="center" wrapText="1"/>
    </xf>
    <xf numFmtId="0" fontId="11" fillId="0" borderId="4" xfId="16" applyFont="1" applyBorder="1" applyAlignment="1">
      <alignment horizontal="center" vertical="center" wrapText="1"/>
    </xf>
    <xf numFmtId="164" fontId="11" fillId="2" borderId="5" xfId="1" applyFont="1" applyFill="1" applyBorder="1" applyAlignment="1">
      <alignment horizontal="center" vertical="center" wrapText="1"/>
    </xf>
    <xf numFmtId="164" fontId="11" fillId="2" borderId="8" xfId="1" applyFont="1" applyFill="1" applyBorder="1" applyAlignment="1">
      <alignment horizontal="center" vertical="center" wrapText="1"/>
    </xf>
    <xf numFmtId="164" fontId="11" fillId="2" borderId="6" xfId="1" applyFont="1" applyFill="1" applyBorder="1" applyAlignment="1">
      <alignment horizontal="center" vertical="center" wrapText="1"/>
    </xf>
    <xf numFmtId="164" fontId="11" fillId="2" borderId="2" xfId="1" applyFont="1" applyFill="1" applyBorder="1" applyAlignment="1">
      <alignment horizontal="center" vertical="center" wrapText="1"/>
    </xf>
    <xf numFmtId="164" fontId="11" fillId="2" borderId="3" xfId="1" applyFont="1" applyFill="1" applyBorder="1" applyAlignment="1">
      <alignment horizontal="center" vertical="center" wrapText="1"/>
    </xf>
    <xf numFmtId="164" fontId="11" fillId="2" borderId="4" xfId="1" applyFont="1" applyFill="1" applyBorder="1" applyAlignment="1">
      <alignment horizontal="center" vertical="center" wrapText="1"/>
    </xf>
    <xf numFmtId="0" fontId="11" fillId="4" borderId="8" xfId="3" applyFont="1" applyFill="1" applyBorder="1" applyAlignment="1">
      <alignment horizontal="left" vertical="center" wrapText="1"/>
    </xf>
    <xf numFmtId="0" fontId="11" fillId="4" borderId="0" xfId="3" applyFont="1" applyFill="1" applyAlignment="1">
      <alignment horizontal="center" vertical="center" wrapText="1"/>
    </xf>
    <xf numFmtId="15" fontId="11" fillId="4" borderId="0" xfId="3" quotePrefix="1" applyNumberFormat="1" applyFont="1" applyFill="1" applyAlignment="1">
      <alignment horizontal="center" vertical="center" wrapText="1"/>
    </xf>
    <xf numFmtId="0" fontId="12" fillId="4" borderId="0" xfId="3" applyFont="1" applyFill="1" applyAlignment="1">
      <alignment horizontal="right" vertical="center" wrapText="1"/>
    </xf>
    <xf numFmtId="0" fontId="11" fillId="4" borderId="0" xfId="3" applyFont="1" applyFill="1" applyAlignment="1">
      <alignment horizontal="left" vertical="center" wrapText="1"/>
    </xf>
    <xf numFmtId="0" fontId="11" fillId="4" borderId="1" xfId="0" applyFont="1" applyFill="1" applyBorder="1" applyAlignment="1">
      <alignment horizontal="left" vertical="center" wrapText="1"/>
    </xf>
    <xf numFmtId="0" fontId="11" fillId="4" borderId="1" xfId="5" applyFont="1" applyFill="1" applyBorder="1" applyAlignment="1">
      <alignment horizontal="left" vertical="center" wrapText="1"/>
    </xf>
    <xf numFmtId="0" fontId="11" fillId="4" borderId="4" xfId="3" applyFont="1" applyFill="1" applyBorder="1" applyAlignment="1">
      <alignment horizontal="left" vertical="center" wrapText="1"/>
    </xf>
    <xf numFmtId="0" fontId="15" fillId="4" borderId="0" xfId="0" applyFont="1" applyFill="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1" fillId="4" borderId="0" xfId="0" applyFont="1" applyFill="1" applyAlignment="1">
      <alignment horizontal="center" vertical="center" wrapText="1"/>
    </xf>
    <xf numFmtId="0" fontId="16" fillId="4"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4" fillId="0" borderId="7" xfId="0" applyFont="1" applyBorder="1" applyAlignment="1">
      <alignment horizontal="center" vertical="center" wrapText="1"/>
    </xf>
    <xf numFmtId="0" fontId="5" fillId="4" borderId="0" xfId="0" applyFont="1" applyFill="1" applyAlignment="1">
      <alignment horizontal="center" vertical="center"/>
    </xf>
    <xf numFmtId="0" fontId="6" fillId="4" borderId="0" xfId="0" applyFont="1" applyFill="1" applyAlignment="1">
      <alignment horizontal="center" vertical="center"/>
    </xf>
    <xf numFmtId="0" fontId="4" fillId="4" borderId="7" xfId="0" applyFont="1" applyFill="1" applyBorder="1" applyAlignment="1">
      <alignment horizontal="center"/>
    </xf>
  </cellXfs>
  <cellStyles count="26">
    <cellStyle name="_x000d__x000a_JournalTemplate=C:\COMFO\CTALK\JOURSTD.TPL_x000d__x000a_LbStateAddress=3 3 0 251 1 89 2 311_x000d__x000a_LbStateJou 2" xfId="8"/>
    <cellStyle name="Bình thường 2" xfId="13"/>
    <cellStyle name="Bình thường 2 2" xfId="23"/>
    <cellStyle name="Bình thường 2 3" xfId="12"/>
    <cellStyle name="Comma" xfId="1" builtinId="3"/>
    <cellStyle name="Comma 10" xfId="7"/>
    <cellStyle name="Comma 10 10" xfId="18"/>
    <cellStyle name="Comma 2 2" xfId="6"/>
    <cellStyle name="Comma 2 4" xfId="19"/>
    <cellStyle name="Comma 4 2" xfId="4"/>
    <cellStyle name="Comma 5" xfId="2"/>
    <cellStyle name="Comma 6" xfId="17"/>
    <cellStyle name="Comma 7" xfId="25"/>
    <cellStyle name="Chuẩn 4 2" xfId="11"/>
    <cellStyle name="Dấu phẩy 3" xfId="15"/>
    <cellStyle name="Hyperlink" xfId="22" builtinId="8"/>
    <cellStyle name="Kiểu 1" xfId="16"/>
    <cellStyle name="Normal" xfId="0" builtinId="0"/>
    <cellStyle name="Normal 19" xfId="10"/>
    <cellStyle name="Normal 2" xfId="21"/>
    <cellStyle name="Normal 2 2" xfId="14"/>
    <cellStyle name="Normal 7 2" xfId="24"/>
    <cellStyle name="Normal_Bieu mau (CV )" xfId="9"/>
    <cellStyle name="Normal_Sheet1" xfId="20"/>
    <cellStyle name="Normal_Sheet2" xfId="5"/>
    <cellStyle name="Style 1" xfId="3"/>
  </cellStyles>
  <dxfs count="12">
    <dxf>
      <font>
        <color rgb="FFF26AF5"/>
      </font>
      <fill>
        <patternFill patternType="none">
          <bgColor indexed="65"/>
        </patternFill>
      </fill>
    </dxf>
    <dxf>
      <font>
        <strike val="0"/>
        <color theme="0" tint="-0.24994659260841701"/>
      </font>
      <fill>
        <patternFill patternType="none">
          <bgColor indexed="65"/>
        </patternFill>
      </fill>
    </dxf>
    <dxf>
      <font>
        <color rgb="FFF26AF5"/>
      </font>
      <fill>
        <patternFill patternType="none">
          <bgColor indexed="65"/>
        </patternFill>
      </fill>
    </dxf>
    <dxf>
      <font>
        <strike val="0"/>
        <color theme="0" tint="-0.24994659260841701"/>
      </font>
      <fill>
        <patternFill patternType="none">
          <bgColor indexed="65"/>
        </patternFill>
      </fill>
    </dxf>
    <dxf>
      <font>
        <color rgb="FFF26AF5"/>
      </font>
      <fill>
        <patternFill patternType="none">
          <bgColor indexed="65"/>
        </patternFill>
      </fill>
    </dxf>
    <dxf>
      <font>
        <strike val="0"/>
        <color theme="0" tint="-0.24994659260841701"/>
      </font>
      <fill>
        <patternFill patternType="none">
          <bgColor indexed="65"/>
        </patternFill>
      </fill>
    </dxf>
    <dxf>
      <font>
        <strike val="0"/>
        <color theme="0" tint="-0.24994659260841701"/>
      </font>
      <fill>
        <patternFill patternType="none">
          <bgColor indexed="65"/>
        </patternFill>
      </fill>
    </dxf>
    <dxf>
      <font>
        <color rgb="FFF26AF5"/>
      </font>
      <fill>
        <patternFill patternType="none">
          <bgColor indexed="65"/>
        </patternFill>
      </fill>
    </dxf>
    <dxf>
      <font>
        <color rgb="FFF26AF5"/>
      </font>
      <fill>
        <patternFill patternType="none">
          <bgColor indexed="65"/>
        </patternFill>
      </fill>
    </dxf>
    <dxf>
      <font>
        <strike val="0"/>
        <color theme="0" tint="-0.24994659260841701"/>
      </font>
      <fill>
        <patternFill patternType="none">
          <bgColor indexed="65"/>
        </patternFill>
      </fill>
    </dxf>
    <dxf>
      <font>
        <color rgb="FFF26AF5"/>
      </font>
      <fill>
        <patternFill patternType="none">
          <bgColor indexed="65"/>
        </patternFill>
      </fill>
    </dxf>
    <dxf>
      <font>
        <strike val="0"/>
        <color theme="0" tint="-0.2499465926084170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ai%20lieu%20Do%20Thanh%20Quy%202024\Tai%20lieu%20moi%202024\Cac%20loai%20BC\BC%202025\BC%20Ban%20QLDA%202025\Cap%20nhat%20so%20lieu%20chuan%202025%20&#272;C%20von%20tinh.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4.%20H&#7871;t%20DUong%20ong%20Thao%20A%20Lu\Duong%20ong%20Thao%20A%20L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2.%20Duong%20Trung%20tam%20x&#227;%20-%20Thong%20Hang%20La%20con%20QT\Duong%20TT%20xa%20thong%20Hang%20L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5.%20Bo%20sung%20tieu%20hoc%20Lao%20Xa%20Phinh\Tieu%20hoc%20Lao%20Xa%20Phin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6.%20Bo%20sung%20Tieu%20hoc%20Ta%20Phin\Tieu%20hoc%20Ta%20Ph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1.%20DUong%20noi%20thon%20De%20Tau\1.%20Duong%20noi%20thon%20De%20Ta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2.%20Duong%20noi%20thon%20Ta%20Huoi%20Trang%201\2.%20Duong%20noi%20thon%20Ta%20Huoi%20Trang%2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3.%20NC,%20SC%20thuy%20l&#417;i%20Ta%20Huoi%20Trang%201\3.%20Thuy%20loi%20ta%20Huoi%20Trang%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4.%20DUong%20noi%20thon%20Hang%20Cu%20Tau\4.%20thieu%20von%20DUong%20noi%20thon%20Hang%20Cu%20Ta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5.%20Duong%20pang%20De%20A\5.%20Duong%20Pang%20De%20A%2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6.%20Giao%20thong%20Ban%20He,%20Xa%20Nhe\6.%20Thieu%20lam%20do%20Duong%20ban%20He%20Xa%20Nhe%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ghi%20quyet%20giam%20ngheo\2.%20&#272;C%20Nuoc%20sinh%20hoat%20Ta%20Phin,%20Ta%20Sin%20Thang\Nuoc%20sinh%20hoat%20Ta%20Phin,%20Ta%20Sin%20Tha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7.%20Duong%20giao%20thong%20cong%20van%20hoa%20thon%203\7.%20Duong%20giao%20thong%20cong%20van%20hoa%20thon%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9.%20Duong%20Doi%20Kho%20Si%20di%20Lang%20Sang%202\9.%20Duong%20Doi%20Kho%20Si%20Lang%20Sang%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10.%20Duong%20noi%20thon%20Quyet%20Tien\10.%20Duong%20noi%20thon%20Quyet%20Tien%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11.%20Duong%20SX%20D&#202;%20Bau,%20Trung%20Thu\11.%20Duong%20SX%20De%20Bau.xls"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file:///E:\Tai%20lieu%20Do%20Thanh%20Quy%202024\Thanh%20toan%20KBNN%20CT%202018,2019\So%20theo%20doi%20thanh%20toan%20cac%20namQ\CT%202024\Von%20NQ88\CT%20Phe%20duyet%202024%20dot%201\12.%20DUong%20giao%20noi%20thon%20thong%20Hang%20To%20Mang\12.%20Duong%20noi%20thon%20Hang%20To%20Mang%20chuan%20(DT%20sai%20len%20toi%201.700%20tr).xls?B27A9C9F" TargetMode="External"/><Relationship Id="rId1" Type="http://schemas.openxmlformats.org/officeDocument/2006/relationships/externalLinkPath" Target="file:///\\B27A9C9F\12.%20Duong%20noi%20thon%20Hang%20To%20Mang%20chuan%20(DT%20sai%20len%20toi%201.700%20t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13.%20Thuy%20loi%20Phieng%20Bung\13.%20Thuy%20loi%20Phieng%20Bung.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Phe%20duyet%202024%20dot%201\14.%20Duong%20noi%20thon%20Tua%20Thang\14.%20Duong%20noi%20thon%20Tua%20Thang%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Tai%20lieu%20Do%20Thanh%20Quy%202024\Tai%20lieu%20moi%202024\Cac%20loai%20BC\BC%202024\BC%20Ban%20QLDA\Cap%20nhat%20so%20lie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dieu%20chinh%20DT%20lan%202\5.%20DUong%20giao%20thong%20mat%20bang%20Huoi%20So\STD%20Duong%20giao%20H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dieu%20chinh%20DT%20lan%202\1%20.%20Cap%20nuoc%20sinh%20hoat%20Huoi%20So\STD%20NSH%20Ban%20H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dieu%20chinh%20DT%20lan%202\3.%20Thoat%20nuoc%20ve%20sinh%20MT\STD%20Thoat%20nuoc%20VSMT%20H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dieu%20chinh%20DT%20lan%202\4.%20Cap%20dien%20Huoi%20So\STD%20Cap%20dien%20Ban%20H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4\Von%20NQ88\CT%20dieu%20chinh%20DT%20lan%202\2.%20Ha%20tang%20thong%20tin%20x&#227;%20Huoi%20So\STD%20H&#7841;%20t&#7847;ng%20th&#244;ng%20tin%20HS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1.%20H&#233;t%20DUong%20NHu%20Pong%20Chua\Duong%20Nhu%20Pong%20Chu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Tai%20lieu%20Do%20Thanh%20Quy%202024\Thanh%20toan%20KBNN%20CT%202018,2019\So%20theo%20doi%20thanh%20toan%20cac%20namQ\CT%202023\Von%20NQ%2088%20huyen\3.%20Het%20Duong%20Do%20ang%20Dang\Duong%20Do%20ang%20D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TH"/>
      <sheetName val="B1"/>
      <sheetName val="CHua mo moi nhat"/>
      <sheetName val="Ma moi"/>
      <sheetName val="Theo doi Mo MA CT"/>
      <sheetName val="DA chua ma VOn NS huyen"/>
      <sheetName val="DA chua moi"/>
      <sheetName val="Giai ngan truoc 31.12"/>
      <sheetName val="QT Thuy"/>
      <sheetName val="No dong"/>
      <sheetName val="Ma moi nhat"/>
      <sheetName val="Sheet5"/>
      <sheetName val="Sheet7"/>
      <sheetName val="Uoc TT"/>
      <sheetName val="Sheet8"/>
      <sheetName val="Con T"/>
      <sheetName val="H"/>
      <sheetName val="THeo doi ma DT Ban 2025"/>
      <sheetName val="Sheet10"/>
      <sheetName val="Sheet9"/>
      <sheetName val="Sheet11"/>
      <sheetName val="Sheet12"/>
      <sheetName val="Sheet13"/>
      <sheetName val="Giai ngan 2025"/>
      <sheetName val="Sheet4"/>
      <sheetName val="Sheet6"/>
      <sheetName val="Sheet3"/>
      <sheetName val="Sheet2"/>
      <sheetName val="NS huyen"/>
      <sheetName val="NS ĐỊA PHƯƠNG"/>
      <sheetName val="Bieu 2 TH nganh, linh vuc"/>
      <sheetName val="BIỂU 02 - CT30a"/>
      <sheetName val="BIỂU 03 - 135"/>
      <sheetName val="BIỂU 04. NTM"/>
      <sheetName val="BIỂU 05. QĐ 1776"/>
      <sheetName val="BIỂU 06. NSTW"/>
      <sheetName val="BIỂU 07 VỐN TPCP - KCHTL"/>
      <sheetName val="VỐN 08 - VỐN XỔ SỐ KIẾN THIẾT"/>
      <sheetName val="BIỂU 9. TÁI ĐỊNH CƯ"/>
      <sheetName val="NQ 88"/>
      <sheetName val="Tong hopTHDA"/>
      <sheetName val="NS huyen 2022"/>
      <sheetName val="Sheet1"/>
      <sheetName val="BIỂU 10 - ĐIỆN NÔNG THÔN"/>
      <sheetName val="BIỂU 11 - NQ 88"/>
      <sheetName val="BIỂU 12. ODA VÀ VỐN KHÁC"/>
      <sheetName val="Bieu 7 PPP"/>
      <sheetName val="Bieu 9 de lai"/>
      <sheetName val="Bieu 10 TDDTPT"/>
      <sheetName val="Bieu 11 TPCQDP"/>
      <sheetName val="Bieu15 da ky"/>
      <sheetName val="Bieu16 chua ky"/>
      <sheetName val="Bieu17 keu goi"/>
      <sheetName val="BM18 Chi tiet TPCP"/>
      <sheetName val="BC trung han DP"/>
      <sheetName val="Bieu25 TH nganh, linh vuc"/>
      <sheetName val="BM25"/>
      <sheetName val="Sheet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O4">
            <v>0</v>
          </cell>
        </row>
        <row r="6">
          <cell r="O6">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4173131000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Bieu"/>
      <sheetName val="Sheet3"/>
    </sheetNames>
    <sheetDataSet>
      <sheetData sheetId="0"/>
      <sheetData sheetId="1"/>
      <sheetData sheetId="2">
        <row r="8">
          <cell r="J8">
            <v>3640802000</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9">
          <cell r="J9">
            <v>4137706000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9">
          <cell r="I9">
            <v>4315398000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1960022000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2170618000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495905999.83999997</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3402147000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1620765000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1648449000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cu)"/>
      <sheetName val="Sheet1"/>
      <sheetName val="Sheet2"/>
      <sheetName val="DT ĐC"/>
      <sheetName val="Bieu ĐC"/>
      <sheetName val="Sheet3"/>
    </sheetNames>
    <sheetDataSet>
      <sheetData sheetId="0"/>
      <sheetData sheetId="1"/>
      <sheetData sheetId="2"/>
      <sheetData sheetId="3"/>
      <sheetData sheetId="4">
        <row r="9">
          <cell r="J9">
            <v>7849364000</v>
          </cell>
        </row>
      </sheetData>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2825308000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9">
          <cell r="I9">
            <v>1467379000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840763000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1270642000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refreshError="1"/>
      <sheetData sheetId="1" refreshError="1">
        <row r="7">
          <cell r="J7">
            <v>24740000</v>
          </cell>
        </row>
        <row r="8">
          <cell r="J8">
            <v>1445260000</v>
          </cell>
        </row>
      </sheetData>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J8">
            <v>1294270999.96</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7">
          <cell r="I7">
            <v>35232000</v>
          </cell>
        </row>
        <row r="8">
          <cell r="I8">
            <v>964768000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TH"/>
      <sheetName val="B1"/>
      <sheetName val="CHua mo moi nhat"/>
      <sheetName val="Ma moi"/>
      <sheetName val="Theo doi Mo MA CT"/>
      <sheetName val="DA chua ma VOn NS huyen"/>
      <sheetName val="DA chua moi"/>
      <sheetName val="Giai ngan truoc 31.12"/>
      <sheetName val="QT Thuy"/>
      <sheetName val="No dong"/>
      <sheetName val="Ma moi nhat"/>
      <sheetName val="Sheet5"/>
      <sheetName val="Sheet7"/>
      <sheetName val="Uoc TT"/>
      <sheetName val="H"/>
      <sheetName val="Con T"/>
      <sheetName val="Giai ngan 2024"/>
      <sheetName val="Sheet4"/>
      <sheetName val="Sheet6"/>
      <sheetName val="Sheet3"/>
      <sheetName val="Sheet2"/>
      <sheetName val="NS huyen"/>
      <sheetName val="NS ĐỊA PHƯƠNG"/>
      <sheetName val="Bieu 2 TH nganh, linh vuc"/>
      <sheetName val="BIỂU 02 - CT30a"/>
      <sheetName val="BIỂU 03 - 135"/>
      <sheetName val="BIỂU 04. NTM"/>
      <sheetName val="BIỂU 05. QĐ 1776"/>
      <sheetName val="BIỂU 06. NSTW"/>
      <sheetName val="BIỂU 07 VỐN TPCP - KCHTL"/>
      <sheetName val="VỐN 08 - VỐN XỔ SỐ KIẾN THIẾT"/>
      <sheetName val="BIỂU 9. TÁI ĐỊNH CƯ"/>
      <sheetName val="NQ 88"/>
      <sheetName val="Tong hopTHDA"/>
      <sheetName val="NS huyen 2022"/>
      <sheetName val="Sheet1"/>
      <sheetName val="BIỂU 10 - ĐIỆN NÔNG THÔN"/>
      <sheetName val="BIỂU 11 - NQ 88"/>
      <sheetName val="BIỂU 12. ODA VÀ VỐN KHÁC"/>
      <sheetName val="Bieu 7 PPP"/>
      <sheetName val="Bieu 9 de lai"/>
      <sheetName val="Bieu 10 TDDTPT"/>
      <sheetName val="Bieu 11 TPCQDP"/>
      <sheetName val="Bieu15 da ky"/>
      <sheetName val="Bieu16 chua ky"/>
      <sheetName val="Bieu17 keu goi"/>
      <sheetName val="BM18 Chi tiet TPCP"/>
      <sheetName val="BC trung han DP"/>
      <sheetName val="Bieu25 TH nganh, linh vuc"/>
      <sheetName val="BM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O9">
            <v>18936.322</v>
          </cell>
        </row>
        <row r="10">
          <cell r="O10">
            <v>2700</v>
          </cell>
        </row>
        <row r="11">
          <cell r="O11">
            <v>2000</v>
          </cell>
        </row>
        <row r="12">
          <cell r="O12">
            <v>1000</v>
          </cell>
        </row>
        <row r="13">
          <cell r="O13">
            <v>4500</v>
          </cell>
        </row>
        <row r="14">
          <cell r="O14">
            <v>3832.4989999999998</v>
          </cell>
        </row>
        <row r="15">
          <cell r="O15">
            <v>4100</v>
          </cell>
        </row>
        <row r="16">
          <cell r="O16">
            <v>803.82299999999998</v>
          </cell>
        </row>
        <row r="17">
          <cell r="O17">
            <v>3393.67</v>
          </cell>
        </row>
        <row r="18">
          <cell r="O18">
            <v>1111</v>
          </cell>
        </row>
        <row r="19">
          <cell r="O19">
            <v>2282.67</v>
          </cell>
        </row>
        <row r="20">
          <cell r="O20">
            <v>16808.053059999998</v>
          </cell>
        </row>
        <row r="21">
          <cell r="O21">
            <v>2068.3840599999999</v>
          </cell>
        </row>
        <row r="22">
          <cell r="O22">
            <v>2102.56</v>
          </cell>
        </row>
        <row r="23">
          <cell r="O23">
            <v>1900</v>
          </cell>
        </row>
        <row r="24">
          <cell r="O24">
            <v>0</v>
          </cell>
        </row>
        <row r="25">
          <cell r="O25">
            <v>4000</v>
          </cell>
        </row>
        <row r="26">
          <cell r="O26">
            <v>0</v>
          </cell>
        </row>
        <row r="27">
          <cell r="O27">
            <v>5133</v>
          </cell>
        </row>
        <row r="28">
          <cell r="O28">
            <v>1010</v>
          </cell>
        </row>
        <row r="29">
          <cell r="O29">
            <v>0</v>
          </cell>
        </row>
        <row r="30">
          <cell r="O30">
            <v>294.10900000000004</v>
          </cell>
        </row>
        <row r="31">
          <cell r="O31">
            <v>130</v>
          </cell>
        </row>
        <row r="32">
          <cell r="O32">
            <v>170</v>
          </cell>
        </row>
        <row r="33">
          <cell r="O33">
            <v>8209.4429999999993</v>
          </cell>
        </row>
        <row r="34">
          <cell r="O34">
            <v>1776.819</v>
          </cell>
        </row>
        <row r="35">
          <cell r="O35">
            <v>2237.6239999999998</v>
          </cell>
        </row>
        <row r="36">
          <cell r="O36">
            <v>0</v>
          </cell>
        </row>
        <row r="37">
          <cell r="O37">
            <v>1937</v>
          </cell>
        </row>
        <row r="38">
          <cell r="O38">
            <v>0</v>
          </cell>
        </row>
        <row r="39">
          <cell r="O39">
            <v>730</v>
          </cell>
        </row>
        <row r="40">
          <cell r="O40">
            <v>578</v>
          </cell>
        </row>
        <row r="41">
          <cell r="O41">
            <v>300</v>
          </cell>
        </row>
        <row r="42">
          <cell r="O42">
            <v>650</v>
          </cell>
        </row>
        <row r="43">
          <cell r="O43">
            <v>46281.133447797576</v>
          </cell>
        </row>
        <row r="44">
          <cell r="O44">
            <v>5430</v>
          </cell>
        </row>
        <row r="45">
          <cell r="O45">
            <v>552.29300000000001</v>
          </cell>
        </row>
        <row r="46">
          <cell r="O46">
            <v>5739.7840000000006</v>
          </cell>
        </row>
        <row r="47">
          <cell r="O47">
            <v>7227.9394477975711</v>
          </cell>
        </row>
        <row r="48">
          <cell r="O48">
            <v>8101.9</v>
          </cell>
        </row>
        <row r="49">
          <cell r="O49">
            <v>3966.7959999999998</v>
          </cell>
        </row>
        <row r="50">
          <cell r="O50">
            <v>9385.5380000000005</v>
          </cell>
        </row>
        <row r="51">
          <cell r="O51">
            <v>5876.8829999999998</v>
          </cell>
        </row>
        <row r="52">
          <cell r="O52">
            <v>10000</v>
          </cell>
        </row>
        <row r="53">
          <cell r="O53">
            <v>1000</v>
          </cell>
        </row>
        <row r="54">
          <cell r="O54">
            <v>1000</v>
          </cell>
        </row>
        <row r="55">
          <cell r="O55">
            <v>8000</v>
          </cell>
        </row>
        <row r="56">
          <cell r="O56">
            <v>43845.600847056092</v>
          </cell>
        </row>
        <row r="57">
          <cell r="O57">
            <v>43845.600847056092</v>
          </cell>
        </row>
        <row r="58">
          <cell r="O58">
            <v>62308.770999805958</v>
          </cell>
        </row>
        <row r="59">
          <cell r="O59">
            <v>2521.6850000000004</v>
          </cell>
        </row>
        <row r="60">
          <cell r="O60">
            <v>257.31700000000001</v>
          </cell>
        </row>
        <row r="61">
          <cell r="O61">
            <v>90.957999999999998</v>
          </cell>
        </row>
        <row r="62">
          <cell r="O62">
            <v>91.153999999999996</v>
          </cell>
        </row>
        <row r="63">
          <cell r="O63">
            <v>10282.624</v>
          </cell>
        </row>
        <row r="64">
          <cell r="O64">
            <v>2056.2199998459591</v>
          </cell>
        </row>
        <row r="65">
          <cell r="O65">
            <v>1596.35</v>
          </cell>
        </row>
        <row r="66">
          <cell r="O66">
            <v>2104.8449999999998</v>
          </cell>
        </row>
        <row r="67">
          <cell r="O67">
            <v>2457.1970000000001</v>
          </cell>
        </row>
        <row r="68">
          <cell r="O68">
            <v>3846.0030000000002</v>
          </cell>
        </row>
        <row r="69">
          <cell r="O69">
            <v>3010.91</v>
          </cell>
        </row>
        <row r="70">
          <cell r="O70">
            <v>2716.7599999999998</v>
          </cell>
        </row>
        <row r="71">
          <cell r="O71">
            <v>1114.354</v>
          </cell>
        </row>
        <row r="72">
          <cell r="O72">
            <v>920.63400000000001</v>
          </cell>
        </row>
        <row r="73">
          <cell r="O73">
            <v>1824.3789999999999</v>
          </cell>
        </row>
        <row r="74">
          <cell r="O74">
            <v>953.08199999999999</v>
          </cell>
        </row>
        <row r="75">
          <cell r="O75">
            <v>0</v>
          </cell>
        </row>
        <row r="76">
          <cell r="O76">
            <v>1960.0219999999999</v>
          </cell>
        </row>
        <row r="77">
          <cell r="O77">
            <v>2170.6179999999999</v>
          </cell>
        </row>
        <row r="78">
          <cell r="O78">
            <v>495.90600000000001</v>
          </cell>
        </row>
        <row r="79">
          <cell r="O79">
            <v>3402.1480000000001</v>
          </cell>
        </row>
        <row r="80">
          <cell r="O80">
            <v>1620.7650000000001</v>
          </cell>
        </row>
        <row r="81">
          <cell r="O81">
            <v>1648.4490000000001</v>
          </cell>
        </row>
        <row r="82">
          <cell r="O82">
            <v>2825.308</v>
          </cell>
        </row>
        <row r="83">
          <cell r="O83">
            <v>2058</v>
          </cell>
        </row>
        <row r="84">
          <cell r="O84">
            <v>1467.3789999999999</v>
          </cell>
        </row>
        <row r="85">
          <cell r="O85">
            <v>840.76300000000003</v>
          </cell>
        </row>
        <row r="86">
          <cell r="O86">
            <v>1270.6420000000001</v>
          </cell>
        </row>
        <row r="87">
          <cell r="O87">
            <v>1445.26</v>
          </cell>
        </row>
        <row r="88">
          <cell r="O88">
            <v>1294.2709999599999</v>
          </cell>
        </row>
        <row r="89">
          <cell r="O89">
            <v>964.76800000000003</v>
          </cell>
        </row>
        <row r="90">
          <cell r="O90">
            <v>3000</v>
          </cell>
        </row>
        <row r="91">
          <cell r="O91">
            <v>117811.11099999998</v>
          </cell>
        </row>
        <row r="92">
          <cell r="O92">
            <v>1752.1890000000001</v>
          </cell>
        </row>
        <row r="93">
          <cell r="O93">
            <v>3031.5819999999999</v>
          </cell>
        </row>
        <row r="94">
          <cell r="O94">
            <v>360</v>
          </cell>
        </row>
        <row r="95">
          <cell r="O95">
            <v>3297.2890000000002</v>
          </cell>
        </row>
        <row r="96">
          <cell r="O96">
            <v>25505</v>
          </cell>
        </row>
        <row r="97">
          <cell r="O97">
            <v>17302</v>
          </cell>
        </row>
        <row r="98">
          <cell r="O98">
            <v>13386</v>
          </cell>
        </row>
        <row r="99">
          <cell r="O99">
            <v>825.43799999999999</v>
          </cell>
        </row>
        <row r="100">
          <cell r="O100">
            <v>11</v>
          </cell>
        </row>
        <row r="101">
          <cell r="O101">
            <v>0</v>
          </cell>
        </row>
        <row r="102">
          <cell r="O102">
            <v>47219</v>
          </cell>
        </row>
        <row r="103">
          <cell r="O103">
            <v>2041.4110000000001</v>
          </cell>
        </row>
        <row r="104">
          <cell r="O104">
            <v>2293.29</v>
          </cell>
        </row>
        <row r="105">
          <cell r="O105">
            <v>333</v>
          </cell>
        </row>
        <row r="106">
          <cell r="O106">
            <v>402.91199999999998</v>
          </cell>
        </row>
        <row r="107">
          <cell r="O107">
            <v>1</v>
          </cell>
        </row>
        <row r="108">
          <cell r="O108">
            <v>50</v>
          </cell>
        </row>
        <row r="109">
          <cell r="O109">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J8">
            <v>2717052000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K8">
            <v>1118547000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K8">
            <v>922566000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K8">
            <v>1855117000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K8">
            <v>953400000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3883566221</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ieu"/>
      <sheetName val="Sheet3"/>
    </sheetNames>
    <sheetDataSet>
      <sheetData sheetId="0"/>
      <sheetData sheetId="1">
        <row r="8">
          <cell r="I8">
            <v>3706350000</v>
          </cell>
        </row>
      </sheetData>
      <sheetData sheetId="2"/>
    </sheetDataSet>
  </externalBook>
</externalLink>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dvc.vst.mof.gov.vn/frontend/faces/ThietLapDvqhns?_adf.ctrl-state=kifs3zqbj_14&amp;_afrLoop=50126478559974884" TargetMode="External"/><Relationship Id="rId2" Type="http://schemas.openxmlformats.org/officeDocument/2006/relationships/hyperlink" Target="https://dvc.vst.mof.gov.vn/frontend/faces/ThietLapDvqhns?_adf.ctrl-state=kifs3zqbj_14&amp;_afrLoop=50126478559974884" TargetMode="External"/><Relationship Id="rId1" Type="http://schemas.openxmlformats.org/officeDocument/2006/relationships/hyperlink" Target="https://dvc.vst.mof.gov.vn/frontend/faces/ThietLapDvqhns?_adf.ctrl-state=kifs3zqbj_14&amp;_afrLoop=50126478559974884" TargetMode="External"/><Relationship Id="rId4" Type="http://schemas.openxmlformats.org/officeDocument/2006/relationships/hyperlink" Target="https://dvc.vst.mof.gov.vn/frontend/faces/ThietLapDvqhns?_adf.ctrl-state=kifs3zqbj_14&amp;_afrLoop=50126478559974884"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8"/>
  <sheetViews>
    <sheetView topLeftCell="A4" workbookViewId="0">
      <pane xSplit="3" ySplit="4" topLeftCell="D8" activePane="bottomRight" state="frozen"/>
      <selection activeCell="A4" sqref="A4"/>
      <selection pane="topRight" activeCell="D4" sqref="D4"/>
      <selection pane="bottomLeft" activeCell="A8" sqref="A8"/>
      <selection pane="bottomRight" activeCell="A14" sqref="A14:XFD17"/>
    </sheetView>
  </sheetViews>
  <sheetFormatPr defaultRowHeight="13.8"/>
  <cols>
    <col min="1" max="1" width="6" style="163" customWidth="1"/>
    <col min="2" max="2" width="49.88671875" style="163" customWidth="1"/>
    <col min="3" max="3" width="14.77734375" style="164" hidden="1" customWidth="1"/>
    <col min="4" max="4" width="12.6640625" style="164" customWidth="1"/>
    <col min="5" max="5" width="15.77734375" style="165" customWidth="1"/>
    <col min="6" max="6" width="16" style="163" customWidth="1"/>
    <col min="7" max="7" width="14.77734375" style="166" customWidth="1"/>
    <col min="8" max="8" width="15.33203125" style="166" customWidth="1"/>
    <col min="9" max="9" width="15.109375" style="166" customWidth="1"/>
    <col min="10" max="10" width="14.109375" style="166" customWidth="1"/>
    <col min="11" max="11" width="13" style="166" customWidth="1"/>
    <col min="12" max="12" width="14.88671875" style="166" customWidth="1"/>
    <col min="13" max="13" width="12.6640625" style="166" customWidth="1"/>
    <col min="14" max="14" width="12.88671875" style="166" customWidth="1"/>
    <col min="15" max="15" width="10.6640625" style="167" customWidth="1"/>
    <col min="16" max="16" width="16.33203125" style="164" customWidth="1"/>
    <col min="17" max="224" width="9.109375" style="163"/>
    <col min="225" max="225" width="6" style="163" customWidth="1"/>
    <col min="226" max="226" width="49.88671875" style="163" customWidth="1"/>
    <col min="227" max="227" width="12.6640625" style="163" customWidth="1"/>
    <col min="228" max="228" width="17.109375" style="163" customWidth="1"/>
    <col min="229" max="229" width="11.88671875" style="163" customWidth="1"/>
    <col min="230" max="231" width="0" style="163" hidden="1" customWidth="1"/>
    <col min="232" max="232" width="11.109375" style="163" customWidth="1"/>
    <col min="233" max="233" width="12.77734375" style="163" customWidth="1"/>
    <col min="234" max="234" width="14.77734375" style="163" customWidth="1"/>
    <col min="235" max="235" width="12.88671875" style="163" customWidth="1"/>
    <col min="236" max="236" width="11.6640625" style="163" customWidth="1"/>
    <col min="237" max="237" width="11.109375" style="163" customWidth="1"/>
    <col min="238" max="238" width="11.6640625" style="163" customWidth="1"/>
    <col min="239" max="239" width="0" style="163" hidden="1" customWidth="1"/>
    <col min="240" max="240" width="11.77734375" style="163" customWidth="1"/>
    <col min="241" max="242" width="0" style="163" hidden="1" customWidth="1"/>
    <col min="243" max="243" width="10" style="163" customWidth="1"/>
    <col min="244" max="246" width="0" style="163" hidden="1" customWidth="1"/>
    <col min="247" max="248" width="9.77734375" style="163" customWidth="1"/>
    <col min="249" max="249" width="10" style="163" customWidth="1"/>
    <col min="250" max="250" width="20.33203125" style="163" customWidth="1"/>
    <col min="251" max="254" width="0" style="163" hidden="1" customWidth="1"/>
    <col min="255" max="480" width="9.109375" style="163"/>
    <col min="481" max="481" width="6" style="163" customWidth="1"/>
    <col min="482" max="482" width="49.88671875" style="163" customWidth="1"/>
    <col min="483" max="483" width="12.6640625" style="163" customWidth="1"/>
    <col min="484" max="484" width="17.109375" style="163" customWidth="1"/>
    <col min="485" max="485" width="11.88671875" style="163" customWidth="1"/>
    <col min="486" max="487" width="0" style="163" hidden="1" customWidth="1"/>
    <col min="488" max="488" width="11.109375" style="163" customWidth="1"/>
    <col min="489" max="489" width="12.77734375" style="163" customWidth="1"/>
    <col min="490" max="490" width="14.77734375" style="163" customWidth="1"/>
    <col min="491" max="491" width="12.88671875" style="163" customWidth="1"/>
    <col min="492" max="492" width="11.6640625" style="163" customWidth="1"/>
    <col min="493" max="493" width="11.109375" style="163" customWidth="1"/>
    <col min="494" max="494" width="11.6640625" style="163" customWidth="1"/>
    <col min="495" max="495" width="0" style="163" hidden="1" customWidth="1"/>
    <col min="496" max="496" width="11.77734375" style="163" customWidth="1"/>
    <col min="497" max="498" width="0" style="163" hidden="1" customWidth="1"/>
    <col min="499" max="499" width="10" style="163" customWidth="1"/>
    <col min="500" max="502" width="0" style="163" hidden="1" customWidth="1"/>
    <col min="503" max="504" width="9.77734375" style="163" customWidth="1"/>
    <col min="505" max="505" width="10" style="163" customWidth="1"/>
    <col min="506" max="506" width="20.33203125" style="163" customWidth="1"/>
    <col min="507" max="510" width="0" style="163" hidden="1" customWidth="1"/>
    <col min="511" max="736" width="9.109375" style="163"/>
    <col min="737" max="737" width="6" style="163" customWidth="1"/>
    <col min="738" max="738" width="49.88671875" style="163" customWidth="1"/>
    <col min="739" max="739" width="12.6640625" style="163" customWidth="1"/>
    <col min="740" max="740" width="17.109375" style="163" customWidth="1"/>
    <col min="741" max="741" width="11.88671875" style="163" customWidth="1"/>
    <col min="742" max="743" width="0" style="163" hidden="1" customWidth="1"/>
    <col min="744" max="744" width="11.109375" style="163" customWidth="1"/>
    <col min="745" max="745" width="12.77734375" style="163" customWidth="1"/>
    <col min="746" max="746" width="14.77734375" style="163" customWidth="1"/>
    <col min="747" max="747" width="12.88671875" style="163" customWidth="1"/>
    <col min="748" max="748" width="11.6640625" style="163" customWidth="1"/>
    <col min="749" max="749" width="11.109375" style="163" customWidth="1"/>
    <col min="750" max="750" width="11.6640625" style="163" customWidth="1"/>
    <col min="751" max="751" width="0" style="163" hidden="1" customWidth="1"/>
    <col min="752" max="752" width="11.77734375" style="163" customWidth="1"/>
    <col min="753" max="754" width="0" style="163" hidden="1" customWidth="1"/>
    <col min="755" max="755" width="10" style="163" customWidth="1"/>
    <col min="756" max="758" width="0" style="163" hidden="1" customWidth="1"/>
    <col min="759" max="760" width="9.77734375" style="163" customWidth="1"/>
    <col min="761" max="761" width="10" style="163" customWidth="1"/>
    <col min="762" max="762" width="20.33203125" style="163" customWidth="1"/>
    <col min="763" max="766" width="0" style="163" hidden="1" customWidth="1"/>
    <col min="767" max="992" width="9.109375" style="163"/>
    <col min="993" max="993" width="6" style="163" customWidth="1"/>
    <col min="994" max="994" width="49.88671875" style="163" customWidth="1"/>
    <col min="995" max="995" width="12.6640625" style="163" customWidth="1"/>
    <col min="996" max="996" width="17.109375" style="163" customWidth="1"/>
    <col min="997" max="997" width="11.88671875" style="163" customWidth="1"/>
    <col min="998" max="999" width="0" style="163" hidden="1" customWidth="1"/>
    <col min="1000" max="1000" width="11.109375" style="163" customWidth="1"/>
    <col min="1001" max="1001" width="12.77734375" style="163" customWidth="1"/>
    <col min="1002" max="1002" width="14.77734375" style="163" customWidth="1"/>
    <col min="1003" max="1003" width="12.88671875" style="163" customWidth="1"/>
    <col min="1004" max="1004" width="11.6640625" style="163" customWidth="1"/>
    <col min="1005" max="1005" width="11.109375" style="163" customWidth="1"/>
    <col min="1006" max="1006" width="11.6640625" style="163" customWidth="1"/>
    <col min="1007" max="1007" width="0" style="163" hidden="1" customWidth="1"/>
    <col min="1008" max="1008" width="11.77734375" style="163" customWidth="1"/>
    <col min="1009" max="1010" width="0" style="163" hidden="1" customWidth="1"/>
    <col min="1011" max="1011" width="10" style="163" customWidth="1"/>
    <col min="1012" max="1014" width="0" style="163" hidden="1" customWidth="1"/>
    <col min="1015" max="1016" width="9.77734375" style="163" customWidth="1"/>
    <col min="1017" max="1017" width="10" style="163" customWidth="1"/>
    <col min="1018" max="1018" width="20.33203125" style="163" customWidth="1"/>
    <col min="1019" max="1022" width="0" style="163" hidden="1" customWidth="1"/>
    <col min="1023" max="1248" width="9.109375" style="163"/>
    <col min="1249" max="1249" width="6" style="163" customWidth="1"/>
    <col min="1250" max="1250" width="49.88671875" style="163" customWidth="1"/>
    <col min="1251" max="1251" width="12.6640625" style="163" customWidth="1"/>
    <col min="1252" max="1252" width="17.109375" style="163" customWidth="1"/>
    <col min="1253" max="1253" width="11.88671875" style="163" customWidth="1"/>
    <col min="1254" max="1255" width="0" style="163" hidden="1" customWidth="1"/>
    <col min="1256" max="1256" width="11.109375" style="163" customWidth="1"/>
    <col min="1257" max="1257" width="12.77734375" style="163" customWidth="1"/>
    <col min="1258" max="1258" width="14.77734375" style="163" customWidth="1"/>
    <col min="1259" max="1259" width="12.88671875" style="163" customWidth="1"/>
    <col min="1260" max="1260" width="11.6640625" style="163" customWidth="1"/>
    <col min="1261" max="1261" width="11.109375" style="163" customWidth="1"/>
    <col min="1262" max="1262" width="11.6640625" style="163" customWidth="1"/>
    <col min="1263" max="1263" width="0" style="163" hidden="1" customWidth="1"/>
    <col min="1264" max="1264" width="11.77734375" style="163" customWidth="1"/>
    <col min="1265" max="1266" width="0" style="163" hidden="1" customWidth="1"/>
    <col min="1267" max="1267" width="10" style="163" customWidth="1"/>
    <col min="1268" max="1270" width="0" style="163" hidden="1" customWidth="1"/>
    <col min="1271" max="1272" width="9.77734375" style="163" customWidth="1"/>
    <col min="1273" max="1273" width="10" style="163" customWidth="1"/>
    <col min="1274" max="1274" width="20.33203125" style="163" customWidth="1"/>
    <col min="1275" max="1278" width="0" style="163" hidden="1" customWidth="1"/>
    <col min="1279" max="1504" width="9.109375" style="163"/>
    <col min="1505" max="1505" width="6" style="163" customWidth="1"/>
    <col min="1506" max="1506" width="49.88671875" style="163" customWidth="1"/>
    <col min="1507" max="1507" width="12.6640625" style="163" customWidth="1"/>
    <col min="1508" max="1508" width="17.109375" style="163" customWidth="1"/>
    <col min="1509" max="1509" width="11.88671875" style="163" customWidth="1"/>
    <col min="1510" max="1511" width="0" style="163" hidden="1" customWidth="1"/>
    <col min="1512" max="1512" width="11.109375" style="163" customWidth="1"/>
    <col min="1513" max="1513" width="12.77734375" style="163" customWidth="1"/>
    <col min="1514" max="1514" width="14.77734375" style="163" customWidth="1"/>
    <col min="1515" max="1515" width="12.88671875" style="163" customWidth="1"/>
    <col min="1516" max="1516" width="11.6640625" style="163" customWidth="1"/>
    <col min="1517" max="1517" width="11.109375" style="163" customWidth="1"/>
    <col min="1518" max="1518" width="11.6640625" style="163" customWidth="1"/>
    <col min="1519" max="1519" width="0" style="163" hidden="1" customWidth="1"/>
    <col min="1520" max="1520" width="11.77734375" style="163" customWidth="1"/>
    <col min="1521" max="1522" width="0" style="163" hidden="1" customWidth="1"/>
    <col min="1523" max="1523" width="10" style="163" customWidth="1"/>
    <col min="1524" max="1526" width="0" style="163" hidden="1" customWidth="1"/>
    <col min="1527" max="1528" width="9.77734375" style="163" customWidth="1"/>
    <col min="1529" max="1529" width="10" style="163" customWidth="1"/>
    <col min="1530" max="1530" width="20.33203125" style="163" customWidth="1"/>
    <col min="1531" max="1534" width="0" style="163" hidden="1" customWidth="1"/>
    <col min="1535" max="1760" width="9.109375" style="163"/>
    <col min="1761" max="1761" width="6" style="163" customWidth="1"/>
    <col min="1762" max="1762" width="49.88671875" style="163" customWidth="1"/>
    <col min="1763" max="1763" width="12.6640625" style="163" customWidth="1"/>
    <col min="1764" max="1764" width="17.109375" style="163" customWidth="1"/>
    <col min="1765" max="1765" width="11.88671875" style="163" customWidth="1"/>
    <col min="1766" max="1767" width="0" style="163" hidden="1" customWidth="1"/>
    <col min="1768" max="1768" width="11.109375" style="163" customWidth="1"/>
    <col min="1769" max="1769" width="12.77734375" style="163" customWidth="1"/>
    <col min="1770" max="1770" width="14.77734375" style="163" customWidth="1"/>
    <col min="1771" max="1771" width="12.88671875" style="163" customWidth="1"/>
    <col min="1772" max="1772" width="11.6640625" style="163" customWidth="1"/>
    <col min="1773" max="1773" width="11.109375" style="163" customWidth="1"/>
    <col min="1774" max="1774" width="11.6640625" style="163" customWidth="1"/>
    <col min="1775" max="1775" width="0" style="163" hidden="1" customWidth="1"/>
    <col min="1776" max="1776" width="11.77734375" style="163" customWidth="1"/>
    <col min="1777" max="1778" width="0" style="163" hidden="1" customWidth="1"/>
    <col min="1779" max="1779" width="10" style="163" customWidth="1"/>
    <col min="1780" max="1782" width="0" style="163" hidden="1" customWidth="1"/>
    <col min="1783" max="1784" width="9.77734375" style="163" customWidth="1"/>
    <col min="1785" max="1785" width="10" style="163" customWidth="1"/>
    <col min="1786" max="1786" width="20.33203125" style="163" customWidth="1"/>
    <col min="1787" max="1790" width="0" style="163" hidden="1" customWidth="1"/>
    <col min="1791" max="2016" width="9.109375" style="163"/>
    <col min="2017" max="2017" width="6" style="163" customWidth="1"/>
    <col min="2018" max="2018" width="49.88671875" style="163" customWidth="1"/>
    <col min="2019" max="2019" width="12.6640625" style="163" customWidth="1"/>
    <col min="2020" max="2020" width="17.109375" style="163" customWidth="1"/>
    <col min="2021" max="2021" width="11.88671875" style="163" customWidth="1"/>
    <col min="2022" max="2023" width="0" style="163" hidden="1" customWidth="1"/>
    <col min="2024" max="2024" width="11.109375" style="163" customWidth="1"/>
    <col min="2025" max="2025" width="12.77734375" style="163" customWidth="1"/>
    <col min="2026" max="2026" width="14.77734375" style="163" customWidth="1"/>
    <col min="2027" max="2027" width="12.88671875" style="163" customWidth="1"/>
    <col min="2028" max="2028" width="11.6640625" style="163" customWidth="1"/>
    <col min="2029" max="2029" width="11.109375" style="163" customWidth="1"/>
    <col min="2030" max="2030" width="11.6640625" style="163" customWidth="1"/>
    <col min="2031" max="2031" width="0" style="163" hidden="1" customWidth="1"/>
    <col min="2032" max="2032" width="11.77734375" style="163" customWidth="1"/>
    <col min="2033" max="2034" width="0" style="163" hidden="1" customWidth="1"/>
    <col min="2035" max="2035" width="10" style="163" customWidth="1"/>
    <col min="2036" max="2038" width="0" style="163" hidden="1" customWidth="1"/>
    <col min="2039" max="2040" width="9.77734375" style="163" customWidth="1"/>
    <col min="2041" max="2041" width="10" style="163" customWidth="1"/>
    <col min="2042" max="2042" width="20.33203125" style="163" customWidth="1"/>
    <col min="2043" max="2046" width="0" style="163" hidden="1" customWidth="1"/>
    <col min="2047" max="2272" width="9.109375" style="163"/>
    <col min="2273" max="2273" width="6" style="163" customWidth="1"/>
    <col min="2274" max="2274" width="49.88671875" style="163" customWidth="1"/>
    <col min="2275" max="2275" width="12.6640625" style="163" customWidth="1"/>
    <col min="2276" max="2276" width="17.109375" style="163" customWidth="1"/>
    <col min="2277" max="2277" width="11.88671875" style="163" customWidth="1"/>
    <col min="2278" max="2279" width="0" style="163" hidden="1" customWidth="1"/>
    <col min="2280" max="2280" width="11.109375" style="163" customWidth="1"/>
    <col min="2281" max="2281" width="12.77734375" style="163" customWidth="1"/>
    <col min="2282" max="2282" width="14.77734375" style="163" customWidth="1"/>
    <col min="2283" max="2283" width="12.88671875" style="163" customWidth="1"/>
    <col min="2284" max="2284" width="11.6640625" style="163" customWidth="1"/>
    <col min="2285" max="2285" width="11.109375" style="163" customWidth="1"/>
    <col min="2286" max="2286" width="11.6640625" style="163" customWidth="1"/>
    <col min="2287" max="2287" width="0" style="163" hidden="1" customWidth="1"/>
    <col min="2288" max="2288" width="11.77734375" style="163" customWidth="1"/>
    <col min="2289" max="2290" width="0" style="163" hidden="1" customWidth="1"/>
    <col min="2291" max="2291" width="10" style="163" customWidth="1"/>
    <col min="2292" max="2294" width="0" style="163" hidden="1" customWidth="1"/>
    <col min="2295" max="2296" width="9.77734375" style="163" customWidth="1"/>
    <col min="2297" max="2297" width="10" style="163" customWidth="1"/>
    <col min="2298" max="2298" width="20.33203125" style="163" customWidth="1"/>
    <col min="2299" max="2302" width="0" style="163" hidden="1" customWidth="1"/>
    <col min="2303" max="2528" width="9.109375" style="163"/>
    <col min="2529" max="2529" width="6" style="163" customWidth="1"/>
    <col min="2530" max="2530" width="49.88671875" style="163" customWidth="1"/>
    <col min="2531" max="2531" width="12.6640625" style="163" customWidth="1"/>
    <col min="2532" max="2532" width="17.109375" style="163" customWidth="1"/>
    <col min="2533" max="2533" width="11.88671875" style="163" customWidth="1"/>
    <col min="2534" max="2535" width="0" style="163" hidden="1" customWidth="1"/>
    <col min="2536" max="2536" width="11.109375" style="163" customWidth="1"/>
    <col min="2537" max="2537" width="12.77734375" style="163" customWidth="1"/>
    <col min="2538" max="2538" width="14.77734375" style="163" customWidth="1"/>
    <col min="2539" max="2539" width="12.88671875" style="163" customWidth="1"/>
    <col min="2540" max="2540" width="11.6640625" style="163" customWidth="1"/>
    <col min="2541" max="2541" width="11.109375" style="163" customWidth="1"/>
    <col min="2542" max="2542" width="11.6640625" style="163" customWidth="1"/>
    <col min="2543" max="2543" width="0" style="163" hidden="1" customWidth="1"/>
    <col min="2544" max="2544" width="11.77734375" style="163" customWidth="1"/>
    <col min="2545" max="2546" width="0" style="163" hidden="1" customWidth="1"/>
    <col min="2547" max="2547" width="10" style="163" customWidth="1"/>
    <col min="2548" max="2550" width="0" style="163" hidden="1" customWidth="1"/>
    <col min="2551" max="2552" width="9.77734375" style="163" customWidth="1"/>
    <col min="2553" max="2553" width="10" style="163" customWidth="1"/>
    <col min="2554" max="2554" width="20.33203125" style="163" customWidth="1"/>
    <col min="2555" max="2558" width="0" style="163" hidden="1" customWidth="1"/>
    <col min="2559" max="2784" width="9.109375" style="163"/>
    <col min="2785" max="2785" width="6" style="163" customWidth="1"/>
    <col min="2786" max="2786" width="49.88671875" style="163" customWidth="1"/>
    <col min="2787" max="2787" width="12.6640625" style="163" customWidth="1"/>
    <col min="2788" max="2788" width="17.109375" style="163" customWidth="1"/>
    <col min="2789" max="2789" width="11.88671875" style="163" customWidth="1"/>
    <col min="2790" max="2791" width="0" style="163" hidden="1" customWidth="1"/>
    <col min="2792" max="2792" width="11.109375" style="163" customWidth="1"/>
    <col min="2793" max="2793" width="12.77734375" style="163" customWidth="1"/>
    <col min="2794" max="2794" width="14.77734375" style="163" customWidth="1"/>
    <col min="2795" max="2795" width="12.88671875" style="163" customWidth="1"/>
    <col min="2796" max="2796" width="11.6640625" style="163" customWidth="1"/>
    <col min="2797" max="2797" width="11.109375" style="163" customWidth="1"/>
    <col min="2798" max="2798" width="11.6640625" style="163" customWidth="1"/>
    <col min="2799" max="2799" width="0" style="163" hidden="1" customWidth="1"/>
    <col min="2800" max="2800" width="11.77734375" style="163" customWidth="1"/>
    <col min="2801" max="2802" width="0" style="163" hidden="1" customWidth="1"/>
    <col min="2803" max="2803" width="10" style="163" customWidth="1"/>
    <col min="2804" max="2806" width="0" style="163" hidden="1" customWidth="1"/>
    <col min="2807" max="2808" width="9.77734375" style="163" customWidth="1"/>
    <col min="2809" max="2809" width="10" style="163" customWidth="1"/>
    <col min="2810" max="2810" width="20.33203125" style="163" customWidth="1"/>
    <col min="2811" max="2814" width="0" style="163" hidden="1" customWidth="1"/>
    <col min="2815" max="3040" width="9.109375" style="163"/>
    <col min="3041" max="3041" width="6" style="163" customWidth="1"/>
    <col min="3042" max="3042" width="49.88671875" style="163" customWidth="1"/>
    <col min="3043" max="3043" width="12.6640625" style="163" customWidth="1"/>
    <col min="3044" max="3044" width="17.109375" style="163" customWidth="1"/>
    <col min="3045" max="3045" width="11.88671875" style="163" customWidth="1"/>
    <col min="3046" max="3047" width="0" style="163" hidden="1" customWidth="1"/>
    <col min="3048" max="3048" width="11.109375" style="163" customWidth="1"/>
    <col min="3049" max="3049" width="12.77734375" style="163" customWidth="1"/>
    <col min="3050" max="3050" width="14.77734375" style="163" customWidth="1"/>
    <col min="3051" max="3051" width="12.88671875" style="163" customWidth="1"/>
    <col min="3052" max="3052" width="11.6640625" style="163" customWidth="1"/>
    <col min="3053" max="3053" width="11.109375" style="163" customWidth="1"/>
    <col min="3054" max="3054" width="11.6640625" style="163" customWidth="1"/>
    <col min="3055" max="3055" width="0" style="163" hidden="1" customWidth="1"/>
    <col min="3056" max="3056" width="11.77734375" style="163" customWidth="1"/>
    <col min="3057" max="3058" width="0" style="163" hidden="1" customWidth="1"/>
    <col min="3059" max="3059" width="10" style="163" customWidth="1"/>
    <col min="3060" max="3062" width="0" style="163" hidden="1" customWidth="1"/>
    <col min="3063" max="3064" width="9.77734375" style="163" customWidth="1"/>
    <col min="3065" max="3065" width="10" style="163" customWidth="1"/>
    <col min="3066" max="3066" width="20.33203125" style="163" customWidth="1"/>
    <col min="3067" max="3070" width="0" style="163" hidden="1" customWidth="1"/>
    <col min="3071" max="3296" width="9.109375" style="163"/>
    <col min="3297" max="3297" width="6" style="163" customWidth="1"/>
    <col min="3298" max="3298" width="49.88671875" style="163" customWidth="1"/>
    <col min="3299" max="3299" width="12.6640625" style="163" customWidth="1"/>
    <col min="3300" max="3300" width="17.109375" style="163" customWidth="1"/>
    <col min="3301" max="3301" width="11.88671875" style="163" customWidth="1"/>
    <col min="3302" max="3303" width="0" style="163" hidden="1" customWidth="1"/>
    <col min="3304" max="3304" width="11.109375" style="163" customWidth="1"/>
    <col min="3305" max="3305" width="12.77734375" style="163" customWidth="1"/>
    <col min="3306" max="3306" width="14.77734375" style="163" customWidth="1"/>
    <col min="3307" max="3307" width="12.88671875" style="163" customWidth="1"/>
    <col min="3308" max="3308" width="11.6640625" style="163" customWidth="1"/>
    <col min="3309" max="3309" width="11.109375" style="163" customWidth="1"/>
    <col min="3310" max="3310" width="11.6640625" style="163" customWidth="1"/>
    <col min="3311" max="3311" width="0" style="163" hidden="1" customWidth="1"/>
    <col min="3312" max="3312" width="11.77734375" style="163" customWidth="1"/>
    <col min="3313" max="3314" width="0" style="163" hidden="1" customWidth="1"/>
    <col min="3315" max="3315" width="10" style="163" customWidth="1"/>
    <col min="3316" max="3318" width="0" style="163" hidden="1" customWidth="1"/>
    <col min="3319" max="3320" width="9.77734375" style="163" customWidth="1"/>
    <col min="3321" max="3321" width="10" style="163" customWidth="1"/>
    <col min="3322" max="3322" width="20.33203125" style="163" customWidth="1"/>
    <col min="3323" max="3326" width="0" style="163" hidden="1" customWidth="1"/>
    <col min="3327" max="3552" width="9.109375" style="163"/>
    <col min="3553" max="3553" width="6" style="163" customWidth="1"/>
    <col min="3554" max="3554" width="49.88671875" style="163" customWidth="1"/>
    <col min="3555" max="3555" width="12.6640625" style="163" customWidth="1"/>
    <col min="3556" max="3556" width="17.109375" style="163" customWidth="1"/>
    <col min="3557" max="3557" width="11.88671875" style="163" customWidth="1"/>
    <col min="3558" max="3559" width="0" style="163" hidden="1" customWidth="1"/>
    <col min="3560" max="3560" width="11.109375" style="163" customWidth="1"/>
    <col min="3561" max="3561" width="12.77734375" style="163" customWidth="1"/>
    <col min="3562" max="3562" width="14.77734375" style="163" customWidth="1"/>
    <col min="3563" max="3563" width="12.88671875" style="163" customWidth="1"/>
    <col min="3564" max="3564" width="11.6640625" style="163" customWidth="1"/>
    <col min="3565" max="3565" width="11.109375" style="163" customWidth="1"/>
    <col min="3566" max="3566" width="11.6640625" style="163" customWidth="1"/>
    <col min="3567" max="3567" width="0" style="163" hidden="1" customWidth="1"/>
    <col min="3568" max="3568" width="11.77734375" style="163" customWidth="1"/>
    <col min="3569" max="3570" width="0" style="163" hidden="1" customWidth="1"/>
    <col min="3571" max="3571" width="10" style="163" customWidth="1"/>
    <col min="3572" max="3574" width="0" style="163" hidden="1" customWidth="1"/>
    <col min="3575" max="3576" width="9.77734375" style="163" customWidth="1"/>
    <col min="3577" max="3577" width="10" style="163" customWidth="1"/>
    <col min="3578" max="3578" width="20.33203125" style="163" customWidth="1"/>
    <col min="3579" max="3582" width="0" style="163" hidden="1" customWidth="1"/>
    <col min="3583" max="3808" width="9.109375" style="163"/>
    <col min="3809" max="3809" width="6" style="163" customWidth="1"/>
    <col min="3810" max="3810" width="49.88671875" style="163" customWidth="1"/>
    <col min="3811" max="3811" width="12.6640625" style="163" customWidth="1"/>
    <col min="3812" max="3812" width="17.109375" style="163" customWidth="1"/>
    <col min="3813" max="3813" width="11.88671875" style="163" customWidth="1"/>
    <col min="3814" max="3815" width="0" style="163" hidden="1" customWidth="1"/>
    <col min="3816" max="3816" width="11.109375" style="163" customWidth="1"/>
    <col min="3817" max="3817" width="12.77734375" style="163" customWidth="1"/>
    <col min="3818" max="3818" width="14.77734375" style="163" customWidth="1"/>
    <col min="3819" max="3819" width="12.88671875" style="163" customWidth="1"/>
    <col min="3820" max="3820" width="11.6640625" style="163" customWidth="1"/>
    <col min="3821" max="3821" width="11.109375" style="163" customWidth="1"/>
    <col min="3822" max="3822" width="11.6640625" style="163" customWidth="1"/>
    <col min="3823" max="3823" width="0" style="163" hidden="1" customWidth="1"/>
    <col min="3824" max="3824" width="11.77734375" style="163" customWidth="1"/>
    <col min="3825" max="3826" width="0" style="163" hidden="1" customWidth="1"/>
    <col min="3827" max="3827" width="10" style="163" customWidth="1"/>
    <col min="3828" max="3830" width="0" style="163" hidden="1" customWidth="1"/>
    <col min="3831" max="3832" width="9.77734375" style="163" customWidth="1"/>
    <col min="3833" max="3833" width="10" style="163" customWidth="1"/>
    <col min="3834" max="3834" width="20.33203125" style="163" customWidth="1"/>
    <col min="3835" max="3838" width="0" style="163" hidden="1" customWidth="1"/>
    <col min="3839" max="4064" width="9.109375" style="163"/>
    <col min="4065" max="4065" width="6" style="163" customWidth="1"/>
    <col min="4066" max="4066" width="49.88671875" style="163" customWidth="1"/>
    <col min="4067" max="4067" width="12.6640625" style="163" customWidth="1"/>
    <col min="4068" max="4068" width="17.109375" style="163" customWidth="1"/>
    <col min="4069" max="4069" width="11.88671875" style="163" customWidth="1"/>
    <col min="4070" max="4071" width="0" style="163" hidden="1" customWidth="1"/>
    <col min="4072" max="4072" width="11.109375" style="163" customWidth="1"/>
    <col min="4073" max="4073" width="12.77734375" style="163" customWidth="1"/>
    <col min="4074" max="4074" width="14.77734375" style="163" customWidth="1"/>
    <col min="4075" max="4075" width="12.88671875" style="163" customWidth="1"/>
    <col min="4076" max="4076" width="11.6640625" style="163" customWidth="1"/>
    <col min="4077" max="4077" width="11.109375" style="163" customWidth="1"/>
    <col min="4078" max="4078" width="11.6640625" style="163" customWidth="1"/>
    <col min="4079" max="4079" width="0" style="163" hidden="1" customWidth="1"/>
    <col min="4080" max="4080" width="11.77734375" style="163" customWidth="1"/>
    <col min="4081" max="4082" width="0" style="163" hidden="1" customWidth="1"/>
    <col min="4083" max="4083" width="10" style="163" customWidth="1"/>
    <col min="4084" max="4086" width="0" style="163" hidden="1" customWidth="1"/>
    <col min="4087" max="4088" width="9.77734375" style="163" customWidth="1"/>
    <col min="4089" max="4089" width="10" style="163" customWidth="1"/>
    <col min="4090" max="4090" width="20.33203125" style="163" customWidth="1"/>
    <col min="4091" max="4094" width="0" style="163" hidden="1" customWidth="1"/>
    <col min="4095" max="4320" width="9.109375" style="163"/>
    <col min="4321" max="4321" width="6" style="163" customWidth="1"/>
    <col min="4322" max="4322" width="49.88671875" style="163" customWidth="1"/>
    <col min="4323" max="4323" width="12.6640625" style="163" customWidth="1"/>
    <col min="4324" max="4324" width="17.109375" style="163" customWidth="1"/>
    <col min="4325" max="4325" width="11.88671875" style="163" customWidth="1"/>
    <col min="4326" max="4327" width="0" style="163" hidden="1" customWidth="1"/>
    <col min="4328" max="4328" width="11.109375" style="163" customWidth="1"/>
    <col min="4329" max="4329" width="12.77734375" style="163" customWidth="1"/>
    <col min="4330" max="4330" width="14.77734375" style="163" customWidth="1"/>
    <col min="4331" max="4331" width="12.88671875" style="163" customWidth="1"/>
    <col min="4332" max="4332" width="11.6640625" style="163" customWidth="1"/>
    <col min="4333" max="4333" width="11.109375" style="163" customWidth="1"/>
    <col min="4334" max="4334" width="11.6640625" style="163" customWidth="1"/>
    <col min="4335" max="4335" width="0" style="163" hidden="1" customWidth="1"/>
    <col min="4336" max="4336" width="11.77734375" style="163" customWidth="1"/>
    <col min="4337" max="4338" width="0" style="163" hidden="1" customWidth="1"/>
    <col min="4339" max="4339" width="10" style="163" customWidth="1"/>
    <col min="4340" max="4342" width="0" style="163" hidden="1" customWidth="1"/>
    <col min="4343" max="4344" width="9.77734375" style="163" customWidth="1"/>
    <col min="4345" max="4345" width="10" style="163" customWidth="1"/>
    <col min="4346" max="4346" width="20.33203125" style="163" customWidth="1"/>
    <col min="4347" max="4350" width="0" style="163" hidden="1" customWidth="1"/>
    <col min="4351" max="4576" width="9.109375" style="163"/>
    <col min="4577" max="4577" width="6" style="163" customWidth="1"/>
    <col min="4578" max="4578" width="49.88671875" style="163" customWidth="1"/>
    <col min="4579" max="4579" width="12.6640625" style="163" customWidth="1"/>
    <col min="4580" max="4580" width="17.109375" style="163" customWidth="1"/>
    <col min="4581" max="4581" width="11.88671875" style="163" customWidth="1"/>
    <col min="4582" max="4583" width="0" style="163" hidden="1" customWidth="1"/>
    <col min="4584" max="4584" width="11.109375" style="163" customWidth="1"/>
    <col min="4585" max="4585" width="12.77734375" style="163" customWidth="1"/>
    <col min="4586" max="4586" width="14.77734375" style="163" customWidth="1"/>
    <col min="4587" max="4587" width="12.88671875" style="163" customWidth="1"/>
    <col min="4588" max="4588" width="11.6640625" style="163" customWidth="1"/>
    <col min="4589" max="4589" width="11.109375" style="163" customWidth="1"/>
    <col min="4590" max="4590" width="11.6640625" style="163" customWidth="1"/>
    <col min="4591" max="4591" width="0" style="163" hidden="1" customWidth="1"/>
    <col min="4592" max="4592" width="11.77734375" style="163" customWidth="1"/>
    <col min="4593" max="4594" width="0" style="163" hidden="1" customWidth="1"/>
    <col min="4595" max="4595" width="10" style="163" customWidth="1"/>
    <col min="4596" max="4598" width="0" style="163" hidden="1" customWidth="1"/>
    <col min="4599" max="4600" width="9.77734375" style="163" customWidth="1"/>
    <col min="4601" max="4601" width="10" style="163" customWidth="1"/>
    <col min="4602" max="4602" width="20.33203125" style="163" customWidth="1"/>
    <col min="4603" max="4606" width="0" style="163" hidden="1" customWidth="1"/>
    <col min="4607" max="4832" width="9.109375" style="163"/>
    <col min="4833" max="4833" width="6" style="163" customWidth="1"/>
    <col min="4834" max="4834" width="49.88671875" style="163" customWidth="1"/>
    <col min="4835" max="4835" width="12.6640625" style="163" customWidth="1"/>
    <col min="4836" max="4836" width="17.109375" style="163" customWidth="1"/>
    <col min="4837" max="4837" width="11.88671875" style="163" customWidth="1"/>
    <col min="4838" max="4839" width="0" style="163" hidden="1" customWidth="1"/>
    <col min="4840" max="4840" width="11.109375" style="163" customWidth="1"/>
    <col min="4841" max="4841" width="12.77734375" style="163" customWidth="1"/>
    <col min="4842" max="4842" width="14.77734375" style="163" customWidth="1"/>
    <col min="4843" max="4843" width="12.88671875" style="163" customWidth="1"/>
    <col min="4844" max="4844" width="11.6640625" style="163" customWidth="1"/>
    <col min="4845" max="4845" width="11.109375" style="163" customWidth="1"/>
    <col min="4846" max="4846" width="11.6640625" style="163" customWidth="1"/>
    <col min="4847" max="4847" width="0" style="163" hidden="1" customWidth="1"/>
    <col min="4848" max="4848" width="11.77734375" style="163" customWidth="1"/>
    <col min="4849" max="4850" width="0" style="163" hidden="1" customWidth="1"/>
    <col min="4851" max="4851" width="10" style="163" customWidth="1"/>
    <col min="4852" max="4854" width="0" style="163" hidden="1" customWidth="1"/>
    <col min="4855" max="4856" width="9.77734375" style="163" customWidth="1"/>
    <col min="4857" max="4857" width="10" style="163" customWidth="1"/>
    <col min="4858" max="4858" width="20.33203125" style="163" customWidth="1"/>
    <col min="4859" max="4862" width="0" style="163" hidden="1" customWidth="1"/>
    <col min="4863" max="5088" width="9.109375" style="163"/>
    <col min="5089" max="5089" width="6" style="163" customWidth="1"/>
    <col min="5090" max="5090" width="49.88671875" style="163" customWidth="1"/>
    <col min="5091" max="5091" width="12.6640625" style="163" customWidth="1"/>
    <col min="5092" max="5092" width="17.109375" style="163" customWidth="1"/>
    <col min="5093" max="5093" width="11.88671875" style="163" customWidth="1"/>
    <col min="5094" max="5095" width="0" style="163" hidden="1" customWidth="1"/>
    <col min="5096" max="5096" width="11.109375" style="163" customWidth="1"/>
    <col min="5097" max="5097" width="12.77734375" style="163" customWidth="1"/>
    <col min="5098" max="5098" width="14.77734375" style="163" customWidth="1"/>
    <col min="5099" max="5099" width="12.88671875" style="163" customWidth="1"/>
    <col min="5100" max="5100" width="11.6640625" style="163" customWidth="1"/>
    <col min="5101" max="5101" width="11.109375" style="163" customWidth="1"/>
    <col min="5102" max="5102" width="11.6640625" style="163" customWidth="1"/>
    <col min="5103" max="5103" width="0" style="163" hidden="1" customWidth="1"/>
    <col min="5104" max="5104" width="11.77734375" style="163" customWidth="1"/>
    <col min="5105" max="5106" width="0" style="163" hidden="1" customWidth="1"/>
    <col min="5107" max="5107" width="10" style="163" customWidth="1"/>
    <col min="5108" max="5110" width="0" style="163" hidden="1" customWidth="1"/>
    <col min="5111" max="5112" width="9.77734375" style="163" customWidth="1"/>
    <col min="5113" max="5113" width="10" style="163" customWidth="1"/>
    <col min="5114" max="5114" width="20.33203125" style="163" customWidth="1"/>
    <col min="5115" max="5118" width="0" style="163" hidden="1" customWidth="1"/>
    <col min="5119" max="5344" width="9.109375" style="163"/>
    <col min="5345" max="5345" width="6" style="163" customWidth="1"/>
    <col min="5346" max="5346" width="49.88671875" style="163" customWidth="1"/>
    <col min="5347" max="5347" width="12.6640625" style="163" customWidth="1"/>
    <col min="5348" max="5348" width="17.109375" style="163" customWidth="1"/>
    <col min="5349" max="5349" width="11.88671875" style="163" customWidth="1"/>
    <col min="5350" max="5351" width="0" style="163" hidden="1" customWidth="1"/>
    <col min="5352" max="5352" width="11.109375" style="163" customWidth="1"/>
    <col min="5353" max="5353" width="12.77734375" style="163" customWidth="1"/>
    <col min="5354" max="5354" width="14.77734375" style="163" customWidth="1"/>
    <col min="5355" max="5355" width="12.88671875" style="163" customWidth="1"/>
    <col min="5356" max="5356" width="11.6640625" style="163" customWidth="1"/>
    <col min="5357" max="5357" width="11.109375" style="163" customWidth="1"/>
    <col min="5358" max="5358" width="11.6640625" style="163" customWidth="1"/>
    <col min="5359" max="5359" width="0" style="163" hidden="1" customWidth="1"/>
    <col min="5360" max="5360" width="11.77734375" style="163" customWidth="1"/>
    <col min="5361" max="5362" width="0" style="163" hidden="1" customWidth="1"/>
    <col min="5363" max="5363" width="10" style="163" customWidth="1"/>
    <col min="5364" max="5366" width="0" style="163" hidden="1" customWidth="1"/>
    <col min="5367" max="5368" width="9.77734375" style="163" customWidth="1"/>
    <col min="5369" max="5369" width="10" style="163" customWidth="1"/>
    <col min="5370" max="5370" width="20.33203125" style="163" customWidth="1"/>
    <col min="5371" max="5374" width="0" style="163" hidden="1" customWidth="1"/>
    <col min="5375" max="5600" width="9.109375" style="163"/>
    <col min="5601" max="5601" width="6" style="163" customWidth="1"/>
    <col min="5602" max="5602" width="49.88671875" style="163" customWidth="1"/>
    <col min="5603" max="5603" width="12.6640625" style="163" customWidth="1"/>
    <col min="5604" max="5604" width="17.109375" style="163" customWidth="1"/>
    <col min="5605" max="5605" width="11.88671875" style="163" customWidth="1"/>
    <col min="5606" max="5607" width="0" style="163" hidden="1" customWidth="1"/>
    <col min="5608" max="5608" width="11.109375" style="163" customWidth="1"/>
    <col min="5609" max="5609" width="12.77734375" style="163" customWidth="1"/>
    <col min="5610" max="5610" width="14.77734375" style="163" customWidth="1"/>
    <col min="5611" max="5611" width="12.88671875" style="163" customWidth="1"/>
    <col min="5612" max="5612" width="11.6640625" style="163" customWidth="1"/>
    <col min="5613" max="5613" width="11.109375" style="163" customWidth="1"/>
    <col min="5614" max="5614" width="11.6640625" style="163" customWidth="1"/>
    <col min="5615" max="5615" width="0" style="163" hidden="1" customWidth="1"/>
    <col min="5616" max="5616" width="11.77734375" style="163" customWidth="1"/>
    <col min="5617" max="5618" width="0" style="163" hidden="1" customWidth="1"/>
    <col min="5619" max="5619" width="10" style="163" customWidth="1"/>
    <col min="5620" max="5622" width="0" style="163" hidden="1" customWidth="1"/>
    <col min="5623" max="5624" width="9.77734375" style="163" customWidth="1"/>
    <col min="5625" max="5625" width="10" style="163" customWidth="1"/>
    <col min="5626" max="5626" width="20.33203125" style="163" customWidth="1"/>
    <col min="5627" max="5630" width="0" style="163" hidden="1" customWidth="1"/>
    <col min="5631" max="5856" width="9.109375" style="163"/>
    <col min="5857" max="5857" width="6" style="163" customWidth="1"/>
    <col min="5858" max="5858" width="49.88671875" style="163" customWidth="1"/>
    <col min="5859" max="5859" width="12.6640625" style="163" customWidth="1"/>
    <col min="5860" max="5860" width="17.109375" style="163" customWidth="1"/>
    <col min="5861" max="5861" width="11.88671875" style="163" customWidth="1"/>
    <col min="5862" max="5863" width="0" style="163" hidden="1" customWidth="1"/>
    <col min="5864" max="5864" width="11.109375" style="163" customWidth="1"/>
    <col min="5865" max="5865" width="12.77734375" style="163" customWidth="1"/>
    <col min="5866" max="5866" width="14.77734375" style="163" customWidth="1"/>
    <col min="5867" max="5867" width="12.88671875" style="163" customWidth="1"/>
    <col min="5868" max="5868" width="11.6640625" style="163" customWidth="1"/>
    <col min="5869" max="5869" width="11.109375" style="163" customWidth="1"/>
    <col min="5870" max="5870" width="11.6640625" style="163" customWidth="1"/>
    <col min="5871" max="5871" width="0" style="163" hidden="1" customWidth="1"/>
    <col min="5872" max="5872" width="11.77734375" style="163" customWidth="1"/>
    <col min="5873" max="5874" width="0" style="163" hidden="1" customWidth="1"/>
    <col min="5875" max="5875" width="10" style="163" customWidth="1"/>
    <col min="5876" max="5878" width="0" style="163" hidden="1" customWidth="1"/>
    <col min="5879" max="5880" width="9.77734375" style="163" customWidth="1"/>
    <col min="5881" max="5881" width="10" style="163" customWidth="1"/>
    <col min="5882" max="5882" width="20.33203125" style="163" customWidth="1"/>
    <col min="5883" max="5886" width="0" style="163" hidden="1" customWidth="1"/>
    <col min="5887" max="6112" width="9.109375" style="163"/>
    <col min="6113" max="6113" width="6" style="163" customWidth="1"/>
    <col min="6114" max="6114" width="49.88671875" style="163" customWidth="1"/>
    <col min="6115" max="6115" width="12.6640625" style="163" customWidth="1"/>
    <col min="6116" max="6116" width="17.109375" style="163" customWidth="1"/>
    <col min="6117" max="6117" width="11.88671875" style="163" customWidth="1"/>
    <col min="6118" max="6119" width="0" style="163" hidden="1" customWidth="1"/>
    <col min="6120" max="6120" width="11.109375" style="163" customWidth="1"/>
    <col min="6121" max="6121" width="12.77734375" style="163" customWidth="1"/>
    <col min="6122" max="6122" width="14.77734375" style="163" customWidth="1"/>
    <col min="6123" max="6123" width="12.88671875" style="163" customWidth="1"/>
    <col min="6124" max="6124" width="11.6640625" style="163" customWidth="1"/>
    <col min="6125" max="6125" width="11.109375" style="163" customWidth="1"/>
    <col min="6126" max="6126" width="11.6640625" style="163" customWidth="1"/>
    <col min="6127" max="6127" width="0" style="163" hidden="1" customWidth="1"/>
    <col min="6128" max="6128" width="11.77734375" style="163" customWidth="1"/>
    <col min="6129" max="6130" width="0" style="163" hidden="1" customWidth="1"/>
    <col min="6131" max="6131" width="10" style="163" customWidth="1"/>
    <col min="6132" max="6134" width="0" style="163" hidden="1" customWidth="1"/>
    <col min="6135" max="6136" width="9.77734375" style="163" customWidth="1"/>
    <col min="6137" max="6137" width="10" style="163" customWidth="1"/>
    <col min="6138" max="6138" width="20.33203125" style="163" customWidth="1"/>
    <col min="6139" max="6142" width="0" style="163" hidden="1" customWidth="1"/>
    <col min="6143" max="6368" width="9.109375" style="163"/>
    <col min="6369" max="6369" width="6" style="163" customWidth="1"/>
    <col min="6370" max="6370" width="49.88671875" style="163" customWidth="1"/>
    <col min="6371" max="6371" width="12.6640625" style="163" customWidth="1"/>
    <col min="6372" max="6372" width="17.109375" style="163" customWidth="1"/>
    <col min="6373" max="6373" width="11.88671875" style="163" customWidth="1"/>
    <col min="6374" max="6375" width="0" style="163" hidden="1" customWidth="1"/>
    <col min="6376" max="6376" width="11.109375" style="163" customWidth="1"/>
    <col min="6377" max="6377" width="12.77734375" style="163" customWidth="1"/>
    <col min="6378" max="6378" width="14.77734375" style="163" customWidth="1"/>
    <col min="6379" max="6379" width="12.88671875" style="163" customWidth="1"/>
    <col min="6380" max="6380" width="11.6640625" style="163" customWidth="1"/>
    <col min="6381" max="6381" width="11.109375" style="163" customWidth="1"/>
    <col min="6382" max="6382" width="11.6640625" style="163" customWidth="1"/>
    <col min="6383" max="6383" width="0" style="163" hidden="1" customWidth="1"/>
    <col min="6384" max="6384" width="11.77734375" style="163" customWidth="1"/>
    <col min="6385" max="6386" width="0" style="163" hidden="1" customWidth="1"/>
    <col min="6387" max="6387" width="10" style="163" customWidth="1"/>
    <col min="6388" max="6390" width="0" style="163" hidden="1" customWidth="1"/>
    <col min="6391" max="6392" width="9.77734375" style="163" customWidth="1"/>
    <col min="6393" max="6393" width="10" style="163" customWidth="1"/>
    <col min="6394" max="6394" width="20.33203125" style="163" customWidth="1"/>
    <col min="6395" max="6398" width="0" style="163" hidden="1" customWidth="1"/>
    <col min="6399" max="6624" width="9.109375" style="163"/>
    <col min="6625" max="6625" width="6" style="163" customWidth="1"/>
    <col min="6626" max="6626" width="49.88671875" style="163" customWidth="1"/>
    <col min="6627" max="6627" width="12.6640625" style="163" customWidth="1"/>
    <col min="6628" max="6628" width="17.109375" style="163" customWidth="1"/>
    <col min="6629" max="6629" width="11.88671875" style="163" customWidth="1"/>
    <col min="6630" max="6631" width="0" style="163" hidden="1" customWidth="1"/>
    <col min="6632" max="6632" width="11.109375" style="163" customWidth="1"/>
    <col min="6633" max="6633" width="12.77734375" style="163" customWidth="1"/>
    <col min="6634" max="6634" width="14.77734375" style="163" customWidth="1"/>
    <col min="6635" max="6635" width="12.88671875" style="163" customWidth="1"/>
    <col min="6636" max="6636" width="11.6640625" style="163" customWidth="1"/>
    <col min="6637" max="6637" width="11.109375" style="163" customWidth="1"/>
    <col min="6638" max="6638" width="11.6640625" style="163" customWidth="1"/>
    <col min="6639" max="6639" width="0" style="163" hidden="1" customWidth="1"/>
    <col min="6640" max="6640" width="11.77734375" style="163" customWidth="1"/>
    <col min="6641" max="6642" width="0" style="163" hidden="1" customWidth="1"/>
    <col min="6643" max="6643" width="10" style="163" customWidth="1"/>
    <col min="6644" max="6646" width="0" style="163" hidden="1" customWidth="1"/>
    <col min="6647" max="6648" width="9.77734375" style="163" customWidth="1"/>
    <col min="6649" max="6649" width="10" style="163" customWidth="1"/>
    <col min="6650" max="6650" width="20.33203125" style="163" customWidth="1"/>
    <col min="6651" max="6654" width="0" style="163" hidden="1" customWidth="1"/>
    <col min="6655" max="6880" width="9.109375" style="163"/>
    <col min="6881" max="6881" width="6" style="163" customWidth="1"/>
    <col min="6882" max="6882" width="49.88671875" style="163" customWidth="1"/>
    <col min="6883" max="6883" width="12.6640625" style="163" customWidth="1"/>
    <col min="6884" max="6884" width="17.109375" style="163" customWidth="1"/>
    <col min="6885" max="6885" width="11.88671875" style="163" customWidth="1"/>
    <col min="6886" max="6887" width="0" style="163" hidden="1" customWidth="1"/>
    <col min="6888" max="6888" width="11.109375" style="163" customWidth="1"/>
    <col min="6889" max="6889" width="12.77734375" style="163" customWidth="1"/>
    <col min="6890" max="6890" width="14.77734375" style="163" customWidth="1"/>
    <col min="6891" max="6891" width="12.88671875" style="163" customWidth="1"/>
    <col min="6892" max="6892" width="11.6640625" style="163" customWidth="1"/>
    <col min="6893" max="6893" width="11.109375" style="163" customWidth="1"/>
    <col min="6894" max="6894" width="11.6640625" style="163" customWidth="1"/>
    <col min="6895" max="6895" width="0" style="163" hidden="1" customWidth="1"/>
    <col min="6896" max="6896" width="11.77734375" style="163" customWidth="1"/>
    <col min="6897" max="6898" width="0" style="163" hidden="1" customWidth="1"/>
    <col min="6899" max="6899" width="10" style="163" customWidth="1"/>
    <col min="6900" max="6902" width="0" style="163" hidden="1" customWidth="1"/>
    <col min="6903" max="6904" width="9.77734375" style="163" customWidth="1"/>
    <col min="6905" max="6905" width="10" style="163" customWidth="1"/>
    <col min="6906" max="6906" width="20.33203125" style="163" customWidth="1"/>
    <col min="6907" max="6910" width="0" style="163" hidden="1" customWidth="1"/>
    <col min="6911" max="7136" width="9.109375" style="163"/>
    <col min="7137" max="7137" width="6" style="163" customWidth="1"/>
    <col min="7138" max="7138" width="49.88671875" style="163" customWidth="1"/>
    <col min="7139" max="7139" width="12.6640625" style="163" customWidth="1"/>
    <col min="7140" max="7140" width="17.109375" style="163" customWidth="1"/>
    <col min="7141" max="7141" width="11.88671875" style="163" customWidth="1"/>
    <col min="7142" max="7143" width="0" style="163" hidden="1" customWidth="1"/>
    <col min="7144" max="7144" width="11.109375" style="163" customWidth="1"/>
    <col min="7145" max="7145" width="12.77734375" style="163" customWidth="1"/>
    <col min="7146" max="7146" width="14.77734375" style="163" customWidth="1"/>
    <col min="7147" max="7147" width="12.88671875" style="163" customWidth="1"/>
    <col min="7148" max="7148" width="11.6640625" style="163" customWidth="1"/>
    <col min="7149" max="7149" width="11.109375" style="163" customWidth="1"/>
    <col min="7150" max="7150" width="11.6640625" style="163" customWidth="1"/>
    <col min="7151" max="7151" width="0" style="163" hidden="1" customWidth="1"/>
    <col min="7152" max="7152" width="11.77734375" style="163" customWidth="1"/>
    <col min="7153" max="7154" width="0" style="163" hidden="1" customWidth="1"/>
    <col min="7155" max="7155" width="10" style="163" customWidth="1"/>
    <col min="7156" max="7158" width="0" style="163" hidden="1" customWidth="1"/>
    <col min="7159" max="7160" width="9.77734375" style="163" customWidth="1"/>
    <col min="7161" max="7161" width="10" style="163" customWidth="1"/>
    <col min="7162" max="7162" width="20.33203125" style="163" customWidth="1"/>
    <col min="7163" max="7166" width="0" style="163" hidden="1" customWidth="1"/>
    <col min="7167" max="7392" width="9.109375" style="163"/>
    <col min="7393" max="7393" width="6" style="163" customWidth="1"/>
    <col min="7394" max="7394" width="49.88671875" style="163" customWidth="1"/>
    <col min="7395" max="7395" width="12.6640625" style="163" customWidth="1"/>
    <col min="7396" max="7396" width="17.109375" style="163" customWidth="1"/>
    <col min="7397" max="7397" width="11.88671875" style="163" customWidth="1"/>
    <col min="7398" max="7399" width="0" style="163" hidden="1" customWidth="1"/>
    <col min="7400" max="7400" width="11.109375" style="163" customWidth="1"/>
    <col min="7401" max="7401" width="12.77734375" style="163" customWidth="1"/>
    <col min="7402" max="7402" width="14.77734375" style="163" customWidth="1"/>
    <col min="7403" max="7403" width="12.88671875" style="163" customWidth="1"/>
    <col min="7404" max="7404" width="11.6640625" style="163" customWidth="1"/>
    <col min="7405" max="7405" width="11.109375" style="163" customWidth="1"/>
    <col min="7406" max="7406" width="11.6640625" style="163" customWidth="1"/>
    <col min="7407" max="7407" width="0" style="163" hidden="1" customWidth="1"/>
    <col min="7408" max="7408" width="11.77734375" style="163" customWidth="1"/>
    <col min="7409" max="7410" width="0" style="163" hidden="1" customWidth="1"/>
    <col min="7411" max="7411" width="10" style="163" customWidth="1"/>
    <col min="7412" max="7414" width="0" style="163" hidden="1" customWidth="1"/>
    <col min="7415" max="7416" width="9.77734375" style="163" customWidth="1"/>
    <col min="7417" max="7417" width="10" style="163" customWidth="1"/>
    <col min="7418" max="7418" width="20.33203125" style="163" customWidth="1"/>
    <col min="7419" max="7422" width="0" style="163" hidden="1" customWidth="1"/>
    <col min="7423" max="7648" width="9.109375" style="163"/>
    <col min="7649" max="7649" width="6" style="163" customWidth="1"/>
    <col min="7650" max="7650" width="49.88671875" style="163" customWidth="1"/>
    <col min="7651" max="7651" width="12.6640625" style="163" customWidth="1"/>
    <col min="7652" max="7652" width="17.109375" style="163" customWidth="1"/>
    <col min="7653" max="7653" width="11.88671875" style="163" customWidth="1"/>
    <col min="7654" max="7655" width="0" style="163" hidden="1" customWidth="1"/>
    <col min="7656" max="7656" width="11.109375" style="163" customWidth="1"/>
    <col min="7657" max="7657" width="12.77734375" style="163" customWidth="1"/>
    <col min="7658" max="7658" width="14.77734375" style="163" customWidth="1"/>
    <col min="7659" max="7659" width="12.88671875" style="163" customWidth="1"/>
    <col min="7660" max="7660" width="11.6640625" style="163" customWidth="1"/>
    <col min="7661" max="7661" width="11.109375" style="163" customWidth="1"/>
    <col min="7662" max="7662" width="11.6640625" style="163" customWidth="1"/>
    <col min="7663" max="7663" width="0" style="163" hidden="1" customWidth="1"/>
    <col min="7664" max="7664" width="11.77734375" style="163" customWidth="1"/>
    <col min="7665" max="7666" width="0" style="163" hidden="1" customWidth="1"/>
    <col min="7667" max="7667" width="10" style="163" customWidth="1"/>
    <col min="7668" max="7670" width="0" style="163" hidden="1" customWidth="1"/>
    <col min="7671" max="7672" width="9.77734375" style="163" customWidth="1"/>
    <col min="7673" max="7673" width="10" style="163" customWidth="1"/>
    <col min="7674" max="7674" width="20.33203125" style="163" customWidth="1"/>
    <col min="7675" max="7678" width="0" style="163" hidden="1" customWidth="1"/>
    <col min="7679" max="7904" width="9.109375" style="163"/>
    <col min="7905" max="7905" width="6" style="163" customWidth="1"/>
    <col min="7906" max="7906" width="49.88671875" style="163" customWidth="1"/>
    <col min="7907" max="7907" width="12.6640625" style="163" customWidth="1"/>
    <col min="7908" max="7908" width="17.109375" style="163" customWidth="1"/>
    <col min="7909" max="7909" width="11.88671875" style="163" customWidth="1"/>
    <col min="7910" max="7911" width="0" style="163" hidden="1" customWidth="1"/>
    <col min="7912" max="7912" width="11.109375" style="163" customWidth="1"/>
    <col min="7913" max="7913" width="12.77734375" style="163" customWidth="1"/>
    <col min="7914" max="7914" width="14.77734375" style="163" customWidth="1"/>
    <col min="7915" max="7915" width="12.88671875" style="163" customWidth="1"/>
    <col min="7916" max="7916" width="11.6640625" style="163" customWidth="1"/>
    <col min="7917" max="7917" width="11.109375" style="163" customWidth="1"/>
    <col min="7918" max="7918" width="11.6640625" style="163" customWidth="1"/>
    <col min="7919" max="7919" width="0" style="163" hidden="1" customWidth="1"/>
    <col min="7920" max="7920" width="11.77734375" style="163" customWidth="1"/>
    <col min="7921" max="7922" width="0" style="163" hidden="1" customWidth="1"/>
    <col min="7923" max="7923" width="10" style="163" customWidth="1"/>
    <col min="7924" max="7926" width="0" style="163" hidden="1" customWidth="1"/>
    <col min="7927" max="7928" width="9.77734375" style="163" customWidth="1"/>
    <col min="7929" max="7929" width="10" style="163" customWidth="1"/>
    <col min="7930" max="7930" width="20.33203125" style="163" customWidth="1"/>
    <col min="7931" max="7934" width="0" style="163" hidden="1" customWidth="1"/>
    <col min="7935" max="8160" width="9.109375" style="163"/>
    <col min="8161" max="8161" width="6" style="163" customWidth="1"/>
    <col min="8162" max="8162" width="49.88671875" style="163" customWidth="1"/>
    <col min="8163" max="8163" width="12.6640625" style="163" customWidth="1"/>
    <col min="8164" max="8164" width="17.109375" style="163" customWidth="1"/>
    <col min="8165" max="8165" width="11.88671875" style="163" customWidth="1"/>
    <col min="8166" max="8167" width="0" style="163" hidden="1" customWidth="1"/>
    <col min="8168" max="8168" width="11.109375" style="163" customWidth="1"/>
    <col min="8169" max="8169" width="12.77734375" style="163" customWidth="1"/>
    <col min="8170" max="8170" width="14.77734375" style="163" customWidth="1"/>
    <col min="8171" max="8171" width="12.88671875" style="163" customWidth="1"/>
    <col min="8172" max="8172" width="11.6640625" style="163" customWidth="1"/>
    <col min="8173" max="8173" width="11.109375" style="163" customWidth="1"/>
    <col min="8174" max="8174" width="11.6640625" style="163" customWidth="1"/>
    <col min="8175" max="8175" width="0" style="163" hidden="1" customWidth="1"/>
    <col min="8176" max="8176" width="11.77734375" style="163" customWidth="1"/>
    <col min="8177" max="8178" width="0" style="163" hidden="1" customWidth="1"/>
    <col min="8179" max="8179" width="10" style="163" customWidth="1"/>
    <col min="8180" max="8182" width="0" style="163" hidden="1" customWidth="1"/>
    <col min="8183" max="8184" width="9.77734375" style="163" customWidth="1"/>
    <col min="8185" max="8185" width="10" style="163" customWidth="1"/>
    <col min="8186" max="8186" width="20.33203125" style="163" customWidth="1"/>
    <col min="8187" max="8190" width="0" style="163" hidden="1" customWidth="1"/>
    <col min="8191" max="8416" width="9.109375" style="163"/>
    <col min="8417" max="8417" width="6" style="163" customWidth="1"/>
    <col min="8418" max="8418" width="49.88671875" style="163" customWidth="1"/>
    <col min="8419" max="8419" width="12.6640625" style="163" customWidth="1"/>
    <col min="8420" max="8420" width="17.109375" style="163" customWidth="1"/>
    <col min="8421" max="8421" width="11.88671875" style="163" customWidth="1"/>
    <col min="8422" max="8423" width="0" style="163" hidden="1" customWidth="1"/>
    <col min="8424" max="8424" width="11.109375" style="163" customWidth="1"/>
    <col min="8425" max="8425" width="12.77734375" style="163" customWidth="1"/>
    <col min="8426" max="8426" width="14.77734375" style="163" customWidth="1"/>
    <col min="8427" max="8427" width="12.88671875" style="163" customWidth="1"/>
    <col min="8428" max="8428" width="11.6640625" style="163" customWidth="1"/>
    <col min="8429" max="8429" width="11.109375" style="163" customWidth="1"/>
    <col min="8430" max="8430" width="11.6640625" style="163" customWidth="1"/>
    <col min="8431" max="8431" width="0" style="163" hidden="1" customWidth="1"/>
    <col min="8432" max="8432" width="11.77734375" style="163" customWidth="1"/>
    <col min="8433" max="8434" width="0" style="163" hidden="1" customWidth="1"/>
    <col min="8435" max="8435" width="10" style="163" customWidth="1"/>
    <col min="8436" max="8438" width="0" style="163" hidden="1" customWidth="1"/>
    <col min="8439" max="8440" width="9.77734375" style="163" customWidth="1"/>
    <col min="8441" max="8441" width="10" style="163" customWidth="1"/>
    <col min="8442" max="8442" width="20.33203125" style="163" customWidth="1"/>
    <col min="8443" max="8446" width="0" style="163" hidden="1" customWidth="1"/>
    <col min="8447" max="8672" width="9.109375" style="163"/>
    <col min="8673" max="8673" width="6" style="163" customWidth="1"/>
    <col min="8674" max="8674" width="49.88671875" style="163" customWidth="1"/>
    <col min="8675" max="8675" width="12.6640625" style="163" customWidth="1"/>
    <col min="8676" max="8676" width="17.109375" style="163" customWidth="1"/>
    <col min="8677" max="8677" width="11.88671875" style="163" customWidth="1"/>
    <col min="8678" max="8679" width="0" style="163" hidden="1" customWidth="1"/>
    <col min="8680" max="8680" width="11.109375" style="163" customWidth="1"/>
    <col min="8681" max="8681" width="12.77734375" style="163" customWidth="1"/>
    <col min="8682" max="8682" width="14.77734375" style="163" customWidth="1"/>
    <col min="8683" max="8683" width="12.88671875" style="163" customWidth="1"/>
    <col min="8684" max="8684" width="11.6640625" style="163" customWidth="1"/>
    <col min="8685" max="8685" width="11.109375" style="163" customWidth="1"/>
    <col min="8686" max="8686" width="11.6640625" style="163" customWidth="1"/>
    <col min="8687" max="8687" width="0" style="163" hidden="1" customWidth="1"/>
    <col min="8688" max="8688" width="11.77734375" style="163" customWidth="1"/>
    <col min="8689" max="8690" width="0" style="163" hidden="1" customWidth="1"/>
    <col min="8691" max="8691" width="10" style="163" customWidth="1"/>
    <col min="8692" max="8694" width="0" style="163" hidden="1" customWidth="1"/>
    <col min="8695" max="8696" width="9.77734375" style="163" customWidth="1"/>
    <col min="8697" max="8697" width="10" style="163" customWidth="1"/>
    <col min="8698" max="8698" width="20.33203125" style="163" customWidth="1"/>
    <col min="8699" max="8702" width="0" style="163" hidden="1" customWidth="1"/>
    <col min="8703" max="8928" width="9.109375" style="163"/>
    <col min="8929" max="8929" width="6" style="163" customWidth="1"/>
    <col min="8930" max="8930" width="49.88671875" style="163" customWidth="1"/>
    <col min="8931" max="8931" width="12.6640625" style="163" customWidth="1"/>
    <col min="8932" max="8932" width="17.109375" style="163" customWidth="1"/>
    <col min="8933" max="8933" width="11.88671875" style="163" customWidth="1"/>
    <col min="8934" max="8935" width="0" style="163" hidden="1" customWidth="1"/>
    <col min="8936" max="8936" width="11.109375" style="163" customWidth="1"/>
    <col min="8937" max="8937" width="12.77734375" style="163" customWidth="1"/>
    <col min="8938" max="8938" width="14.77734375" style="163" customWidth="1"/>
    <col min="8939" max="8939" width="12.88671875" style="163" customWidth="1"/>
    <col min="8940" max="8940" width="11.6640625" style="163" customWidth="1"/>
    <col min="8941" max="8941" width="11.109375" style="163" customWidth="1"/>
    <col min="8942" max="8942" width="11.6640625" style="163" customWidth="1"/>
    <col min="8943" max="8943" width="0" style="163" hidden="1" customWidth="1"/>
    <col min="8944" max="8944" width="11.77734375" style="163" customWidth="1"/>
    <col min="8945" max="8946" width="0" style="163" hidden="1" customWidth="1"/>
    <col min="8947" max="8947" width="10" style="163" customWidth="1"/>
    <col min="8948" max="8950" width="0" style="163" hidden="1" customWidth="1"/>
    <col min="8951" max="8952" width="9.77734375" style="163" customWidth="1"/>
    <col min="8953" max="8953" width="10" style="163" customWidth="1"/>
    <col min="8954" max="8954" width="20.33203125" style="163" customWidth="1"/>
    <col min="8955" max="8958" width="0" style="163" hidden="1" customWidth="1"/>
    <col min="8959" max="9184" width="9.109375" style="163"/>
    <col min="9185" max="9185" width="6" style="163" customWidth="1"/>
    <col min="9186" max="9186" width="49.88671875" style="163" customWidth="1"/>
    <col min="9187" max="9187" width="12.6640625" style="163" customWidth="1"/>
    <col min="9188" max="9188" width="17.109375" style="163" customWidth="1"/>
    <col min="9189" max="9189" width="11.88671875" style="163" customWidth="1"/>
    <col min="9190" max="9191" width="0" style="163" hidden="1" customWidth="1"/>
    <col min="9192" max="9192" width="11.109375" style="163" customWidth="1"/>
    <col min="9193" max="9193" width="12.77734375" style="163" customWidth="1"/>
    <col min="9194" max="9194" width="14.77734375" style="163" customWidth="1"/>
    <col min="9195" max="9195" width="12.88671875" style="163" customWidth="1"/>
    <col min="9196" max="9196" width="11.6640625" style="163" customWidth="1"/>
    <col min="9197" max="9197" width="11.109375" style="163" customWidth="1"/>
    <col min="9198" max="9198" width="11.6640625" style="163" customWidth="1"/>
    <col min="9199" max="9199" width="0" style="163" hidden="1" customWidth="1"/>
    <col min="9200" max="9200" width="11.77734375" style="163" customWidth="1"/>
    <col min="9201" max="9202" width="0" style="163" hidden="1" customWidth="1"/>
    <col min="9203" max="9203" width="10" style="163" customWidth="1"/>
    <col min="9204" max="9206" width="0" style="163" hidden="1" customWidth="1"/>
    <col min="9207" max="9208" width="9.77734375" style="163" customWidth="1"/>
    <col min="9209" max="9209" width="10" style="163" customWidth="1"/>
    <col min="9210" max="9210" width="20.33203125" style="163" customWidth="1"/>
    <col min="9211" max="9214" width="0" style="163" hidden="1" customWidth="1"/>
    <col min="9215" max="9440" width="9.109375" style="163"/>
    <col min="9441" max="9441" width="6" style="163" customWidth="1"/>
    <col min="9442" max="9442" width="49.88671875" style="163" customWidth="1"/>
    <col min="9443" max="9443" width="12.6640625" style="163" customWidth="1"/>
    <col min="9444" max="9444" width="17.109375" style="163" customWidth="1"/>
    <col min="9445" max="9445" width="11.88671875" style="163" customWidth="1"/>
    <col min="9446" max="9447" width="0" style="163" hidden="1" customWidth="1"/>
    <col min="9448" max="9448" width="11.109375" style="163" customWidth="1"/>
    <col min="9449" max="9449" width="12.77734375" style="163" customWidth="1"/>
    <col min="9450" max="9450" width="14.77734375" style="163" customWidth="1"/>
    <col min="9451" max="9451" width="12.88671875" style="163" customWidth="1"/>
    <col min="9452" max="9452" width="11.6640625" style="163" customWidth="1"/>
    <col min="9453" max="9453" width="11.109375" style="163" customWidth="1"/>
    <col min="9454" max="9454" width="11.6640625" style="163" customWidth="1"/>
    <col min="9455" max="9455" width="0" style="163" hidden="1" customWidth="1"/>
    <col min="9456" max="9456" width="11.77734375" style="163" customWidth="1"/>
    <col min="9457" max="9458" width="0" style="163" hidden="1" customWidth="1"/>
    <col min="9459" max="9459" width="10" style="163" customWidth="1"/>
    <col min="9460" max="9462" width="0" style="163" hidden="1" customWidth="1"/>
    <col min="9463" max="9464" width="9.77734375" style="163" customWidth="1"/>
    <col min="9465" max="9465" width="10" style="163" customWidth="1"/>
    <col min="9466" max="9466" width="20.33203125" style="163" customWidth="1"/>
    <col min="9467" max="9470" width="0" style="163" hidden="1" customWidth="1"/>
    <col min="9471" max="9696" width="9.109375" style="163"/>
    <col min="9697" max="9697" width="6" style="163" customWidth="1"/>
    <col min="9698" max="9698" width="49.88671875" style="163" customWidth="1"/>
    <col min="9699" max="9699" width="12.6640625" style="163" customWidth="1"/>
    <col min="9700" max="9700" width="17.109375" style="163" customWidth="1"/>
    <col min="9701" max="9701" width="11.88671875" style="163" customWidth="1"/>
    <col min="9702" max="9703" width="0" style="163" hidden="1" customWidth="1"/>
    <col min="9704" max="9704" width="11.109375" style="163" customWidth="1"/>
    <col min="9705" max="9705" width="12.77734375" style="163" customWidth="1"/>
    <col min="9706" max="9706" width="14.77734375" style="163" customWidth="1"/>
    <col min="9707" max="9707" width="12.88671875" style="163" customWidth="1"/>
    <col min="9708" max="9708" width="11.6640625" style="163" customWidth="1"/>
    <col min="9709" max="9709" width="11.109375" style="163" customWidth="1"/>
    <col min="9710" max="9710" width="11.6640625" style="163" customWidth="1"/>
    <col min="9711" max="9711" width="0" style="163" hidden="1" customWidth="1"/>
    <col min="9712" max="9712" width="11.77734375" style="163" customWidth="1"/>
    <col min="9713" max="9714" width="0" style="163" hidden="1" customWidth="1"/>
    <col min="9715" max="9715" width="10" style="163" customWidth="1"/>
    <col min="9716" max="9718" width="0" style="163" hidden="1" customWidth="1"/>
    <col min="9719" max="9720" width="9.77734375" style="163" customWidth="1"/>
    <col min="9721" max="9721" width="10" style="163" customWidth="1"/>
    <col min="9722" max="9722" width="20.33203125" style="163" customWidth="1"/>
    <col min="9723" max="9726" width="0" style="163" hidden="1" customWidth="1"/>
    <col min="9727" max="9952" width="9.109375" style="163"/>
    <col min="9953" max="9953" width="6" style="163" customWidth="1"/>
    <col min="9954" max="9954" width="49.88671875" style="163" customWidth="1"/>
    <col min="9955" max="9955" width="12.6640625" style="163" customWidth="1"/>
    <col min="9956" max="9956" width="17.109375" style="163" customWidth="1"/>
    <col min="9957" max="9957" width="11.88671875" style="163" customWidth="1"/>
    <col min="9958" max="9959" width="0" style="163" hidden="1" customWidth="1"/>
    <col min="9960" max="9960" width="11.109375" style="163" customWidth="1"/>
    <col min="9961" max="9961" width="12.77734375" style="163" customWidth="1"/>
    <col min="9962" max="9962" width="14.77734375" style="163" customWidth="1"/>
    <col min="9963" max="9963" width="12.88671875" style="163" customWidth="1"/>
    <col min="9964" max="9964" width="11.6640625" style="163" customWidth="1"/>
    <col min="9965" max="9965" width="11.109375" style="163" customWidth="1"/>
    <col min="9966" max="9966" width="11.6640625" style="163" customWidth="1"/>
    <col min="9967" max="9967" width="0" style="163" hidden="1" customWidth="1"/>
    <col min="9968" max="9968" width="11.77734375" style="163" customWidth="1"/>
    <col min="9969" max="9970" width="0" style="163" hidden="1" customWidth="1"/>
    <col min="9971" max="9971" width="10" style="163" customWidth="1"/>
    <col min="9972" max="9974" width="0" style="163" hidden="1" customWidth="1"/>
    <col min="9975" max="9976" width="9.77734375" style="163" customWidth="1"/>
    <col min="9977" max="9977" width="10" style="163" customWidth="1"/>
    <col min="9978" max="9978" width="20.33203125" style="163" customWidth="1"/>
    <col min="9979" max="9982" width="0" style="163" hidden="1" customWidth="1"/>
    <col min="9983" max="10208" width="9.109375" style="163"/>
    <col min="10209" max="10209" width="6" style="163" customWidth="1"/>
    <col min="10210" max="10210" width="49.88671875" style="163" customWidth="1"/>
    <col min="10211" max="10211" width="12.6640625" style="163" customWidth="1"/>
    <col min="10212" max="10212" width="17.109375" style="163" customWidth="1"/>
    <col min="10213" max="10213" width="11.88671875" style="163" customWidth="1"/>
    <col min="10214" max="10215" width="0" style="163" hidden="1" customWidth="1"/>
    <col min="10216" max="10216" width="11.109375" style="163" customWidth="1"/>
    <col min="10217" max="10217" width="12.77734375" style="163" customWidth="1"/>
    <col min="10218" max="10218" width="14.77734375" style="163" customWidth="1"/>
    <col min="10219" max="10219" width="12.88671875" style="163" customWidth="1"/>
    <col min="10220" max="10220" width="11.6640625" style="163" customWidth="1"/>
    <col min="10221" max="10221" width="11.109375" style="163" customWidth="1"/>
    <col min="10222" max="10222" width="11.6640625" style="163" customWidth="1"/>
    <col min="10223" max="10223" width="0" style="163" hidden="1" customWidth="1"/>
    <col min="10224" max="10224" width="11.77734375" style="163" customWidth="1"/>
    <col min="10225" max="10226" width="0" style="163" hidden="1" customWidth="1"/>
    <col min="10227" max="10227" width="10" style="163" customWidth="1"/>
    <col min="10228" max="10230" width="0" style="163" hidden="1" customWidth="1"/>
    <col min="10231" max="10232" width="9.77734375" style="163" customWidth="1"/>
    <col min="10233" max="10233" width="10" style="163" customWidth="1"/>
    <col min="10234" max="10234" width="20.33203125" style="163" customWidth="1"/>
    <col min="10235" max="10238" width="0" style="163" hidden="1" customWidth="1"/>
    <col min="10239" max="10464" width="9.109375" style="163"/>
    <col min="10465" max="10465" width="6" style="163" customWidth="1"/>
    <col min="10466" max="10466" width="49.88671875" style="163" customWidth="1"/>
    <col min="10467" max="10467" width="12.6640625" style="163" customWidth="1"/>
    <col min="10468" max="10468" width="17.109375" style="163" customWidth="1"/>
    <col min="10469" max="10469" width="11.88671875" style="163" customWidth="1"/>
    <col min="10470" max="10471" width="0" style="163" hidden="1" customWidth="1"/>
    <col min="10472" max="10472" width="11.109375" style="163" customWidth="1"/>
    <col min="10473" max="10473" width="12.77734375" style="163" customWidth="1"/>
    <col min="10474" max="10474" width="14.77734375" style="163" customWidth="1"/>
    <col min="10475" max="10475" width="12.88671875" style="163" customWidth="1"/>
    <col min="10476" max="10476" width="11.6640625" style="163" customWidth="1"/>
    <col min="10477" max="10477" width="11.109375" style="163" customWidth="1"/>
    <col min="10478" max="10478" width="11.6640625" style="163" customWidth="1"/>
    <col min="10479" max="10479" width="0" style="163" hidden="1" customWidth="1"/>
    <col min="10480" max="10480" width="11.77734375" style="163" customWidth="1"/>
    <col min="10481" max="10482" width="0" style="163" hidden="1" customWidth="1"/>
    <col min="10483" max="10483" width="10" style="163" customWidth="1"/>
    <col min="10484" max="10486" width="0" style="163" hidden="1" customWidth="1"/>
    <col min="10487" max="10488" width="9.77734375" style="163" customWidth="1"/>
    <col min="10489" max="10489" width="10" style="163" customWidth="1"/>
    <col min="10490" max="10490" width="20.33203125" style="163" customWidth="1"/>
    <col min="10491" max="10494" width="0" style="163" hidden="1" customWidth="1"/>
    <col min="10495" max="10720" width="9.109375" style="163"/>
    <col min="10721" max="10721" width="6" style="163" customWidth="1"/>
    <col min="10722" max="10722" width="49.88671875" style="163" customWidth="1"/>
    <col min="10723" max="10723" width="12.6640625" style="163" customWidth="1"/>
    <col min="10724" max="10724" width="17.109375" style="163" customWidth="1"/>
    <col min="10725" max="10725" width="11.88671875" style="163" customWidth="1"/>
    <col min="10726" max="10727" width="0" style="163" hidden="1" customWidth="1"/>
    <col min="10728" max="10728" width="11.109375" style="163" customWidth="1"/>
    <col min="10729" max="10729" width="12.77734375" style="163" customWidth="1"/>
    <col min="10730" max="10730" width="14.77734375" style="163" customWidth="1"/>
    <col min="10731" max="10731" width="12.88671875" style="163" customWidth="1"/>
    <col min="10732" max="10732" width="11.6640625" style="163" customWidth="1"/>
    <col min="10733" max="10733" width="11.109375" style="163" customWidth="1"/>
    <col min="10734" max="10734" width="11.6640625" style="163" customWidth="1"/>
    <col min="10735" max="10735" width="0" style="163" hidden="1" customWidth="1"/>
    <col min="10736" max="10736" width="11.77734375" style="163" customWidth="1"/>
    <col min="10737" max="10738" width="0" style="163" hidden="1" customWidth="1"/>
    <col min="10739" max="10739" width="10" style="163" customWidth="1"/>
    <col min="10740" max="10742" width="0" style="163" hidden="1" customWidth="1"/>
    <col min="10743" max="10744" width="9.77734375" style="163" customWidth="1"/>
    <col min="10745" max="10745" width="10" style="163" customWidth="1"/>
    <col min="10746" max="10746" width="20.33203125" style="163" customWidth="1"/>
    <col min="10747" max="10750" width="0" style="163" hidden="1" customWidth="1"/>
    <col min="10751" max="10976" width="9.109375" style="163"/>
    <col min="10977" max="10977" width="6" style="163" customWidth="1"/>
    <col min="10978" max="10978" width="49.88671875" style="163" customWidth="1"/>
    <col min="10979" max="10979" width="12.6640625" style="163" customWidth="1"/>
    <col min="10980" max="10980" width="17.109375" style="163" customWidth="1"/>
    <col min="10981" max="10981" width="11.88671875" style="163" customWidth="1"/>
    <col min="10982" max="10983" width="0" style="163" hidden="1" customWidth="1"/>
    <col min="10984" max="10984" width="11.109375" style="163" customWidth="1"/>
    <col min="10985" max="10985" width="12.77734375" style="163" customWidth="1"/>
    <col min="10986" max="10986" width="14.77734375" style="163" customWidth="1"/>
    <col min="10987" max="10987" width="12.88671875" style="163" customWidth="1"/>
    <col min="10988" max="10988" width="11.6640625" style="163" customWidth="1"/>
    <col min="10989" max="10989" width="11.109375" style="163" customWidth="1"/>
    <col min="10990" max="10990" width="11.6640625" style="163" customWidth="1"/>
    <col min="10991" max="10991" width="0" style="163" hidden="1" customWidth="1"/>
    <col min="10992" max="10992" width="11.77734375" style="163" customWidth="1"/>
    <col min="10993" max="10994" width="0" style="163" hidden="1" customWidth="1"/>
    <col min="10995" max="10995" width="10" style="163" customWidth="1"/>
    <col min="10996" max="10998" width="0" style="163" hidden="1" customWidth="1"/>
    <col min="10999" max="11000" width="9.77734375" style="163" customWidth="1"/>
    <col min="11001" max="11001" width="10" style="163" customWidth="1"/>
    <col min="11002" max="11002" width="20.33203125" style="163" customWidth="1"/>
    <col min="11003" max="11006" width="0" style="163" hidden="1" customWidth="1"/>
    <col min="11007" max="11232" width="9.109375" style="163"/>
    <col min="11233" max="11233" width="6" style="163" customWidth="1"/>
    <col min="11234" max="11234" width="49.88671875" style="163" customWidth="1"/>
    <col min="11235" max="11235" width="12.6640625" style="163" customWidth="1"/>
    <col min="11236" max="11236" width="17.109375" style="163" customWidth="1"/>
    <col min="11237" max="11237" width="11.88671875" style="163" customWidth="1"/>
    <col min="11238" max="11239" width="0" style="163" hidden="1" customWidth="1"/>
    <col min="11240" max="11240" width="11.109375" style="163" customWidth="1"/>
    <col min="11241" max="11241" width="12.77734375" style="163" customWidth="1"/>
    <col min="11242" max="11242" width="14.77734375" style="163" customWidth="1"/>
    <col min="11243" max="11243" width="12.88671875" style="163" customWidth="1"/>
    <col min="11244" max="11244" width="11.6640625" style="163" customWidth="1"/>
    <col min="11245" max="11245" width="11.109375" style="163" customWidth="1"/>
    <col min="11246" max="11246" width="11.6640625" style="163" customWidth="1"/>
    <col min="11247" max="11247" width="0" style="163" hidden="1" customWidth="1"/>
    <col min="11248" max="11248" width="11.77734375" style="163" customWidth="1"/>
    <col min="11249" max="11250" width="0" style="163" hidden="1" customWidth="1"/>
    <col min="11251" max="11251" width="10" style="163" customWidth="1"/>
    <col min="11252" max="11254" width="0" style="163" hidden="1" customWidth="1"/>
    <col min="11255" max="11256" width="9.77734375" style="163" customWidth="1"/>
    <col min="11257" max="11257" width="10" style="163" customWidth="1"/>
    <col min="11258" max="11258" width="20.33203125" style="163" customWidth="1"/>
    <col min="11259" max="11262" width="0" style="163" hidden="1" customWidth="1"/>
    <col min="11263" max="11488" width="9.109375" style="163"/>
    <col min="11489" max="11489" width="6" style="163" customWidth="1"/>
    <col min="11490" max="11490" width="49.88671875" style="163" customWidth="1"/>
    <col min="11491" max="11491" width="12.6640625" style="163" customWidth="1"/>
    <col min="11492" max="11492" width="17.109375" style="163" customWidth="1"/>
    <col min="11493" max="11493" width="11.88671875" style="163" customWidth="1"/>
    <col min="11494" max="11495" width="0" style="163" hidden="1" customWidth="1"/>
    <col min="11496" max="11496" width="11.109375" style="163" customWidth="1"/>
    <col min="11497" max="11497" width="12.77734375" style="163" customWidth="1"/>
    <col min="11498" max="11498" width="14.77734375" style="163" customWidth="1"/>
    <col min="11499" max="11499" width="12.88671875" style="163" customWidth="1"/>
    <col min="11500" max="11500" width="11.6640625" style="163" customWidth="1"/>
    <col min="11501" max="11501" width="11.109375" style="163" customWidth="1"/>
    <col min="11502" max="11502" width="11.6640625" style="163" customWidth="1"/>
    <col min="11503" max="11503" width="0" style="163" hidden="1" customWidth="1"/>
    <col min="11504" max="11504" width="11.77734375" style="163" customWidth="1"/>
    <col min="11505" max="11506" width="0" style="163" hidden="1" customWidth="1"/>
    <col min="11507" max="11507" width="10" style="163" customWidth="1"/>
    <col min="11508" max="11510" width="0" style="163" hidden="1" customWidth="1"/>
    <col min="11511" max="11512" width="9.77734375" style="163" customWidth="1"/>
    <col min="11513" max="11513" width="10" style="163" customWidth="1"/>
    <col min="11514" max="11514" width="20.33203125" style="163" customWidth="1"/>
    <col min="11515" max="11518" width="0" style="163" hidden="1" customWidth="1"/>
    <col min="11519" max="11744" width="9.109375" style="163"/>
    <col min="11745" max="11745" width="6" style="163" customWidth="1"/>
    <col min="11746" max="11746" width="49.88671875" style="163" customWidth="1"/>
    <col min="11747" max="11747" width="12.6640625" style="163" customWidth="1"/>
    <col min="11748" max="11748" width="17.109375" style="163" customWidth="1"/>
    <col min="11749" max="11749" width="11.88671875" style="163" customWidth="1"/>
    <col min="11750" max="11751" width="0" style="163" hidden="1" customWidth="1"/>
    <col min="11752" max="11752" width="11.109375" style="163" customWidth="1"/>
    <col min="11753" max="11753" width="12.77734375" style="163" customWidth="1"/>
    <col min="11754" max="11754" width="14.77734375" style="163" customWidth="1"/>
    <col min="11755" max="11755" width="12.88671875" style="163" customWidth="1"/>
    <col min="11756" max="11756" width="11.6640625" style="163" customWidth="1"/>
    <col min="11757" max="11757" width="11.109375" style="163" customWidth="1"/>
    <col min="11758" max="11758" width="11.6640625" style="163" customWidth="1"/>
    <col min="11759" max="11759" width="0" style="163" hidden="1" customWidth="1"/>
    <col min="11760" max="11760" width="11.77734375" style="163" customWidth="1"/>
    <col min="11761" max="11762" width="0" style="163" hidden="1" customWidth="1"/>
    <col min="11763" max="11763" width="10" style="163" customWidth="1"/>
    <col min="11764" max="11766" width="0" style="163" hidden="1" customWidth="1"/>
    <col min="11767" max="11768" width="9.77734375" style="163" customWidth="1"/>
    <col min="11769" max="11769" width="10" style="163" customWidth="1"/>
    <col min="11770" max="11770" width="20.33203125" style="163" customWidth="1"/>
    <col min="11771" max="11774" width="0" style="163" hidden="1" customWidth="1"/>
    <col min="11775" max="12000" width="9.109375" style="163"/>
    <col min="12001" max="12001" width="6" style="163" customWidth="1"/>
    <col min="12002" max="12002" width="49.88671875" style="163" customWidth="1"/>
    <col min="12003" max="12003" width="12.6640625" style="163" customWidth="1"/>
    <col min="12004" max="12004" width="17.109375" style="163" customWidth="1"/>
    <col min="12005" max="12005" width="11.88671875" style="163" customWidth="1"/>
    <col min="12006" max="12007" width="0" style="163" hidden="1" customWidth="1"/>
    <col min="12008" max="12008" width="11.109375" style="163" customWidth="1"/>
    <col min="12009" max="12009" width="12.77734375" style="163" customWidth="1"/>
    <col min="12010" max="12010" width="14.77734375" style="163" customWidth="1"/>
    <col min="12011" max="12011" width="12.88671875" style="163" customWidth="1"/>
    <col min="12012" max="12012" width="11.6640625" style="163" customWidth="1"/>
    <col min="12013" max="12013" width="11.109375" style="163" customWidth="1"/>
    <col min="12014" max="12014" width="11.6640625" style="163" customWidth="1"/>
    <col min="12015" max="12015" width="0" style="163" hidden="1" customWidth="1"/>
    <col min="12016" max="12016" width="11.77734375" style="163" customWidth="1"/>
    <col min="12017" max="12018" width="0" style="163" hidden="1" customWidth="1"/>
    <col min="12019" max="12019" width="10" style="163" customWidth="1"/>
    <col min="12020" max="12022" width="0" style="163" hidden="1" customWidth="1"/>
    <col min="12023" max="12024" width="9.77734375" style="163" customWidth="1"/>
    <col min="12025" max="12025" width="10" style="163" customWidth="1"/>
    <col min="12026" max="12026" width="20.33203125" style="163" customWidth="1"/>
    <col min="12027" max="12030" width="0" style="163" hidden="1" customWidth="1"/>
    <col min="12031" max="12256" width="9.109375" style="163"/>
    <col min="12257" max="12257" width="6" style="163" customWidth="1"/>
    <col min="12258" max="12258" width="49.88671875" style="163" customWidth="1"/>
    <col min="12259" max="12259" width="12.6640625" style="163" customWidth="1"/>
    <col min="12260" max="12260" width="17.109375" style="163" customWidth="1"/>
    <col min="12261" max="12261" width="11.88671875" style="163" customWidth="1"/>
    <col min="12262" max="12263" width="0" style="163" hidden="1" customWidth="1"/>
    <col min="12264" max="12264" width="11.109375" style="163" customWidth="1"/>
    <col min="12265" max="12265" width="12.77734375" style="163" customWidth="1"/>
    <col min="12266" max="12266" width="14.77734375" style="163" customWidth="1"/>
    <col min="12267" max="12267" width="12.88671875" style="163" customWidth="1"/>
    <col min="12268" max="12268" width="11.6640625" style="163" customWidth="1"/>
    <col min="12269" max="12269" width="11.109375" style="163" customWidth="1"/>
    <col min="12270" max="12270" width="11.6640625" style="163" customWidth="1"/>
    <col min="12271" max="12271" width="0" style="163" hidden="1" customWidth="1"/>
    <col min="12272" max="12272" width="11.77734375" style="163" customWidth="1"/>
    <col min="12273" max="12274" width="0" style="163" hidden="1" customWidth="1"/>
    <col min="12275" max="12275" width="10" style="163" customWidth="1"/>
    <col min="12276" max="12278" width="0" style="163" hidden="1" customWidth="1"/>
    <col min="12279" max="12280" width="9.77734375" style="163" customWidth="1"/>
    <col min="12281" max="12281" width="10" style="163" customWidth="1"/>
    <col min="12282" max="12282" width="20.33203125" style="163" customWidth="1"/>
    <col min="12283" max="12286" width="0" style="163" hidden="1" customWidth="1"/>
    <col min="12287" max="12512" width="9.109375" style="163"/>
    <col min="12513" max="12513" width="6" style="163" customWidth="1"/>
    <col min="12514" max="12514" width="49.88671875" style="163" customWidth="1"/>
    <col min="12515" max="12515" width="12.6640625" style="163" customWidth="1"/>
    <col min="12516" max="12516" width="17.109375" style="163" customWidth="1"/>
    <col min="12517" max="12517" width="11.88671875" style="163" customWidth="1"/>
    <col min="12518" max="12519" width="0" style="163" hidden="1" customWidth="1"/>
    <col min="12520" max="12520" width="11.109375" style="163" customWidth="1"/>
    <col min="12521" max="12521" width="12.77734375" style="163" customWidth="1"/>
    <col min="12522" max="12522" width="14.77734375" style="163" customWidth="1"/>
    <col min="12523" max="12523" width="12.88671875" style="163" customWidth="1"/>
    <col min="12524" max="12524" width="11.6640625" style="163" customWidth="1"/>
    <col min="12525" max="12525" width="11.109375" style="163" customWidth="1"/>
    <col min="12526" max="12526" width="11.6640625" style="163" customWidth="1"/>
    <col min="12527" max="12527" width="0" style="163" hidden="1" customWidth="1"/>
    <col min="12528" max="12528" width="11.77734375" style="163" customWidth="1"/>
    <col min="12529" max="12530" width="0" style="163" hidden="1" customWidth="1"/>
    <col min="12531" max="12531" width="10" style="163" customWidth="1"/>
    <col min="12532" max="12534" width="0" style="163" hidden="1" customWidth="1"/>
    <col min="12535" max="12536" width="9.77734375" style="163" customWidth="1"/>
    <col min="12537" max="12537" width="10" style="163" customWidth="1"/>
    <col min="12538" max="12538" width="20.33203125" style="163" customWidth="1"/>
    <col min="12539" max="12542" width="0" style="163" hidden="1" customWidth="1"/>
    <col min="12543" max="12768" width="9.109375" style="163"/>
    <col min="12769" max="12769" width="6" style="163" customWidth="1"/>
    <col min="12770" max="12770" width="49.88671875" style="163" customWidth="1"/>
    <col min="12771" max="12771" width="12.6640625" style="163" customWidth="1"/>
    <col min="12772" max="12772" width="17.109375" style="163" customWidth="1"/>
    <col min="12773" max="12773" width="11.88671875" style="163" customWidth="1"/>
    <col min="12774" max="12775" width="0" style="163" hidden="1" customWidth="1"/>
    <col min="12776" max="12776" width="11.109375" style="163" customWidth="1"/>
    <col min="12777" max="12777" width="12.77734375" style="163" customWidth="1"/>
    <col min="12778" max="12778" width="14.77734375" style="163" customWidth="1"/>
    <col min="12779" max="12779" width="12.88671875" style="163" customWidth="1"/>
    <col min="12780" max="12780" width="11.6640625" style="163" customWidth="1"/>
    <col min="12781" max="12781" width="11.109375" style="163" customWidth="1"/>
    <col min="12782" max="12782" width="11.6640625" style="163" customWidth="1"/>
    <col min="12783" max="12783" width="0" style="163" hidden="1" customWidth="1"/>
    <col min="12784" max="12784" width="11.77734375" style="163" customWidth="1"/>
    <col min="12785" max="12786" width="0" style="163" hidden="1" customWidth="1"/>
    <col min="12787" max="12787" width="10" style="163" customWidth="1"/>
    <col min="12788" max="12790" width="0" style="163" hidden="1" customWidth="1"/>
    <col min="12791" max="12792" width="9.77734375" style="163" customWidth="1"/>
    <col min="12793" max="12793" width="10" style="163" customWidth="1"/>
    <col min="12794" max="12794" width="20.33203125" style="163" customWidth="1"/>
    <col min="12795" max="12798" width="0" style="163" hidden="1" customWidth="1"/>
    <col min="12799" max="13024" width="9.109375" style="163"/>
    <col min="13025" max="13025" width="6" style="163" customWidth="1"/>
    <col min="13026" max="13026" width="49.88671875" style="163" customWidth="1"/>
    <col min="13027" max="13027" width="12.6640625" style="163" customWidth="1"/>
    <col min="13028" max="13028" width="17.109375" style="163" customWidth="1"/>
    <col min="13029" max="13029" width="11.88671875" style="163" customWidth="1"/>
    <col min="13030" max="13031" width="0" style="163" hidden="1" customWidth="1"/>
    <col min="13032" max="13032" width="11.109375" style="163" customWidth="1"/>
    <col min="13033" max="13033" width="12.77734375" style="163" customWidth="1"/>
    <col min="13034" max="13034" width="14.77734375" style="163" customWidth="1"/>
    <col min="13035" max="13035" width="12.88671875" style="163" customWidth="1"/>
    <col min="13036" max="13036" width="11.6640625" style="163" customWidth="1"/>
    <col min="13037" max="13037" width="11.109375" style="163" customWidth="1"/>
    <col min="13038" max="13038" width="11.6640625" style="163" customWidth="1"/>
    <col min="13039" max="13039" width="0" style="163" hidden="1" customWidth="1"/>
    <col min="13040" max="13040" width="11.77734375" style="163" customWidth="1"/>
    <col min="13041" max="13042" width="0" style="163" hidden="1" customWidth="1"/>
    <col min="13043" max="13043" width="10" style="163" customWidth="1"/>
    <col min="13044" max="13046" width="0" style="163" hidden="1" customWidth="1"/>
    <col min="13047" max="13048" width="9.77734375" style="163" customWidth="1"/>
    <col min="13049" max="13049" width="10" style="163" customWidth="1"/>
    <col min="13050" max="13050" width="20.33203125" style="163" customWidth="1"/>
    <col min="13051" max="13054" width="0" style="163" hidden="1" customWidth="1"/>
    <col min="13055" max="13280" width="9.109375" style="163"/>
    <col min="13281" max="13281" width="6" style="163" customWidth="1"/>
    <col min="13282" max="13282" width="49.88671875" style="163" customWidth="1"/>
    <col min="13283" max="13283" width="12.6640625" style="163" customWidth="1"/>
    <col min="13284" max="13284" width="17.109375" style="163" customWidth="1"/>
    <col min="13285" max="13285" width="11.88671875" style="163" customWidth="1"/>
    <col min="13286" max="13287" width="0" style="163" hidden="1" customWidth="1"/>
    <col min="13288" max="13288" width="11.109375" style="163" customWidth="1"/>
    <col min="13289" max="13289" width="12.77734375" style="163" customWidth="1"/>
    <col min="13290" max="13290" width="14.77734375" style="163" customWidth="1"/>
    <col min="13291" max="13291" width="12.88671875" style="163" customWidth="1"/>
    <col min="13292" max="13292" width="11.6640625" style="163" customWidth="1"/>
    <col min="13293" max="13293" width="11.109375" style="163" customWidth="1"/>
    <col min="13294" max="13294" width="11.6640625" style="163" customWidth="1"/>
    <col min="13295" max="13295" width="0" style="163" hidden="1" customWidth="1"/>
    <col min="13296" max="13296" width="11.77734375" style="163" customWidth="1"/>
    <col min="13297" max="13298" width="0" style="163" hidden="1" customWidth="1"/>
    <col min="13299" max="13299" width="10" style="163" customWidth="1"/>
    <col min="13300" max="13302" width="0" style="163" hidden="1" customWidth="1"/>
    <col min="13303" max="13304" width="9.77734375" style="163" customWidth="1"/>
    <col min="13305" max="13305" width="10" style="163" customWidth="1"/>
    <col min="13306" max="13306" width="20.33203125" style="163" customWidth="1"/>
    <col min="13307" max="13310" width="0" style="163" hidden="1" customWidth="1"/>
    <col min="13311" max="13536" width="9.109375" style="163"/>
    <col min="13537" max="13537" width="6" style="163" customWidth="1"/>
    <col min="13538" max="13538" width="49.88671875" style="163" customWidth="1"/>
    <col min="13539" max="13539" width="12.6640625" style="163" customWidth="1"/>
    <col min="13540" max="13540" width="17.109375" style="163" customWidth="1"/>
    <col min="13541" max="13541" width="11.88671875" style="163" customWidth="1"/>
    <col min="13542" max="13543" width="0" style="163" hidden="1" customWidth="1"/>
    <col min="13544" max="13544" width="11.109375" style="163" customWidth="1"/>
    <col min="13545" max="13545" width="12.77734375" style="163" customWidth="1"/>
    <col min="13546" max="13546" width="14.77734375" style="163" customWidth="1"/>
    <col min="13547" max="13547" width="12.88671875" style="163" customWidth="1"/>
    <col min="13548" max="13548" width="11.6640625" style="163" customWidth="1"/>
    <col min="13549" max="13549" width="11.109375" style="163" customWidth="1"/>
    <col min="13550" max="13550" width="11.6640625" style="163" customWidth="1"/>
    <col min="13551" max="13551" width="0" style="163" hidden="1" customWidth="1"/>
    <col min="13552" max="13552" width="11.77734375" style="163" customWidth="1"/>
    <col min="13553" max="13554" width="0" style="163" hidden="1" customWidth="1"/>
    <col min="13555" max="13555" width="10" style="163" customWidth="1"/>
    <col min="13556" max="13558" width="0" style="163" hidden="1" customWidth="1"/>
    <col min="13559" max="13560" width="9.77734375" style="163" customWidth="1"/>
    <col min="13561" max="13561" width="10" style="163" customWidth="1"/>
    <col min="13562" max="13562" width="20.33203125" style="163" customWidth="1"/>
    <col min="13563" max="13566" width="0" style="163" hidden="1" customWidth="1"/>
    <col min="13567" max="13792" width="9.109375" style="163"/>
    <col min="13793" max="13793" width="6" style="163" customWidth="1"/>
    <col min="13794" max="13794" width="49.88671875" style="163" customWidth="1"/>
    <col min="13795" max="13795" width="12.6640625" style="163" customWidth="1"/>
    <col min="13796" max="13796" width="17.109375" style="163" customWidth="1"/>
    <col min="13797" max="13797" width="11.88671875" style="163" customWidth="1"/>
    <col min="13798" max="13799" width="0" style="163" hidden="1" customWidth="1"/>
    <col min="13800" max="13800" width="11.109375" style="163" customWidth="1"/>
    <col min="13801" max="13801" width="12.77734375" style="163" customWidth="1"/>
    <col min="13802" max="13802" width="14.77734375" style="163" customWidth="1"/>
    <col min="13803" max="13803" width="12.88671875" style="163" customWidth="1"/>
    <col min="13804" max="13804" width="11.6640625" style="163" customWidth="1"/>
    <col min="13805" max="13805" width="11.109375" style="163" customWidth="1"/>
    <col min="13806" max="13806" width="11.6640625" style="163" customWidth="1"/>
    <col min="13807" max="13807" width="0" style="163" hidden="1" customWidth="1"/>
    <col min="13808" max="13808" width="11.77734375" style="163" customWidth="1"/>
    <col min="13809" max="13810" width="0" style="163" hidden="1" customWidth="1"/>
    <col min="13811" max="13811" width="10" style="163" customWidth="1"/>
    <col min="13812" max="13814" width="0" style="163" hidden="1" customWidth="1"/>
    <col min="13815" max="13816" width="9.77734375" style="163" customWidth="1"/>
    <col min="13817" max="13817" width="10" style="163" customWidth="1"/>
    <col min="13818" max="13818" width="20.33203125" style="163" customWidth="1"/>
    <col min="13819" max="13822" width="0" style="163" hidden="1" customWidth="1"/>
    <col min="13823" max="14048" width="9.109375" style="163"/>
    <col min="14049" max="14049" width="6" style="163" customWidth="1"/>
    <col min="14050" max="14050" width="49.88671875" style="163" customWidth="1"/>
    <col min="14051" max="14051" width="12.6640625" style="163" customWidth="1"/>
    <col min="14052" max="14052" width="17.109375" style="163" customWidth="1"/>
    <col min="14053" max="14053" width="11.88671875" style="163" customWidth="1"/>
    <col min="14054" max="14055" width="0" style="163" hidden="1" customWidth="1"/>
    <col min="14056" max="14056" width="11.109375" style="163" customWidth="1"/>
    <col min="14057" max="14057" width="12.77734375" style="163" customWidth="1"/>
    <col min="14058" max="14058" width="14.77734375" style="163" customWidth="1"/>
    <col min="14059" max="14059" width="12.88671875" style="163" customWidth="1"/>
    <col min="14060" max="14060" width="11.6640625" style="163" customWidth="1"/>
    <col min="14061" max="14061" width="11.109375" style="163" customWidth="1"/>
    <col min="14062" max="14062" width="11.6640625" style="163" customWidth="1"/>
    <col min="14063" max="14063" width="0" style="163" hidden="1" customWidth="1"/>
    <col min="14064" max="14064" width="11.77734375" style="163" customWidth="1"/>
    <col min="14065" max="14066" width="0" style="163" hidden="1" customWidth="1"/>
    <col min="14067" max="14067" width="10" style="163" customWidth="1"/>
    <col min="14068" max="14070" width="0" style="163" hidden="1" customWidth="1"/>
    <col min="14071" max="14072" width="9.77734375" style="163" customWidth="1"/>
    <col min="14073" max="14073" width="10" style="163" customWidth="1"/>
    <col min="14074" max="14074" width="20.33203125" style="163" customWidth="1"/>
    <col min="14075" max="14078" width="0" style="163" hidden="1" customWidth="1"/>
    <col min="14079" max="14304" width="9.109375" style="163"/>
    <col min="14305" max="14305" width="6" style="163" customWidth="1"/>
    <col min="14306" max="14306" width="49.88671875" style="163" customWidth="1"/>
    <col min="14307" max="14307" width="12.6640625" style="163" customWidth="1"/>
    <col min="14308" max="14308" width="17.109375" style="163" customWidth="1"/>
    <col min="14309" max="14309" width="11.88671875" style="163" customWidth="1"/>
    <col min="14310" max="14311" width="0" style="163" hidden="1" customWidth="1"/>
    <col min="14312" max="14312" width="11.109375" style="163" customWidth="1"/>
    <col min="14313" max="14313" width="12.77734375" style="163" customWidth="1"/>
    <col min="14314" max="14314" width="14.77734375" style="163" customWidth="1"/>
    <col min="14315" max="14315" width="12.88671875" style="163" customWidth="1"/>
    <col min="14316" max="14316" width="11.6640625" style="163" customWidth="1"/>
    <col min="14317" max="14317" width="11.109375" style="163" customWidth="1"/>
    <col min="14318" max="14318" width="11.6640625" style="163" customWidth="1"/>
    <col min="14319" max="14319" width="0" style="163" hidden="1" customWidth="1"/>
    <col min="14320" max="14320" width="11.77734375" style="163" customWidth="1"/>
    <col min="14321" max="14322" width="0" style="163" hidden="1" customWidth="1"/>
    <col min="14323" max="14323" width="10" style="163" customWidth="1"/>
    <col min="14324" max="14326" width="0" style="163" hidden="1" customWidth="1"/>
    <col min="14327" max="14328" width="9.77734375" style="163" customWidth="1"/>
    <col min="14329" max="14329" width="10" style="163" customWidth="1"/>
    <col min="14330" max="14330" width="20.33203125" style="163" customWidth="1"/>
    <col min="14331" max="14334" width="0" style="163" hidden="1" customWidth="1"/>
    <col min="14335" max="14560" width="9.109375" style="163"/>
    <col min="14561" max="14561" width="6" style="163" customWidth="1"/>
    <col min="14562" max="14562" width="49.88671875" style="163" customWidth="1"/>
    <col min="14563" max="14563" width="12.6640625" style="163" customWidth="1"/>
    <col min="14564" max="14564" width="17.109375" style="163" customWidth="1"/>
    <col min="14565" max="14565" width="11.88671875" style="163" customWidth="1"/>
    <col min="14566" max="14567" width="0" style="163" hidden="1" customWidth="1"/>
    <col min="14568" max="14568" width="11.109375" style="163" customWidth="1"/>
    <col min="14569" max="14569" width="12.77734375" style="163" customWidth="1"/>
    <col min="14570" max="14570" width="14.77734375" style="163" customWidth="1"/>
    <col min="14571" max="14571" width="12.88671875" style="163" customWidth="1"/>
    <col min="14572" max="14572" width="11.6640625" style="163" customWidth="1"/>
    <col min="14573" max="14573" width="11.109375" style="163" customWidth="1"/>
    <col min="14574" max="14574" width="11.6640625" style="163" customWidth="1"/>
    <col min="14575" max="14575" width="0" style="163" hidden="1" customWidth="1"/>
    <col min="14576" max="14576" width="11.77734375" style="163" customWidth="1"/>
    <col min="14577" max="14578" width="0" style="163" hidden="1" customWidth="1"/>
    <col min="14579" max="14579" width="10" style="163" customWidth="1"/>
    <col min="14580" max="14582" width="0" style="163" hidden="1" customWidth="1"/>
    <col min="14583" max="14584" width="9.77734375" style="163" customWidth="1"/>
    <col min="14585" max="14585" width="10" style="163" customWidth="1"/>
    <col min="14586" max="14586" width="20.33203125" style="163" customWidth="1"/>
    <col min="14587" max="14590" width="0" style="163" hidden="1" customWidth="1"/>
    <col min="14591" max="14816" width="9.109375" style="163"/>
    <col min="14817" max="14817" width="6" style="163" customWidth="1"/>
    <col min="14818" max="14818" width="49.88671875" style="163" customWidth="1"/>
    <col min="14819" max="14819" width="12.6640625" style="163" customWidth="1"/>
    <col min="14820" max="14820" width="17.109375" style="163" customWidth="1"/>
    <col min="14821" max="14821" width="11.88671875" style="163" customWidth="1"/>
    <col min="14822" max="14823" width="0" style="163" hidden="1" customWidth="1"/>
    <col min="14824" max="14824" width="11.109375" style="163" customWidth="1"/>
    <col min="14825" max="14825" width="12.77734375" style="163" customWidth="1"/>
    <col min="14826" max="14826" width="14.77734375" style="163" customWidth="1"/>
    <col min="14827" max="14827" width="12.88671875" style="163" customWidth="1"/>
    <col min="14828" max="14828" width="11.6640625" style="163" customWidth="1"/>
    <col min="14829" max="14829" width="11.109375" style="163" customWidth="1"/>
    <col min="14830" max="14830" width="11.6640625" style="163" customWidth="1"/>
    <col min="14831" max="14831" width="0" style="163" hidden="1" customWidth="1"/>
    <col min="14832" max="14832" width="11.77734375" style="163" customWidth="1"/>
    <col min="14833" max="14834" width="0" style="163" hidden="1" customWidth="1"/>
    <col min="14835" max="14835" width="10" style="163" customWidth="1"/>
    <col min="14836" max="14838" width="0" style="163" hidden="1" customWidth="1"/>
    <col min="14839" max="14840" width="9.77734375" style="163" customWidth="1"/>
    <col min="14841" max="14841" width="10" style="163" customWidth="1"/>
    <col min="14842" max="14842" width="20.33203125" style="163" customWidth="1"/>
    <col min="14843" max="14846" width="0" style="163" hidden="1" customWidth="1"/>
    <col min="14847" max="15072" width="9.109375" style="163"/>
    <col min="15073" max="15073" width="6" style="163" customWidth="1"/>
    <col min="15074" max="15074" width="49.88671875" style="163" customWidth="1"/>
    <col min="15075" max="15075" width="12.6640625" style="163" customWidth="1"/>
    <col min="15076" max="15076" width="17.109375" style="163" customWidth="1"/>
    <col min="15077" max="15077" width="11.88671875" style="163" customWidth="1"/>
    <col min="15078" max="15079" width="0" style="163" hidden="1" customWidth="1"/>
    <col min="15080" max="15080" width="11.109375" style="163" customWidth="1"/>
    <col min="15081" max="15081" width="12.77734375" style="163" customWidth="1"/>
    <col min="15082" max="15082" width="14.77734375" style="163" customWidth="1"/>
    <col min="15083" max="15083" width="12.88671875" style="163" customWidth="1"/>
    <col min="15084" max="15084" width="11.6640625" style="163" customWidth="1"/>
    <col min="15085" max="15085" width="11.109375" style="163" customWidth="1"/>
    <col min="15086" max="15086" width="11.6640625" style="163" customWidth="1"/>
    <col min="15087" max="15087" width="0" style="163" hidden="1" customWidth="1"/>
    <col min="15088" max="15088" width="11.77734375" style="163" customWidth="1"/>
    <col min="15089" max="15090" width="0" style="163" hidden="1" customWidth="1"/>
    <col min="15091" max="15091" width="10" style="163" customWidth="1"/>
    <col min="15092" max="15094" width="0" style="163" hidden="1" customWidth="1"/>
    <col min="15095" max="15096" width="9.77734375" style="163" customWidth="1"/>
    <col min="15097" max="15097" width="10" style="163" customWidth="1"/>
    <col min="15098" max="15098" width="20.33203125" style="163" customWidth="1"/>
    <col min="15099" max="15102" width="0" style="163" hidden="1" customWidth="1"/>
    <col min="15103" max="15328" width="9.109375" style="163"/>
    <col min="15329" max="15329" width="6" style="163" customWidth="1"/>
    <col min="15330" max="15330" width="49.88671875" style="163" customWidth="1"/>
    <col min="15331" max="15331" width="12.6640625" style="163" customWidth="1"/>
    <col min="15332" max="15332" width="17.109375" style="163" customWidth="1"/>
    <col min="15333" max="15333" width="11.88671875" style="163" customWidth="1"/>
    <col min="15334" max="15335" width="0" style="163" hidden="1" customWidth="1"/>
    <col min="15336" max="15336" width="11.109375" style="163" customWidth="1"/>
    <col min="15337" max="15337" width="12.77734375" style="163" customWidth="1"/>
    <col min="15338" max="15338" width="14.77734375" style="163" customWidth="1"/>
    <col min="15339" max="15339" width="12.88671875" style="163" customWidth="1"/>
    <col min="15340" max="15340" width="11.6640625" style="163" customWidth="1"/>
    <col min="15341" max="15341" width="11.109375" style="163" customWidth="1"/>
    <col min="15342" max="15342" width="11.6640625" style="163" customWidth="1"/>
    <col min="15343" max="15343" width="0" style="163" hidden="1" customWidth="1"/>
    <col min="15344" max="15344" width="11.77734375" style="163" customWidth="1"/>
    <col min="15345" max="15346" width="0" style="163" hidden="1" customWidth="1"/>
    <col min="15347" max="15347" width="10" style="163" customWidth="1"/>
    <col min="15348" max="15350" width="0" style="163" hidden="1" customWidth="1"/>
    <col min="15351" max="15352" width="9.77734375" style="163" customWidth="1"/>
    <col min="15353" max="15353" width="10" style="163" customWidth="1"/>
    <col min="15354" max="15354" width="20.33203125" style="163" customWidth="1"/>
    <col min="15355" max="15358" width="0" style="163" hidden="1" customWidth="1"/>
    <col min="15359" max="15584" width="9.109375" style="163"/>
    <col min="15585" max="15585" width="6" style="163" customWidth="1"/>
    <col min="15586" max="15586" width="49.88671875" style="163" customWidth="1"/>
    <col min="15587" max="15587" width="12.6640625" style="163" customWidth="1"/>
    <col min="15588" max="15588" width="17.109375" style="163" customWidth="1"/>
    <col min="15589" max="15589" width="11.88671875" style="163" customWidth="1"/>
    <col min="15590" max="15591" width="0" style="163" hidden="1" customWidth="1"/>
    <col min="15592" max="15592" width="11.109375" style="163" customWidth="1"/>
    <col min="15593" max="15593" width="12.77734375" style="163" customWidth="1"/>
    <col min="15594" max="15594" width="14.77734375" style="163" customWidth="1"/>
    <col min="15595" max="15595" width="12.88671875" style="163" customWidth="1"/>
    <col min="15596" max="15596" width="11.6640625" style="163" customWidth="1"/>
    <col min="15597" max="15597" width="11.109375" style="163" customWidth="1"/>
    <col min="15598" max="15598" width="11.6640625" style="163" customWidth="1"/>
    <col min="15599" max="15599" width="0" style="163" hidden="1" customWidth="1"/>
    <col min="15600" max="15600" width="11.77734375" style="163" customWidth="1"/>
    <col min="15601" max="15602" width="0" style="163" hidden="1" customWidth="1"/>
    <col min="15603" max="15603" width="10" style="163" customWidth="1"/>
    <col min="15604" max="15606" width="0" style="163" hidden="1" customWidth="1"/>
    <col min="15607" max="15608" width="9.77734375" style="163" customWidth="1"/>
    <col min="15609" max="15609" width="10" style="163" customWidth="1"/>
    <col min="15610" max="15610" width="20.33203125" style="163" customWidth="1"/>
    <col min="15611" max="15614" width="0" style="163" hidden="1" customWidth="1"/>
    <col min="15615" max="15840" width="9.109375" style="163"/>
    <col min="15841" max="15841" width="6" style="163" customWidth="1"/>
    <col min="15842" max="15842" width="49.88671875" style="163" customWidth="1"/>
    <col min="15843" max="15843" width="12.6640625" style="163" customWidth="1"/>
    <col min="15844" max="15844" width="17.109375" style="163" customWidth="1"/>
    <col min="15845" max="15845" width="11.88671875" style="163" customWidth="1"/>
    <col min="15846" max="15847" width="0" style="163" hidden="1" customWidth="1"/>
    <col min="15848" max="15848" width="11.109375" style="163" customWidth="1"/>
    <col min="15849" max="15849" width="12.77734375" style="163" customWidth="1"/>
    <col min="15850" max="15850" width="14.77734375" style="163" customWidth="1"/>
    <col min="15851" max="15851" width="12.88671875" style="163" customWidth="1"/>
    <col min="15852" max="15852" width="11.6640625" style="163" customWidth="1"/>
    <col min="15853" max="15853" width="11.109375" style="163" customWidth="1"/>
    <col min="15854" max="15854" width="11.6640625" style="163" customWidth="1"/>
    <col min="15855" max="15855" width="0" style="163" hidden="1" customWidth="1"/>
    <col min="15856" max="15856" width="11.77734375" style="163" customWidth="1"/>
    <col min="15857" max="15858" width="0" style="163" hidden="1" customWidth="1"/>
    <col min="15859" max="15859" width="10" style="163" customWidth="1"/>
    <col min="15860" max="15862" width="0" style="163" hidden="1" customWidth="1"/>
    <col min="15863" max="15864" width="9.77734375" style="163" customWidth="1"/>
    <col min="15865" max="15865" width="10" style="163" customWidth="1"/>
    <col min="15866" max="15866" width="20.33203125" style="163" customWidth="1"/>
    <col min="15867" max="15870" width="0" style="163" hidden="1" customWidth="1"/>
    <col min="15871" max="16096" width="9.109375" style="163"/>
    <col min="16097" max="16097" width="6" style="163" customWidth="1"/>
    <col min="16098" max="16098" width="49.88671875" style="163" customWidth="1"/>
    <col min="16099" max="16099" width="12.6640625" style="163" customWidth="1"/>
    <col min="16100" max="16100" width="17.109375" style="163" customWidth="1"/>
    <col min="16101" max="16101" width="11.88671875" style="163" customWidth="1"/>
    <col min="16102" max="16103" width="0" style="163" hidden="1" customWidth="1"/>
    <col min="16104" max="16104" width="11.109375" style="163" customWidth="1"/>
    <col min="16105" max="16105" width="12.77734375" style="163" customWidth="1"/>
    <col min="16106" max="16106" width="14.77734375" style="163" customWidth="1"/>
    <col min="16107" max="16107" width="12.88671875" style="163" customWidth="1"/>
    <col min="16108" max="16108" width="11.6640625" style="163" customWidth="1"/>
    <col min="16109" max="16109" width="11.109375" style="163" customWidth="1"/>
    <col min="16110" max="16110" width="11.6640625" style="163" customWidth="1"/>
    <col min="16111" max="16111" width="0" style="163" hidden="1" customWidth="1"/>
    <col min="16112" max="16112" width="11.77734375" style="163" customWidth="1"/>
    <col min="16113" max="16114" width="0" style="163" hidden="1" customWidth="1"/>
    <col min="16115" max="16115" width="10" style="163" customWidth="1"/>
    <col min="16116" max="16118" width="0" style="163" hidden="1" customWidth="1"/>
    <col min="16119" max="16120" width="9.77734375" style="163" customWidth="1"/>
    <col min="16121" max="16121" width="10" style="163" customWidth="1"/>
    <col min="16122" max="16122" width="20.33203125" style="163" customWidth="1"/>
    <col min="16123" max="16126" width="0" style="163" hidden="1" customWidth="1"/>
    <col min="16127" max="16384" width="9.109375" style="163"/>
  </cols>
  <sheetData>
    <row r="2" spans="1:16" s="168" customFormat="1" ht="25.5" customHeight="1">
      <c r="A2" s="823" t="s">
        <v>162</v>
      </c>
      <c r="B2" s="823"/>
      <c r="C2" s="823"/>
      <c r="D2" s="823"/>
      <c r="E2" s="823"/>
      <c r="F2" s="823"/>
      <c r="G2" s="823"/>
      <c r="H2" s="823"/>
      <c r="I2" s="823"/>
      <c r="J2" s="823"/>
      <c r="K2" s="823"/>
      <c r="L2" s="823"/>
      <c r="M2" s="823"/>
      <c r="N2" s="823"/>
      <c r="O2" s="823"/>
      <c r="P2" s="823"/>
    </row>
    <row r="3" spans="1:16" ht="12.75" customHeight="1">
      <c r="A3" s="169"/>
      <c r="B3" s="169"/>
      <c r="C3" s="170"/>
      <c r="D3" s="171"/>
      <c r="E3" s="170"/>
      <c r="F3" s="169"/>
      <c r="G3" s="172"/>
      <c r="H3" s="172"/>
      <c r="I3" s="172"/>
      <c r="J3" s="172"/>
      <c r="K3" s="824" t="s">
        <v>163</v>
      </c>
      <c r="L3" s="824"/>
      <c r="M3" s="824"/>
      <c r="N3" s="824"/>
      <c r="O3" s="824"/>
      <c r="P3" s="824"/>
    </row>
    <row r="4" spans="1:16" ht="35.25" customHeight="1">
      <c r="A4" s="825" t="s">
        <v>16</v>
      </c>
      <c r="B4" s="828" t="s">
        <v>67</v>
      </c>
      <c r="C4" s="828" t="s">
        <v>164</v>
      </c>
      <c r="D4" s="831" t="s">
        <v>165</v>
      </c>
      <c r="E4" s="831" t="s">
        <v>166</v>
      </c>
      <c r="F4" s="831" t="s">
        <v>167</v>
      </c>
      <c r="G4" s="817" t="s">
        <v>168</v>
      </c>
      <c r="H4" s="820" t="s">
        <v>169</v>
      </c>
      <c r="I4" s="821"/>
      <c r="J4" s="822"/>
      <c r="K4" s="820" t="s">
        <v>170</v>
      </c>
      <c r="L4" s="821"/>
      <c r="M4" s="822"/>
      <c r="N4" s="817" t="s">
        <v>171</v>
      </c>
      <c r="O4" s="834" t="s">
        <v>172</v>
      </c>
      <c r="P4" s="828" t="s">
        <v>32</v>
      </c>
    </row>
    <row r="5" spans="1:16" ht="12.75" customHeight="1">
      <c r="A5" s="826"/>
      <c r="B5" s="829"/>
      <c r="C5" s="829"/>
      <c r="D5" s="832"/>
      <c r="E5" s="832"/>
      <c r="F5" s="832"/>
      <c r="G5" s="818"/>
      <c r="H5" s="817" t="s">
        <v>28</v>
      </c>
      <c r="I5" s="817" t="s">
        <v>173</v>
      </c>
      <c r="J5" s="817" t="s">
        <v>174</v>
      </c>
      <c r="K5" s="817" t="s">
        <v>28</v>
      </c>
      <c r="L5" s="817" t="s">
        <v>175</v>
      </c>
      <c r="M5" s="817" t="s">
        <v>176</v>
      </c>
      <c r="N5" s="818"/>
      <c r="O5" s="835"/>
      <c r="P5" s="829"/>
    </row>
    <row r="6" spans="1:16" s="173" customFormat="1" ht="12.75" customHeight="1">
      <c r="A6" s="826"/>
      <c r="B6" s="829"/>
      <c r="C6" s="829"/>
      <c r="D6" s="832"/>
      <c r="E6" s="832"/>
      <c r="F6" s="832"/>
      <c r="G6" s="818"/>
      <c r="H6" s="818"/>
      <c r="I6" s="818"/>
      <c r="J6" s="818"/>
      <c r="K6" s="818"/>
      <c r="L6" s="818"/>
      <c r="M6" s="818"/>
      <c r="N6" s="818"/>
      <c r="O6" s="835"/>
      <c r="P6" s="829"/>
    </row>
    <row r="7" spans="1:16" ht="62.25" customHeight="1">
      <c r="A7" s="827"/>
      <c r="B7" s="830"/>
      <c r="C7" s="830"/>
      <c r="D7" s="833"/>
      <c r="E7" s="833"/>
      <c r="F7" s="833"/>
      <c r="G7" s="819"/>
      <c r="H7" s="819"/>
      <c r="I7" s="819"/>
      <c r="J7" s="819"/>
      <c r="K7" s="819"/>
      <c r="L7" s="819"/>
      <c r="M7" s="819"/>
      <c r="N7" s="819"/>
      <c r="O7" s="836"/>
      <c r="P7" s="830"/>
    </row>
    <row r="8" spans="1:16" s="177" customFormat="1" ht="28.5" customHeight="1">
      <c r="A8" s="174" t="s">
        <v>37</v>
      </c>
      <c r="B8" s="175" t="s">
        <v>177</v>
      </c>
      <c r="C8" s="174"/>
      <c r="D8" s="174"/>
      <c r="E8" s="174"/>
      <c r="F8" s="174">
        <f t="shared" ref="F8:N8" si="0">SUM(F9:F109)/2</f>
        <v>883209.6</v>
      </c>
      <c r="G8" s="174">
        <f t="shared" si="0"/>
        <v>838835.28695400001</v>
      </c>
      <c r="H8" s="174">
        <f t="shared" si="0"/>
        <v>222048.09953199993</v>
      </c>
      <c r="I8" s="174">
        <f t="shared" si="0"/>
        <v>11491.090578000001</v>
      </c>
      <c r="J8" s="174">
        <f t="shared" si="0"/>
        <v>210557.00895399999</v>
      </c>
      <c r="K8" s="174">
        <f t="shared" si="0"/>
        <v>55379.818678999975</v>
      </c>
      <c r="L8" s="174">
        <f t="shared" si="0"/>
        <v>2650.1874000000003</v>
      </c>
      <c r="M8" s="174">
        <f t="shared" si="0"/>
        <v>52729.631278999979</v>
      </c>
      <c r="N8" s="174">
        <f t="shared" si="0"/>
        <v>654038.5861010002</v>
      </c>
      <c r="O8" s="176">
        <f t="shared" ref="O8:O19" si="1">+K8/H8</f>
        <v>0.24940460555943214</v>
      </c>
      <c r="P8" s="174"/>
    </row>
    <row r="9" spans="1:16" s="289" customFormat="1" ht="28.5" customHeight="1">
      <c r="A9" s="282" t="s">
        <v>36</v>
      </c>
      <c r="B9" s="283" t="s">
        <v>109</v>
      </c>
      <c r="C9" s="282"/>
      <c r="D9" s="284">
        <v>0</v>
      </c>
      <c r="E9" s="285"/>
      <c r="F9" s="286">
        <f t="shared" ref="F9:N9" si="2">SUM(F10:F12)</f>
        <v>28769</v>
      </c>
      <c r="G9" s="286">
        <f t="shared" si="2"/>
        <v>18373.977999999999</v>
      </c>
      <c r="H9" s="286">
        <f t="shared" si="2"/>
        <v>8060</v>
      </c>
      <c r="I9" s="286">
        <f t="shared" si="2"/>
        <v>0</v>
      </c>
      <c r="J9" s="286">
        <f t="shared" si="2"/>
        <v>8060</v>
      </c>
      <c r="K9" s="286">
        <f t="shared" si="2"/>
        <v>5624.5929999999998</v>
      </c>
      <c r="L9" s="286">
        <f t="shared" si="2"/>
        <v>0</v>
      </c>
      <c r="M9" s="286">
        <f t="shared" si="2"/>
        <v>5624.5929999999998</v>
      </c>
      <c r="N9" s="286">
        <f t="shared" si="2"/>
        <v>15938.571</v>
      </c>
      <c r="O9" s="287">
        <f t="shared" si="1"/>
        <v>0.6978403225806451</v>
      </c>
      <c r="P9" s="288"/>
    </row>
    <row r="10" spans="1:16" s="299" customFormat="1" ht="48" customHeight="1">
      <c r="A10" s="290">
        <v>1</v>
      </c>
      <c r="B10" s="291" t="s">
        <v>178</v>
      </c>
      <c r="C10" s="292"/>
      <c r="D10" s="293">
        <v>2023</v>
      </c>
      <c r="E10" s="292" t="s">
        <v>179</v>
      </c>
      <c r="F10" s="294">
        <v>14000</v>
      </c>
      <c r="G10" s="295">
        <f>3733.978+H10</f>
        <v>9733.9779999999992</v>
      </c>
      <c r="H10" s="295">
        <f t="shared" ref="H10:H12" si="3">SUM(I10:J10)</f>
        <v>6000</v>
      </c>
      <c r="I10" s="295"/>
      <c r="J10" s="296">
        <v>6000</v>
      </c>
      <c r="K10" s="295">
        <f t="shared" ref="K10:K11" si="4">SUM(L10:M10)</f>
        <v>3564.5929999999998</v>
      </c>
      <c r="L10" s="295"/>
      <c r="M10" s="295">
        <v>3564.5929999999998</v>
      </c>
      <c r="N10" s="295">
        <f>3733.978+K10</f>
        <v>7298.5709999999999</v>
      </c>
      <c r="O10" s="297">
        <f t="shared" si="1"/>
        <v>0.59409883333333335</v>
      </c>
      <c r="P10" s="298"/>
    </row>
    <row r="11" spans="1:16" s="299" customFormat="1" ht="48" customHeight="1">
      <c r="A11" s="300">
        <v>2</v>
      </c>
      <c r="B11" s="291" t="s">
        <v>180</v>
      </c>
      <c r="C11" s="292"/>
      <c r="D11" s="293">
        <v>2023</v>
      </c>
      <c r="E11" s="292" t="s">
        <v>181</v>
      </c>
      <c r="F11" s="294">
        <v>8769</v>
      </c>
      <c r="G11" s="295">
        <f>2480+H11</f>
        <v>4540</v>
      </c>
      <c r="H11" s="295">
        <f t="shared" si="3"/>
        <v>2060</v>
      </c>
      <c r="I11" s="295"/>
      <c r="J11" s="296">
        <v>2060</v>
      </c>
      <c r="K11" s="295">
        <f t="shared" si="4"/>
        <v>2060</v>
      </c>
      <c r="L11" s="295"/>
      <c r="M11" s="301">
        <v>2060</v>
      </c>
      <c r="N11" s="295">
        <f>2480+K11</f>
        <v>4540</v>
      </c>
      <c r="O11" s="297">
        <f t="shared" si="1"/>
        <v>1</v>
      </c>
      <c r="P11" s="298"/>
    </row>
    <row r="12" spans="1:16" s="299" customFormat="1" ht="48" customHeight="1">
      <c r="A12" s="290">
        <v>5</v>
      </c>
      <c r="B12" s="291" t="s">
        <v>184</v>
      </c>
      <c r="C12" s="293"/>
      <c r="D12" s="293">
        <v>2024</v>
      </c>
      <c r="E12" s="302" t="s">
        <v>185</v>
      </c>
      <c r="F12" s="303">
        <v>6000</v>
      </c>
      <c r="G12" s="295">
        <v>4100</v>
      </c>
      <c r="H12" s="295">
        <f t="shared" si="3"/>
        <v>0</v>
      </c>
      <c r="I12" s="295"/>
      <c r="J12" s="296"/>
      <c r="K12" s="295"/>
      <c r="L12" s="295"/>
      <c r="M12" s="295"/>
      <c r="N12" s="295">
        <v>4100</v>
      </c>
      <c r="O12" s="297" t="e">
        <f t="shared" si="1"/>
        <v>#DIV/0!</v>
      </c>
      <c r="P12" s="298"/>
    </row>
    <row r="13" spans="1:16" s="181" customFormat="1" ht="31.5" customHeight="1">
      <c r="A13" s="18" t="s">
        <v>43</v>
      </c>
      <c r="B13" s="19" t="s">
        <v>187</v>
      </c>
      <c r="C13" s="73"/>
      <c r="D13" s="178"/>
      <c r="E13" s="187">
        <v>0</v>
      </c>
      <c r="F13" s="188">
        <f>SUM(F18:F27)</f>
        <v>52297</v>
      </c>
      <c r="G13" s="174">
        <f t="shared" ref="G13:N13" si="5">SUM(G18:G27)</f>
        <v>25696.908953999999</v>
      </c>
      <c r="H13" s="174">
        <f t="shared" si="5"/>
        <v>14958.908954</v>
      </c>
      <c r="I13" s="174">
        <f t="shared" si="5"/>
        <v>0</v>
      </c>
      <c r="J13" s="174">
        <f t="shared" si="5"/>
        <v>14958.908954</v>
      </c>
      <c r="K13" s="174">
        <f t="shared" si="5"/>
        <v>5965.6100000000006</v>
      </c>
      <c r="L13" s="174">
        <f t="shared" si="5"/>
        <v>0</v>
      </c>
      <c r="M13" s="174">
        <f t="shared" si="5"/>
        <v>5965.6100000000006</v>
      </c>
      <c r="N13" s="174">
        <f t="shared" si="5"/>
        <v>16703.609999999997</v>
      </c>
      <c r="O13" s="176">
        <f t="shared" si="1"/>
        <v>0.39879980674692195</v>
      </c>
      <c r="P13" s="180"/>
    </row>
    <row r="14" spans="1:16" s="181" customFormat="1" ht="31.5" customHeight="1">
      <c r="A14" s="18"/>
      <c r="B14" s="19"/>
      <c r="C14" s="73"/>
      <c r="D14" s="178"/>
      <c r="E14" s="187"/>
      <c r="F14" s="188"/>
      <c r="G14" s="174"/>
      <c r="H14" s="174"/>
      <c r="I14" s="174"/>
      <c r="J14" s="174"/>
      <c r="K14" s="174"/>
      <c r="L14" s="174"/>
      <c r="M14" s="174"/>
      <c r="N14" s="174"/>
      <c r="O14" s="176"/>
      <c r="P14" s="180"/>
    </row>
    <row r="15" spans="1:16" s="181" customFormat="1" ht="31.5" customHeight="1">
      <c r="A15" s="18"/>
      <c r="B15" s="19"/>
      <c r="C15" s="73"/>
      <c r="D15" s="178"/>
      <c r="E15" s="187"/>
      <c r="F15" s="188"/>
      <c r="G15" s="174"/>
      <c r="H15" s="174"/>
      <c r="I15" s="174"/>
      <c r="J15" s="174"/>
      <c r="K15" s="174"/>
      <c r="L15" s="174"/>
      <c r="M15" s="174"/>
      <c r="N15" s="174"/>
      <c r="O15" s="176"/>
      <c r="P15" s="180"/>
    </row>
    <row r="16" spans="1:16" s="181" customFormat="1" ht="31.5" customHeight="1">
      <c r="A16" s="18"/>
      <c r="B16" s="19"/>
      <c r="C16" s="73"/>
      <c r="D16" s="178"/>
      <c r="E16" s="187"/>
      <c r="F16" s="188"/>
      <c r="G16" s="174"/>
      <c r="H16" s="174"/>
      <c r="I16" s="174"/>
      <c r="J16" s="174"/>
      <c r="K16" s="174"/>
      <c r="L16" s="174"/>
      <c r="M16" s="174"/>
      <c r="N16" s="174"/>
      <c r="O16" s="176"/>
      <c r="P16" s="180"/>
    </row>
    <row r="17" spans="1:16" s="181" customFormat="1" ht="31.5" customHeight="1">
      <c r="A17" s="18"/>
      <c r="B17" s="19"/>
      <c r="C17" s="73"/>
      <c r="D17" s="178"/>
      <c r="E17" s="187"/>
      <c r="F17" s="188"/>
      <c r="G17" s="174"/>
      <c r="H17" s="174"/>
      <c r="I17" s="174"/>
      <c r="J17" s="174"/>
      <c r="K17" s="174"/>
      <c r="L17" s="174"/>
      <c r="M17" s="174"/>
      <c r="N17" s="174"/>
      <c r="O17" s="176"/>
      <c r="P17" s="180"/>
    </row>
    <row r="18" spans="1:16" ht="41.25" customHeight="1">
      <c r="A18" s="189" t="s">
        <v>188</v>
      </c>
      <c r="B18" s="190" t="s">
        <v>189</v>
      </c>
      <c r="C18" s="191"/>
      <c r="D18" s="192"/>
      <c r="E18" s="193"/>
      <c r="F18" s="35"/>
      <c r="G18" s="183">
        <v>0</v>
      </c>
      <c r="H18" s="183">
        <f t="shared" ref="H18:H58" si="6">SUM(I18:J18)</f>
        <v>0</v>
      </c>
      <c r="I18" s="183"/>
      <c r="J18" s="184"/>
      <c r="K18" s="183">
        <f t="shared" ref="K18:K58" si="7">SUM(L18:M18)</f>
        <v>0</v>
      </c>
      <c r="L18" s="184"/>
      <c r="M18" s="183"/>
      <c r="N18" s="184"/>
      <c r="O18" s="185" t="e">
        <f t="shared" si="1"/>
        <v>#DIV/0!</v>
      </c>
      <c r="P18" s="186"/>
    </row>
    <row r="19" spans="1:16" ht="44.25" customHeight="1">
      <c r="A19" s="194" t="s">
        <v>89</v>
      </c>
      <c r="B19" s="195" t="s">
        <v>190</v>
      </c>
      <c r="C19" s="193"/>
      <c r="D19" s="196" t="s">
        <v>191</v>
      </c>
      <c r="E19" s="193" t="s">
        <v>192</v>
      </c>
      <c r="F19" s="34">
        <v>25662</v>
      </c>
      <c r="G19" s="183">
        <f>4000+H19</f>
        <v>4640</v>
      </c>
      <c r="H19" s="183">
        <f t="shared" si="6"/>
        <v>640</v>
      </c>
      <c r="I19" s="183"/>
      <c r="J19" s="184">
        <v>640</v>
      </c>
      <c r="K19" s="183">
        <f t="shared" si="7"/>
        <v>0</v>
      </c>
      <c r="L19" s="184"/>
      <c r="M19" s="183"/>
      <c r="N19" s="184">
        <f>4000+K19</f>
        <v>4000</v>
      </c>
      <c r="O19" s="185">
        <f t="shared" si="1"/>
        <v>0</v>
      </c>
      <c r="P19" s="23" t="s">
        <v>193</v>
      </c>
    </row>
    <row r="20" spans="1:16" ht="31.5" customHeight="1">
      <c r="A20" s="189" t="s">
        <v>78</v>
      </c>
      <c r="B20" s="190" t="s">
        <v>194</v>
      </c>
      <c r="C20" s="191"/>
      <c r="D20" s="192"/>
      <c r="E20" s="193"/>
      <c r="F20" s="35"/>
      <c r="G20" s="183">
        <v>0</v>
      </c>
      <c r="H20" s="183">
        <f t="shared" si="6"/>
        <v>0</v>
      </c>
      <c r="I20" s="183"/>
      <c r="J20" s="184"/>
      <c r="K20" s="183">
        <f t="shared" si="7"/>
        <v>0</v>
      </c>
      <c r="L20" s="184"/>
      <c r="M20" s="183"/>
      <c r="N20" s="184"/>
      <c r="O20" s="185"/>
      <c r="P20" s="197"/>
    </row>
    <row r="21" spans="1:16" ht="47.25" customHeight="1">
      <c r="A21" s="194" t="s">
        <v>89</v>
      </c>
      <c r="B21" s="198" t="s">
        <v>195</v>
      </c>
      <c r="C21" s="199"/>
      <c r="D21" s="192" t="s">
        <v>196</v>
      </c>
      <c r="E21" s="23" t="s">
        <v>197</v>
      </c>
      <c r="F21" s="35">
        <v>6860</v>
      </c>
      <c r="G21" s="183">
        <f>5133+H21</f>
        <v>5853</v>
      </c>
      <c r="H21" s="183">
        <f t="shared" si="6"/>
        <v>720</v>
      </c>
      <c r="I21" s="183"/>
      <c r="J21" s="184">
        <v>720</v>
      </c>
      <c r="K21" s="183">
        <f t="shared" si="7"/>
        <v>0</v>
      </c>
      <c r="L21" s="184"/>
      <c r="M21" s="183"/>
      <c r="N21" s="184">
        <f>5133+K21</f>
        <v>5133</v>
      </c>
      <c r="O21" s="185">
        <f>+K21/H21</f>
        <v>0</v>
      </c>
      <c r="P21" s="197"/>
    </row>
    <row r="22" spans="1:16" ht="47.25" customHeight="1">
      <c r="A22" s="200">
        <v>2</v>
      </c>
      <c r="B22" s="198" t="s">
        <v>198</v>
      </c>
      <c r="C22" s="199"/>
      <c r="D22" s="192" t="s">
        <v>196</v>
      </c>
      <c r="E22" s="193" t="s">
        <v>199</v>
      </c>
      <c r="F22" s="35">
        <v>4000</v>
      </c>
      <c r="G22" s="183">
        <f>1010+H22</f>
        <v>3310</v>
      </c>
      <c r="H22" s="183">
        <f t="shared" si="6"/>
        <v>2300</v>
      </c>
      <c r="I22" s="183"/>
      <c r="J22" s="184">
        <v>2300</v>
      </c>
      <c r="K22" s="183">
        <f t="shared" si="7"/>
        <v>1550.796</v>
      </c>
      <c r="L22" s="184"/>
      <c r="M22" s="183">
        <v>1550.796</v>
      </c>
      <c r="N22" s="184">
        <f>1010+K22</f>
        <v>2560.7960000000003</v>
      </c>
      <c r="O22" s="185">
        <f>+K22/H22</f>
        <v>0.67425913043478258</v>
      </c>
      <c r="P22" s="197"/>
    </row>
    <row r="23" spans="1:16" ht="31.5" customHeight="1">
      <c r="A23" s="189" t="s">
        <v>78</v>
      </c>
      <c r="B23" s="190" t="s">
        <v>200</v>
      </c>
      <c r="C23" s="191"/>
      <c r="D23" s="192"/>
      <c r="E23" s="193"/>
      <c r="F23" s="35"/>
      <c r="G23" s="183">
        <v>0</v>
      </c>
      <c r="H23" s="183">
        <f t="shared" si="6"/>
        <v>0</v>
      </c>
      <c r="I23" s="183"/>
      <c r="J23" s="184"/>
      <c r="K23" s="183">
        <f t="shared" si="7"/>
        <v>0</v>
      </c>
      <c r="L23" s="184"/>
      <c r="M23" s="183"/>
      <c r="N23" s="184"/>
      <c r="O23" s="185"/>
      <c r="P23" s="197"/>
    </row>
    <row r="24" spans="1:16" ht="45" customHeight="1">
      <c r="A24" s="200">
        <v>1</v>
      </c>
      <c r="B24" s="198" t="s">
        <v>201</v>
      </c>
      <c r="C24" s="199" t="s">
        <v>202</v>
      </c>
      <c r="D24" s="192" t="s">
        <v>196</v>
      </c>
      <c r="E24" s="193" t="s">
        <v>203</v>
      </c>
      <c r="F24" s="35">
        <v>7000</v>
      </c>
      <c r="G24" s="183">
        <f>295+H24</f>
        <v>5104.9089540000004</v>
      </c>
      <c r="H24" s="183">
        <f t="shared" si="6"/>
        <v>4809.9089540000004</v>
      </c>
      <c r="I24" s="183"/>
      <c r="J24" s="201">
        <f>(4700000000+109908954)/1000000</f>
        <v>4809.9089540000004</v>
      </c>
      <c r="K24" s="183">
        <f t="shared" si="7"/>
        <v>2398.3609999999999</v>
      </c>
      <c r="L24" s="184"/>
      <c r="M24" s="184">
        <f>117.977+2280.384</f>
        <v>2398.3609999999999</v>
      </c>
      <c r="N24" s="184">
        <f>295+K24</f>
        <v>2693.3609999999999</v>
      </c>
      <c r="O24" s="185">
        <f t="shared" ref="O24:O85" si="8">+K24/H24</f>
        <v>0.49862918881353935</v>
      </c>
      <c r="P24" s="23" t="s">
        <v>193</v>
      </c>
    </row>
    <row r="25" spans="1:16" ht="45" customHeight="1">
      <c r="A25" s="200">
        <v>2</v>
      </c>
      <c r="B25" s="198" t="s">
        <v>204</v>
      </c>
      <c r="C25" s="199"/>
      <c r="D25" s="192" t="s">
        <v>196</v>
      </c>
      <c r="E25" s="193" t="s">
        <v>205</v>
      </c>
      <c r="F25" s="35">
        <v>3500</v>
      </c>
      <c r="G25" s="183">
        <f>130+H25</f>
        <v>2500</v>
      </c>
      <c r="H25" s="183">
        <f t="shared" si="6"/>
        <v>2370</v>
      </c>
      <c r="I25" s="183"/>
      <c r="J25" s="184">
        <v>2370</v>
      </c>
      <c r="K25" s="183">
        <f t="shared" si="7"/>
        <v>956.55100000000004</v>
      </c>
      <c r="L25" s="184"/>
      <c r="M25" s="202">
        <v>956.55100000000004</v>
      </c>
      <c r="N25" s="184">
        <f>130+K25</f>
        <v>1086.5509999999999</v>
      </c>
      <c r="O25" s="185">
        <f t="shared" si="8"/>
        <v>0.40360801687763714</v>
      </c>
      <c r="P25" s="23"/>
    </row>
    <row r="26" spans="1:16" ht="45" customHeight="1">
      <c r="A26" s="200">
        <v>3</v>
      </c>
      <c r="B26" s="198" t="s">
        <v>206</v>
      </c>
      <c r="C26" s="199"/>
      <c r="D26" s="192" t="s">
        <v>207</v>
      </c>
      <c r="E26" s="193" t="s">
        <v>208</v>
      </c>
      <c r="F26" s="35">
        <v>1000</v>
      </c>
      <c r="G26" s="183">
        <f>+H26</f>
        <v>1000</v>
      </c>
      <c r="H26" s="183">
        <f t="shared" si="6"/>
        <v>1000</v>
      </c>
      <c r="I26" s="183"/>
      <c r="J26" s="184">
        <v>1000</v>
      </c>
      <c r="K26" s="183">
        <f t="shared" si="7"/>
        <v>55.354999999999997</v>
      </c>
      <c r="L26" s="184"/>
      <c r="M26" s="184">
        <v>55.354999999999997</v>
      </c>
      <c r="N26" s="184">
        <f>+K26</f>
        <v>55.354999999999997</v>
      </c>
      <c r="O26" s="185">
        <f t="shared" si="8"/>
        <v>5.5354999999999994E-2</v>
      </c>
      <c r="P26" s="23"/>
    </row>
    <row r="27" spans="1:16" ht="45" customHeight="1">
      <c r="A27" s="200">
        <v>4</v>
      </c>
      <c r="B27" s="198" t="s">
        <v>209</v>
      </c>
      <c r="C27" s="199"/>
      <c r="D27" s="192" t="s">
        <v>196</v>
      </c>
      <c r="E27" s="193" t="s">
        <v>210</v>
      </c>
      <c r="F27" s="35">
        <v>4275</v>
      </c>
      <c r="G27" s="183">
        <f>170+H27</f>
        <v>3289</v>
      </c>
      <c r="H27" s="183">
        <f t="shared" si="6"/>
        <v>3119</v>
      </c>
      <c r="I27" s="183"/>
      <c r="J27" s="184">
        <v>3119</v>
      </c>
      <c r="K27" s="183">
        <f t="shared" si="7"/>
        <v>1004.547</v>
      </c>
      <c r="L27" s="184"/>
      <c r="M27" s="184">
        <v>1004.547</v>
      </c>
      <c r="N27" s="184">
        <f>170+K27</f>
        <v>1174.547</v>
      </c>
      <c r="O27" s="185">
        <f t="shared" si="8"/>
        <v>0.32207342096825908</v>
      </c>
      <c r="P27" s="23"/>
    </row>
    <row r="28" spans="1:16" s="181" customFormat="1" ht="28.5" customHeight="1">
      <c r="A28" s="18" t="s">
        <v>53</v>
      </c>
      <c r="B28" s="19" t="s">
        <v>211</v>
      </c>
      <c r="C28" s="73"/>
      <c r="D28" s="178"/>
      <c r="E28" s="187">
        <v>0</v>
      </c>
      <c r="F28" s="22">
        <f>SUM(F29:F29)</f>
        <v>22400</v>
      </c>
      <c r="G28" s="174">
        <f>SUM(G29:G29)</f>
        <v>20492</v>
      </c>
      <c r="H28" s="174">
        <f t="shared" ref="H28:N28" si="9">SUM(H29:H29)</f>
        <v>5092</v>
      </c>
      <c r="I28" s="174">
        <f t="shared" si="9"/>
        <v>0</v>
      </c>
      <c r="J28" s="174">
        <f t="shared" si="9"/>
        <v>5092</v>
      </c>
      <c r="K28" s="174">
        <f t="shared" si="9"/>
        <v>4952.3819999999996</v>
      </c>
      <c r="L28" s="174">
        <f t="shared" si="9"/>
        <v>0</v>
      </c>
      <c r="M28" s="174">
        <f t="shared" si="9"/>
        <v>4952.3819999999996</v>
      </c>
      <c r="N28" s="174">
        <f t="shared" si="9"/>
        <v>20352.381999999998</v>
      </c>
      <c r="O28" s="185">
        <f t="shared" si="8"/>
        <v>0.97258091123330703</v>
      </c>
      <c r="P28" s="180"/>
    </row>
    <row r="29" spans="1:16" ht="43.5" customHeight="1">
      <c r="A29" s="144">
        <v>4</v>
      </c>
      <c r="B29" s="32" t="s">
        <v>128</v>
      </c>
      <c r="C29" s="23"/>
      <c r="D29" s="192" t="s">
        <v>212</v>
      </c>
      <c r="E29" s="193" t="s">
        <v>213</v>
      </c>
      <c r="F29" s="35">
        <v>22400</v>
      </c>
      <c r="G29" s="183">
        <f>15400+H29</f>
        <v>20492</v>
      </c>
      <c r="H29" s="89">
        <f>SUM(I29:J29)</f>
        <v>5092</v>
      </c>
      <c r="I29" s="183"/>
      <c r="J29" s="183">
        <v>5092</v>
      </c>
      <c r="K29" s="183">
        <f>SUM(L29:M29)</f>
        <v>4952.3819999999996</v>
      </c>
      <c r="L29" s="184"/>
      <c r="M29" s="183">
        <v>4952.3819999999996</v>
      </c>
      <c r="N29" s="184">
        <f>12400+3000+K29</f>
        <v>20352.381999999998</v>
      </c>
      <c r="O29" s="185">
        <f t="shared" si="8"/>
        <v>0.97258091123330703</v>
      </c>
      <c r="P29" s="186"/>
    </row>
    <row r="30" spans="1:16" ht="43.5" customHeight="1">
      <c r="A30" s="144"/>
      <c r="B30" s="32"/>
      <c r="C30" s="23"/>
      <c r="D30" s="192"/>
      <c r="E30" s="193"/>
      <c r="F30" s="35"/>
      <c r="G30" s="183"/>
      <c r="H30" s="89"/>
      <c r="I30" s="183"/>
      <c r="J30" s="183"/>
      <c r="K30" s="183"/>
      <c r="L30" s="184"/>
      <c r="M30" s="183"/>
      <c r="N30" s="184"/>
      <c r="O30" s="185"/>
      <c r="P30" s="186"/>
    </row>
    <row r="31" spans="1:16" s="181" customFormat="1" ht="33.75" customHeight="1">
      <c r="A31" s="73" t="s">
        <v>54</v>
      </c>
      <c r="B31" s="19" t="s">
        <v>214</v>
      </c>
      <c r="C31" s="73"/>
      <c r="D31" s="203"/>
      <c r="E31" s="191"/>
      <c r="F31" s="174">
        <f t="shared" ref="F31:N31" si="10">SUM(F32:F40)</f>
        <v>20430</v>
      </c>
      <c r="G31" s="174">
        <f t="shared" si="10"/>
        <v>20430</v>
      </c>
      <c r="H31" s="174">
        <f t="shared" si="10"/>
        <v>18172</v>
      </c>
      <c r="I31" s="174">
        <f t="shared" si="10"/>
        <v>0</v>
      </c>
      <c r="J31" s="174">
        <f t="shared" si="10"/>
        <v>18172</v>
      </c>
      <c r="K31" s="174">
        <f t="shared" si="10"/>
        <v>3475.2042520000005</v>
      </c>
      <c r="L31" s="174">
        <f t="shared" si="10"/>
        <v>0</v>
      </c>
      <c r="M31" s="174">
        <f t="shared" si="10"/>
        <v>3475.2042520000005</v>
      </c>
      <c r="N31" s="174">
        <f t="shared" si="10"/>
        <v>5724.800252</v>
      </c>
      <c r="O31" s="176">
        <f t="shared" si="8"/>
        <v>0.19123950319172356</v>
      </c>
      <c r="P31" s="180"/>
    </row>
    <row r="32" spans="1:16" s="181" customFormat="1" ht="45.75" customHeight="1">
      <c r="A32" s="211" t="s">
        <v>78</v>
      </c>
      <c r="B32" s="190" t="s">
        <v>217</v>
      </c>
      <c r="C32" s="191"/>
      <c r="D32" s="212"/>
      <c r="E32" s="213"/>
      <c r="F32" s="214"/>
      <c r="G32" s="183">
        <v>0</v>
      </c>
      <c r="H32" s="183">
        <f t="shared" si="6"/>
        <v>0</v>
      </c>
      <c r="I32" s="215"/>
      <c r="J32" s="216"/>
      <c r="K32" s="183">
        <f t="shared" si="7"/>
        <v>0</v>
      </c>
      <c r="L32" s="174"/>
      <c r="M32" s="174"/>
      <c r="N32" s="183">
        <v>0</v>
      </c>
      <c r="O32" s="185" t="e">
        <f t="shared" si="8"/>
        <v>#DIV/0!</v>
      </c>
      <c r="P32" s="22"/>
    </row>
    <row r="33" spans="1:16" ht="45.75" customHeight="1">
      <c r="A33" s="204" t="s">
        <v>89</v>
      </c>
      <c r="B33" s="217" t="s">
        <v>218</v>
      </c>
      <c r="C33" s="191"/>
      <c r="D33" s="193" t="s">
        <v>196</v>
      </c>
      <c r="E33" s="193" t="s">
        <v>219</v>
      </c>
      <c r="F33" s="218">
        <v>2430</v>
      </c>
      <c r="G33" s="183">
        <f>+F33</f>
        <v>2430</v>
      </c>
      <c r="H33" s="89">
        <f t="shared" si="6"/>
        <v>1700</v>
      </c>
      <c r="I33" s="184"/>
      <c r="J33" s="208">
        <v>1700</v>
      </c>
      <c r="K33" s="183">
        <f t="shared" si="7"/>
        <v>8.4039999999999999</v>
      </c>
      <c r="L33" s="183"/>
      <c r="M33" s="89">
        <v>8.4039999999999999</v>
      </c>
      <c r="N33" s="183">
        <v>730</v>
      </c>
      <c r="O33" s="185">
        <f t="shared" si="8"/>
        <v>4.943529411764706E-3</v>
      </c>
      <c r="P33" s="146"/>
    </row>
    <row r="34" spans="1:16" ht="45.75" customHeight="1">
      <c r="A34" s="204" t="s">
        <v>131</v>
      </c>
      <c r="B34" s="217" t="s">
        <v>220</v>
      </c>
      <c r="C34" s="191"/>
      <c r="D34" s="193" t="s">
        <v>196</v>
      </c>
      <c r="E34" s="193" t="s">
        <v>221</v>
      </c>
      <c r="F34" s="218">
        <v>5000</v>
      </c>
      <c r="G34" s="183">
        <f>+F34</f>
        <v>5000</v>
      </c>
      <c r="H34" s="89">
        <f t="shared" si="6"/>
        <v>4422</v>
      </c>
      <c r="I34" s="184"/>
      <c r="J34" s="208">
        <v>4422</v>
      </c>
      <c r="K34" s="183">
        <f t="shared" si="7"/>
        <v>0</v>
      </c>
      <c r="L34" s="183"/>
      <c r="M34" s="183"/>
      <c r="N34" s="183">
        <v>578</v>
      </c>
      <c r="O34" s="185">
        <f t="shared" si="8"/>
        <v>0</v>
      </c>
      <c r="P34" s="146"/>
    </row>
    <row r="35" spans="1:16" ht="45.75" customHeight="1">
      <c r="A35" s="204" t="s">
        <v>134</v>
      </c>
      <c r="B35" s="217" t="s">
        <v>91</v>
      </c>
      <c r="C35" s="191"/>
      <c r="D35" s="193" t="s">
        <v>196</v>
      </c>
      <c r="E35" s="193" t="s">
        <v>222</v>
      </c>
      <c r="F35" s="218">
        <v>1000</v>
      </c>
      <c r="G35" s="183">
        <f>+F35</f>
        <v>1000</v>
      </c>
      <c r="H35" s="89">
        <f t="shared" si="6"/>
        <v>700</v>
      </c>
      <c r="I35" s="184"/>
      <c r="J35" s="208">
        <v>700</v>
      </c>
      <c r="K35" s="183">
        <f t="shared" si="7"/>
        <v>566.94753200000002</v>
      </c>
      <c r="L35" s="183"/>
      <c r="M35" s="183">
        <v>566.94753200000002</v>
      </c>
      <c r="N35" s="183">
        <f>300+M35</f>
        <v>866.94753200000002</v>
      </c>
      <c r="O35" s="185">
        <f t="shared" si="8"/>
        <v>0.8099250457142857</v>
      </c>
      <c r="P35" s="146"/>
    </row>
    <row r="36" spans="1:16" ht="45.75" customHeight="1">
      <c r="A36" s="204" t="s">
        <v>137</v>
      </c>
      <c r="B36" s="217" t="s">
        <v>155</v>
      </c>
      <c r="C36" s="199"/>
      <c r="D36" s="193" t="s">
        <v>196</v>
      </c>
      <c r="E36" s="193" t="s">
        <v>223</v>
      </c>
      <c r="F36" s="218">
        <v>2340</v>
      </c>
      <c r="G36" s="183">
        <f>+F36</f>
        <v>2340</v>
      </c>
      <c r="H36" s="89">
        <f t="shared" si="6"/>
        <v>1690</v>
      </c>
      <c r="I36" s="184"/>
      <c r="J36" s="208">
        <v>1690</v>
      </c>
      <c r="K36" s="183">
        <f t="shared" si="7"/>
        <v>7.5427200000000001</v>
      </c>
      <c r="L36" s="183"/>
      <c r="M36" s="183">
        <v>7.5427200000000001</v>
      </c>
      <c r="N36" s="183">
        <f>650+M36</f>
        <v>657.54272000000003</v>
      </c>
      <c r="O36" s="185">
        <f t="shared" si="8"/>
        <v>4.4631479289940828E-3</v>
      </c>
      <c r="P36" s="146"/>
    </row>
    <row r="37" spans="1:16" ht="45.75" customHeight="1">
      <c r="A37" s="211" t="s">
        <v>78</v>
      </c>
      <c r="B37" s="219" t="s">
        <v>224</v>
      </c>
      <c r="C37" s="191"/>
      <c r="D37" s="191"/>
      <c r="E37" s="191"/>
      <c r="F37" s="220"/>
      <c r="G37" s="183">
        <f>+H37</f>
        <v>0</v>
      </c>
      <c r="H37" s="183">
        <f t="shared" si="6"/>
        <v>0</v>
      </c>
      <c r="I37" s="184"/>
      <c r="J37" s="208"/>
      <c r="K37" s="183">
        <f t="shared" si="7"/>
        <v>0</v>
      </c>
      <c r="L37" s="183"/>
      <c r="M37" s="183"/>
      <c r="N37" s="183"/>
      <c r="O37" s="185" t="e">
        <f t="shared" si="8"/>
        <v>#DIV/0!</v>
      </c>
      <c r="P37" s="146"/>
    </row>
    <row r="38" spans="1:16" ht="45.75" customHeight="1">
      <c r="A38" s="204" t="s">
        <v>89</v>
      </c>
      <c r="B38" s="217" t="s">
        <v>225</v>
      </c>
      <c r="C38" s="193"/>
      <c r="D38" s="193" t="s">
        <v>196</v>
      </c>
      <c r="E38" s="193" t="s">
        <v>226</v>
      </c>
      <c r="F38" s="218">
        <v>3000</v>
      </c>
      <c r="G38" s="183">
        <f t="shared" ref="G38:G40" si="11">+H38</f>
        <v>3000</v>
      </c>
      <c r="H38" s="89">
        <f t="shared" si="6"/>
        <v>3000</v>
      </c>
      <c r="I38" s="184"/>
      <c r="J38" s="218">
        <v>3000</v>
      </c>
      <c r="K38" s="183">
        <f t="shared" si="7"/>
        <v>914.69399999999996</v>
      </c>
      <c r="L38" s="183"/>
      <c r="M38" s="183">
        <v>914.69399999999996</v>
      </c>
      <c r="N38" s="183">
        <f>+M38</f>
        <v>914.69399999999996</v>
      </c>
      <c r="O38" s="185">
        <f t="shared" si="8"/>
        <v>0.304898</v>
      </c>
      <c r="P38" s="146"/>
    </row>
    <row r="39" spans="1:16" ht="45.75" customHeight="1">
      <c r="A39" s="204" t="s">
        <v>131</v>
      </c>
      <c r="B39" s="217" t="s">
        <v>227</v>
      </c>
      <c r="C39" s="193"/>
      <c r="D39" s="193" t="s">
        <v>196</v>
      </c>
      <c r="E39" s="193" t="s">
        <v>228</v>
      </c>
      <c r="F39" s="218">
        <v>2660</v>
      </c>
      <c r="G39" s="183">
        <f t="shared" si="11"/>
        <v>2660</v>
      </c>
      <c r="H39" s="89">
        <f t="shared" si="6"/>
        <v>2660</v>
      </c>
      <c r="I39" s="184"/>
      <c r="J39" s="218">
        <v>2660</v>
      </c>
      <c r="K39" s="183">
        <f t="shared" si="7"/>
        <v>847.92700000000002</v>
      </c>
      <c r="L39" s="183"/>
      <c r="M39" s="183">
        <v>847.92700000000002</v>
      </c>
      <c r="N39" s="183">
        <f>+M39</f>
        <v>847.92700000000002</v>
      </c>
      <c r="O39" s="185">
        <f t="shared" si="8"/>
        <v>0.31876954887218045</v>
      </c>
      <c r="P39" s="146"/>
    </row>
    <row r="40" spans="1:16" ht="45.75" customHeight="1">
      <c r="A40" s="204" t="s">
        <v>134</v>
      </c>
      <c r="B40" s="217" t="s">
        <v>229</v>
      </c>
      <c r="C40" s="193"/>
      <c r="D40" s="193" t="s">
        <v>196</v>
      </c>
      <c r="E40" s="193" t="s">
        <v>230</v>
      </c>
      <c r="F40" s="218">
        <v>4000</v>
      </c>
      <c r="G40" s="183">
        <f t="shared" si="11"/>
        <v>4000</v>
      </c>
      <c r="H40" s="89">
        <f t="shared" si="6"/>
        <v>4000</v>
      </c>
      <c r="I40" s="184"/>
      <c r="J40" s="218">
        <v>4000</v>
      </c>
      <c r="K40" s="183">
        <f t="shared" si="7"/>
        <v>1129.6890000000001</v>
      </c>
      <c r="L40" s="183"/>
      <c r="M40" s="183">
        <f>199.689+930</f>
        <v>1129.6890000000001</v>
      </c>
      <c r="N40" s="183">
        <f>+M40</f>
        <v>1129.6890000000001</v>
      </c>
      <c r="O40" s="185">
        <f t="shared" si="8"/>
        <v>0.28242225000000004</v>
      </c>
      <c r="P40" s="146"/>
    </row>
    <row r="41" spans="1:16" s="181" customFormat="1" ht="33" customHeight="1">
      <c r="A41" s="73" t="s">
        <v>55</v>
      </c>
      <c r="B41" s="19" t="s">
        <v>139</v>
      </c>
      <c r="C41" s="73"/>
      <c r="D41" s="203"/>
      <c r="E41" s="191"/>
      <c r="F41" s="188">
        <f>SUM(F42:F49)</f>
        <v>163500</v>
      </c>
      <c r="G41" s="174">
        <f t="shared" ref="G41:N41" si="12">SUM(G42:G49)</f>
        <v>163500</v>
      </c>
      <c r="H41" s="174">
        <f t="shared" si="12"/>
        <v>34297.772577999996</v>
      </c>
      <c r="I41" s="174">
        <f t="shared" si="12"/>
        <v>7757.7725780000001</v>
      </c>
      <c r="J41" s="174">
        <f t="shared" si="12"/>
        <v>26540</v>
      </c>
      <c r="K41" s="174">
        <f t="shared" si="12"/>
        <v>2884.5008720000001</v>
      </c>
      <c r="L41" s="174">
        <f t="shared" si="12"/>
        <v>2650.1874000000003</v>
      </c>
      <c r="M41" s="174">
        <f t="shared" si="12"/>
        <v>234.31347199999999</v>
      </c>
      <c r="N41" s="174">
        <f t="shared" si="12"/>
        <v>125850.58389400001</v>
      </c>
      <c r="O41" s="176">
        <f t="shared" si="8"/>
        <v>8.4101696850431562E-2</v>
      </c>
      <c r="P41" s="180"/>
    </row>
    <row r="42" spans="1:16" ht="37.5" customHeight="1">
      <c r="A42" s="23">
        <v>1</v>
      </c>
      <c r="B42" s="221" t="s">
        <v>231</v>
      </c>
      <c r="C42" s="222"/>
      <c r="D42" s="192" t="s">
        <v>232</v>
      </c>
      <c r="E42" s="193" t="s">
        <v>233</v>
      </c>
      <c r="F42" s="35">
        <v>30000</v>
      </c>
      <c r="G42" s="183">
        <f t="shared" ref="G42:G49" si="13">+F42</f>
        <v>30000</v>
      </c>
      <c r="H42" s="183">
        <f t="shared" si="6"/>
        <v>20053.508399999999</v>
      </c>
      <c r="I42" s="183">
        <v>2563.5084000000002</v>
      </c>
      <c r="J42" s="89">
        <v>17490</v>
      </c>
      <c r="K42" s="183">
        <f t="shared" si="7"/>
        <v>2563.5084000000002</v>
      </c>
      <c r="L42" s="183">
        <v>2563.5084000000002</v>
      </c>
      <c r="M42" s="183"/>
      <c r="N42" s="183">
        <v>9946.4916000000012</v>
      </c>
      <c r="O42" s="185">
        <f t="shared" si="8"/>
        <v>0.12783341193304609</v>
      </c>
      <c r="P42" s="186"/>
    </row>
    <row r="43" spans="1:16" s="229" customFormat="1" ht="39.75" customHeight="1">
      <c r="A43" s="28">
        <v>2</v>
      </c>
      <c r="B43" s="223" t="s">
        <v>121</v>
      </c>
      <c r="C43" s="224"/>
      <c r="D43" s="225" t="s">
        <v>232</v>
      </c>
      <c r="E43" s="226" t="s">
        <v>234</v>
      </c>
      <c r="F43" s="120">
        <v>20000</v>
      </c>
      <c r="G43" s="89">
        <f t="shared" si="13"/>
        <v>20000</v>
      </c>
      <c r="H43" s="89">
        <f t="shared" si="6"/>
        <v>59.707000000000001</v>
      </c>
      <c r="I43" s="89">
        <v>59.707000000000001</v>
      </c>
      <c r="J43" s="63"/>
      <c r="K43" s="89">
        <f t="shared" si="7"/>
        <v>0</v>
      </c>
      <c r="L43" s="89"/>
      <c r="M43" s="89"/>
      <c r="N43" s="202">
        <v>19553.293000000001</v>
      </c>
      <c r="O43" s="227">
        <f t="shared" si="8"/>
        <v>0</v>
      </c>
      <c r="P43" s="228"/>
    </row>
    <row r="44" spans="1:16" s="229" customFormat="1" ht="39.75" customHeight="1">
      <c r="A44" s="28">
        <v>3</v>
      </c>
      <c r="B44" s="223" t="s">
        <v>120</v>
      </c>
      <c r="C44" s="224"/>
      <c r="D44" s="225" t="s">
        <v>232</v>
      </c>
      <c r="E44" s="226" t="s">
        <v>235</v>
      </c>
      <c r="F44" s="120">
        <v>30000</v>
      </c>
      <c r="G44" s="89">
        <f t="shared" si="13"/>
        <v>30000</v>
      </c>
      <c r="H44" s="89">
        <f t="shared" si="6"/>
        <v>83.087999999999994</v>
      </c>
      <c r="I44" s="89">
        <v>83.087999999999994</v>
      </c>
      <c r="J44" s="63"/>
      <c r="K44" s="89">
        <f t="shared" si="7"/>
        <v>0</v>
      </c>
      <c r="L44" s="89"/>
      <c r="M44" s="89"/>
      <c r="N44" s="89">
        <v>29130.912</v>
      </c>
      <c r="O44" s="227">
        <f t="shared" si="8"/>
        <v>0</v>
      </c>
      <c r="P44" s="228"/>
    </row>
    <row r="45" spans="1:16" s="229" customFormat="1" ht="47.25" customHeight="1">
      <c r="A45" s="28">
        <v>4</v>
      </c>
      <c r="B45" s="223" t="s">
        <v>119</v>
      </c>
      <c r="C45" s="224"/>
      <c r="D45" s="225" t="s">
        <v>232</v>
      </c>
      <c r="E45" s="226" t="s">
        <v>236</v>
      </c>
      <c r="F45" s="120">
        <v>35000</v>
      </c>
      <c r="G45" s="89">
        <f t="shared" si="13"/>
        <v>35000</v>
      </c>
      <c r="H45" s="89">
        <f t="shared" si="6"/>
        <v>664.34217799999999</v>
      </c>
      <c r="I45" s="89">
        <v>664.34217799999999</v>
      </c>
      <c r="J45" s="63"/>
      <c r="K45" s="89">
        <f t="shared" si="7"/>
        <v>86.679000000000002</v>
      </c>
      <c r="L45" s="89">
        <v>86.679000000000002</v>
      </c>
      <c r="M45" s="89"/>
      <c r="N45" s="89">
        <v>32063.336822000001</v>
      </c>
      <c r="O45" s="227">
        <f t="shared" si="8"/>
        <v>0.13047342600005746</v>
      </c>
      <c r="P45" s="228"/>
    </row>
    <row r="46" spans="1:16" ht="45" customHeight="1">
      <c r="A46" s="23">
        <v>5</v>
      </c>
      <c r="B46" s="76" t="s">
        <v>237</v>
      </c>
      <c r="C46" s="205"/>
      <c r="D46" s="192" t="s">
        <v>191</v>
      </c>
      <c r="E46" s="23" t="s">
        <v>238</v>
      </c>
      <c r="F46" s="77">
        <v>18000</v>
      </c>
      <c r="G46" s="183">
        <f t="shared" si="13"/>
        <v>18000</v>
      </c>
      <c r="H46" s="183">
        <f t="shared" si="6"/>
        <v>7500</v>
      </c>
      <c r="I46" s="183"/>
      <c r="J46" s="202">
        <v>7500</v>
      </c>
      <c r="K46" s="183">
        <f t="shared" si="7"/>
        <v>234.31347199999999</v>
      </c>
      <c r="L46" s="183"/>
      <c r="M46" s="183">
        <v>234.31347199999999</v>
      </c>
      <c r="N46" s="183">
        <f>10500+K46</f>
        <v>10734.313472</v>
      </c>
      <c r="O46" s="185">
        <f t="shared" si="8"/>
        <v>3.1241796266666667E-2</v>
      </c>
      <c r="P46" s="186"/>
    </row>
    <row r="47" spans="1:16" ht="55.5" customHeight="1">
      <c r="A47" s="23">
        <v>6</v>
      </c>
      <c r="B47" s="221" t="s">
        <v>239</v>
      </c>
      <c r="C47" s="222"/>
      <c r="D47" s="192" t="s">
        <v>191</v>
      </c>
      <c r="E47" s="230" t="s">
        <v>240</v>
      </c>
      <c r="F47" s="77">
        <v>8500</v>
      </c>
      <c r="G47" s="183">
        <f t="shared" si="13"/>
        <v>8500</v>
      </c>
      <c r="H47" s="183">
        <f t="shared" si="6"/>
        <v>1933.204</v>
      </c>
      <c r="I47" s="183">
        <v>1033.204</v>
      </c>
      <c r="J47" s="202">
        <v>900</v>
      </c>
      <c r="K47" s="183">
        <f t="shared" si="7"/>
        <v>0</v>
      </c>
      <c r="L47" s="183"/>
      <c r="M47" s="183"/>
      <c r="N47" s="183">
        <v>6566.7960000000003</v>
      </c>
      <c r="O47" s="185">
        <f t="shared" si="8"/>
        <v>0</v>
      </c>
      <c r="P47" s="186"/>
    </row>
    <row r="48" spans="1:16" ht="55.5" customHeight="1">
      <c r="A48" s="23">
        <v>7</v>
      </c>
      <c r="B48" s="76" t="s">
        <v>241</v>
      </c>
      <c r="C48" s="205"/>
      <c r="D48" s="192" t="s">
        <v>191</v>
      </c>
      <c r="E48" s="230" t="s">
        <v>242</v>
      </c>
      <c r="F48" s="77">
        <v>14000</v>
      </c>
      <c r="G48" s="183">
        <f t="shared" si="13"/>
        <v>14000</v>
      </c>
      <c r="H48" s="183">
        <f t="shared" si="6"/>
        <v>4003.9229999999998</v>
      </c>
      <c r="I48" s="183">
        <v>3353.9229999999998</v>
      </c>
      <c r="J48" s="202">
        <v>650</v>
      </c>
      <c r="K48" s="183">
        <f t="shared" si="7"/>
        <v>0</v>
      </c>
      <c r="L48" s="183"/>
      <c r="M48" s="183"/>
      <c r="N48" s="183">
        <v>10006.077000000001</v>
      </c>
      <c r="O48" s="185">
        <f t="shared" si="8"/>
        <v>0</v>
      </c>
      <c r="P48" s="186"/>
    </row>
    <row r="49" spans="1:16" ht="55.5" customHeight="1">
      <c r="A49" s="23">
        <v>8</v>
      </c>
      <c r="B49" s="231" t="s">
        <v>140</v>
      </c>
      <c r="C49" s="205"/>
      <c r="D49" s="192" t="s">
        <v>243</v>
      </c>
      <c r="E49" s="230" t="s">
        <v>244</v>
      </c>
      <c r="F49" s="77">
        <v>8000</v>
      </c>
      <c r="G49" s="183">
        <f t="shared" si="13"/>
        <v>8000</v>
      </c>
      <c r="H49" s="183">
        <f t="shared" si="6"/>
        <v>0</v>
      </c>
      <c r="I49" s="183"/>
      <c r="J49" s="232"/>
      <c r="K49" s="183">
        <f t="shared" si="7"/>
        <v>0</v>
      </c>
      <c r="L49" s="183"/>
      <c r="M49" s="183"/>
      <c r="N49" s="183">
        <v>7849.3639999999996</v>
      </c>
      <c r="O49" s="185" t="e">
        <f t="shared" si="8"/>
        <v>#DIV/0!</v>
      </c>
      <c r="P49" s="186" t="s">
        <v>245</v>
      </c>
    </row>
    <row r="50" spans="1:16" s="181" customFormat="1" ht="48.75" customHeight="1">
      <c r="A50" s="18" t="s">
        <v>246</v>
      </c>
      <c r="B50" s="19" t="s">
        <v>80</v>
      </c>
      <c r="C50" s="73"/>
      <c r="D50" s="178"/>
      <c r="E50" s="4"/>
      <c r="F50" s="233">
        <f t="shared" ref="F50:N50" si="14">SUM(F51:F88)</f>
        <v>157680.6</v>
      </c>
      <c r="G50" s="234">
        <f t="shared" si="14"/>
        <v>151785.1</v>
      </c>
      <c r="H50" s="234">
        <f t="shared" si="14"/>
        <v>110756.41800000001</v>
      </c>
      <c r="I50" s="234">
        <f t="shared" si="14"/>
        <v>3733.3179999999998</v>
      </c>
      <c r="J50" s="234">
        <f t="shared" si="14"/>
        <v>107023.1</v>
      </c>
      <c r="K50" s="234">
        <f t="shared" si="14"/>
        <v>30237.896555000007</v>
      </c>
      <c r="L50" s="234">
        <f t="shared" si="14"/>
        <v>0</v>
      </c>
      <c r="M50" s="234">
        <f t="shared" si="14"/>
        <v>30237.896555000007</v>
      </c>
      <c r="N50" s="234">
        <f t="shared" si="14"/>
        <v>68502.14155499998</v>
      </c>
      <c r="O50" s="176">
        <f t="shared" si="8"/>
        <v>0.27301259015978652</v>
      </c>
      <c r="P50" s="180">
        <f>+[1]H!O4-[1]H!O6</f>
        <v>0</v>
      </c>
    </row>
    <row r="51" spans="1:16" s="229" customFormat="1" ht="50.25" customHeight="1">
      <c r="A51" s="87">
        <v>2</v>
      </c>
      <c r="B51" s="235" t="s">
        <v>122</v>
      </c>
      <c r="C51" s="226"/>
      <c r="D51" s="236" t="s">
        <v>247</v>
      </c>
      <c r="E51" s="226" t="s">
        <v>248</v>
      </c>
      <c r="F51" s="237">
        <v>20000</v>
      </c>
      <c r="G51" s="89">
        <v>19820</v>
      </c>
      <c r="H51" s="89">
        <f t="shared" si="6"/>
        <v>8</v>
      </c>
      <c r="I51" s="89"/>
      <c r="J51" s="89">
        <v>8</v>
      </c>
      <c r="K51" s="89">
        <f t="shared" si="7"/>
        <v>0</v>
      </c>
      <c r="L51" s="89"/>
      <c r="M51" s="89"/>
      <c r="N51" s="89">
        <v>19308.773999999998</v>
      </c>
      <c r="O51" s="227">
        <f t="shared" si="8"/>
        <v>0</v>
      </c>
      <c r="P51" s="228"/>
    </row>
    <row r="52" spans="1:16" ht="36.75" customHeight="1">
      <c r="A52" s="74">
        <v>5</v>
      </c>
      <c r="B52" s="195" t="s">
        <v>190</v>
      </c>
      <c r="C52" s="193"/>
      <c r="D52" s="196" t="s">
        <v>191</v>
      </c>
      <c r="E52" s="193" t="s">
        <v>192</v>
      </c>
      <c r="F52" s="34">
        <v>25662</v>
      </c>
      <c r="G52" s="183">
        <f>10650+H52</f>
        <v>20022</v>
      </c>
      <c r="H52" s="183">
        <f t="shared" si="6"/>
        <v>9372</v>
      </c>
      <c r="I52" s="183"/>
      <c r="J52" s="208">
        <v>9372</v>
      </c>
      <c r="K52" s="183">
        <f t="shared" si="7"/>
        <v>265.553</v>
      </c>
      <c r="L52" s="183"/>
      <c r="M52" s="238">
        <v>265.553</v>
      </c>
      <c r="N52" s="183">
        <f>10650+K52</f>
        <v>10915.553</v>
      </c>
      <c r="O52" s="185">
        <f t="shared" si="8"/>
        <v>2.8334720443875375E-2</v>
      </c>
      <c r="P52" s="186"/>
    </row>
    <row r="53" spans="1:16" ht="36.75" customHeight="1">
      <c r="A53" s="239">
        <v>1</v>
      </c>
      <c r="B53" s="198" t="s">
        <v>249</v>
      </c>
      <c r="C53" s="199"/>
      <c r="D53" s="205" t="s">
        <v>243</v>
      </c>
      <c r="E53" s="205" t="s">
        <v>250</v>
      </c>
      <c r="F53" s="205">
        <v>9373</v>
      </c>
      <c r="G53" s="183">
        <f>+F53</f>
        <v>9373</v>
      </c>
      <c r="H53" s="183">
        <f t="shared" si="6"/>
        <v>6655.9480000000003</v>
      </c>
      <c r="I53" s="183">
        <v>282.94799999999998</v>
      </c>
      <c r="J53" s="208">
        <v>6373</v>
      </c>
      <c r="K53" s="183">
        <f t="shared" si="7"/>
        <v>0</v>
      </c>
      <c r="L53" s="183"/>
      <c r="M53" s="183"/>
      <c r="N53" s="183">
        <v>2717.0520000000001</v>
      </c>
      <c r="O53" s="185">
        <f t="shared" si="8"/>
        <v>0</v>
      </c>
      <c r="P53" s="186"/>
    </row>
    <row r="54" spans="1:16" ht="36.75" customHeight="1">
      <c r="A54" s="239">
        <v>2</v>
      </c>
      <c r="B54" s="198" t="s">
        <v>251</v>
      </c>
      <c r="C54" s="199"/>
      <c r="D54" s="205" t="s">
        <v>243</v>
      </c>
      <c r="E54" s="205" t="s">
        <v>252</v>
      </c>
      <c r="F54" s="205">
        <v>2335</v>
      </c>
      <c r="G54" s="183">
        <f>+F54</f>
        <v>2335</v>
      </c>
      <c r="H54" s="183">
        <f t="shared" si="6"/>
        <v>1216.453</v>
      </c>
      <c r="I54" s="183">
        <v>1181.453</v>
      </c>
      <c r="J54" s="208">
        <v>35</v>
      </c>
      <c r="K54" s="183">
        <f t="shared" si="7"/>
        <v>0</v>
      </c>
      <c r="L54" s="183"/>
      <c r="M54" s="183"/>
      <c r="N54" s="183">
        <v>1118.547</v>
      </c>
      <c r="O54" s="185">
        <f t="shared" si="8"/>
        <v>0</v>
      </c>
      <c r="P54" s="186"/>
    </row>
    <row r="55" spans="1:16" ht="36.75" customHeight="1">
      <c r="A55" s="239">
        <v>3</v>
      </c>
      <c r="B55" s="198" t="s">
        <v>253</v>
      </c>
      <c r="C55" s="199"/>
      <c r="D55" s="205" t="s">
        <v>243</v>
      </c>
      <c r="E55" s="205" t="s">
        <v>254</v>
      </c>
      <c r="F55" s="205">
        <v>1830</v>
      </c>
      <c r="G55" s="183">
        <f>+F55</f>
        <v>1830</v>
      </c>
      <c r="H55" s="183">
        <f t="shared" si="6"/>
        <v>907.43399999999997</v>
      </c>
      <c r="I55" s="183">
        <v>877.43399999999997</v>
      </c>
      <c r="J55" s="208">
        <v>30</v>
      </c>
      <c r="K55" s="183">
        <f t="shared" si="7"/>
        <v>0</v>
      </c>
      <c r="L55" s="183"/>
      <c r="M55" s="183"/>
      <c r="N55" s="183">
        <v>922.56600000000003</v>
      </c>
      <c r="O55" s="185">
        <f t="shared" si="8"/>
        <v>0</v>
      </c>
      <c r="P55" s="186"/>
    </row>
    <row r="56" spans="1:16" ht="36.75" customHeight="1">
      <c r="A56" s="239">
        <v>4</v>
      </c>
      <c r="B56" s="198" t="s">
        <v>255</v>
      </c>
      <c r="C56" s="199"/>
      <c r="D56" s="205" t="s">
        <v>243</v>
      </c>
      <c r="E56" s="205" t="s">
        <v>256</v>
      </c>
      <c r="F56" s="205">
        <v>4060</v>
      </c>
      <c r="G56" s="183">
        <f>+F56</f>
        <v>4060</v>
      </c>
      <c r="H56" s="183">
        <f t="shared" si="6"/>
        <v>2204.8829999999998</v>
      </c>
      <c r="I56" s="183">
        <v>144.88300000000001</v>
      </c>
      <c r="J56" s="208">
        <v>2060</v>
      </c>
      <c r="K56" s="183">
        <f t="shared" si="7"/>
        <v>0</v>
      </c>
      <c r="L56" s="183"/>
      <c r="M56" s="183"/>
      <c r="N56" s="183">
        <v>1855.117</v>
      </c>
      <c r="O56" s="185">
        <f t="shared" si="8"/>
        <v>0</v>
      </c>
      <c r="P56" s="186"/>
    </row>
    <row r="57" spans="1:16" ht="36.75" customHeight="1">
      <c r="A57" s="239">
        <v>5</v>
      </c>
      <c r="B57" s="198" t="s">
        <v>257</v>
      </c>
      <c r="C57" s="199"/>
      <c r="D57" s="205" t="s">
        <v>243</v>
      </c>
      <c r="E57" s="205" t="s">
        <v>258</v>
      </c>
      <c r="F57" s="205">
        <v>2280</v>
      </c>
      <c r="G57" s="183">
        <f>+F57</f>
        <v>2280</v>
      </c>
      <c r="H57" s="183">
        <f t="shared" si="6"/>
        <v>1326.6</v>
      </c>
      <c r="I57" s="183">
        <v>1246.5999999999999</v>
      </c>
      <c r="J57" s="208">
        <v>80</v>
      </c>
      <c r="K57" s="183">
        <f t="shared" si="7"/>
        <v>5.7759999999999998</v>
      </c>
      <c r="L57" s="183"/>
      <c r="M57" s="183">
        <v>5.7759999999999998</v>
      </c>
      <c r="N57" s="183">
        <f>953.4+K57</f>
        <v>959.17599999999993</v>
      </c>
      <c r="O57" s="185">
        <f t="shared" si="8"/>
        <v>4.3539876375697272E-3</v>
      </c>
      <c r="P57" s="186"/>
    </row>
    <row r="58" spans="1:16" ht="36.75" customHeight="1">
      <c r="A58" s="189" t="s">
        <v>259</v>
      </c>
      <c r="B58" s="190" t="s">
        <v>194</v>
      </c>
      <c r="C58" s="191"/>
      <c r="D58" s="205"/>
      <c r="E58" s="230"/>
      <c r="F58" s="240"/>
      <c r="G58" s="183"/>
      <c r="H58" s="183">
        <f t="shared" si="6"/>
        <v>0</v>
      </c>
      <c r="I58" s="174"/>
      <c r="J58" s="208"/>
      <c r="K58" s="183">
        <f t="shared" si="7"/>
        <v>0</v>
      </c>
      <c r="L58" s="183"/>
      <c r="M58" s="183"/>
      <c r="N58" s="183"/>
      <c r="O58" s="185" t="e">
        <f t="shared" si="8"/>
        <v>#DIV/0!</v>
      </c>
      <c r="P58" s="186"/>
    </row>
    <row r="59" spans="1:16" s="229" customFormat="1" ht="42.75" customHeight="1">
      <c r="A59" s="241" t="s">
        <v>262</v>
      </c>
      <c r="B59" s="88" t="s">
        <v>159</v>
      </c>
      <c r="C59" s="242"/>
      <c r="D59" s="243" t="s">
        <v>196</v>
      </c>
      <c r="E59" s="243" t="s">
        <v>263</v>
      </c>
      <c r="F59" s="244">
        <v>5500</v>
      </c>
      <c r="G59" s="89">
        <v>5292</v>
      </c>
      <c r="H59" s="89">
        <f t="shared" ref="H59:H111" si="15">SUM(I59:J59)</f>
        <v>2292</v>
      </c>
      <c r="I59" s="89"/>
      <c r="J59" s="245">
        <v>2292</v>
      </c>
      <c r="K59" s="89">
        <f t="shared" ref="K59:K111" si="16">SUM(L59:M59)</f>
        <v>2261.2109999999998</v>
      </c>
      <c r="L59" s="89"/>
      <c r="M59" s="89">
        <v>2261.2109999999998</v>
      </c>
      <c r="N59" s="89">
        <v>3000</v>
      </c>
      <c r="O59" s="227">
        <f t="shared" si="8"/>
        <v>0.98656675392670146</v>
      </c>
      <c r="P59" s="228"/>
    </row>
    <row r="60" spans="1:16" ht="42.75" customHeight="1">
      <c r="A60" s="189" t="s">
        <v>78</v>
      </c>
      <c r="B60" s="246" t="s">
        <v>264</v>
      </c>
      <c r="C60" s="247"/>
      <c r="D60" s="248"/>
      <c r="E60" s="248"/>
      <c r="F60" s="210"/>
      <c r="G60" s="183"/>
      <c r="H60" s="183">
        <f t="shared" si="15"/>
        <v>0</v>
      </c>
      <c r="I60" s="183"/>
      <c r="J60" s="232"/>
      <c r="K60" s="183">
        <f t="shared" si="16"/>
        <v>0</v>
      </c>
      <c r="L60" s="183"/>
      <c r="M60" s="183"/>
      <c r="N60" s="183"/>
      <c r="O60" s="185" t="e">
        <f t="shared" si="8"/>
        <v>#DIV/0!</v>
      </c>
      <c r="P60" s="186"/>
    </row>
    <row r="61" spans="1:16" ht="42.75" customHeight="1">
      <c r="A61" s="194" t="s">
        <v>89</v>
      </c>
      <c r="B61" s="249" t="s">
        <v>265</v>
      </c>
      <c r="C61" s="247"/>
      <c r="D61" s="230" t="s">
        <v>196</v>
      </c>
      <c r="E61" s="230" t="s">
        <v>266</v>
      </c>
      <c r="F61" s="210">
        <v>1650</v>
      </c>
      <c r="G61" s="183">
        <f>+H61</f>
        <v>1650</v>
      </c>
      <c r="H61" s="183">
        <f t="shared" si="15"/>
        <v>1650</v>
      </c>
      <c r="I61" s="183"/>
      <c r="J61" s="232">
        <v>1650</v>
      </c>
      <c r="K61" s="183">
        <f t="shared" si="16"/>
        <v>563.41800000000001</v>
      </c>
      <c r="L61" s="183"/>
      <c r="M61" s="183">
        <v>563.41800000000001</v>
      </c>
      <c r="N61" s="183">
        <f t="shared" ref="N61:N88" si="17">+K61</f>
        <v>563.41800000000001</v>
      </c>
      <c r="O61" s="185">
        <f t="shared" si="8"/>
        <v>0.34146545454545457</v>
      </c>
      <c r="P61" s="186"/>
    </row>
    <row r="62" spans="1:16" ht="42.75" customHeight="1">
      <c r="A62" s="194" t="s">
        <v>131</v>
      </c>
      <c r="B62" s="249" t="s">
        <v>267</v>
      </c>
      <c r="C62" s="247"/>
      <c r="D62" s="230" t="s">
        <v>196</v>
      </c>
      <c r="E62" s="230" t="s">
        <v>268</v>
      </c>
      <c r="F62" s="210">
        <v>1450</v>
      </c>
      <c r="G62" s="183">
        <f t="shared" ref="G62:G88" si="18">+H62</f>
        <v>1450</v>
      </c>
      <c r="H62" s="183">
        <f t="shared" si="15"/>
        <v>1450</v>
      </c>
      <c r="I62" s="183"/>
      <c r="J62" s="232">
        <v>1450</v>
      </c>
      <c r="K62" s="183">
        <f t="shared" si="16"/>
        <v>509.03800000000001</v>
      </c>
      <c r="L62" s="183"/>
      <c r="M62" s="183">
        <v>509.03800000000001</v>
      </c>
      <c r="N62" s="183">
        <f t="shared" si="17"/>
        <v>509.03800000000001</v>
      </c>
      <c r="O62" s="185">
        <f t="shared" si="8"/>
        <v>0.3510606896551724</v>
      </c>
      <c r="P62" s="186"/>
    </row>
    <row r="63" spans="1:16" ht="42.75" customHeight="1">
      <c r="A63" s="194" t="s">
        <v>134</v>
      </c>
      <c r="B63" s="249" t="s">
        <v>269</v>
      </c>
      <c r="C63" s="247"/>
      <c r="D63" s="230" t="s">
        <v>196</v>
      </c>
      <c r="E63" s="230" t="s">
        <v>270</v>
      </c>
      <c r="F63" s="210">
        <v>3000</v>
      </c>
      <c r="G63" s="183">
        <f t="shared" si="18"/>
        <v>3063</v>
      </c>
      <c r="H63" s="183">
        <f t="shared" si="15"/>
        <v>3063</v>
      </c>
      <c r="I63" s="183"/>
      <c r="J63" s="232">
        <v>3063</v>
      </c>
      <c r="K63" s="183">
        <f t="shared" si="16"/>
        <v>1017.046</v>
      </c>
      <c r="L63" s="183"/>
      <c r="M63" s="183">
        <v>1017.046</v>
      </c>
      <c r="N63" s="183">
        <f t="shared" si="17"/>
        <v>1017.046</v>
      </c>
      <c r="O63" s="185">
        <f t="shared" si="8"/>
        <v>0.3320424420502775</v>
      </c>
      <c r="P63" s="186"/>
    </row>
    <row r="64" spans="1:16" ht="42.75" customHeight="1">
      <c r="A64" s="194" t="s">
        <v>137</v>
      </c>
      <c r="B64" s="249" t="s">
        <v>271</v>
      </c>
      <c r="C64" s="247"/>
      <c r="D64" s="230" t="s">
        <v>196</v>
      </c>
      <c r="E64" s="230" t="s">
        <v>272</v>
      </c>
      <c r="F64" s="210">
        <v>1400</v>
      </c>
      <c r="G64" s="183">
        <f>+H64</f>
        <v>1400</v>
      </c>
      <c r="H64" s="183">
        <f>SUM(I64:J64)</f>
        <v>1400</v>
      </c>
      <c r="I64" s="183"/>
      <c r="J64" s="232">
        <v>1400</v>
      </c>
      <c r="K64" s="183">
        <f>SUM(L64:M64)</f>
        <v>1247.5940000000001</v>
      </c>
      <c r="L64" s="183"/>
      <c r="M64" s="183">
        <v>1247.5940000000001</v>
      </c>
      <c r="N64" s="183">
        <f t="shared" si="17"/>
        <v>1247.5940000000001</v>
      </c>
      <c r="O64" s="185">
        <f t="shared" si="8"/>
        <v>0.89113857142857145</v>
      </c>
      <c r="P64" s="186"/>
    </row>
    <row r="65" spans="1:16" ht="42.75" customHeight="1">
      <c r="A65" s="194" t="s">
        <v>82</v>
      </c>
      <c r="B65" s="249" t="s">
        <v>157</v>
      </c>
      <c r="C65" s="247"/>
      <c r="D65" s="230" t="s">
        <v>196</v>
      </c>
      <c r="E65" s="230" t="s">
        <v>273</v>
      </c>
      <c r="F65" s="210">
        <v>1200</v>
      </c>
      <c r="G65" s="183">
        <f>+H65</f>
        <v>1200</v>
      </c>
      <c r="H65" s="183">
        <f>SUM(I65:J65)</f>
        <v>1200</v>
      </c>
      <c r="I65" s="183"/>
      <c r="J65" s="232">
        <v>1200</v>
      </c>
      <c r="K65" s="183">
        <f>SUM(L65:M65)</f>
        <v>1061.7439999999999</v>
      </c>
      <c r="L65" s="183"/>
      <c r="M65" s="183">
        <v>1061.7439999999999</v>
      </c>
      <c r="N65" s="183">
        <f t="shared" si="17"/>
        <v>1061.7439999999999</v>
      </c>
      <c r="O65" s="185">
        <f t="shared" si="8"/>
        <v>0.88478666666666661</v>
      </c>
      <c r="P65" s="186"/>
    </row>
    <row r="66" spans="1:16" ht="55.5" customHeight="1">
      <c r="A66" s="194" t="s">
        <v>84</v>
      </c>
      <c r="B66" s="249" t="s">
        <v>274</v>
      </c>
      <c r="C66" s="247"/>
      <c r="D66" s="230" t="s">
        <v>196</v>
      </c>
      <c r="E66" s="230" t="s">
        <v>275</v>
      </c>
      <c r="F66" s="210">
        <v>4000</v>
      </c>
      <c r="G66" s="183">
        <f>+H66</f>
        <v>4000</v>
      </c>
      <c r="H66" s="183">
        <f>SUM(I66:J66)</f>
        <v>4000</v>
      </c>
      <c r="I66" s="183"/>
      <c r="J66" s="232">
        <v>4000</v>
      </c>
      <c r="K66" s="183">
        <f>SUM(L66:M66)</f>
        <v>1205.6590000000001</v>
      </c>
      <c r="L66" s="183"/>
      <c r="M66" s="183">
        <v>1205.6590000000001</v>
      </c>
      <c r="N66" s="183">
        <f t="shared" si="17"/>
        <v>1205.6590000000001</v>
      </c>
      <c r="O66" s="185">
        <f t="shared" si="8"/>
        <v>0.30141475000000001</v>
      </c>
      <c r="P66" s="186"/>
    </row>
    <row r="67" spans="1:16" ht="42.75" customHeight="1">
      <c r="A67" s="194" t="s">
        <v>276</v>
      </c>
      <c r="B67" s="249" t="s">
        <v>277</v>
      </c>
      <c r="C67" s="247"/>
      <c r="D67" s="230" t="s">
        <v>196</v>
      </c>
      <c r="E67" s="230" t="s">
        <v>278</v>
      </c>
      <c r="F67" s="210">
        <v>1500</v>
      </c>
      <c r="G67" s="183">
        <f>+H67</f>
        <v>1500</v>
      </c>
      <c r="H67" s="183">
        <f>SUM(I67:J67)</f>
        <v>1500</v>
      </c>
      <c r="I67" s="183"/>
      <c r="J67" s="232">
        <v>1500</v>
      </c>
      <c r="K67" s="183">
        <f>SUM(L67:M67)</f>
        <v>427.14699999999999</v>
      </c>
      <c r="L67" s="183"/>
      <c r="M67" s="183">
        <v>427.14699999999999</v>
      </c>
      <c r="N67" s="183">
        <f t="shared" si="17"/>
        <v>427.14699999999999</v>
      </c>
      <c r="O67" s="185">
        <f t="shared" si="8"/>
        <v>0.28476466666666667</v>
      </c>
      <c r="P67" s="186"/>
    </row>
    <row r="68" spans="1:16" ht="42.75" customHeight="1">
      <c r="A68" s="194" t="s">
        <v>260</v>
      </c>
      <c r="B68" s="249" t="s">
        <v>156</v>
      </c>
      <c r="C68" s="247"/>
      <c r="D68" s="230" t="s">
        <v>196</v>
      </c>
      <c r="E68" s="230" t="s">
        <v>279</v>
      </c>
      <c r="F68" s="210">
        <v>1600</v>
      </c>
      <c r="G68" s="183">
        <f t="shared" si="18"/>
        <v>1600</v>
      </c>
      <c r="H68" s="183">
        <f t="shared" si="15"/>
        <v>1600</v>
      </c>
      <c r="I68" s="183"/>
      <c r="J68" s="232">
        <v>1600</v>
      </c>
      <c r="K68" s="183">
        <f t="shared" si="16"/>
        <v>1436.9870000000001</v>
      </c>
      <c r="L68" s="183"/>
      <c r="M68" s="183">
        <v>1436.9870000000001</v>
      </c>
      <c r="N68" s="183">
        <f t="shared" si="17"/>
        <v>1436.9870000000001</v>
      </c>
      <c r="O68" s="185">
        <f t="shared" si="8"/>
        <v>0.89811687500000004</v>
      </c>
      <c r="P68" s="186"/>
    </row>
    <row r="69" spans="1:16" ht="42.75" customHeight="1">
      <c r="A69" s="194" t="s">
        <v>280</v>
      </c>
      <c r="B69" s="249" t="s">
        <v>281</v>
      </c>
      <c r="C69" s="247"/>
      <c r="D69" s="230" t="s">
        <v>196</v>
      </c>
      <c r="E69" s="230" t="s">
        <v>282</v>
      </c>
      <c r="F69" s="210">
        <v>2700</v>
      </c>
      <c r="G69" s="183">
        <f t="shared" si="18"/>
        <v>2700</v>
      </c>
      <c r="H69" s="183">
        <f t="shared" si="15"/>
        <v>2700</v>
      </c>
      <c r="I69" s="183"/>
      <c r="J69" s="232">
        <v>2700</v>
      </c>
      <c r="K69" s="183">
        <f t="shared" si="16"/>
        <v>795.50800000000004</v>
      </c>
      <c r="L69" s="183"/>
      <c r="M69" s="183">
        <v>795.50800000000004</v>
      </c>
      <c r="N69" s="183">
        <f t="shared" si="17"/>
        <v>795.50800000000004</v>
      </c>
      <c r="O69" s="185">
        <f t="shared" si="8"/>
        <v>0.29463259259259261</v>
      </c>
      <c r="P69" s="186"/>
    </row>
    <row r="70" spans="1:16" ht="42.75" customHeight="1">
      <c r="A70" s="194" t="s">
        <v>283</v>
      </c>
      <c r="B70" s="249" t="s">
        <v>284</v>
      </c>
      <c r="C70" s="247"/>
      <c r="D70" s="230" t="s">
        <v>196</v>
      </c>
      <c r="E70" s="230" t="s">
        <v>285</v>
      </c>
      <c r="F70" s="210">
        <v>2500</v>
      </c>
      <c r="G70" s="183">
        <f>+H70</f>
        <v>2500</v>
      </c>
      <c r="H70" s="183">
        <f>SUM(I70:J70)</f>
        <v>2500</v>
      </c>
      <c r="I70" s="183"/>
      <c r="J70" s="232">
        <v>2500</v>
      </c>
      <c r="K70" s="183">
        <f>SUM(L70:M70)</f>
        <v>811.23900000000003</v>
      </c>
      <c r="L70" s="183"/>
      <c r="M70" s="183">
        <v>811.23900000000003</v>
      </c>
      <c r="N70" s="183">
        <f t="shared" si="17"/>
        <v>811.23900000000003</v>
      </c>
      <c r="O70" s="185">
        <f t="shared" si="8"/>
        <v>0.3244956</v>
      </c>
      <c r="P70" s="186"/>
    </row>
    <row r="71" spans="1:16" ht="42.75" customHeight="1">
      <c r="A71" s="194" t="s">
        <v>286</v>
      </c>
      <c r="B71" s="249" t="s">
        <v>287</v>
      </c>
      <c r="C71" s="247"/>
      <c r="D71" s="230" t="s">
        <v>196</v>
      </c>
      <c r="E71" s="230" t="s">
        <v>288</v>
      </c>
      <c r="F71" s="210">
        <v>1700</v>
      </c>
      <c r="G71" s="183">
        <f>+H71</f>
        <v>1700</v>
      </c>
      <c r="H71" s="183">
        <f>SUM(I71:J71)</f>
        <v>1700</v>
      </c>
      <c r="I71" s="183"/>
      <c r="J71" s="232">
        <v>1700</v>
      </c>
      <c r="K71" s="183">
        <f>SUM(L71:M71)</f>
        <v>514.68899999999996</v>
      </c>
      <c r="L71" s="183"/>
      <c r="M71" s="183">
        <v>514.68899999999996</v>
      </c>
      <c r="N71" s="183">
        <f t="shared" si="17"/>
        <v>514.68899999999996</v>
      </c>
      <c r="O71" s="185">
        <f t="shared" si="8"/>
        <v>0.30275823529411761</v>
      </c>
      <c r="P71" s="186"/>
    </row>
    <row r="72" spans="1:16" ht="42.75" customHeight="1">
      <c r="A72" s="194" t="s">
        <v>289</v>
      </c>
      <c r="B72" s="249" t="s">
        <v>290</v>
      </c>
      <c r="C72" s="247"/>
      <c r="D72" s="230" t="s">
        <v>196</v>
      </c>
      <c r="E72" s="230" t="s">
        <v>291</v>
      </c>
      <c r="F72" s="210">
        <v>1430</v>
      </c>
      <c r="G72" s="183">
        <f>+H72</f>
        <v>1500</v>
      </c>
      <c r="H72" s="183">
        <f>SUM(I72:J72)</f>
        <v>1500</v>
      </c>
      <c r="I72" s="183"/>
      <c r="J72" s="232">
        <v>1500</v>
      </c>
      <c r="K72" s="183">
        <f>SUM(L72:M72)</f>
        <v>1145.4685549999999</v>
      </c>
      <c r="L72" s="183"/>
      <c r="M72" s="183">
        <v>1145.4685549999999</v>
      </c>
      <c r="N72" s="183">
        <f t="shared" si="17"/>
        <v>1145.4685549999999</v>
      </c>
      <c r="O72" s="185">
        <f t="shared" si="8"/>
        <v>0.76364570333333326</v>
      </c>
      <c r="P72" s="186"/>
    </row>
    <row r="73" spans="1:16" ht="42.75" customHeight="1">
      <c r="A73" s="194" t="s">
        <v>292</v>
      </c>
      <c r="B73" s="249" t="s">
        <v>293</v>
      </c>
      <c r="C73" s="247"/>
      <c r="D73" s="230" t="s">
        <v>196</v>
      </c>
      <c r="E73" s="230" t="s">
        <v>294</v>
      </c>
      <c r="F73" s="210">
        <v>1499.6</v>
      </c>
      <c r="G73" s="183">
        <f>+H73</f>
        <v>1499.1</v>
      </c>
      <c r="H73" s="183">
        <f>SUM(I73:J73)</f>
        <v>1499.1</v>
      </c>
      <c r="I73" s="183"/>
      <c r="J73" s="232">
        <v>1499.1</v>
      </c>
      <c r="K73" s="183">
        <f>SUM(L73:M73)</f>
        <v>1352.491</v>
      </c>
      <c r="L73" s="183"/>
      <c r="M73" s="183">
        <v>1352.491</v>
      </c>
      <c r="N73" s="183">
        <f t="shared" si="17"/>
        <v>1352.491</v>
      </c>
      <c r="O73" s="185">
        <f t="shared" si="8"/>
        <v>0.90220198785938233</v>
      </c>
      <c r="P73" s="186"/>
    </row>
    <row r="74" spans="1:16" ht="42.75" customHeight="1">
      <c r="A74" s="194" t="s">
        <v>295</v>
      </c>
      <c r="B74" s="249" t="s">
        <v>296</v>
      </c>
      <c r="C74" s="247"/>
      <c r="D74" s="230" t="s">
        <v>196</v>
      </c>
      <c r="E74" s="250" t="s">
        <v>297</v>
      </c>
      <c r="F74" s="210">
        <v>5400</v>
      </c>
      <c r="G74" s="183">
        <f t="shared" si="18"/>
        <v>5400</v>
      </c>
      <c r="H74" s="183">
        <f t="shared" si="15"/>
        <v>5400</v>
      </c>
      <c r="I74" s="183"/>
      <c r="J74" s="232">
        <v>5400</v>
      </c>
      <c r="K74" s="183">
        <f t="shared" si="16"/>
        <v>1278.6199999999999</v>
      </c>
      <c r="L74" s="183"/>
      <c r="M74" s="183">
        <v>1278.6199999999999</v>
      </c>
      <c r="N74" s="183">
        <f t="shared" si="17"/>
        <v>1278.6199999999999</v>
      </c>
      <c r="O74" s="185">
        <f t="shared" si="8"/>
        <v>0.23678148148148145</v>
      </c>
      <c r="P74" s="186"/>
    </row>
    <row r="75" spans="1:16" ht="42.75" customHeight="1">
      <c r="A75" s="194" t="s">
        <v>262</v>
      </c>
      <c r="B75" s="249" t="s">
        <v>298</v>
      </c>
      <c r="C75" s="247"/>
      <c r="D75" s="230" t="s">
        <v>196</v>
      </c>
      <c r="E75" s="250" t="s">
        <v>299</v>
      </c>
      <c r="F75" s="210">
        <v>7200</v>
      </c>
      <c r="G75" s="183">
        <f t="shared" si="18"/>
        <v>7200</v>
      </c>
      <c r="H75" s="183">
        <f t="shared" si="15"/>
        <v>7200</v>
      </c>
      <c r="I75" s="183"/>
      <c r="J75" s="232">
        <v>7200</v>
      </c>
      <c r="K75" s="183">
        <f t="shared" si="16"/>
        <v>1366.838</v>
      </c>
      <c r="L75" s="183"/>
      <c r="M75" s="183">
        <v>1366.838</v>
      </c>
      <c r="N75" s="183">
        <f t="shared" si="17"/>
        <v>1366.838</v>
      </c>
      <c r="O75" s="185">
        <f t="shared" si="8"/>
        <v>0.18983861111111111</v>
      </c>
      <c r="P75" s="186"/>
    </row>
    <row r="76" spans="1:16" ht="42.75" customHeight="1">
      <c r="A76" s="194" t="s">
        <v>300</v>
      </c>
      <c r="B76" s="249" t="s">
        <v>301</v>
      </c>
      <c r="C76" s="247"/>
      <c r="D76" s="230" t="s">
        <v>196</v>
      </c>
      <c r="E76" s="230" t="s">
        <v>302</v>
      </c>
      <c r="F76" s="210">
        <v>1500</v>
      </c>
      <c r="G76" s="183">
        <f>+H76</f>
        <v>1500</v>
      </c>
      <c r="H76" s="183">
        <f>SUM(I76:J76)</f>
        <v>1500</v>
      </c>
      <c r="I76" s="183"/>
      <c r="J76" s="232">
        <v>1500</v>
      </c>
      <c r="K76" s="183">
        <f>SUM(L76:M76)</f>
        <v>452.03399999999999</v>
      </c>
      <c r="L76" s="183"/>
      <c r="M76" s="183">
        <v>452.03399999999999</v>
      </c>
      <c r="N76" s="183">
        <f t="shared" si="17"/>
        <v>452.03399999999999</v>
      </c>
      <c r="O76" s="185">
        <f t="shared" si="8"/>
        <v>0.30135600000000001</v>
      </c>
      <c r="P76" s="186"/>
    </row>
    <row r="77" spans="1:16" ht="42.75" customHeight="1">
      <c r="A77" s="194" t="s">
        <v>303</v>
      </c>
      <c r="B77" s="249" t="s">
        <v>304</v>
      </c>
      <c r="C77" s="247"/>
      <c r="D77" s="230" t="s">
        <v>196</v>
      </c>
      <c r="E77" s="230" t="s">
        <v>305</v>
      </c>
      <c r="F77" s="210">
        <v>1300</v>
      </c>
      <c r="G77" s="183">
        <f t="shared" si="18"/>
        <v>1300</v>
      </c>
      <c r="H77" s="183">
        <f t="shared" si="15"/>
        <v>1300</v>
      </c>
      <c r="I77" s="183"/>
      <c r="J77" s="232">
        <v>1300</v>
      </c>
      <c r="K77" s="183">
        <f t="shared" si="16"/>
        <v>393.7</v>
      </c>
      <c r="L77" s="183"/>
      <c r="M77" s="183">
        <v>393.7</v>
      </c>
      <c r="N77" s="183">
        <f t="shared" si="17"/>
        <v>393.7</v>
      </c>
      <c r="O77" s="185">
        <f t="shared" si="8"/>
        <v>0.30284615384615382</v>
      </c>
      <c r="P77" s="186"/>
    </row>
    <row r="78" spans="1:16" ht="42.75" customHeight="1">
      <c r="A78" s="194" t="s">
        <v>306</v>
      </c>
      <c r="B78" s="249" t="s">
        <v>307</v>
      </c>
      <c r="C78" s="247"/>
      <c r="D78" s="230" t="s">
        <v>196</v>
      </c>
      <c r="E78" s="251" t="s">
        <v>308</v>
      </c>
      <c r="F78" s="210">
        <v>1300</v>
      </c>
      <c r="G78" s="183">
        <f>+H78</f>
        <v>1300</v>
      </c>
      <c r="H78" s="183">
        <f>SUM(I78:J78)</f>
        <v>1300</v>
      </c>
      <c r="I78" s="183"/>
      <c r="J78" s="232">
        <v>1300</v>
      </c>
      <c r="K78" s="183">
        <f>SUM(L78:M78)</f>
        <v>393.7</v>
      </c>
      <c r="L78" s="183"/>
      <c r="M78" s="183">
        <v>393.7</v>
      </c>
      <c r="N78" s="183">
        <f t="shared" si="17"/>
        <v>393.7</v>
      </c>
      <c r="O78" s="185">
        <f t="shared" si="8"/>
        <v>0.30284615384615382</v>
      </c>
      <c r="P78" s="186"/>
    </row>
    <row r="79" spans="1:16" ht="42.75" customHeight="1">
      <c r="A79" s="194" t="s">
        <v>309</v>
      </c>
      <c r="B79" s="249" t="s">
        <v>310</v>
      </c>
      <c r="C79" s="247"/>
      <c r="D79" s="230" t="s">
        <v>196</v>
      </c>
      <c r="E79" s="230" t="s">
        <v>311</v>
      </c>
      <c r="F79" s="210">
        <v>5400</v>
      </c>
      <c r="G79" s="183">
        <f>+H79</f>
        <v>5400</v>
      </c>
      <c r="H79" s="183">
        <f>SUM(I79:J79)</f>
        <v>5400</v>
      </c>
      <c r="I79" s="183"/>
      <c r="J79" s="232">
        <v>5400</v>
      </c>
      <c r="K79" s="183">
        <f>SUM(L79:M79)</f>
        <v>1399.7180000000001</v>
      </c>
      <c r="L79" s="183"/>
      <c r="M79" s="183">
        <v>1399.7180000000001</v>
      </c>
      <c r="N79" s="183">
        <f t="shared" si="17"/>
        <v>1399.7180000000001</v>
      </c>
      <c r="O79" s="185">
        <f t="shared" si="8"/>
        <v>0.25920703703703707</v>
      </c>
      <c r="P79" s="186"/>
    </row>
    <row r="80" spans="1:16" ht="42.75" customHeight="1">
      <c r="A80" s="194" t="s">
        <v>312</v>
      </c>
      <c r="B80" s="249" t="s">
        <v>313</v>
      </c>
      <c r="C80" s="247"/>
      <c r="D80" s="230" t="s">
        <v>196</v>
      </c>
      <c r="E80" s="230" t="s">
        <v>314</v>
      </c>
      <c r="F80" s="210">
        <v>4202</v>
      </c>
      <c r="G80" s="183">
        <f>+H80</f>
        <v>4202</v>
      </c>
      <c r="H80" s="183">
        <f>SUM(I80:J80)</f>
        <v>4202</v>
      </c>
      <c r="I80" s="183"/>
      <c r="J80" s="232">
        <v>4202</v>
      </c>
      <c r="K80" s="183">
        <f>SUM(L80:M80)</f>
        <v>1217.9480000000001</v>
      </c>
      <c r="L80" s="183"/>
      <c r="M80" s="183">
        <v>1217.9480000000001</v>
      </c>
      <c r="N80" s="183">
        <f t="shared" si="17"/>
        <v>1217.9480000000001</v>
      </c>
      <c r="O80" s="185">
        <f t="shared" si="8"/>
        <v>0.28984959543074729</v>
      </c>
      <c r="P80" s="186"/>
    </row>
    <row r="81" spans="1:16" ht="42.75" customHeight="1">
      <c r="A81" s="194" t="s">
        <v>315</v>
      </c>
      <c r="B81" s="249" t="s">
        <v>316</v>
      </c>
      <c r="C81" s="247"/>
      <c r="D81" s="230" t="s">
        <v>196</v>
      </c>
      <c r="E81" s="230" t="s">
        <v>317</v>
      </c>
      <c r="F81" s="210">
        <v>3400</v>
      </c>
      <c r="G81" s="183">
        <f>+H81</f>
        <v>3400</v>
      </c>
      <c r="H81" s="183">
        <f>SUM(I81:J81)</f>
        <v>3400</v>
      </c>
      <c r="I81" s="183"/>
      <c r="J81" s="232">
        <v>3400</v>
      </c>
      <c r="K81" s="183">
        <f>SUM(L81:M81)</f>
        <v>1094.1859999999999</v>
      </c>
      <c r="L81" s="183"/>
      <c r="M81" s="183">
        <f>244.186+850</f>
        <v>1094.1859999999999</v>
      </c>
      <c r="N81" s="183">
        <f t="shared" si="17"/>
        <v>1094.1859999999999</v>
      </c>
      <c r="O81" s="185">
        <f t="shared" si="8"/>
        <v>0.32181941176470585</v>
      </c>
      <c r="P81" s="186"/>
    </row>
    <row r="82" spans="1:16" ht="42.75" customHeight="1">
      <c r="A82" s="194" t="s">
        <v>318</v>
      </c>
      <c r="B82" s="249" t="s">
        <v>319</v>
      </c>
      <c r="C82" s="247"/>
      <c r="D82" s="230" t="s">
        <v>196</v>
      </c>
      <c r="E82" s="251" t="s">
        <v>320</v>
      </c>
      <c r="F82" s="210">
        <v>1300</v>
      </c>
      <c r="G82" s="183">
        <f t="shared" si="18"/>
        <v>1300</v>
      </c>
      <c r="H82" s="183">
        <f t="shared" si="15"/>
        <v>1300</v>
      </c>
      <c r="I82" s="183"/>
      <c r="J82" s="232">
        <v>1300</v>
      </c>
      <c r="K82" s="183">
        <f t="shared" si="16"/>
        <v>383.7</v>
      </c>
      <c r="L82" s="183"/>
      <c r="M82" s="183">
        <v>383.7</v>
      </c>
      <c r="N82" s="183">
        <f t="shared" si="17"/>
        <v>383.7</v>
      </c>
      <c r="O82" s="185">
        <f t="shared" si="8"/>
        <v>0.29515384615384616</v>
      </c>
      <c r="P82" s="186"/>
    </row>
    <row r="83" spans="1:16" ht="42.75" customHeight="1">
      <c r="A83" s="194" t="s">
        <v>321</v>
      </c>
      <c r="B83" s="249" t="s">
        <v>322</v>
      </c>
      <c r="C83" s="247"/>
      <c r="D83" s="230" t="s">
        <v>196</v>
      </c>
      <c r="E83" s="230" t="s">
        <v>323</v>
      </c>
      <c r="F83" s="210">
        <v>2800</v>
      </c>
      <c r="G83" s="183">
        <f t="shared" si="18"/>
        <v>2800</v>
      </c>
      <c r="H83" s="183">
        <f t="shared" si="15"/>
        <v>2800</v>
      </c>
      <c r="I83" s="183"/>
      <c r="J83" s="232">
        <v>2800</v>
      </c>
      <c r="K83" s="183">
        <f t="shared" si="16"/>
        <v>908.46100000000001</v>
      </c>
      <c r="L83" s="183"/>
      <c r="M83" s="183">
        <v>908.46100000000001</v>
      </c>
      <c r="N83" s="183">
        <f t="shared" si="17"/>
        <v>908.46100000000001</v>
      </c>
      <c r="O83" s="185">
        <f t="shared" si="8"/>
        <v>0.32445035714285714</v>
      </c>
      <c r="P83" s="186"/>
    </row>
    <row r="84" spans="1:16" ht="42.75" customHeight="1">
      <c r="A84" s="194" t="s">
        <v>324</v>
      </c>
      <c r="B84" s="249" t="s">
        <v>325</v>
      </c>
      <c r="C84" s="247"/>
      <c r="D84" s="230" t="s">
        <v>196</v>
      </c>
      <c r="E84" s="230" t="s">
        <v>326</v>
      </c>
      <c r="F84" s="210">
        <v>6484</v>
      </c>
      <c r="G84" s="183">
        <f>+H84</f>
        <v>6484</v>
      </c>
      <c r="H84" s="183">
        <f>SUM(I84:J84)</f>
        <v>6484</v>
      </c>
      <c r="I84" s="183"/>
      <c r="J84" s="232">
        <v>6484</v>
      </c>
      <c r="K84" s="183">
        <f>SUM(L84:M84)</f>
        <v>459.47300000000001</v>
      </c>
      <c r="L84" s="183"/>
      <c r="M84" s="183">
        <v>459.47300000000001</v>
      </c>
      <c r="N84" s="183">
        <f t="shared" si="17"/>
        <v>459.47300000000001</v>
      </c>
      <c r="O84" s="185">
        <f t="shared" si="8"/>
        <v>7.0862584824182603E-2</v>
      </c>
      <c r="P84" s="186"/>
    </row>
    <row r="85" spans="1:16" ht="42.75" customHeight="1">
      <c r="A85" s="194" t="s">
        <v>327</v>
      </c>
      <c r="B85" s="249" t="s">
        <v>328</v>
      </c>
      <c r="C85" s="247"/>
      <c r="D85" s="230" t="s">
        <v>196</v>
      </c>
      <c r="E85" s="230" t="s">
        <v>329</v>
      </c>
      <c r="F85" s="210">
        <v>8356</v>
      </c>
      <c r="G85" s="183">
        <f t="shared" si="18"/>
        <v>8356</v>
      </c>
      <c r="H85" s="183">
        <f t="shared" si="15"/>
        <v>8356</v>
      </c>
      <c r="I85" s="183"/>
      <c r="J85" s="232">
        <v>8356</v>
      </c>
      <c r="K85" s="183">
        <f t="shared" si="16"/>
        <v>1574.896</v>
      </c>
      <c r="L85" s="183"/>
      <c r="M85" s="183">
        <v>1574.896</v>
      </c>
      <c r="N85" s="183">
        <f t="shared" si="17"/>
        <v>1574.896</v>
      </c>
      <c r="O85" s="185">
        <f t="shared" si="8"/>
        <v>0.18847486835806607</v>
      </c>
      <c r="P85" s="186"/>
    </row>
    <row r="86" spans="1:16" ht="42.75" customHeight="1">
      <c r="A86" s="194" t="s">
        <v>330</v>
      </c>
      <c r="B86" s="249" t="s">
        <v>331</v>
      </c>
      <c r="C86" s="247"/>
      <c r="D86" s="230" t="s">
        <v>196</v>
      </c>
      <c r="E86" s="230" t="s">
        <v>332</v>
      </c>
      <c r="F86" s="210">
        <v>2516</v>
      </c>
      <c r="G86" s="183">
        <f>+H86</f>
        <v>2516</v>
      </c>
      <c r="H86" s="183">
        <f>SUM(I86:J86)</f>
        <v>2516</v>
      </c>
      <c r="I86" s="183"/>
      <c r="J86" s="232">
        <v>2516</v>
      </c>
      <c r="K86" s="183">
        <f>SUM(L86:M86)</f>
        <v>236.816</v>
      </c>
      <c r="L86" s="183"/>
      <c r="M86" s="183">
        <v>236.816</v>
      </c>
      <c r="N86" s="183">
        <f t="shared" si="17"/>
        <v>236.816</v>
      </c>
      <c r="O86" s="185">
        <f t="shared" ref="O86:O111" si="19">+K86/H86</f>
        <v>9.4124006359300474E-2</v>
      </c>
      <c r="P86" s="186"/>
    </row>
    <row r="87" spans="1:16" ht="42.75" customHeight="1">
      <c r="A87" s="194" t="s">
        <v>333</v>
      </c>
      <c r="B87" s="249" t="s">
        <v>334</v>
      </c>
      <c r="C87" s="247"/>
      <c r="D87" s="230" t="s">
        <v>196</v>
      </c>
      <c r="E87" s="230" t="s">
        <v>335</v>
      </c>
      <c r="F87" s="210">
        <v>4525</v>
      </c>
      <c r="G87" s="183">
        <f>+H87</f>
        <v>4525</v>
      </c>
      <c r="H87" s="183">
        <f>SUM(I87:J87)</f>
        <v>4525</v>
      </c>
      <c r="I87" s="183"/>
      <c r="J87" s="232">
        <v>4525</v>
      </c>
      <c r="K87" s="183">
        <f>SUM(L87:M87)</f>
        <v>3018.36</v>
      </c>
      <c r="L87" s="183"/>
      <c r="M87" s="183">
        <v>3018.36</v>
      </c>
      <c r="N87" s="183">
        <f t="shared" si="17"/>
        <v>3018.36</v>
      </c>
      <c r="O87" s="185">
        <f t="shared" si="19"/>
        <v>0.66704088397790062</v>
      </c>
      <c r="P87" s="186"/>
    </row>
    <row r="88" spans="1:16" ht="42.75" customHeight="1">
      <c r="A88" s="194" t="s">
        <v>336</v>
      </c>
      <c r="B88" s="249" t="s">
        <v>337</v>
      </c>
      <c r="C88" s="247"/>
      <c r="D88" s="230" t="s">
        <v>196</v>
      </c>
      <c r="E88" s="230" t="s">
        <v>338</v>
      </c>
      <c r="F88" s="210">
        <v>5328</v>
      </c>
      <c r="G88" s="183">
        <f t="shared" si="18"/>
        <v>5328</v>
      </c>
      <c r="H88" s="183">
        <f t="shared" si="15"/>
        <v>5328</v>
      </c>
      <c r="I88" s="183"/>
      <c r="J88" s="232">
        <v>5328</v>
      </c>
      <c r="K88" s="183">
        <f t="shared" si="16"/>
        <v>1438.8779999999999</v>
      </c>
      <c r="L88" s="183"/>
      <c r="M88" s="183">
        <v>1438.8779999999999</v>
      </c>
      <c r="N88" s="183">
        <f t="shared" si="17"/>
        <v>1438.8779999999999</v>
      </c>
      <c r="O88" s="185">
        <f t="shared" si="19"/>
        <v>0.27005968468468466</v>
      </c>
      <c r="P88" s="186"/>
    </row>
    <row r="89" spans="1:16" s="281" customFormat="1" ht="35.25" customHeight="1">
      <c r="A89" s="309" t="s">
        <v>339</v>
      </c>
      <c r="B89" s="310" t="s">
        <v>340</v>
      </c>
      <c r="C89" s="80"/>
      <c r="D89" s="275"/>
      <c r="E89" s="311"/>
      <c r="F89" s="312">
        <f>SUM(F90)</f>
        <v>183000</v>
      </c>
      <c r="G89" s="312">
        <f t="shared" ref="G89:L89" si="20">SUM(G90)</f>
        <v>183000</v>
      </c>
      <c r="H89" s="277">
        <f t="shared" si="20"/>
        <v>0</v>
      </c>
      <c r="I89" s="277"/>
      <c r="J89" s="277">
        <f t="shared" si="20"/>
        <v>0</v>
      </c>
      <c r="K89" s="277">
        <f t="shared" si="20"/>
        <v>0</v>
      </c>
      <c r="L89" s="277">
        <f t="shared" si="20"/>
        <v>0</v>
      </c>
      <c r="M89" s="277"/>
      <c r="N89" s="277">
        <v>177893.81640000001</v>
      </c>
      <c r="O89" s="313" t="e">
        <f t="shared" si="19"/>
        <v>#DIV/0!</v>
      </c>
      <c r="P89" s="279"/>
    </row>
    <row r="90" spans="1:16" s="317" customFormat="1" ht="45" customHeight="1">
      <c r="A90" s="78">
        <v>1</v>
      </c>
      <c r="B90" s="112" t="s">
        <v>341</v>
      </c>
      <c r="C90" s="314"/>
      <c r="D90" s="315" t="s">
        <v>342</v>
      </c>
      <c r="E90" s="314" t="s">
        <v>343</v>
      </c>
      <c r="F90" s="316">
        <v>183000</v>
      </c>
      <c r="G90" s="316">
        <v>183000</v>
      </c>
      <c r="H90" s="63">
        <f>SUM(J90:K90)</f>
        <v>0</v>
      </c>
      <c r="I90" s="63"/>
      <c r="J90" s="63"/>
      <c r="K90" s="63"/>
      <c r="L90" s="63"/>
      <c r="M90" s="63"/>
      <c r="N90" s="63">
        <v>177893.81640000001</v>
      </c>
      <c r="O90" s="313" t="e">
        <f t="shared" si="19"/>
        <v>#DIV/0!</v>
      </c>
      <c r="P90" s="313"/>
    </row>
    <row r="91" spans="1:16" s="289" customFormat="1" ht="42.75" customHeight="1">
      <c r="A91" s="318" t="s">
        <v>344</v>
      </c>
      <c r="B91" s="319" t="s">
        <v>81</v>
      </c>
      <c r="C91" s="320"/>
      <c r="D91" s="321"/>
      <c r="E91" s="322"/>
      <c r="F91" s="323">
        <f>SUM(F92:F109)</f>
        <v>255133</v>
      </c>
      <c r="G91" s="324">
        <f t="shared" ref="G91:N91" si="21">SUM(G92:G109)</f>
        <v>255557.30000000002</v>
      </c>
      <c r="H91" s="324">
        <f t="shared" si="21"/>
        <v>30711</v>
      </c>
      <c r="I91" s="324">
        <f t="shared" si="21"/>
        <v>0</v>
      </c>
      <c r="J91" s="324">
        <f t="shared" si="21"/>
        <v>30711</v>
      </c>
      <c r="K91" s="324">
        <f t="shared" si="21"/>
        <v>2239.6319999999996</v>
      </c>
      <c r="L91" s="324">
        <f t="shared" si="21"/>
        <v>0</v>
      </c>
      <c r="M91" s="324">
        <f t="shared" si="21"/>
        <v>2239.6319999999996</v>
      </c>
      <c r="N91" s="324">
        <f t="shared" si="21"/>
        <v>223072.68100000007</v>
      </c>
      <c r="O91" s="287">
        <f t="shared" si="19"/>
        <v>7.2926052554459303E-2</v>
      </c>
      <c r="P91" s="323">
        <f>SUM(P92:P109)</f>
        <v>0</v>
      </c>
    </row>
    <row r="92" spans="1:16" s="299" customFormat="1" ht="42.75" customHeight="1">
      <c r="A92" s="325" t="s">
        <v>89</v>
      </c>
      <c r="B92" s="326" t="s">
        <v>129</v>
      </c>
      <c r="C92" s="327"/>
      <c r="D92" s="328" t="s">
        <v>243</v>
      </c>
      <c r="E92" s="329" t="s">
        <v>345</v>
      </c>
      <c r="F92" s="330">
        <v>6800</v>
      </c>
      <c r="G92" s="295">
        <f>6153+H92</f>
        <v>6800</v>
      </c>
      <c r="H92" s="295">
        <f t="shared" si="15"/>
        <v>647</v>
      </c>
      <c r="I92" s="295"/>
      <c r="J92" s="331">
        <v>647</v>
      </c>
      <c r="K92" s="295">
        <f t="shared" si="16"/>
        <v>0</v>
      </c>
      <c r="L92" s="331"/>
      <c r="M92" s="295"/>
      <c r="N92" s="295">
        <v>6129.1890000000003</v>
      </c>
      <c r="O92" s="297">
        <f t="shared" si="19"/>
        <v>0</v>
      </c>
      <c r="P92" s="295"/>
    </row>
    <row r="93" spans="1:16" s="299" customFormat="1" ht="42.75" customHeight="1">
      <c r="A93" s="325" t="s">
        <v>131</v>
      </c>
      <c r="B93" s="326" t="s">
        <v>130</v>
      </c>
      <c r="C93" s="327"/>
      <c r="D93" s="328" t="s">
        <v>243</v>
      </c>
      <c r="E93" s="329" t="s">
        <v>346</v>
      </c>
      <c r="F93" s="330">
        <v>9692</v>
      </c>
      <c r="G93" s="295">
        <f>9291.6+H93</f>
        <v>9691.6</v>
      </c>
      <c r="H93" s="295">
        <f t="shared" si="15"/>
        <v>400</v>
      </c>
      <c r="I93" s="295"/>
      <c r="J93" s="331">
        <v>400</v>
      </c>
      <c r="K93" s="295">
        <f t="shared" si="16"/>
        <v>0</v>
      </c>
      <c r="L93" s="331"/>
      <c r="M93" s="295"/>
      <c r="N93" s="295">
        <v>9269.1820000000007</v>
      </c>
      <c r="O93" s="297">
        <f t="shared" si="19"/>
        <v>0</v>
      </c>
      <c r="P93" s="295"/>
    </row>
    <row r="94" spans="1:16" s="299" customFormat="1" ht="42.75" customHeight="1">
      <c r="A94" s="325" t="s">
        <v>134</v>
      </c>
      <c r="B94" s="326" t="s">
        <v>132</v>
      </c>
      <c r="C94" s="327"/>
      <c r="D94" s="328" t="s">
        <v>243</v>
      </c>
      <c r="E94" s="329" t="s">
        <v>347</v>
      </c>
      <c r="F94" s="330">
        <v>6000</v>
      </c>
      <c r="G94" s="295">
        <f>5760+H94</f>
        <v>5933</v>
      </c>
      <c r="H94" s="295">
        <f t="shared" si="15"/>
        <v>173</v>
      </c>
      <c r="I94" s="295"/>
      <c r="J94" s="295">
        <v>173</v>
      </c>
      <c r="K94" s="295">
        <f t="shared" si="16"/>
        <v>0</v>
      </c>
      <c r="L94" s="331"/>
      <c r="M94" s="295"/>
      <c r="N94" s="295">
        <v>5479.5379999999996</v>
      </c>
      <c r="O94" s="297">
        <f t="shared" si="19"/>
        <v>0</v>
      </c>
      <c r="P94" s="295"/>
    </row>
    <row r="95" spans="1:16" s="299" customFormat="1" ht="42.75" customHeight="1">
      <c r="A95" s="325" t="s">
        <v>137</v>
      </c>
      <c r="B95" s="326" t="s">
        <v>133</v>
      </c>
      <c r="C95" s="327"/>
      <c r="D95" s="328" t="s">
        <v>243</v>
      </c>
      <c r="E95" s="329" t="s">
        <v>348</v>
      </c>
      <c r="F95" s="330">
        <v>11200</v>
      </c>
      <c r="G95" s="295">
        <f>10562+H95</f>
        <v>11200</v>
      </c>
      <c r="H95" s="295">
        <f t="shared" si="15"/>
        <v>638</v>
      </c>
      <c r="I95" s="295"/>
      <c r="J95" s="331">
        <v>638</v>
      </c>
      <c r="K95" s="295">
        <f t="shared" si="16"/>
        <v>0</v>
      </c>
      <c r="L95" s="331"/>
      <c r="M95" s="295"/>
      <c r="N95" s="295">
        <v>10537.289000000001</v>
      </c>
      <c r="O95" s="297">
        <f t="shared" si="19"/>
        <v>0</v>
      </c>
      <c r="P95" s="295"/>
    </row>
    <row r="96" spans="1:16" s="299" customFormat="1" ht="42.75" customHeight="1">
      <c r="A96" s="325" t="s">
        <v>82</v>
      </c>
      <c r="B96" s="326" t="s">
        <v>349</v>
      </c>
      <c r="C96" s="327"/>
      <c r="D96" s="328" t="s">
        <v>191</v>
      </c>
      <c r="E96" s="329" t="s">
        <v>350</v>
      </c>
      <c r="F96" s="330">
        <v>46000</v>
      </c>
      <c r="G96" s="295">
        <f>39705+H96</f>
        <v>46560</v>
      </c>
      <c r="H96" s="295">
        <f t="shared" si="15"/>
        <v>6855</v>
      </c>
      <c r="I96" s="295"/>
      <c r="J96" s="295">
        <v>6855</v>
      </c>
      <c r="K96" s="295">
        <f t="shared" si="16"/>
        <v>0</v>
      </c>
      <c r="L96" s="331"/>
      <c r="M96" s="295"/>
      <c r="N96" s="295">
        <v>38942.362000000001</v>
      </c>
      <c r="O96" s="297">
        <f t="shared" si="19"/>
        <v>0</v>
      </c>
      <c r="P96" s="295"/>
    </row>
    <row r="97" spans="1:16" s="299" customFormat="1" ht="42.75" customHeight="1">
      <c r="A97" s="325" t="s">
        <v>84</v>
      </c>
      <c r="B97" s="326" t="s">
        <v>351</v>
      </c>
      <c r="C97" s="327"/>
      <c r="D97" s="328" t="s">
        <v>243</v>
      </c>
      <c r="E97" s="329" t="s">
        <v>352</v>
      </c>
      <c r="F97" s="330">
        <v>28000</v>
      </c>
      <c r="G97" s="295">
        <f>25402+H97</f>
        <v>28000</v>
      </c>
      <c r="H97" s="295">
        <f>SUM(I97:J97)</f>
        <v>2598</v>
      </c>
      <c r="I97" s="295"/>
      <c r="J97" s="295">
        <v>2598</v>
      </c>
      <c r="K97" s="295">
        <f>SUM(L97:M97)</f>
        <v>170.89599999999999</v>
      </c>
      <c r="L97" s="331"/>
      <c r="M97" s="295">
        <v>170.89599999999999</v>
      </c>
      <c r="N97" s="295">
        <v>25402</v>
      </c>
      <c r="O97" s="297">
        <f t="shared" si="19"/>
        <v>6.5779830638953041E-2</v>
      </c>
      <c r="P97" s="295"/>
    </row>
    <row r="98" spans="1:16" s="299" customFormat="1" ht="42.75" customHeight="1">
      <c r="A98" s="325" t="s">
        <v>276</v>
      </c>
      <c r="B98" s="326" t="s">
        <v>353</v>
      </c>
      <c r="C98" s="327"/>
      <c r="D98" s="328" t="s">
        <v>354</v>
      </c>
      <c r="E98" s="329" t="s">
        <v>355</v>
      </c>
      <c r="F98" s="330">
        <v>21500</v>
      </c>
      <c r="G98" s="295">
        <f>19686+H98</f>
        <v>21500</v>
      </c>
      <c r="H98" s="295">
        <f t="shared" si="15"/>
        <v>1814</v>
      </c>
      <c r="I98" s="295"/>
      <c r="J98" s="295">
        <v>1814</v>
      </c>
      <c r="K98" s="295">
        <f t="shared" si="16"/>
        <v>710.09699999999998</v>
      </c>
      <c r="L98" s="331"/>
      <c r="M98" s="295">
        <v>710.09699999999998</v>
      </c>
      <c r="N98" s="295">
        <f>19686+K98</f>
        <v>20396.097000000002</v>
      </c>
      <c r="O98" s="297">
        <f t="shared" si="19"/>
        <v>0.39145369349503856</v>
      </c>
      <c r="P98" s="295"/>
    </row>
    <row r="99" spans="1:16" s="299" customFormat="1" ht="42.75" customHeight="1">
      <c r="A99" s="325" t="s">
        <v>260</v>
      </c>
      <c r="B99" s="326" t="s">
        <v>83</v>
      </c>
      <c r="C99" s="327"/>
      <c r="D99" s="328" t="s">
        <v>243</v>
      </c>
      <c r="E99" s="329" t="s">
        <v>356</v>
      </c>
      <c r="F99" s="330">
        <v>3000</v>
      </c>
      <c r="G99" s="295">
        <f>3533+H99</f>
        <v>3533</v>
      </c>
      <c r="H99" s="295">
        <f t="shared" si="15"/>
        <v>0</v>
      </c>
      <c r="I99" s="295"/>
      <c r="J99" s="295">
        <v>0</v>
      </c>
      <c r="K99" s="295">
        <f t="shared" si="16"/>
        <v>0</v>
      </c>
      <c r="L99" s="331"/>
      <c r="M99" s="295"/>
      <c r="N99" s="295">
        <v>2674.46</v>
      </c>
      <c r="O99" s="297" t="e">
        <f t="shared" si="19"/>
        <v>#DIV/0!</v>
      </c>
      <c r="P99" s="295"/>
    </row>
    <row r="100" spans="1:16" s="299" customFormat="1" ht="42.75" customHeight="1">
      <c r="A100" s="332" t="s">
        <v>280</v>
      </c>
      <c r="B100" s="333" t="s">
        <v>357</v>
      </c>
      <c r="C100" s="100"/>
      <c r="D100" s="328" t="s">
        <v>243</v>
      </c>
      <c r="E100" s="329" t="s">
        <v>358</v>
      </c>
      <c r="F100" s="330">
        <v>1600</v>
      </c>
      <c r="G100" s="295">
        <f>1514+H100</f>
        <v>1514</v>
      </c>
      <c r="H100" s="295">
        <f t="shared" si="15"/>
        <v>0</v>
      </c>
      <c r="I100" s="295"/>
      <c r="J100" s="295">
        <v>0</v>
      </c>
      <c r="K100" s="295">
        <f t="shared" si="16"/>
        <v>0</v>
      </c>
      <c r="L100" s="331"/>
      <c r="M100" s="295"/>
      <c r="N100" s="295">
        <v>1489.8910000000001</v>
      </c>
      <c r="O100" s="297" t="e">
        <f t="shared" si="19"/>
        <v>#DIV/0!</v>
      </c>
      <c r="P100" s="295" t="s">
        <v>245</v>
      </c>
    </row>
    <row r="101" spans="1:16" s="299" customFormat="1" ht="42.75" customHeight="1">
      <c r="A101" s="332" t="s">
        <v>283</v>
      </c>
      <c r="B101" s="333" t="s">
        <v>85</v>
      </c>
      <c r="C101" s="100"/>
      <c r="D101" s="328" t="s">
        <v>243</v>
      </c>
      <c r="E101" s="329" t="s">
        <v>359</v>
      </c>
      <c r="F101" s="330">
        <v>2300</v>
      </c>
      <c r="G101" s="295">
        <f>2084+H101</f>
        <v>2300</v>
      </c>
      <c r="H101" s="295">
        <f t="shared" si="15"/>
        <v>216</v>
      </c>
      <c r="I101" s="295"/>
      <c r="J101" s="295">
        <v>216</v>
      </c>
      <c r="K101" s="295">
        <f t="shared" si="16"/>
        <v>0</v>
      </c>
      <c r="L101" s="331"/>
      <c r="M101" s="295"/>
      <c r="N101" s="295">
        <v>2029.7449999999999</v>
      </c>
      <c r="O101" s="297">
        <f t="shared" si="19"/>
        <v>0</v>
      </c>
      <c r="P101" s="295"/>
    </row>
    <row r="102" spans="1:16" s="299" customFormat="1" ht="42.75" customHeight="1">
      <c r="A102" s="325" t="s">
        <v>286</v>
      </c>
      <c r="B102" s="326" t="s">
        <v>360</v>
      </c>
      <c r="C102" s="327"/>
      <c r="D102" s="328" t="s">
        <v>191</v>
      </c>
      <c r="E102" s="329" t="s">
        <v>361</v>
      </c>
      <c r="F102" s="330">
        <v>93900</v>
      </c>
      <c r="G102" s="295">
        <f>77998.8+H102</f>
        <v>93899.8</v>
      </c>
      <c r="H102" s="295">
        <f t="shared" si="15"/>
        <v>15901</v>
      </c>
      <c r="I102" s="295"/>
      <c r="J102" s="295">
        <v>15901</v>
      </c>
      <c r="K102" s="295">
        <f t="shared" si="16"/>
        <v>1277.8969999999999</v>
      </c>
      <c r="L102" s="331"/>
      <c r="M102" s="295">
        <v>1277.8969999999999</v>
      </c>
      <c r="N102" s="295">
        <v>77998.8</v>
      </c>
      <c r="O102" s="297">
        <f t="shared" si="19"/>
        <v>8.0365826048676176E-2</v>
      </c>
      <c r="P102" s="295"/>
    </row>
    <row r="103" spans="1:16" s="299" customFormat="1" ht="42.75" customHeight="1">
      <c r="A103" s="325" t="s">
        <v>289</v>
      </c>
      <c r="B103" s="326" t="s">
        <v>362</v>
      </c>
      <c r="C103" s="327"/>
      <c r="D103" s="328" t="s">
        <v>243</v>
      </c>
      <c r="E103" s="329" t="s">
        <v>363</v>
      </c>
      <c r="F103" s="330">
        <v>7000</v>
      </c>
      <c r="G103" s="295">
        <f>6142+H103</f>
        <v>7000</v>
      </c>
      <c r="H103" s="295">
        <f t="shared" si="15"/>
        <v>858</v>
      </c>
      <c r="I103" s="295"/>
      <c r="J103" s="331">
        <v>858</v>
      </c>
      <c r="K103" s="295">
        <f t="shared" si="16"/>
        <v>0</v>
      </c>
      <c r="L103" s="331"/>
      <c r="M103" s="295"/>
      <c r="N103" s="295">
        <v>6141.2110000000002</v>
      </c>
      <c r="O103" s="297">
        <f t="shared" si="19"/>
        <v>0</v>
      </c>
      <c r="P103" s="295" t="s">
        <v>245</v>
      </c>
    </row>
    <row r="104" spans="1:16" s="299" customFormat="1" ht="54.75" customHeight="1">
      <c r="A104" s="325" t="s">
        <v>292</v>
      </c>
      <c r="B104" s="326" t="s">
        <v>136</v>
      </c>
      <c r="C104" s="327"/>
      <c r="D104" s="328" t="s">
        <v>243</v>
      </c>
      <c r="E104" s="329" t="s">
        <v>364</v>
      </c>
      <c r="F104" s="330">
        <v>6200</v>
      </c>
      <c r="G104" s="295">
        <f>5908+H104</f>
        <v>6200</v>
      </c>
      <c r="H104" s="295">
        <f t="shared" si="15"/>
        <v>292</v>
      </c>
      <c r="I104" s="295"/>
      <c r="J104" s="331">
        <v>292</v>
      </c>
      <c r="K104" s="295">
        <f t="shared" si="16"/>
        <v>0</v>
      </c>
      <c r="L104" s="331"/>
      <c r="M104" s="295"/>
      <c r="N104" s="295">
        <v>5893.29</v>
      </c>
      <c r="O104" s="297">
        <f t="shared" si="19"/>
        <v>0</v>
      </c>
      <c r="P104" s="295"/>
    </row>
    <row r="105" spans="1:16" s="299" customFormat="1" ht="42.75" customHeight="1">
      <c r="A105" s="325" t="s">
        <v>295</v>
      </c>
      <c r="B105" s="326" t="s">
        <v>138</v>
      </c>
      <c r="C105" s="327"/>
      <c r="D105" s="328" t="s">
        <v>243</v>
      </c>
      <c r="E105" s="329" t="s">
        <v>365</v>
      </c>
      <c r="F105" s="330">
        <v>3431</v>
      </c>
      <c r="G105" s="295">
        <f>3420.9+H105</f>
        <v>3485.9</v>
      </c>
      <c r="H105" s="295">
        <f t="shared" si="15"/>
        <v>65</v>
      </c>
      <c r="I105" s="295"/>
      <c r="J105" s="295">
        <v>65</v>
      </c>
      <c r="K105" s="295">
        <f t="shared" si="16"/>
        <v>54.993000000000002</v>
      </c>
      <c r="L105" s="331"/>
      <c r="M105" s="295">
        <v>54.993000000000002</v>
      </c>
      <c r="N105" s="295">
        <v>3099.9079999999999</v>
      </c>
      <c r="O105" s="297">
        <f t="shared" si="19"/>
        <v>0.84604615384615389</v>
      </c>
      <c r="P105" s="295"/>
    </row>
    <row r="106" spans="1:16" s="299" customFormat="1" ht="42.75" customHeight="1">
      <c r="A106" s="325" t="s">
        <v>262</v>
      </c>
      <c r="B106" s="326" t="s">
        <v>366</v>
      </c>
      <c r="C106" s="327"/>
      <c r="D106" s="328" t="s">
        <v>243</v>
      </c>
      <c r="E106" s="329" t="s">
        <v>367</v>
      </c>
      <c r="F106" s="330">
        <v>5000</v>
      </c>
      <c r="G106" s="295">
        <f>4903+H106</f>
        <v>4903</v>
      </c>
      <c r="H106" s="295">
        <f t="shared" si="15"/>
        <v>0</v>
      </c>
      <c r="I106" s="295"/>
      <c r="J106" s="331">
        <v>0</v>
      </c>
      <c r="K106" s="295">
        <f t="shared" si="16"/>
        <v>0</v>
      </c>
      <c r="L106" s="331"/>
      <c r="M106" s="295">
        <f>+[1]Sheet8!AG32</f>
        <v>0</v>
      </c>
      <c r="N106" s="295">
        <v>4902.9120000000003</v>
      </c>
      <c r="O106" s="297" t="e">
        <f t="shared" si="19"/>
        <v>#DIV/0!</v>
      </c>
      <c r="P106" s="295" t="s">
        <v>245</v>
      </c>
    </row>
    <row r="107" spans="1:16" s="299" customFormat="1" ht="42.75" customHeight="1">
      <c r="A107" s="325" t="s">
        <v>300</v>
      </c>
      <c r="B107" s="326" t="s">
        <v>368</v>
      </c>
      <c r="C107" s="327"/>
      <c r="D107" s="328" t="s">
        <v>243</v>
      </c>
      <c r="E107" s="329" t="s">
        <v>369</v>
      </c>
      <c r="F107" s="330">
        <v>560</v>
      </c>
      <c r="G107" s="295">
        <v>517</v>
      </c>
      <c r="H107" s="295">
        <f t="shared" si="15"/>
        <v>0</v>
      </c>
      <c r="I107" s="295"/>
      <c r="J107" s="295"/>
      <c r="K107" s="295">
        <f t="shared" si="16"/>
        <v>0</v>
      </c>
      <c r="L107" s="331"/>
      <c r="M107" s="295"/>
      <c r="N107" s="295">
        <v>515.76499999999999</v>
      </c>
      <c r="O107" s="297" t="e">
        <f t="shared" si="19"/>
        <v>#DIV/0!</v>
      </c>
      <c r="P107" s="295" t="s">
        <v>245</v>
      </c>
    </row>
    <row r="108" spans="1:16" s="299" customFormat="1" ht="42.75" customHeight="1">
      <c r="A108" s="325" t="s">
        <v>303</v>
      </c>
      <c r="B108" s="326" t="s">
        <v>370</v>
      </c>
      <c r="C108" s="327"/>
      <c r="D108" s="328" t="s">
        <v>243</v>
      </c>
      <c r="E108" s="329" t="s">
        <v>371</v>
      </c>
      <c r="F108" s="330">
        <v>1900</v>
      </c>
      <c r="G108" s="295">
        <f>1388+H108</f>
        <v>1616</v>
      </c>
      <c r="H108" s="295">
        <f t="shared" si="15"/>
        <v>228</v>
      </c>
      <c r="I108" s="295"/>
      <c r="J108" s="295">
        <v>228</v>
      </c>
      <c r="K108" s="295">
        <f t="shared" si="16"/>
        <v>0</v>
      </c>
      <c r="L108" s="331"/>
      <c r="M108" s="295"/>
      <c r="N108" s="295">
        <v>1334.3910000000001</v>
      </c>
      <c r="O108" s="297">
        <f t="shared" si="19"/>
        <v>0</v>
      </c>
      <c r="P108" s="295" t="s">
        <v>245</v>
      </c>
    </row>
    <row r="109" spans="1:16" s="299" customFormat="1" ht="42.75" customHeight="1">
      <c r="A109" s="325" t="s">
        <v>306</v>
      </c>
      <c r="B109" s="326" t="s">
        <v>135</v>
      </c>
      <c r="C109" s="327"/>
      <c r="D109" s="328" t="s">
        <v>243</v>
      </c>
      <c r="E109" s="329" t="s">
        <v>372</v>
      </c>
      <c r="F109" s="330">
        <v>1050</v>
      </c>
      <c r="G109" s="295">
        <f>878+H109</f>
        <v>904</v>
      </c>
      <c r="H109" s="295">
        <f t="shared" si="15"/>
        <v>26</v>
      </c>
      <c r="I109" s="295"/>
      <c r="J109" s="295">
        <v>26</v>
      </c>
      <c r="K109" s="295">
        <f t="shared" si="16"/>
        <v>25.748999999999999</v>
      </c>
      <c r="L109" s="331"/>
      <c r="M109" s="295">
        <v>25.748999999999999</v>
      </c>
      <c r="N109" s="295">
        <v>836.65099999999995</v>
      </c>
      <c r="O109" s="297">
        <f t="shared" si="19"/>
        <v>0.99034615384615376</v>
      </c>
      <c r="P109" s="295"/>
    </row>
    <row r="110" spans="1:16" s="289" customFormat="1" ht="28.5" customHeight="1">
      <c r="A110" s="334" t="s">
        <v>44</v>
      </c>
      <c r="B110" s="335" t="s">
        <v>373</v>
      </c>
      <c r="C110" s="336"/>
      <c r="D110" s="336"/>
      <c r="E110" s="285"/>
      <c r="F110" s="337">
        <f>+F111</f>
        <v>215522</v>
      </c>
      <c r="G110" s="286">
        <f t="shared" ref="G110" si="22">+G111</f>
        <v>84601</v>
      </c>
      <c r="H110" s="295">
        <f t="shared" si="15"/>
        <v>0</v>
      </c>
      <c r="I110" s="286"/>
      <c r="J110" s="286"/>
      <c r="K110" s="295">
        <f t="shared" si="16"/>
        <v>0</v>
      </c>
      <c r="L110" s="286"/>
      <c r="M110" s="286"/>
      <c r="N110" s="286">
        <v>22170.677</v>
      </c>
      <c r="O110" s="287" t="e">
        <f t="shared" si="19"/>
        <v>#DIV/0!</v>
      </c>
      <c r="P110" s="286"/>
    </row>
    <row r="111" spans="1:16" s="299" customFormat="1" ht="94.5" customHeight="1">
      <c r="A111" s="338">
        <v>1</v>
      </c>
      <c r="B111" s="339" t="s">
        <v>374</v>
      </c>
      <c r="C111" s="340"/>
      <c r="D111" s="341" t="s">
        <v>375</v>
      </c>
      <c r="E111" s="342" t="s">
        <v>376</v>
      </c>
      <c r="F111" s="105">
        <v>215522</v>
      </c>
      <c r="G111" s="295">
        <v>84601</v>
      </c>
      <c r="H111" s="295">
        <f t="shared" si="15"/>
        <v>0</v>
      </c>
      <c r="I111" s="295"/>
      <c r="J111" s="295"/>
      <c r="K111" s="295">
        <f t="shared" si="16"/>
        <v>0</v>
      </c>
      <c r="L111" s="295"/>
      <c r="M111" s="295"/>
      <c r="N111" s="295">
        <v>22170.677</v>
      </c>
      <c r="O111" s="287" t="e">
        <f t="shared" si="19"/>
        <v>#DIV/0!</v>
      </c>
      <c r="P111" s="295"/>
    </row>
    <row r="112" spans="1:16" ht="30.75" customHeight="1">
      <c r="A112" s="156"/>
      <c r="B112" s="264"/>
      <c r="C112" s="265"/>
      <c r="D112" s="266"/>
      <c r="E112" s="265"/>
      <c r="F112" s="267"/>
      <c r="G112" s="268"/>
      <c r="H112" s="268"/>
      <c r="I112" s="269"/>
      <c r="J112" s="268"/>
      <c r="K112" s="268"/>
      <c r="L112" s="268"/>
      <c r="M112" s="268"/>
      <c r="N112" s="268"/>
      <c r="O112" s="270"/>
      <c r="P112" s="271"/>
    </row>
    <row r="128" spans="1:16" s="281" customFormat="1" ht="72" customHeight="1">
      <c r="A128" s="272">
        <v>4</v>
      </c>
      <c r="B128" s="273" t="s">
        <v>377</v>
      </c>
      <c r="C128" s="274"/>
      <c r="D128" s="275">
        <v>2025</v>
      </c>
      <c r="E128" s="274"/>
      <c r="F128" s="276">
        <v>4000</v>
      </c>
      <c r="G128" s="277">
        <f>+H128</f>
        <v>1850</v>
      </c>
      <c r="H128" s="277">
        <f>SUM(I128:J128)</f>
        <v>1850</v>
      </c>
      <c r="I128" s="277"/>
      <c r="J128" s="278">
        <v>1850</v>
      </c>
      <c r="K128" s="277"/>
      <c r="L128" s="277"/>
      <c r="M128" s="277"/>
      <c r="N128" s="277">
        <f>+M128</f>
        <v>0</v>
      </c>
      <c r="O128" s="279">
        <f>+K128/H128</f>
        <v>0</v>
      </c>
      <c r="P128" s="280"/>
    </row>
  </sheetData>
  <mergeCells count="20">
    <mergeCell ref="J5:J7"/>
    <mergeCell ref="K5:K7"/>
    <mergeCell ref="L5:L7"/>
    <mergeCell ref="M5:M7"/>
    <mergeCell ref="G4:G7"/>
    <mergeCell ref="H4:J4"/>
    <mergeCell ref="K4:M4"/>
    <mergeCell ref="A2:P2"/>
    <mergeCell ref="K3:P3"/>
    <mergeCell ref="A4:A7"/>
    <mergeCell ref="B4:B7"/>
    <mergeCell ref="C4:C7"/>
    <mergeCell ref="D4:D7"/>
    <mergeCell ref="E4:E7"/>
    <mergeCell ref="F4:F7"/>
    <mergeCell ref="N4:N7"/>
    <mergeCell ref="O4:O7"/>
    <mergeCell ref="P4:P7"/>
    <mergeCell ref="H5:H7"/>
    <mergeCell ref="I5:I7"/>
  </mergeCells>
  <conditionalFormatting sqref="B91:B92">
    <cfRule type="expression" dxfId="11" priority="1">
      <formula>$G91="Đã hoàn thành"</formula>
    </cfRule>
    <cfRule type="expression" dxfId="10" priority="2">
      <formula>$G91="Đang thực hiện"</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5"/>
  <sheetViews>
    <sheetView topLeftCell="A8" workbookViewId="0">
      <pane xSplit="2" ySplit="5" topLeftCell="N88" activePane="bottomRight" state="frozen"/>
      <selection activeCell="A8" sqref="A8"/>
      <selection pane="topRight" activeCell="C8" sqref="C8"/>
      <selection pane="bottomLeft" activeCell="A13" sqref="A13"/>
      <selection pane="bottomRight" activeCell="T91" sqref="T91"/>
    </sheetView>
  </sheetViews>
  <sheetFormatPr defaultColWidth="9.109375" defaultRowHeight="10.199999999999999"/>
  <cols>
    <col min="1" max="1" width="6.21875" style="568" customWidth="1"/>
    <col min="2" max="2" width="31.88671875" style="568" customWidth="1"/>
    <col min="3" max="3" width="13.33203125" style="568" customWidth="1"/>
    <col min="4" max="4" width="9.6640625" style="570" customWidth="1"/>
    <col min="5" max="6" width="19.33203125" style="571" customWidth="1"/>
    <col min="7" max="7" width="17.77734375" style="571" customWidth="1"/>
    <col min="8" max="8" width="12" style="571" customWidth="1"/>
    <col min="9" max="9" width="19" style="571" customWidth="1"/>
    <col min="10" max="13" width="16.77734375" style="568" customWidth="1"/>
    <col min="14" max="14" width="14.33203125" style="568" customWidth="1"/>
    <col min="15" max="15" width="17.88671875" style="568" customWidth="1"/>
    <col min="16" max="16" width="20" style="568" customWidth="1"/>
    <col min="17" max="18" width="20.6640625" style="568" customWidth="1"/>
    <col min="19" max="19" width="17.88671875" style="568" customWidth="1"/>
    <col min="20" max="20" width="18.109375" style="568" customWidth="1"/>
    <col min="21" max="21" width="17.21875" style="568" customWidth="1"/>
    <col min="22" max="22" width="20.109375" style="568" customWidth="1"/>
    <col min="23" max="23" width="17.88671875" style="568" customWidth="1"/>
    <col min="24" max="24" width="18.88671875" style="568" customWidth="1"/>
    <col min="25" max="25" width="14.88671875" style="568" hidden="1" customWidth="1"/>
    <col min="26" max="26" width="15.109375" style="568" hidden="1" customWidth="1"/>
    <col min="27" max="16384" width="9.109375" style="568"/>
  </cols>
  <sheetData>
    <row r="2" spans="1:26">
      <c r="A2" s="839" t="s">
        <v>450</v>
      </c>
      <c r="B2" s="839"/>
      <c r="C2" s="839"/>
      <c r="D2" s="839"/>
      <c r="E2" s="839"/>
      <c r="F2" s="839"/>
      <c r="G2" s="839"/>
      <c r="H2" s="839"/>
      <c r="I2" s="839"/>
      <c r="J2" s="839"/>
      <c r="K2" s="839"/>
      <c r="L2" s="839"/>
      <c r="M2" s="839"/>
      <c r="N2" s="839"/>
      <c r="O2" s="839"/>
      <c r="P2" s="839"/>
      <c r="Q2" s="839"/>
      <c r="R2" s="839"/>
      <c r="S2" s="839"/>
      <c r="T2" s="839"/>
      <c r="U2" s="839"/>
      <c r="V2" s="839"/>
      <c r="W2" s="839"/>
      <c r="X2" s="839"/>
    </row>
    <row r="3" spans="1:26">
      <c r="A3" s="840" t="s">
        <v>451</v>
      </c>
      <c r="B3" s="840"/>
      <c r="C3" s="840"/>
      <c r="D3" s="840"/>
      <c r="E3" s="840"/>
      <c r="F3" s="840"/>
      <c r="G3" s="840"/>
      <c r="H3" s="840"/>
      <c r="I3" s="840"/>
      <c r="J3" s="840"/>
      <c r="K3" s="840"/>
      <c r="L3" s="840"/>
      <c r="M3" s="840"/>
      <c r="N3" s="840"/>
      <c r="O3" s="840"/>
      <c r="P3" s="840"/>
      <c r="Q3" s="840"/>
      <c r="R3" s="840"/>
      <c r="S3" s="840"/>
      <c r="T3" s="840"/>
      <c r="U3" s="840"/>
      <c r="V3" s="840"/>
      <c r="W3" s="840"/>
      <c r="X3" s="840"/>
    </row>
    <row r="4" spans="1:26" ht="11.25" customHeight="1">
      <c r="A4" s="569"/>
    </row>
    <row r="5" spans="1:26" ht="15.75" customHeight="1">
      <c r="A5" s="839" t="s">
        <v>452</v>
      </c>
      <c r="B5" s="839"/>
      <c r="C5" s="839"/>
      <c r="D5" s="839"/>
      <c r="E5" s="839"/>
      <c r="F5" s="839"/>
      <c r="G5" s="839"/>
    </row>
    <row r="6" spans="1:26" ht="9" customHeight="1">
      <c r="A6" s="572"/>
    </row>
    <row r="7" spans="1:26" ht="18.75" customHeight="1">
      <c r="A7" s="839" t="s">
        <v>552</v>
      </c>
      <c r="B7" s="839"/>
      <c r="C7" s="839"/>
      <c r="D7" s="839"/>
      <c r="E7" s="839"/>
      <c r="F7" s="839"/>
      <c r="G7" s="839"/>
      <c r="H7" s="839"/>
      <c r="I7" s="839"/>
      <c r="J7" s="839"/>
      <c r="K7" s="839"/>
      <c r="L7" s="839"/>
      <c r="M7" s="839"/>
      <c r="N7" s="839"/>
      <c r="O7" s="839"/>
      <c r="P7" s="839"/>
      <c r="Q7" s="839"/>
      <c r="R7" s="839"/>
      <c r="S7" s="839"/>
      <c r="T7" s="839"/>
      <c r="U7" s="839"/>
      <c r="V7" s="839"/>
      <c r="W7" s="839"/>
      <c r="X7" s="839"/>
    </row>
    <row r="8" spans="1:26">
      <c r="A8" s="569"/>
    </row>
    <row r="9" spans="1:26">
      <c r="A9" s="841" t="s">
        <v>454</v>
      </c>
      <c r="B9" s="841"/>
      <c r="C9" s="841"/>
      <c r="D9" s="841"/>
      <c r="E9" s="841"/>
      <c r="F9" s="841"/>
      <c r="G9" s="841"/>
      <c r="H9" s="841"/>
      <c r="I9" s="841"/>
      <c r="J9" s="841"/>
      <c r="K9" s="841"/>
      <c r="L9" s="841"/>
      <c r="M9" s="841"/>
      <c r="N9" s="841"/>
      <c r="O9" s="841"/>
      <c r="P9" s="841"/>
      <c r="Q9" s="841"/>
      <c r="R9" s="841"/>
      <c r="S9" s="841"/>
      <c r="T9" s="841"/>
      <c r="U9" s="841"/>
      <c r="V9" s="841"/>
      <c r="W9" s="841"/>
      <c r="X9" s="841"/>
    </row>
    <row r="10" spans="1:26" ht="38.25" customHeight="1">
      <c r="A10" s="837" t="s">
        <v>16</v>
      </c>
      <c r="B10" s="837" t="s">
        <v>62</v>
      </c>
      <c r="C10" s="837" t="s">
        <v>455</v>
      </c>
      <c r="D10" s="837" t="s">
        <v>456</v>
      </c>
      <c r="E10" s="838" t="s">
        <v>3</v>
      </c>
      <c r="F10" s="838" t="s">
        <v>457</v>
      </c>
      <c r="G10" s="838"/>
      <c r="H10" s="838" t="s">
        <v>458</v>
      </c>
      <c r="I10" s="838" t="s">
        <v>459</v>
      </c>
      <c r="J10" s="837" t="s">
        <v>460</v>
      </c>
      <c r="K10" s="837"/>
      <c r="L10" s="837"/>
      <c r="M10" s="837"/>
      <c r="N10" s="837"/>
      <c r="O10" s="837"/>
      <c r="P10" s="837" t="s">
        <v>461</v>
      </c>
      <c r="Q10" s="837"/>
      <c r="R10" s="837"/>
      <c r="S10" s="837"/>
      <c r="T10" s="837"/>
      <c r="U10" s="837"/>
      <c r="V10" s="837" t="s">
        <v>462</v>
      </c>
      <c r="W10" s="837" t="s">
        <v>463</v>
      </c>
      <c r="X10" s="837" t="s">
        <v>553</v>
      </c>
    </row>
    <row r="11" spans="1:26" ht="45" customHeight="1">
      <c r="A11" s="837"/>
      <c r="B11" s="837"/>
      <c r="C11" s="837"/>
      <c r="D11" s="837"/>
      <c r="E11" s="838"/>
      <c r="F11" s="838"/>
      <c r="G11" s="838"/>
      <c r="H11" s="838"/>
      <c r="I11" s="838"/>
      <c r="J11" s="837" t="s">
        <v>465</v>
      </c>
      <c r="K11" s="837" t="s">
        <v>466</v>
      </c>
      <c r="L11" s="837"/>
      <c r="M11" s="837"/>
      <c r="N11" s="842" t="s">
        <v>467</v>
      </c>
      <c r="O11" s="837" t="s">
        <v>468</v>
      </c>
      <c r="P11" s="837" t="s">
        <v>469</v>
      </c>
      <c r="Q11" s="837" t="s">
        <v>466</v>
      </c>
      <c r="R11" s="837"/>
      <c r="S11" s="837"/>
      <c r="T11" s="842" t="s">
        <v>470</v>
      </c>
      <c r="U11" s="837" t="s">
        <v>468</v>
      </c>
      <c r="V11" s="837"/>
      <c r="W11" s="837"/>
      <c r="X11" s="837"/>
    </row>
    <row r="12" spans="1:26" ht="72" customHeight="1">
      <c r="A12" s="837"/>
      <c r="B12" s="837"/>
      <c r="C12" s="837"/>
      <c r="D12" s="837"/>
      <c r="E12" s="838"/>
      <c r="F12" s="574" t="s">
        <v>28</v>
      </c>
      <c r="G12" s="574" t="s">
        <v>471</v>
      </c>
      <c r="H12" s="838"/>
      <c r="I12" s="838"/>
      <c r="J12" s="837"/>
      <c r="K12" s="573" t="s">
        <v>472</v>
      </c>
      <c r="L12" s="573" t="s">
        <v>63</v>
      </c>
      <c r="M12" s="573" t="s">
        <v>473</v>
      </c>
      <c r="N12" s="843"/>
      <c r="O12" s="837"/>
      <c r="P12" s="837"/>
      <c r="Q12" s="573" t="s">
        <v>28</v>
      </c>
      <c r="R12" s="573" t="s">
        <v>63</v>
      </c>
      <c r="S12" s="573" t="s">
        <v>473</v>
      </c>
      <c r="T12" s="843"/>
      <c r="U12" s="837"/>
      <c r="V12" s="837"/>
      <c r="W12" s="837"/>
      <c r="X12" s="837"/>
    </row>
    <row r="13" spans="1:26" ht="33.75" customHeight="1">
      <c r="A13" s="573">
        <v>1</v>
      </c>
      <c r="B13" s="573">
        <v>2</v>
      </c>
      <c r="C13" s="573">
        <v>3</v>
      </c>
      <c r="D13" s="573">
        <v>4</v>
      </c>
      <c r="E13" s="573">
        <v>5</v>
      </c>
      <c r="F13" s="573">
        <v>6</v>
      </c>
      <c r="G13" s="573">
        <v>7</v>
      </c>
      <c r="H13" s="573">
        <v>8</v>
      </c>
      <c r="I13" s="573">
        <v>9</v>
      </c>
      <c r="J13" s="573">
        <v>10</v>
      </c>
      <c r="K13" s="573" t="s">
        <v>474</v>
      </c>
      <c r="L13" s="573">
        <v>12</v>
      </c>
      <c r="M13" s="573">
        <v>13</v>
      </c>
      <c r="N13" s="573">
        <v>14</v>
      </c>
      <c r="O13" s="573" t="s">
        <v>475</v>
      </c>
      <c r="P13" s="573">
        <v>16</v>
      </c>
      <c r="Q13" s="573" t="s">
        <v>476</v>
      </c>
      <c r="R13" s="573">
        <v>18</v>
      </c>
      <c r="S13" s="573">
        <v>19</v>
      </c>
      <c r="T13" s="573">
        <v>20</v>
      </c>
      <c r="U13" s="573" t="s">
        <v>477</v>
      </c>
      <c r="V13" s="573" t="s">
        <v>478</v>
      </c>
      <c r="W13" s="573" t="s">
        <v>479</v>
      </c>
      <c r="X13" s="573" t="s">
        <v>480</v>
      </c>
    </row>
    <row r="14" spans="1:26" s="577" customFormat="1" ht="33" customHeight="1">
      <c r="A14" s="573"/>
      <c r="B14" s="573" t="s">
        <v>28</v>
      </c>
      <c r="C14" s="573"/>
      <c r="D14" s="573"/>
      <c r="E14" s="574">
        <v>974537</v>
      </c>
      <c r="F14" s="574">
        <v>206567.95199999999</v>
      </c>
      <c r="G14" s="574">
        <v>83481.180494999993</v>
      </c>
      <c r="H14" s="574">
        <v>0</v>
      </c>
      <c r="I14" s="574">
        <v>62165.158407000003</v>
      </c>
      <c r="J14" s="574">
        <v>8670.6610000000001</v>
      </c>
      <c r="K14" s="574">
        <v>7304.335</v>
      </c>
      <c r="L14" s="574">
        <v>5939.2280000000001</v>
      </c>
      <c r="M14" s="574">
        <v>1365.107</v>
      </c>
      <c r="N14" s="574">
        <v>0</v>
      </c>
      <c r="O14" s="574">
        <v>1366.326</v>
      </c>
      <c r="P14" s="574">
        <v>346381.30193999998</v>
      </c>
      <c r="Q14" s="574">
        <v>319751.51321399998</v>
      </c>
      <c r="R14" s="574">
        <v>274750.43435400003</v>
      </c>
      <c r="S14" s="574">
        <v>45001.078860000001</v>
      </c>
      <c r="T14" s="574">
        <v>23602.437956999998</v>
      </c>
      <c r="U14" s="574">
        <v>3027.3507690000001</v>
      </c>
      <c r="V14" s="574">
        <v>342854.82076099998</v>
      </c>
      <c r="W14" s="574">
        <v>67682.207947999996</v>
      </c>
      <c r="X14" s="574">
        <v>533623.80021400005</v>
      </c>
      <c r="Y14" s="574" t="e">
        <f>+#REF!/1000000</f>
        <v>#REF!</v>
      </c>
      <c r="Z14" s="574" t="e">
        <f>+#REF!/1000000</f>
        <v>#REF!</v>
      </c>
    </row>
    <row r="15" spans="1:26" s="577" customFormat="1" ht="33" customHeight="1">
      <c r="A15" s="573"/>
      <c r="B15" s="578" t="s">
        <v>481</v>
      </c>
      <c r="C15" s="573"/>
      <c r="D15" s="573"/>
      <c r="E15" s="574">
        <v>974537</v>
      </c>
      <c r="F15" s="574">
        <v>206567.95199999999</v>
      </c>
      <c r="G15" s="574">
        <v>83481.180494999993</v>
      </c>
      <c r="H15" s="574">
        <v>0</v>
      </c>
      <c r="I15" s="574">
        <v>62165.158407000003</v>
      </c>
      <c r="J15" s="574">
        <v>8670.6610000000001</v>
      </c>
      <c r="K15" s="574">
        <v>7304.335</v>
      </c>
      <c r="L15" s="574">
        <v>5939.2280000000001</v>
      </c>
      <c r="M15" s="574">
        <v>1365.107</v>
      </c>
      <c r="N15" s="574">
        <v>0</v>
      </c>
      <c r="O15" s="574">
        <v>1366.326</v>
      </c>
      <c r="P15" s="574">
        <v>346381.30193999998</v>
      </c>
      <c r="Q15" s="574">
        <v>319751.51321399998</v>
      </c>
      <c r="R15" s="574">
        <v>274750.43435400003</v>
      </c>
      <c r="S15" s="574">
        <v>45001.078860000001</v>
      </c>
      <c r="T15" s="574">
        <v>23602.437956999998</v>
      </c>
      <c r="U15" s="574">
        <v>3027.3507690000001</v>
      </c>
      <c r="V15" s="574">
        <v>342854.82076099998</v>
      </c>
      <c r="W15" s="574">
        <v>67682.207947999996</v>
      </c>
      <c r="X15" s="574">
        <v>533623.80021400005</v>
      </c>
      <c r="Y15" s="574">
        <f t="shared" ref="Y15:Z15" si="0">+Y19</f>
        <v>0</v>
      </c>
      <c r="Z15" s="574">
        <f t="shared" si="0"/>
        <v>0</v>
      </c>
    </row>
    <row r="16" spans="1:26" ht="33" customHeight="1">
      <c r="A16" s="579"/>
      <c r="B16" s="578" t="s">
        <v>482</v>
      </c>
      <c r="C16" s="579"/>
      <c r="D16" s="579"/>
      <c r="E16" s="574">
        <v>0</v>
      </c>
      <c r="F16" s="574">
        <v>0</v>
      </c>
      <c r="G16" s="574">
        <v>0</v>
      </c>
      <c r="H16" s="574">
        <v>0</v>
      </c>
      <c r="I16" s="574">
        <v>0</v>
      </c>
      <c r="J16" s="574">
        <v>0</v>
      </c>
      <c r="K16" s="574">
        <v>0</v>
      </c>
      <c r="L16" s="574">
        <v>0</v>
      </c>
      <c r="M16" s="574">
        <v>0</v>
      </c>
      <c r="N16" s="574">
        <v>0</v>
      </c>
      <c r="O16" s="574">
        <v>0</v>
      </c>
      <c r="P16" s="574">
        <v>0</v>
      </c>
      <c r="Q16" s="574">
        <v>0</v>
      </c>
      <c r="R16" s="574">
        <v>0</v>
      </c>
      <c r="S16" s="574">
        <v>0</v>
      </c>
      <c r="T16" s="574">
        <v>0</v>
      </c>
      <c r="U16" s="574">
        <v>0</v>
      </c>
      <c r="V16" s="574">
        <v>0</v>
      </c>
      <c r="W16" s="574">
        <v>0</v>
      </c>
      <c r="X16" s="574">
        <v>0</v>
      </c>
      <c r="Y16" s="575">
        <f t="shared" ref="Y16:Y64" si="1">+X16-Q16</f>
        <v>0</v>
      </c>
      <c r="Z16" s="576">
        <f t="shared" ref="Z16:Z64" si="2">+Y16-F16</f>
        <v>0</v>
      </c>
    </row>
    <row r="17" spans="1:26" ht="22.5" customHeight="1">
      <c r="A17" s="579"/>
      <c r="B17" s="580" t="s">
        <v>483</v>
      </c>
      <c r="C17" s="579"/>
      <c r="D17" s="579"/>
      <c r="E17" s="574">
        <v>0</v>
      </c>
      <c r="F17" s="574">
        <v>0</v>
      </c>
      <c r="G17" s="574">
        <v>0</v>
      </c>
      <c r="H17" s="574">
        <v>0</v>
      </c>
      <c r="I17" s="574">
        <v>0</v>
      </c>
      <c r="J17" s="574">
        <v>0</v>
      </c>
      <c r="K17" s="574">
        <v>0</v>
      </c>
      <c r="L17" s="574">
        <v>0</v>
      </c>
      <c r="M17" s="574">
        <v>0</v>
      </c>
      <c r="N17" s="574">
        <v>0</v>
      </c>
      <c r="O17" s="574">
        <v>0</v>
      </c>
      <c r="P17" s="574">
        <v>0</v>
      </c>
      <c r="Q17" s="574">
        <v>0</v>
      </c>
      <c r="R17" s="574">
        <v>0</v>
      </c>
      <c r="S17" s="574">
        <v>0</v>
      </c>
      <c r="T17" s="574">
        <v>0</v>
      </c>
      <c r="U17" s="574">
        <v>0</v>
      </c>
      <c r="V17" s="574">
        <v>0</v>
      </c>
      <c r="W17" s="574">
        <v>0</v>
      </c>
      <c r="X17" s="574">
        <v>0</v>
      </c>
      <c r="Y17" s="575">
        <f t="shared" si="1"/>
        <v>0</v>
      </c>
      <c r="Z17" s="576">
        <f t="shared" si="2"/>
        <v>0</v>
      </c>
    </row>
    <row r="18" spans="1:26" ht="18" customHeight="1">
      <c r="A18" s="579"/>
      <c r="B18" s="580" t="s">
        <v>484</v>
      </c>
      <c r="C18" s="579"/>
      <c r="D18" s="579"/>
      <c r="E18" s="574">
        <v>0</v>
      </c>
      <c r="F18" s="574">
        <v>0</v>
      </c>
      <c r="G18" s="574">
        <v>0</v>
      </c>
      <c r="H18" s="574">
        <v>0</v>
      </c>
      <c r="I18" s="574">
        <v>0</v>
      </c>
      <c r="J18" s="574">
        <v>0</v>
      </c>
      <c r="K18" s="574">
        <v>0</v>
      </c>
      <c r="L18" s="574">
        <v>0</v>
      </c>
      <c r="M18" s="574">
        <v>0</v>
      </c>
      <c r="N18" s="574">
        <v>0</v>
      </c>
      <c r="O18" s="574">
        <v>0</v>
      </c>
      <c r="P18" s="574">
        <v>0</v>
      </c>
      <c r="Q18" s="574">
        <v>0</v>
      </c>
      <c r="R18" s="574">
        <v>0</v>
      </c>
      <c r="S18" s="574">
        <v>0</v>
      </c>
      <c r="T18" s="574">
        <v>0</v>
      </c>
      <c r="U18" s="574">
        <v>0</v>
      </c>
      <c r="V18" s="574">
        <v>0</v>
      </c>
      <c r="W18" s="574">
        <v>0</v>
      </c>
      <c r="X18" s="574">
        <v>0</v>
      </c>
      <c r="Y18" s="575">
        <f t="shared" si="1"/>
        <v>0</v>
      </c>
      <c r="Z18" s="576">
        <f t="shared" si="2"/>
        <v>0</v>
      </c>
    </row>
    <row r="19" spans="1:26" ht="31.5" customHeight="1">
      <c r="A19" s="573" t="s">
        <v>485</v>
      </c>
      <c r="B19" s="581" t="s">
        <v>554</v>
      </c>
      <c r="C19" s="579"/>
      <c r="D19" s="579"/>
      <c r="E19" s="574">
        <v>974537</v>
      </c>
      <c r="F19" s="574">
        <v>206567.95199999999</v>
      </c>
      <c r="G19" s="574">
        <v>83481.180494999993</v>
      </c>
      <c r="H19" s="574">
        <v>0</v>
      </c>
      <c r="I19" s="574">
        <v>62165.158407000003</v>
      </c>
      <c r="J19" s="574">
        <v>8670.6610000000001</v>
      </c>
      <c r="K19" s="574">
        <v>7304.335</v>
      </c>
      <c r="L19" s="574">
        <v>5939.2280000000001</v>
      </c>
      <c r="M19" s="574">
        <v>1365.107</v>
      </c>
      <c r="N19" s="574">
        <v>0</v>
      </c>
      <c r="O19" s="574">
        <v>1366.326</v>
      </c>
      <c r="P19" s="574">
        <v>346381.30193999998</v>
      </c>
      <c r="Q19" s="574">
        <v>319751.51321399998</v>
      </c>
      <c r="R19" s="574">
        <v>274750.43435400003</v>
      </c>
      <c r="S19" s="574">
        <v>45001.078860000001</v>
      </c>
      <c r="T19" s="574">
        <v>23602.437956999998</v>
      </c>
      <c r="U19" s="574">
        <v>3027.3507690000001</v>
      </c>
      <c r="V19" s="574">
        <v>342854.82076099998</v>
      </c>
      <c r="W19" s="574">
        <v>67682.207947999996</v>
      </c>
      <c r="X19" s="574">
        <v>533623.80021400005</v>
      </c>
      <c r="Y19" s="575"/>
      <c r="Z19" s="576"/>
    </row>
    <row r="20" spans="1:26" s="572" customFormat="1" ht="31.5" customHeight="1">
      <c r="A20" s="573" t="s">
        <v>487</v>
      </c>
      <c r="B20" s="578" t="s">
        <v>510</v>
      </c>
      <c r="C20" s="579"/>
      <c r="D20" s="579"/>
      <c r="E20" s="574">
        <v>665500</v>
      </c>
      <c r="F20" s="574">
        <v>136690.06299999999</v>
      </c>
      <c r="G20" s="574">
        <v>74122.041494999998</v>
      </c>
      <c r="H20" s="574">
        <v>0</v>
      </c>
      <c r="I20" s="574">
        <v>52806.019407</v>
      </c>
      <c r="J20" s="574">
        <v>3825.9369999999999</v>
      </c>
      <c r="K20" s="574">
        <v>3825.9369999999999</v>
      </c>
      <c r="L20" s="574">
        <v>2460.83</v>
      </c>
      <c r="M20" s="574">
        <v>1365.107</v>
      </c>
      <c r="N20" s="574">
        <v>0</v>
      </c>
      <c r="O20" s="574">
        <v>0</v>
      </c>
      <c r="P20" s="574">
        <v>247302</v>
      </c>
      <c r="Q20" s="574">
        <v>232996.57282199999</v>
      </c>
      <c r="R20" s="574">
        <v>190100.63396199999</v>
      </c>
      <c r="S20" s="574">
        <v>42895.938860000002</v>
      </c>
      <c r="T20" s="574">
        <v>11917.108178</v>
      </c>
      <c r="U20" s="574">
        <v>2388.319</v>
      </c>
      <c r="V20" s="574">
        <v>245367.48336899999</v>
      </c>
      <c r="W20" s="574">
        <v>65577.067947999996</v>
      </c>
      <c r="X20" s="574">
        <v>373512.57282200002</v>
      </c>
    </row>
    <row r="21" spans="1:26" s="572" customFormat="1" ht="32.25" customHeight="1">
      <c r="A21" s="573" t="s">
        <v>36</v>
      </c>
      <c r="B21" s="582" t="s">
        <v>511</v>
      </c>
      <c r="C21" s="579"/>
      <c r="D21" s="579"/>
      <c r="E21" s="574">
        <v>183000</v>
      </c>
      <c r="F21" s="574">
        <v>65000</v>
      </c>
      <c r="G21" s="574">
        <v>39812.912494999997</v>
      </c>
      <c r="H21" s="574">
        <v>0</v>
      </c>
      <c r="I21" s="574">
        <v>21218.463406999999</v>
      </c>
      <c r="J21" s="574">
        <v>0</v>
      </c>
      <c r="K21" s="574">
        <v>0</v>
      </c>
      <c r="L21" s="574">
        <v>0</v>
      </c>
      <c r="M21" s="574">
        <v>0</v>
      </c>
      <c r="N21" s="574">
        <v>0</v>
      </c>
      <c r="O21" s="574">
        <v>0</v>
      </c>
      <c r="P21" s="574">
        <v>70000</v>
      </c>
      <c r="Q21" s="574">
        <v>70000</v>
      </c>
      <c r="R21" s="574">
        <v>69985.060140000001</v>
      </c>
      <c r="S21" s="574">
        <v>14.939859999999999</v>
      </c>
      <c r="T21" s="574">
        <v>0</v>
      </c>
      <c r="U21" s="574">
        <v>0</v>
      </c>
      <c r="V21" s="574">
        <v>91203.523547000004</v>
      </c>
      <c r="W21" s="574">
        <v>18609.388948</v>
      </c>
      <c r="X21" s="574">
        <v>135000</v>
      </c>
      <c r="Y21" s="574">
        <f t="shared" ref="Y21:Z21" si="3">SUM(Y22)</f>
        <v>0</v>
      </c>
      <c r="Z21" s="574">
        <f t="shared" si="3"/>
        <v>0</v>
      </c>
    </row>
    <row r="22" spans="1:26" s="592" customFormat="1" ht="31.5" customHeight="1">
      <c r="A22" s="585">
        <v>1</v>
      </c>
      <c r="B22" s="629" t="s">
        <v>512</v>
      </c>
      <c r="C22" s="585" t="s">
        <v>513</v>
      </c>
      <c r="D22" s="585">
        <v>7912008</v>
      </c>
      <c r="E22" s="618">
        <v>183000</v>
      </c>
      <c r="F22" s="618">
        <v>65000</v>
      </c>
      <c r="G22" s="618">
        <v>39812.912494999997</v>
      </c>
      <c r="H22" s="618">
        <v>0</v>
      </c>
      <c r="I22" s="618">
        <v>21218.463406999999</v>
      </c>
      <c r="J22" s="618">
        <v>0</v>
      </c>
      <c r="K22" s="618">
        <v>0</v>
      </c>
      <c r="L22" s="618">
        <v>0</v>
      </c>
      <c r="M22" s="618">
        <v>0</v>
      </c>
      <c r="N22" s="618">
        <v>0</v>
      </c>
      <c r="O22" s="618">
        <v>0</v>
      </c>
      <c r="P22" s="618">
        <v>70000</v>
      </c>
      <c r="Q22" s="618">
        <v>70000</v>
      </c>
      <c r="R22" s="618">
        <v>69985.060140000001</v>
      </c>
      <c r="S22" s="618">
        <v>14.939859999999999</v>
      </c>
      <c r="T22" s="618">
        <v>0</v>
      </c>
      <c r="U22" s="618">
        <v>0</v>
      </c>
      <c r="V22" s="618">
        <v>91203.523547000004</v>
      </c>
      <c r="W22" s="618">
        <v>18609.388948</v>
      </c>
      <c r="X22" s="618">
        <v>135000</v>
      </c>
    </row>
    <row r="23" spans="1:26" s="572" customFormat="1" ht="55.5" customHeight="1">
      <c r="A23" s="573" t="s">
        <v>43</v>
      </c>
      <c r="B23" s="578" t="s">
        <v>139</v>
      </c>
      <c r="C23" s="579" t="s">
        <v>513</v>
      </c>
      <c r="D23" s="579"/>
      <c r="E23" s="574">
        <v>140662</v>
      </c>
      <c r="F23" s="574">
        <v>40195.063000000002</v>
      </c>
      <c r="G23" s="574">
        <v>20590.467000000001</v>
      </c>
      <c r="H23" s="574">
        <v>0</v>
      </c>
      <c r="I23" s="574">
        <v>17868.894</v>
      </c>
      <c r="J23" s="574">
        <v>3825.9369999999999</v>
      </c>
      <c r="K23" s="574">
        <v>3825.9369999999999</v>
      </c>
      <c r="L23" s="574">
        <v>2460.83</v>
      </c>
      <c r="M23" s="574">
        <v>1365.107</v>
      </c>
      <c r="N23" s="574">
        <v>0</v>
      </c>
      <c r="O23" s="574">
        <v>0</v>
      </c>
      <c r="P23" s="574">
        <v>40560</v>
      </c>
      <c r="Q23" s="574">
        <v>32686.230822000001</v>
      </c>
      <c r="R23" s="574">
        <v>26567.362821999999</v>
      </c>
      <c r="S23" s="574">
        <v>6118.8680000000004</v>
      </c>
      <c r="T23" s="574">
        <v>7873.7691779999996</v>
      </c>
      <c r="U23" s="574">
        <v>0</v>
      </c>
      <c r="V23" s="574">
        <v>46897.086821999997</v>
      </c>
      <c r="W23" s="574">
        <v>10205.548000000001</v>
      </c>
      <c r="X23" s="574">
        <v>76707.230821999998</v>
      </c>
    </row>
    <row r="24" spans="1:26" s="572" customFormat="1" ht="35.25" customHeight="1">
      <c r="A24" s="585">
        <v>2</v>
      </c>
      <c r="B24" s="586" t="s">
        <v>237</v>
      </c>
      <c r="C24" s="579" t="s">
        <v>513</v>
      </c>
      <c r="D24" s="587" t="s">
        <v>514</v>
      </c>
      <c r="E24" s="574">
        <v>25662</v>
      </c>
      <c r="F24" s="574">
        <v>0</v>
      </c>
      <c r="G24" s="574">
        <v>0</v>
      </c>
      <c r="H24" s="574">
        <v>0</v>
      </c>
      <c r="I24" s="574">
        <v>0</v>
      </c>
      <c r="J24" s="574">
        <v>0</v>
      </c>
      <c r="K24" s="574">
        <v>0</v>
      </c>
      <c r="L24" s="574">
        <v>0</v>
      </c>
      <c r="M24" s="574">
        <v>0</v>
      </c>
      <c r="N24" s="574">
        <v>0</v>
      </c>
      <c r="O24" s="574">
        <v>0</v>
      </c>
      <c r="P24" s="574">
        <v>2500</v>
      </c>
      <c r="Q24" s="574">
        <v>2398.1</v>
      </c>
      <c r="R24" s="574">
        <v>863.70600000000002</v>
      </c>
      <c r="S24" s="574">
        <v>1534.394</v>
      </c>
      <c r="T24" s="574">
        <v>101.9</v>
      </c>
      <c r="U24" s="574">
        <v>0</v>
      </c>
      <c r="V24" s="574">
        <v>863.70600000000002</v>
      </c>
      <c r="W24" s="574">
        <v>1534.394</v>
      </c>
      <c r="X24" s="574">
        <v>2398.1</v>
      </c>
    </row>
    <row r="25" spans="1:26" s="623" customFormat="1" ht="35.25" customHeight="1">
      <c r="A25" s="621">
        <v>3</v>
      </c>
      <c r="B25" s="632" t="s">
        <v>231</v>
      </c>
      <c r="C25" s="621" t="s">
        <v>513</v>
      </c>
      <c r="D25" s="633" t="s">
        <v>515</v>
      </c>
      <c r="E25" s="622">
        <v>30000</v>
      </c>
      <c r="F25" s="622">
        <v>481.42099999999999</v>
      </c>
      <c r="G25" s="622">
        <v>0</v>
      </c>
      <c r="H25" s="622">
        <v>0</v>
      </c>
      <c r="I25" s="622">
        <v>0</v>
      </c>
      <c r="J25" s="622">
        <v>1518.579</v>
      </c>
      <c r="K25" s="622">
        <v>1518.579</v>
      </c>
      <c r="L25" s="622">
        <v>153.47200000000001</v>
      </c>
      <c r="M25" s="622">
        <v>1365.107</v>
      </c>
      <c r="N25" s="622">
        <v>0</v>
      </c>
      <c r="O25" s="622">
        <v>0</v>
      </c>
      <c r="P25" s="622">
        <v>5080</v>
      </c>
      <c r="Q25" s="622">
        <v>5080</v>
      </c>
      <c r="R25" s="622">
        <v>495.52600000000001</v>
      </c>
      <c r="S25" s="622">
        <v>4584.4740000000002</v>
      </c>
      <c r="T25" s="622">
        <v>0</v>
      </c>
      <c r="U25" s="622">
        <v>0</v>
      </c>
      <c r="V25" s="622">
        <v>648.99800000000005</v>
      </c>
      <c r="W25" s="622">
        <v>5949.5810000000001</v>
      </c>
      <c r="X25" s="622">
        <v>7080</v>
      </c>
    </row>
    <row r="26" spans="1:26" s="623" customFormat="1" ht="35.25" customHeight="1">
      <c r="A26" s="621">
        <v>4</v>
      </c>
      <c r="B26" s="632" t="s">
        <v>121</v>
      </c>
      <c r="C26" s="621" t="s">
        <v>513</v>
      </c>
      <c r="D26" s="633" t="s">
        <v>516</v>
      </c>
      <c r="E26" s="622">
        <v>20000</v>
      </c>
      <c r="F26" s="622">
        <v>11836.787</v>
      </c>
      <c r="G26" s="622">
        <v>5210.54</v>
      </c>
      <c r="H26" s="622">
        <v>0</v>
      </c>
      <c r="I26" s="622">
        <v>5210.54</v>
      </c>
      <c r="J26" s="622">
        <v>1184.213</v>
      </c>
      <c r="K26" s="622">
        <v>1184.213</v>
      </c>
      <c r="L26" s="622">
        <v>1184.213</v>
      </c>
      <c r="M26" s="622">
        <v>0</v>
      </c>
      <c r="N26" s="622">
        <v>0</v>
      </c>
      <c r="O26" s="622">
        <v>0</v>
      </c>
      <c r="P26" s="622">
        <v>5980</v>
      </c>
      <c r="Q26" s="622">
        <v>5980</v>
      </c>
      <c r="R26" s="622">
        <v>5980</v>
      </c>
      <c r="S26" s="622">
        <v>0</v>
      </c>
      <c r="T26" s="622">
        <v>0</v>
      </c>
      <c r="U26" s="622">
        <v>0</v>
      </c>
      <c r="V26" s="622">
        <v>12374.753000000001</v>
      </c>
      <c r="W26" s="622">
        <v>0</v>
      </c>
      <c r="X26" s="622">
        <v>19001</v>
      </c>
    </row>
    <row r="27" spans="1:26" s="623" customFormat="1" ht="39" customHeight="1">
      <c r="A27" s="621">
        <v>5</v>
      </c>
      <c r="B27" s="632" t="s">
        <v>120</v>
      </c>
      <c r="C27" s="621" t="s">
        <v>513</v>
      </c>
      <c r="D27" s="633" t="s">
        <v>517</v>
      </c>
      <c r="E27" s="622">
        <v>30000</v>
      </c>
      <c r="F27" s="622">
        <v>14000</v>
      </c>
      <c r="G27" s="622">
        <v>7177.335</v>
      </c>
      <c r="H27" s="622">
        <v>0</v>
      </c>
      <c r="I27" s="622">
        <v>4455.7619999999997</v>
      </c>
      <c r="J27" s="622">
        <v>0</v>
      </c>
      <c r="K27" s="622">
        <v>0</v>
      </c>
      <c r="L27" s="622">
        <v>0</v>
      </c>
      <c r="M27" s="622">
        <v>0</v>
      </c>
      <c r="N27" s="622">
        <v>0</v>
      </c>
      <c r="O27" s="622">
        <v>0</v>
      </c>
      <c r="P27" s="622">
        <v>15000</v>
      </c>
      <c r="Q27" s="622">
        <v>9391.1280000000006</v>
      </c>
      <c r="R27" s="622">
        <v>9391.1280000000006</v>
      </c>
      <c r="S27" s="622">
        <v>0</v>
      </c>
      <c r="T27" s="622">
        <v>5608.8720000000003</v>
      </c>
      <c r="U27" s="622">
        <v>0</v>
      </c>
      <c r="V27" s="622">
        <v>13846.89</v>
      </c>
      <c r="W27" s="622">
        <v>2721.5729999999999</v>
      </c>
      <c r="X27" s="622">
        <v>23391.128000000001</v>
      </c>
    </row>
    <row r="28" spans="1:26" s="623" customFormat="1" ht="35.25" customHeight="1">
      <c r="A28" s="621">
        <v>6</v>
      </c>
      <c r="B28" s="632" t="s">
        <v>119</v>
      </c>
      <c r="C28" s="621" t="s">
        <v>513</v>
      </c>
      <c r="D28" s="633" t="s">
        <v>518</v>
      </c>
      <c r="E28" s="622">
        <v>35000</v>
      </c>
      <c r="F28" s="622">
        <v>13876.855</v>
      </c>
      <c r="G28" s="622">
        <v>8202.5920000000006</v>
      </c>
      <c r="H28" s="622">
        <v>0</v>
      </c>
      <c r="I28" s="622">
        <v>8202.5920000000006</v>
      </c>
      <c r="J28" s="622">
        <v>1123.145</v>
      </c>
      <c r="K28" s="622">
        <v>1123.145</v>
      </c>
      <c r="L28" s="622">
        <v>1123.145</v>
      </c>
      <c r="M28" s="622">
        <v>0</v>
      </c>
      <c r="N28" s="622">
        <v>0</v>
      </c>
      <c r="O28" s="622">
        <v>0</v>
      </c>
      <c r="P28" s="622">
        <v>12000</v>
      </c>
      <c r="Q28" s="622">
        <v>9837.0028220000004</v>
      </c>
      <c r="R28" s="622">
        <v>9837.0028220000004</v>
      </c>
      <c r="S28" s="622">
        <v>0</v>
      </c>
      <c r="T28" s="622">
        <v>2162.9971780000001</v>
      </c>
      <c r="U28" s="622">
        <v>0</v>
      </c>
      <c r="V28" s="622">
        <v>19162.739822</v>
      </c>
      <c r="W28" s="622">
        <v>0</v>
      </c>
      <c r="X28" s="622">
        <v>24837.002821999999</v>
      </c>
    </row>
    <row r="29" spans="1:26" s="572" customFormat="1" ht="74.25" customHeight="1">
      <c r="A29" s="573" t="s">
        <v>53</v>
      </c>
      <c r="B29" s="578" t="s">
        <v>519</v>
      </c>
      <c r="C29" s="579"/>
      <c r="D29" s="579"/>
      <c r="E29" s="574">
        <v>86705</v>
      </c>
      <c r="F29" s="574">
        <v>31495</v>
      </c>
      <c r="G29" s="574">
        <v>13718.662</v>
      </c>
      <c r="H29" s="574">
        <v>0</v>
      </c>
      <c r="I29" s="574">
        <v>13718.662</v>
      </c>
      <c r="J29" s="574">
        <v>0</v>
      </c>
      <c r="K29" s="574">
        <v>0</v>
      </c>
      <c r="L29" s="574">
        <v>0</v>
      </c>
      <c r="M29" s="574">
        <v>0</v>
      </c>
      <c r="N29" s="574">
        <v>0</v>
      </c>
      <c r="O29" s="574">
        <v>0</v>
      </c>
      <c r="P29" s="574">
        <v>29738</v>
      </c>
      <c r="Q29" s="574">
        <v>25694.661</v>
      </c>
      <c r="R29" s="574">
        <v>25694.661</v>
      </c>
      <c r="S29" s="574">
        <v>0</v>
      </c>
      <c r="T29" s="574">
        <v>4043.3389999999999</v>
      </c>
      <c r="U29" s="574">
        <v>0</v>
      </c>
      <c r="V29" s="574">
        <v>39413.322999999997</v>
      </c>
      <c r="W29" s="574">
        <v>0</v>
      </c>
      <c r="X29" s="574">
        <v>57189.661</v>
      </c>
    </row>
    <row r="30" spans="1:26" s="572" customFormat="1" ht="47.25" customHeight="1">
      <c r="A30" s="583">
        <v>7</v>
      </c>
      <c r="B30" s="584" t="s">
        <v>123</v>
      </c>
      <c r="C30" s="579" t="s">
        <v>513</v>
      </c>
      <c r="D30" s="588" t="s">
        <v>520</v>
      </c>
      <c r="E30" s="574">
        <v>14990</v>
      </c>
      <c r="F30" s="574">
        <v>7495</v>
      </c>
      <c r="G30" s="574">
        <v>3535</v>
      </c>
      <c r="H30" s="574">
        <v>0</v>
      </c>
      <c r="I30" s="574">
        <v>3535</v>
      </c>
      <c r="J30" s="574">
        <v>0</v>
      </c>
      <c r="K30" s="574">
        <v>0</v>
      </c>
      <c r="L30" s="574">
        <v>0</v>
      </c>
      <c r="M30" s="574">
        <v>0</v>
      </c>
      <c r="N30" s="574">
        <v>0</v>
      </c>
      <c r="O30" s="574">
        <v>0</v>
      </c>
      <c r="P30" s="574">
        <v>7436</v>
      </c>
      <c r="Q30" s="574">
        <v>4689.1639999999998</v>
      </c>
      <c r="R30" s="574">
        <v>4689.1639999999998</v>
      </c>
      <c r="S30" s="574">
        <v>0</v>
      </c>
      <c r="T30" s="574">
        <v>2746.8359999999998</v>
      </c>
      <c r="U30" s="574">
        <v>0</v>
      </c>
      <c r="V30" s="574">
        <v>8224.1640000000007</v>
      </c>
      <c r="W30" s="574">
        <v>0</v>
      </c>
      <c r="X30" s="574">
        <v>12184.164000000001</v>
      </c>
    </row>
    <row r="31" spans="1:26" s="572" customFormat="1" ht="76.5" customHeight="1">
      <c r="A31" s="589">
        <v>8</v>
      </c>
      <c r="B31" s="590" t="s">
        <v>122</v>
      </c>
      <c r="C31" s="579" t="s">
        <v>513</v>
      </c>
      <c r="D31" s="588" t="s">
        <v>521</v>
      </c>
      <c r="E31" s="574">
        <v>20000</v>
      </c>
      <c r="F31" s="574">
        <v>10000</v>
      </c>
      <c r="G31" s="574">
        <v>4920.3029999999999</v>
      </c>
      <c r="H31" s="574">
        <v>0</v>
      </c>
      <c r="I31" s="574">
        <v>4920.3029999999999</v>
      </c>
      <c r="J31" s="574">
        <v>0</v>
      </c>
      <c r="K31" s="574">
        <v>0</v>
      </c>
      <c r="L31" s="574">
        <v>0</v>
      </c>
      <c r="M31" s="574">
        <v>0</v>
      </c>
      <c r="N31" s="574">
        <v>0</v>
      </c>
      <c r="O31" s="574">
        <v>0</v>
      </c>
      <c r="P31" s="574">
        <v>9820</v>
      </c>
      <c r="Q31" s="574">
        <v>9051.4570000000003</v>
      </c>
      <c r="R31" s="574">
        <v>9051.4570000000003</v>
      </c>
      <c r="S31" s="574">
        <v>0</v>
      </c>
      <c r="T31" s="574">
        <v>768.54300000000001</v>
      </c>
      <c r="U31" s="574">
        <v>0</v>
      </c>
      <c r="V31" s="574">
        <v>13971.76</v>
      </c>
      <c r="W31" s="574">
        <v>0</v>
      </c>
      <c r="X31" s="574">
        <v>19051.456999999999</v>
      </c>
    </row>
    <row r="32" spans="1:26" s="572" customFormat="1" ht="47.25" customHeight="1">
      <c r="A32" s="589">
        <v>9</v>
      </c>
      <c r="B32" s="590" t="s">
        <v>190</v>
      </c>
      <c r="C32" s="579" t="s">
        <v>513</v>
      </c>
      <c r="D32" s="591" t="s">
        <v>522</v>
      </c>
      <c r="E32" s="574">
        <v>25662</v>
      </c>
      <c r="F32" s="574">
        <v>0</v>
      </c>
      <c r="G32" s="574">
        <v>0</v>
      </c>
      <c r="H32" s="574">
        <v>0</v>
      </c>
      <c r="I32" s="574">
        <v>0</v>
      </c>
      <c r="J32" s="574">
        <v>0</v>
      </c>
      <c r="K32" s="574">
        <v>0</v>
      </c>
      <c r="L32" s="574">
        <v>0</v>
      </c>
      <c r="M32" s="574">
        <v>0</v>
      </c>
      <c r="N32" s="574">
        <v>0</v>
      </c>
      <c r="O32" s="574">
        <v>0</v>
      </c>
      <c r="P32" s="574">
        <v>650</v>
      </c>
      <c r="Q32" s="574">
        <v>367.37599999999998</v>
      </c>
      <c r="R32" s="574">
        <v>367.37599999999998</v>
      </c>
      <c r="S32" s="574">
        <v>0</v>
      </c>
      <c r="T32" s="574">
        <v>282.62400000000002</v>
      </c>
      <c r="U32" s="574">
        <v>0</v>
      </c>
      <c r="V32" s="574">
        <v>367.37599999999998</v>
      </c>
      <c r="W32" s="574">
        <v>0</v>
      </c>
      <c r="X32" s="574">
        <v>367.37599999999998</v>
      </c>
    </row>
    <row r="33" spans="1:24" s="572" customFormat="1" ht="47.25" customHeight="1">
      <c r="A33" s="589">
        <v>10</v>
      </c>
      <c r="B33" s="590" t="s">
        <v>415</v>
      </c>
      <c r="C33" s="579" t="s">
        <v>513</v>
      </c>
      <c r="D33" s="588" t="s">
        <v>523</v>
      </c>
      <c r="E33" s="574">
        <v>12853</v>
      </c>
      <c r="F33" s="574">
        <v>7000</v>
      </c>
      <c r="G33" s="574">
        <v>2960.634</v>
      </c>
      <c r="H33" s="574">
        <v>0</v>
      </c>
      <c r="I33" s="574">
        <v>2960.634</v>
      </c>
      <c r="J33" s="574">
        <v>0</v>
      </c>
      <c r="K33" s="574">
        <v>0</v>
      </c>
      <c r="L33" s="574">
        <v>0</v>
      </c>
      <c r="M33" s="574">
        <v>0</v>
      </c>
      <c r="N33" s="574">
        <v>0</v>
      </c>
      <c r="O33" s="574">
        <v>0</v>
      </c>
      <c r="P33" s="574">
        <v>5739</v>
      </c>
      <c r="Q33" s="574">
        <v>5609.1639999999998</v>
      </c>
      <c r="R33" s="574">
        <v>5609.1639999999998</v>
      </c>
      <c r="S33" s="574">
        <v>0</v>
      </c>
      <c r="T33" s="574">
        <v>129.83600000000001</v>
      </c>
      <c r="U33" s="574">
        <v>0</v>
      </c>
      <c r="V33" s="574">
        <v>8569.7980000000007</v>
      </c>
      <c r="W33" s="574">
        <v>0</v>
      </c>
      <c r="X33" s="574">
        <v>12609.164000000001</v>
      </c>
    </row>
    <row r="34" spans="1:24" s="572" customFormat="1" ht="47.25" customHeight="1">
      <c r="A34" s="589">
        <v>11</v>
      </c>
      <c r="B34" s="590" t="s">
        <v>417</v>
      </c>
      <c r="C34" s="579" t="s">
        <v>513</v>
      </c>
      <c r="D34" s="588" t="s">
        <v>524</v>
      </c>
      <c r="E34" s="574">
        <v>13200</v>
      </c>
      <c r="F34" s="574">
        <v>7000</v>
      </c>
      <c r="G34" s="574">
        <v>2302.7249999999999</v>
      </c>
      <c r="H34" s="574">
        <v>0</v>
      </c>
      <c r="I34" s="574">
        <v>2302.7249999999999</v>
      </c>
      <c r="J34" s="574">
        <v>0</v>
      </c>
      <c r="K34" s="574">
        <v>0</v>
      </c>
      <c r="L34" s="574">
        <v>0</v>
      </c>
      <c r="M34" s="574">
        <v>0</v>
      </c>
      <c r="N34" s="574">
        <v>0</v>
      </c>
      <c r="O34" s="574">
        <v>0</v>
      </c>
      <c r="P34" s="574">
        <v>6093</v>
      </c>
      <c r="Q34" s="574">
        <v>5977.5</v>
      </c>
      <c r="R34" s="574">
        <v>5977.5</v>
      </c>
      <c r="S34" s="574">
        <v>0</v>
      </c>
      <c r="T34" s="574">
        <v>115.5</v>
      </c>
      <c r="U34" s="574">
        <v>0</v>
      </c>
      <c r="V34" s="574">
        <v>8280.2250000000004</v>
      </c>
      <c r="W34" s="574">
        <v>0</v>
      </c>
      <c r="X34" s="574">
        <v>12977.5</v>
      </c>
    </row>
    <row r="35" spans="1:24" s="623" customFormat="1" ht="49.5" customHeight="1">
      <c r="A35" s="619" t="s">
        <v>54</v>
      </c>
      <c r="B35" s="620" t="s">
        <v>81</v>
      </c>
      <c r="C35" s="621" t="s">
        <v>513</v>
      </c>
      <c r="D35" s="621"/>
      <c r="E35" s="622">
        <v>255133</v>
      </c>
      <c r="F35" s="622">
        <v>0</v>
      </c>
      <c r="G35" s="622">
        <v>0</v>
      </c>
      <c r="H35" s="622">
        <v>0</v>
      </c>
      <c r="I35" s="622">
        <v>0</v>
      </c>
      <c r="J35" s="622">
        <v>0</v>
      </c>
      <c r="K35" s="622">
        <v>0</v>
      </c>
      <c r="L35" s="622">
        <v>0</v>
      </c>
      <c r="M35" s="622">
        <v>0</v>
      </c>
      <c r="N35" s="622">
        <v>0</v>
      </c>
      <c r="O35" s="622">
        <v>0</v>
      </c>
      <c r="P35" s="622">
        <v>107004</v>
      </c>
      <c r="Q35" s="622">
        <v>104615.681</v>
      </c>
      <c r="R35" s="622">
        <v>67853.55</v>
      </c>
      <c r="S35" s="622">
        <v>36762.131000000001</v>
      </c>
      <c r="T35" s="622">
        <v>0</v>
      </c>
      <c r="U35" s="622">
        <v>2388.319</v>
      </c>
      <c r="V35" s="622">
        <v>67853.55</v>
      </c>
      <c r="W35" s="622">
        <v>36762.131000000001</v>
      </c>
      <c r="X35" s="622">
        <v>104615.681</v>
      </c>
    </row>
    <row r="36" spans="1:24" s="623" customFormat="1" ht="60" customHeight="1">
      <c r="A36" s="621">
        <v>1</v>
      </c>
      <c r="B36" s="624" t="s">
        <v>129</v>
      </c>
      <c r="C36" s="621" t="s">
        <v>513</v>
      </c>
      <c r="D36" s="625" t="s">
        <v>525</v>
      </c>
      <c r="E36" s="622">
        <v>6800</v>
      </c>
      <c r="F36" s="622">
        <v>0</v>
      </c>
      <c r="G36" s="622">
        <v>0</v>
      </c>
      <c r="H36" s="622">
        <v>0</v>
      </c>
      <c r="I36" s="622">
        <v>0</v>
      </c>
      <c r="J36" s="622">
        <v>0</v>
      </c>
      <c r="K36" s="622">
        <v>0</v>
      </c>
      <c r="L36" s="622">
        <v>0</v>
      </c>
      <c r="M36" s="622">
        <v>0</v>
      </c>
      <c r="N36" s="622">
        <v>0</v>
      </c>
      <c r="O36" s="622">
        <v>0</v>
      </c>
      <c r="P36" s="622">
        <v>4377</v>
      </c>
      <c r="Q36" s="622">
        <v>4377</v>
      </c>
      <c r="R36" s="622">
        <v>4377</v>
      </c>
      <c r="S36" s="622">
        <v>0</v>
      </c>
      <c r="T36" s="622">
        <v>0</v>
      </c>
      <c r="U36" s="622">
        <v>0</v>
      </c>
      <c r="V36" s="622">
        <v>4377</v>
      </c>
      <c r="W36" s="622">
        <v>0</v>
      </c>
      <c r="X36" s="622">
        <v>4377</v>
      </c>
    </row>
    <row r="37" spans="1:24" s="623" customFormat="1" ht="60" customHeight="1">
      <c r="A37" s="621">
        <v>2</v>
      </c>
      <c r="B37" s="624" t="s">
        <v>130</v>
      </c>
      <c r="C37" s="621" t="s">
        <v>513</v>
      </c>
      <c r="D37" s="625" t="s">
        <v>526</v>
      </c>
      <c r="E37" s="622">
        <v>9692</v>
      </c>
      <c r="F37" s="622">
        <v>0</v>
      </c>
      <c r="G37" s="622">
        <v>0</v>
      </c>
      <c r="H37" s="622">
        <v>0</v>
      </c>
      <c r="I37" s="622">
        <v>0</v>
      </c>
      <c r="J37" s="622">
        <v>0</v>
      </c>
      <c r="K37" s="622">
        <v>0</v>
      </c>
      <c r="L37" s="622">
        <v>0</v>
      </c>
      <c r="M37" s="622">
        <v>0</v>
      </c>
      <c r="N37" s="622">
        <v>0</v>
      </c>
      <c r="O37" s="622">
        <v>0</v>
      </c>
      <c r="P37" s="622">
        <v>6238</v>
      </c>
      <c r="Q37" s="622">
        <v>6237.6</v>
      </c>
      <c r="R37" s="622">
        <v>6237.6</v>
      </c>
      <c r="S37" s="622">
        <v>0</v>
      </c>
      <c r="T37" s="622">
        <v>0</v>
      </c>
      <c r="U37" s="622">
        <v>0.4</v>
      </c>
      <c r="V37" s="622">
        <v>6237.6</v>
      </c>
      <c r="W37" s="622">
        <v>0</v>
      </c>
      <c r="X37" s="622">
        <v>6237.6</v>
      </c>
    </row>
    <row r="38" spans="1:24" s="623" customFormat="1" ht="60" customHeight="1">
      <c r="A38" s="626" t="s">
        <v>134</v>
      </c>
      <c r="B38" s="627" t="s">
        <v>132</v>
      </c>
      <c r="C38" s="621" t="s">
        <v>513</v>
      </c>
      <c r="D38" s="625" t="s">
        <v>527</v>
      </c>
      <c r="E38" s="622">
        <v>6000</v>
      </c>
      <c r="F38" s="622">
        <v>0</v>
      </c>
      <c r="G38" s="622">
        <v>0</v>
      </c>
      <c r="H38" s="622">
        <v>0</v>
      </c>
      <c r="I38" s="622">
        <v>0</v>
      </c>
      <c r="J38" s="622">
        <v>0</v>
      </c>
      <c r="K38" s="622">
        <v>0</v>
      </c>
      <c r="L38" s="622">
        <v>0</v>
      </c>
      <c r="M38" s="622">
        <v>0</v>
      </c>
      <c r="N38" s="622">
        <v>0</v>
      </c>
      <c r="O38" s="622">
        <v>0</v>
      </c>
      <c r="P38" s="622">
        <v>5400</v>
      </c>
      <c r="Q38" s="622">
        <v>5119.5379999999996</v>
      </c>
      <c r="R38" s="622">
        <v>5119.5379999999996</v>
      </c>
      <c r="S38" s="622">
        <v>0</v>
      </c>
      <c r="T38" s="622">
        <v>0</v>
      </c>
      <c r="U38" s="622">
        <v>280.46199999999999</v>
      </c>
      <c r="V38" s="622">
        <v>5119.5379999999996</v>
      </c>
      <c r="W38" s="622">
        <v>0</v>
      </c>
      <c r="X38" s="622">
        <v>5119.5379999999996</v>
      </c>
    </row>
    <row r="39" spans="1:24" s="623" customFormat="1" ht="38.25" customHeight="1">
      <c r="A39" s="626" t="s">
        <v>137</v>
      </c>
      <c r="B39" s="627" t="s">
        <v>133</v>
      </c>
      <c r="C39" s="621" t="s">
        <v>513</v>
      </c>
      <c r="D39" s="625" t="s">
        <v>528</v>
      </c>
      <c r="E39" s="622">
        <v>11200</v>
      </c>
      <c r="F39" s="622">
        <v>0</v>
      </c>
      <c r="G39" s="622">
        <v>0</v>
      </c>
      <c r="H39" s="622">
        <v>0</v>
      </c>
      <c r="I39" s="622">
        <v>0</v>
      </c>
      <c r="J39" s="622">
        <v>0</v>
      </c>
      <c r="K39" s="622">
        <v>0</v>
      </c>
      <c r="L39" s="622">
        <v>0</v>
      </c>
      <c r="M39" s="622">
        <v>0</v>
      </c>
      <c r="N39" s="622">
        <v>0</v>
      </c>
      <c r="O39" s="622">
        <v>0</v>
      </c>
      <c r="P39" s="622">
        <v>7240</v>
      </c>
      <c r="Q39" s="622">
        <v>7240</v>
      </c>
      <c r="R39" s="622">
        <v>7240</v>
      </c>
      <c r="S39" s="622">
        <v>0</v>
      </c>
      <c r="T39" s="622">
        <v>0</v>
      </c>
      <c r="U39" s="622">
        <v>0</v>
      </c>
      <c r="V39" s="622">
        <v>7240</v>
      </c>
      <c r="W39" s="622">
        <v>0</v>
      </c>
      <c r="X39" s="622">
        <v>7240</v>
      </c>
    </row>
    <row r="40" spans="1:24" s="623" customFormat="1" ht="38.25" customHeight="1">
      <c r="A40" s="626" t="s">
        <v>82</v>
      </c>
      <c r="B40" s="627" t="s">
        <v>349</v>
      </c>
      <c r="C40" s="621" t="s">
        <v>513</v>
      </c>
      <c r="D40" s="625" t="s">
        <v>529</v>
      </c>
      <c r="E40" s="622">
        <v>46000</v>
      </c>
      <c r="F40" s="622">
        <v>0</v>
      </c>
      <c r="G40" s="622">
        <v>0</v>
      </c>
      <c r="H40" s="622">
        <v>0</v>
      </c>
      <c r="I40" s="622">
        <v>0</v>
      </c>
      <c r="J40" s="622">
        <v>0</v>
      </c>
      <c r="K40" s="622">
        <v>0</v>
      </c>
      <c r="L40" s="622">
        <v>0</v>
      </c>
      <c r="M40" s="622">
        <v>0</v>
      </c>
      <c r="N40" s="622">
        <v>0</v>
      </c>
      <c r="O40" s="622">
        <v>0</v>
      </c>
      <c r="P40" s="622">
        <v>14200</v>
      </c>
      <c r="Q40" s="622">
        <v>13438.361999999999</v>
      </c>
      <c r="R40" s="622">
        <v>7817.9740000000002</v>
      </c>
      <c r="S40" s="622">
        <v>5620.3879999999999</v>
      </c>
      <c r="T40" s="622">
        <v>0</v>
      </c>
      <c r="U40" s="622">
        <v>761.63800000000003</v>
      </c>
      <c r="V40" s="622">
        <v>7817.9740000000002</v>
      </c>
      <c r="W40" s="622">
        <v>5620.3879999999999</v>
      </c>
      <c r="X40" s="622">
        <v>13438.361999999999</v>
      </c>
    </row>
    <row r="41" spans="1:24" s="623" customFormat="1" ht="43.5" customHeight="1">
      <c r="A41" s="626" t="s">
        <v>84</v>
      </c>
      <c r="B41" s="627" t="s">
        <v>351</v>
      </c>
      <c r="C41" s="621" t="s">
        <v>513</v>
      </c>
      <c r="D41" s="625" t="s">
        <v>530</v>
      </c>
      <c r="E41" s="622">
        <v>28000</v>
      </c>
      <c r="F41" s="622">
        <v>0</v>
      </c>
      <c r="G41" s="622">
        <v>0</v>
      </c>
      <c r="H41" s="622">
        <v>0</v>
      </c>
      <c r="I41" s="622">
        <v>0</v>
      </c>
      <c r="J41" s="622">
        <v>0</v>
      </c>
      <c r="K41" s="622">
        <v>0</v>
      </c>
      <c r="L41" s="622">
        <v>0</v>
      </c>
      <c r="M41" s="622">
        <v>0</v>
      </c>
      <c r="N41" s="622">
        <v>0</v>
      </c>
      <c r="O41" s="622">
        <v>0</v>
      </c>
      <c r="P41" s="622">
        <v>8100</v>
      </c>
      <c r="Q41" s="622">
        <v>8100</v>
      </c>
      <c r="R41" s="622">
        <v>1120</v>
      </c>
      <c r="S41" s="622">
        <v>6980</v>
      </c>
      <c r="T41" s="622">
        <v>0</v>
      </c>
      <c r="U41" s="622">
        <v>0</v>
      </c>
      <c r="V41" s="622">
        <v>1120</v>
      </c>
      <c r="W41" s="622">
        <v>6980</v>
      </c>
      <c r="X41" s="622">
        <v>8100</v>
      </c>
    </row>
    <row r="42" spans="1:24" s="623" customFormat="1" ht="50.25" customHeight="1">
      <c r="A42" s="626" t="s">
        <v>276</v>
      </c>
      <c r="B42" s="627" t="s">
        <v>353</v>
      </c>
      <c r="C42" s="621" t="s">
        <v>513</v>
      </c>
      <c r="D42" s="625" t="s">
        <v>531</v>
      </c>
      <c r="E42" s="622">
        <v>21500</v>
      </c>
      <c r="F42" s="622">
        <v>0</v>
      </c>
      <c r="G42" s="622">
        <v>0</v>
      </c>
      <c r="H42" s="622">
        <v>0</v>
      </c>
      <c r="I42" s="622">
        <v>0</v>
      </c>
      <c r="J42" s="622">
        <v>0</v>
      </c>
      <c r="K42" s="622">
        <v>0</v>
      </c>
      <c r="L42" s="622">
        <v>0</v>
      </c>
      <c r="M42" s="622">
        <v>0</v>
      </c>
      <c r="N42" s="622">
        <v>0</v>
      </c>
      <c r="O42" s="622">
        <v>0</v>
      </c>
      <c r="P42" s="622">
        <v>6300</v>
      </c>
      <c r="Q42" s="622">
        <v>6300</v>
      </c>
      <c r="R42" s="622">
        <v>2826.4580000000001</v>
      </c>
      <c r="S42" s="622">
        <v>3473.5419999999999</v>
      </c>
      <c r="T42" s="622">
        <v>0</v>
      </c>
      <c r="U42" s="622">
        <v>0</v>
      </c>
      <c r="V42" s="622">
        <v>2826.4580000000001</v>
      </c>
      <c r="W42" s="622">
        <v>3473.5419999999999</v>
      </c>
      <c r="X42" s="622">
        <v>6300</v>
      </c>
    </row>
    <row r="43" spans="1:24" s="623" customFormat="1" ht="50.25" customHeight="1">
      <c r="A43" s="626" t="s">
        <v>260</v>
      </c>
      <c r="B43" s="627" t="s">
        <v>83</v>
      </c>
      <c r="C43" s="621" t="s">
        <v>513</v>
      </c>
      <c r="D43" s="625" t="s">
        <v>532</v>
      </c>
      <c r="E43" s="622">
        <v>3000</v>
      </c>
      <c r="F43" s="622">
        <v>0</v>
      </c>
      <c r="G43" s="622">
        <v>0</v>
      </c>
      <c r="H43" s="622">
        <v>0</v>
      </c>
      <c r="I43" s="622">
        <v>0</v>
      </c>
      <c r="J43" s="622">
        <v>0</v>
      </c>
      <c r="K43" s="622">
        <v>0</v>
      </c>
      <c r="L43" s="622">
        <v>0</v>
      </c>
      <c r="M43" s="622">
        <v>0</v>
      </c>
      <c r="N43" s="622">
        <v>0</v>
      </c>
      <c r="O43" s="622">
        <v>0</v>
      </c>
      <c r="P43" s="622">
        <v>2700</v>
      </c>
      <c r="Q43" s="622">
        <v>1850.03</v>
      </c>
      <c r="R43" s="622">
        <v>1850.03</v>
      </c>
      <c r="S43" s="622">
        <v>0</v>
      </c>
      <c r="T43" s="622">
        <v>0</v>
      </c>
      <c r="U43" s="622">
        <v>849.97</v>
      </c>
      <c r="V43" s="622">
        <v>1850.03</v>
      </c>
      <c r="W43" s="622">
        <v>0</v>
      </c>
      <c r="X43" s="622">
        <v>1850.03</v>
      </c>
    </row>
    <row r="44" spans="1:24" s="623" customFormat="1" ht="50.25" customHeight="1">
      <c r="A44" s="626" t="s">
        <v>280</v>
      </c>
      <c r="B44" s="627" t="s">
        <v>357</v>
      </c>
      <c r="C44" s="621" t="s">
        <v>513</v>
      </c>
      <c r="D44" s="625" t="s">
        <v>533</v>
      </c>
      <c r="E44" s="622">
        <v>1600</v>
      </c>
      <c r="F44" s="622">
        <v>0</v>
      </c>
      <c r="G44" s="622">
        <v>0</v>
      </c>
      <c r="H44" s="622">
        <v>0</v>
      </c>
      <c r="I44" s="622">
        <v>0</v>
      </c>
      <c r="J44" s="622">
        <v>0</v>
      </c>
      <c r="K44" s="622">
        <v>0</v>
      </c>
      <c r="L44" s="622">
        <v>0</v>
      </c>
      <c r="M44" s="622">
        <v>0</v>
      </c>
      <c r="N44" s="622">
        <v>0</v>
      </c>
      <c r="O44" s="622">
        <v>0</v>
      </c>
      <c r="P44" s="622">
        <v>1514</v>
      </c>
      <c r="Q44" s="622">
        <v>1489.8910000000001</v>
      </c>
      <c r="R44" s="622">
        <v>1489.8910000000001</v>
      </c>
      <c r="S44" s="622">
        <v>0</v>
      </c>
      <c r="T44" s="622">
        <v>0</v>
      </c>
      <c r="U44" s="622">
        <v>24.109000000000002</v>
      </c>
      <c r="V44" s="622">
        <v>1489.8910000000001</v>
      </c>
      <c r="W44" s="622">
        <v>0</v>
      </c>
      <c r="X44" s="622">
        <v>1489.8910000000001</v>
      </c>
    </row>
    <row r="45" spans="1:24" s="623" customFormat="1" ht="50.25" customHeight="1">
      <c r="A45" s="626" t="s">
        <v>283</v>
      </c>
      <c r="B45" s="627" t="s">
        <v>85</v>
      </c>
      <c r="C45" s="621" t="s">
        <v>513</v>
      </c>
      <c r="D45" s="625" t="s">
        <v>550</v>
      </c>
      <c r="E45" s="622">
        <v>2300</v>
      </c>
      <c r="F45" s="622">
        <v>0</v>
      </c>
      <c r="G45" s="622">
        <v>0</v>
      </c>
      <c r="H45" s="622">
        <v>0</v>
      </c>
      <c r="I45" s="622">
        <v>0</v>
      </c>
      <c r="J45" s="622">
        <v>0</v>
      </c>
      <c r="K45" s="622">
        <v>0</v>
      </c>
      <c r="L45" s="622">
        <v>0</v>
      </c>
      <c r="M45" s="622">
        <v>0</v>
      </c>
      <c r="N45" s="622">
        <v>0</v>
      </c>
      <c r="O45" s="622">
        <v>0</v>
      </c>
      <c r="P45" s="622">
        <v>2084</v>
      </c>
      <c r="Q45" s="622">
        <v>2029.7449999999999</v>
      </c>
      <c r="R45" s="622">
        <v>2029.7449999999999</v>
      </c>
      <c r="S45" s="622">
        <v>0</v>
      </c>
      <c r="T45" s="622">
        <v>0</v>
      </c>
      <c r="U45" s="622">
        <v>54.255000000000003</v>
      </c>
      <c r="V45" s="622">
        <v>2029.7449999999999</v>
      </c>
      <c r="W45" s="622">
        <v>0</v>
      </c>
      <c r="X45" s="622">
        <v>2029.7449999999999</v>
      </c>
    </row>
    <row r="46" spans="1:24" s="623" customFormat="1" ht="34.5" customHeight="1">
      <c r="A46" s="626" t="s">
        <v>286</v>
      </c>
      <c r="B46" s="627" t="s">
        <v>360</v>
      </c>
      <c r="C46" s="621" t="s">
        <v>513</v>
      </c>
      <c r="D46" s="625" t="s">
        <v>534</v>
      </c>
      <c r="E46" s="622">
        <v>93900</v>
      </c>
      <c r="F46" s="622">
        <v>0</v>
      </c>
      <c r="G46" s="622">
        <v>0</v>
      </c>
      <c r="H46" s="622">
        <v>0</v>
      </c>
      <c r="I46" s="622">
        <v>0</v>
      </c>
      <c r="J46" s="622">
        <v>0</v>
      </c>
      <c r="K46" s="622">
        <v>0</v>
      </c>
      <c r="L46" s="622">
        <v>0</v>
      </c>
      <c r="M46" s="622">
        <v>0</v>
      </c>
      <c r="N46" s="622">
        <v>0</v>
      </c>
      <c r="O46" s="622">
        <v>0</v>
      </c>
      <c r="P46" s="622">
        <v>30780</v>
      </c>
      <c r="Q46" s="622">
        <v>30779.8</v>
      </c>
      <c r="R46" s="622">
        <v>10091.599</v>
      </c>
      <c r="S46" s="622">
        <v>20688.201000000001</v>
      </c>
      <c r="T46" s="622">
        <v>0</v>
      </c>
      <c r="U46" s="622">
        <v>0.2</v>
      </c>
      <c r="V46" s="622">
        <v>10091.599</v>
      </c>
      <c r="W46" s="622">
        <v>20688.201000000001</v>
      </c>
      <c r="X46" s="622">
        <v>30779.8</v>
      </c>
    </row>
    <row r="47" spans="1:24" s="623" customFormat="1" ht="41.25" customHeight="1">
      <c r="A47" s="626" t="s">
        <v>289</v>
      </c>
      <c r="B47" s="627" t="s">
        <v>362</v>
      </c>
      <c r="C47" s="621" t="s">
        <v>513</v>
      </c>
      <c r="D47" s="625" t="s">
        <v>535</v>
      </c>
      <c r="E47" s="622">
        <v>7000</v>
      </c>
      <c r="F47" s="622">
        <v>0</v>
      </c>
      <c r="G47" s="622">
        <v>0</v>
      </c>
      <c r="H47" s="622">
        <v>0</v>
      </c>
      <c r="I47" s="622">
        <v>0</v>
      </c>
      <c r="J47" s="622">
        <v>0</v>
      </c>
      <c r="K47" s="622">
        <v>0</v>
      </c>
      <c r="L47" s="622">
        <v>0</v>
      </c>
      <c r="M47" s="622">
        <v>0</v>
      </c>
      <c r="N47" s="622">
        <v>0</v>
      </c>
      <c r="O47" s="622">
        <v>0</v>
      </c>
      <c r="P47" s="622">
        <v>4100</v>
      </c>
      <c r="Q47" s="622">
        <v>4100</v>
      </c>
      <c r="R47" s="622">
        <v>4100</v>
      </c>
      <c r="S47" s="622">
        <v>0</v>
      </c>
      <c r="T47" s="622">
        <v>0</v>
      </c>
      <c r="U47" s="622">
        <v>0</v>
      </c>
      <c r="V47" s="622">
        <v>4100</v>
      </c>
      <c r="W47" s="622">
        <v>0</v>
      </c>
      <c r="X47" s="622">
        <v>4100</v>
      </c>
    </row>
    <row r="48" spans="1:24" s="623" customFormat="1" ht="41.25" customHeight="1">
      <c r="A48" s="628" t="s">
        <v>292</v>
      </c>
      <c r="B48" s="627" t="s">
        <v>136</v>
      </c>
      <c r="C48" s="621" t="s">
        <v>513</v>
      </c>
      <c r="D48" s="625" t="s">
        <v>536</v>
      </c>
      <c r="E48" s="622">
        <v>6200</v>
      </c>
      <c r="F48" s="622">
        <v>0</v>
      </c>
      <c r="G48" s="622">
        <v>0</v>
      </c>
      <c r="H48" s="622">
        <v>0</v>
      </c>
      <c r="I48" s="622">
        <v>0</v>
      </c>
      <c r="J48" s="622">
        <v>0</v>
      </c>
      <c r="K48" s="622">
        <v>0</v>
      </c>
      <c r="L48" s="622">
        <v>0</v>
      </c>
      <c r="M48" s="622">
        <v>0</v>
      </c>
      <c r="N48" s="622">
        <v>0</v>
      </c>
      <c r="O48" s="622">
        <v>0</v>
      </c>
      <c r="P48" s="622">
        <v>3600</v>
      </c>
      <c r="Q48" s="622">
        <v>3600</v>
      </c>
      <c r="R48" s="622">
        <v>3600</v>
      </c>
      <c r="S48" s="622">
        <v>0</v>
      </c>
      <c r="T48" s="622">
        <v>0</v>
      </c>
      <c r="U48" s="622">
        <v>0</v>
      </c>
      <c r="V48" s="622">
        <v>3600</v>
      </c>
      <c r="W48" s="622">
        <v>0</v>
      </c>
      <c r="X48" s="622">
        <v>3600</v>
      </c>
    </row>
    <row r="49" spans="1:26" s="623" customFormat="1" ht="39" customHeight="1">
      <c r="A49" s="628" t="s">
        <v>295</v>
      </c>
      <c r="B49" s="627" t="s">
        <v>138</v>
      </c>
      <c r="C49" s="621" t="s">
        <v>513</v>
      </c>
      <c r="D49" s="625" t="s">
        <v>538</v>
      </c>
      <c r="E49" s="622">
        <v>3431</v>
      </c>
      <c r="F49" s="622">
        <v>0</v>
      </c>
      <c r="G49" s="622">
        <v>0</v>
      </c>
      <c r="H49" s="622">
        <v>0</v>
      </c>
      <c r="I49" s="622">
        <v>0</v>
      </c>
      <c r="J49" s="622">
        <v>0</v>
      </c>
      <c r="K49" s="622">
        <v>0</v>
      </c>
      <c r="L49" s="622">
        <v>0</v>
      </c>
      <c r="M49" s="622">
        <v>0</v>
      </c>
      <c r="N49" s="622">
        <v>0</v>
      </c>
      <c r="O49" s="622">
        <v>0</v>
      </c>
      <c r="P49" s="622">
        <v>3088</v>
      </c>
      <c r="Q49" s="622">
        <v>2766.9079999999999</v>
      </c>
      <c r="R49" s="622">
        <v>2766.9079999999999</v>
      </c>
      <c r="S49" s="622">
        <v>0</v>
      </c>
      <c r="T49" s="622">
        <v>0</v>
      </c>
      <c r="U49" s="622">
        <v>321.09199999999998</v>
      </c>
      <c r="V49" s="622">
        <v>2766.9079999999999</v>
      </c>
      <c r="W49" s="622">
        <v>0</v>
      </c>
      <c r="X49" s="622">
        <v>2766.9079999999999</v>
      </c>
    </row>
    <row r="50" spans="1:26" s="623" customFormat="1" ht="42" customHeight="1">
      <c r="A50" s="626" t="s">
        <v>262</v>
      </c>
      <c r="B50" s="627" t="s">
        <v>539</v>
      </c>
      <c r="C50" s="621" t="s">
        <v>513</v>
      </c>
      <c r="D50" s="625" t="s">
        <v>540</v>
      </c>
      <c r="E50" s="622">
        <v>5000</v>
      </c>
      <c r="F50" s="622">
        <v>0</v>
      </c>
      <c r="G50" s="622">
        <v>0</v>
      </c>
      <c r="H50" s="622">
        <v>0</v>
      </c>
      <c r="I50" s="622">
        <v>0</v>
      </c>
      <c r="J50" s="622">
        <v>0</v>
      </c>
      <c r="K50" s="622">
        <v>0</v>
      </c>
      <c r="L50" s="622">
        <v>0</v>
      </c>
      <c r="M50" s="622">
        <v>0</v>
      </c>
      <c r="N50" s="622">
        <v>0</v>
      </c>
      <c r="O50" s="622">
        <v>0</v>
      </c>
      <c r="P50" s="622">
        <v>4500</v>
      </c>
      <c r="Q50" s="622">
        <v>4500</v>
      </c>
      <c r="R50" s="622">
        <v>4500</v>
      </c>
      <c r="S50" s="622">
        <v>0</v>
      </c>
      <c r="T50" s="622">
        <v>0</v>
      </c>
      <c r="U50" s="622">
        <v>0</v>
      </c>
      <c r="V50" s="622">
        <v>4500</v>
      </c>
      <c r="W50" s="622">
        <v>0</v>
      </c>
      <c r="X50" s="622">
        <v>4500</v>
      </c>
    </row>
    <row r="51" spans="1:26" s="623" customFormat="1" ht="56.25" customHeight="1">
      <c r="A51" s="626" t="s">
        <v>300</v>
      </c>
      <c r="B51" s="627" t="s">
        <v>368</v>
      </c>
      <c r="C51" s="621" t="s">
        <v>513</v>
      </c>
      <c r="D51" s="625" t="s">
        <v>541</v>
      </c>
      <c r="E51" s="622">
        <v>560</v>
      </c>
      <c r="F51" s="622">
        <v>0</v>
      </c>
      <c r="G51" s="622">
        <v>0</v>
      </c>
      <c r="H51" s="622">
        <v>0</v>
      </c>
      <c r="I51" s="622">
        <v>0</v>
      </c>
      <c r="J51" s="622">
        <v>0</v>
      </c>
      <c r="K51" s="622">
        <v>0</v>
      </c>
      <c r="L51" s="622">
        <v>0</v>
      </c>
      <c r="M51" s="622">
        <v>0</v>
      </c>
      <c r="N51" s="622">
        <v>0</v>
      </c>
      <c r="O51" s="622">
        <v>0</v>
      </c>
      <c r="P51" s="622">
        <v>517</v>
      </c>
      <c r="Q51" s="622">
        <v>515.76499999999999</v>
      </c>
      <c r="R51" s="622">
        <v>515.76499999999999</v>
      </c>
      <c r="S51" s="622">
        <v>0</v>
      </c>
      <c r="T51" s="622">
        <v>0</v>
      </c>
      <c r="U51" s="622">
        <v>1.2350000000000001</v>
      </c>
      <c r="V51" s="622">
        <v>515.76499999999999</v>
      </c>
      <c r="W51" s="622">
        <v>0</v>
      </c>
      <c r="X51" s="622">
        <v>515.76499999999999</v>
      </c>
    </row>
    <row r="52" spans="1:26" s="623" customFormat="1" ht="56.25" customHeight="1">
      <c r="A52" s="626" t="s">
        <v>303</v>
      </c>
      <c r="B52" s="627" t="s">
        <v>370</v>
      </c>
      <c r="C52" s="621" t="s">
        <v>513</v>
      </c>
      <c r="D52" s="625" t="s">
        <v>542</v>
      </c>
      <c r="E52" s="622">
        <v>1900</v>
      </c>
      <c r="F52" s="622">
        <v>0</v>
      </c>
      <c r="G52" s="622">
        <v>0</v>
      </c>
      <c r="H52" s="622">
        <v>0</v>
      </c>
      <c r="I52" s="622">
        <v>0</v>
      </c>
      <c r="J52" s="622">
        <v>0</v>
      </c>
      <c r="K52" s="622">
        <v>0</v>
      </c>
      <c r="L52" s="622">
        <v>0</v>
      </c>
      <c r="M52" s="622">
        <v>0</v>
      </c>
      <c r="N52" s="622">
        <v>0</v>
      </c>
      <c r="O52" s="622">
        <v>0</v>
      </c>
      <c r="P52" s="622">
        <v>1388</v>
      </c>
      <c r="Q52" s="622">
        <v>1334.3910000000001</v>
      </c>
      <c r="R52" s="622">
        <v>1334.3910000000001</v>
      </c>
      <c r="S52" s="622">
        <v>0</v>
      </c>
      <c r="T52" s="622">
        <v>0</v>
      </c>
      <c r="U52" s="622">
        <v>53.609000000000002</v>
      </c>
      <c r="V52" s="622">
        <v>1334.3910000000001</v>
      </c>
      <c r="W52" s="622">
        <v>0</v>
      </c>
      <c r="X52" s="622">
        <v>1334.3910000000001</v>
      </c>
    </row>
    <row r="53" spans="1:26" s="623" customFormat="1" ht="56.25" customHeight="1">
      <c r="A53" s="626" t="s">
        <v>306</v>
      </c>
      <c r="B53" s="627" t="s">
        <v>135</v>
      </c>
      <c r="C53" s="621" t="s">
        <v>513</v>
      </c>
      <c r="D53" s="625" t="s">
        <v>551</v>
      </c>
      <c r="E53" s="622">
        <v>1050</v>
      </c>
      <c r="F53" s="622">
        <v>0</v>
      </c>
      <c r="G53" s="622">
        <v>0</v>
      </c>
      <c r="H53" s="622">
        <v>0</v>
      </c>
      <c r="I53" s="622">
        <v>0</v>
      </c>
      <c r="J53" s="622">
        <v>0</v>
      </c>
      <c r="K53" s="622">
        <v>0</v>
      </c>
      <c r="L53" s="622">
        <v>0</v>
      </c>
      <c r="M53" s="622">
        <v>0</v>
      </c>
      <c r="N53" s="622">
        <v>0</v>
      </c>
      <c r="O53" s="622">
        <v>0</v>
      </c>
      <c r="P53" s="622">
        <v>878</v>
      </c>
      <c r="Q53" s="622">
        <v>836.65099999999995</v>
      </c>
      <c r="R53" s="622">
        <v>836.65099999999995</v>
      </c>
      <c r="S53" s="622">
        <v>0</v>
      </c>
      <c r="T53" s="622">
        <v>0</v>
      </c>
      <c r="U53" s="622">
        <v>41.348999999999997</v>
      </c>
      <c r="V53" s="622">
        <v>836.65099999999995</v>
      </c>
      <c r="W53" s="622">
        <v>0</v>
      </c>
      <c r="X53" s="622">
        <v>836.65099999999995</v>
      </c>
    </row>
    <row r="54" spans="1:26" ht="36" customHeight="1">
      <c r="A54" s="573" t="s">
        <v>509</v>
      </c>
      <c r="B54" s="581" t="s">
        <v>555</v>
      </c>
      <c r="C54" s="579"/>
      <c r="D54" s="579"/>
      <c r="E54" s="574">
        <v>309037</v>
      </c>
      <c r="F54" s="574">
        <v>69877.888999999996</v>
      </c>
      <c r="G54" s="574">
        <v>9359.1389999999992</v>
      </c>
      <c r="H54" s="574">
        <v>0</v>
      </c>
      <c r="I54" s="574">
        <v>9359.1389999999992</v>
      </c>
      <c r="J54" s="574">
        <v>4844.7240000000002</v>
      </c>
      <c r="K54" s="574">
        <v>3478.3980000000001</v>
      </c>
      <c r="L54" s="574">
        <v>3478.3980000000001</v>
      </c>
      <c r="M54" s="574">
        <v>0</v>
      </c>
      <c r="N54" s="574">
        <v>0</v>
      </c>
      <c r="O54" s="574">
        <v>1366.326</v>
      </c>
      <c r="P54" s="574">
        <v>99079.301940000005</v>
      </c>
      <c r="Q54" s="574">
        <v>86754.940392000004</v>
      </c>
      <c r="R54" s="574">
        <v>84649.800392000005</v>
      </c>
      <c r="S54" s="574">
        <v>2105.14</v>
      </c>
      <c r="T54" s="574">
        <v>11685.329779</v>
      </c>
      <c r="U54" s="574">
        <v>639.03176900000005</v>
      </c>
      <c r="V54" s="574">
        <v>97487.337392000001</v>
      </c>
      <c r="W54" s="574">
        <v>2105.14</v>
      </c>
      <c r="X54" s="574">
        <v>160111.227392</v>
      </c>
      <c r="Y54" s="574">
        <f>SUM(Y55:Y101)/2</f>
        <v>11845</v>
      </c>
      <c r="Z54" s="574">
        <f>SUM(Z55:Z101)/2</f>
        <v>0</v>
      </c>
    </row>
    <row r="55" spans="1:26" ht="24.75" customHeight="1">
      <c r="A55" s="573" t="s">
        <v>36</v>
      </c>
      <c r="B55" s="578" t="s">
        <v>109</v>
      </c>
      <c r="C55" s="573"/>
      <c r="D55" s="573"/>
      <c r="E55" s="574">
        <v>71379</v>
      </c>
      <c r="F55" s="574">
        <v>18207.266</v>
      </c>
      <c r="G55" s="574">
        <v>0</v>
      </c>
      <c r="H55" s="574">
        <v>0</v>
      </c>
      <c r="I55" s="574">
        <v>0</v>
      </c>
      <c r="J55" s="574">
        <v>0</v>
      </c>
      <c r="K55" s="574">
        <v>0</v>
      </c>
      <c r="L55" s="574">
        <v>0</v>
      </c>
      <c r="M55" s="574">
        <v>0</v>
      </c>
      <c r="N55" s="574">
        <v>0</v>
      </c>
      <c r="O55" s="574">
        <v>0</v>
      </c>
      <c r="P55" s="574">
        <v>20753.5</v>
      </c>
      <c r="Q55" s="574">
        <v>20117.350999999999</v>
      </c>
      <c r="R55" s="574">
        <v>20117.350999999999</v>
      </c>
      <c r="S55" s="574">
        <v>0</v>
      </c>
      <c r="T55" s="574">
        <v>0</v>
      </c>
      <c r="U55" s="574">
        <v>636.149</v>
      </c>
      <c r="V55" s="574">
        <v>20117.350999999999</v>
      </c>
      <c r="W55" s="574">
        <v>0</v>
      </c>
      <c r="X55" s="574">
        <v>38324.616999999998</v>
      </c>
      <c r="Y55" s="574">
        <f>SUM(Y56:Y65)</f>
        <v>11845</v>
      </c>
      <c r="Z55" s="574">
        <f>SUM(Z56:Z65)</f>
        <v>0</v>
      </c>
    </row>
    <row r="56" spans="1:26" ht="40.799999999999997">
      <c r="A56" s="595">
        <v>1</v>
      </c>
      <c r="B56" s="596" t="s">
        <v>556</v>
      </c>
      <c r="C56" s="579" t="s">
        <v>489</v>
      </c>
      <c r="D56" s="579"/>
      <c r="E56" s="574">
        <v>4995</v>
      </c>
      <c r="F56" s="574">
        <v>2900</v>
      </c>
      <c r="G56" s="574">
        <v>0</v>
      </c>
      <c r="H56" s="574">
        <v>0</v>
      </c>
      <c r="I56" s="574">
        <v>0</v>
      </c>
      <c r="J56" s="574">
        <v>0</v>
      </c>
      <c r="K56" s="574">
        <v>0</v>
      </c>
      <c r="L56" s="574">
        <v>0</v>
      </c>
      <c r="M56" s="574">
        <v>0</v>
      </c>
      <c r="N56" s="574">
        <v>0</v>
      </c>
      <c r="O56" s="574">
        <v>0</v>
      </c>
      <c r="P56" s="574">
        <v>2041</v>
      </c>
      <c r="Q56" s="574">
        <v>2040.1579999999999</v>
      </c>
      <c r="R56" s="574">
        <v>2040.1579999999999</v>
      </c>
      <c r="S56" s="574">
        <v>0</v>
      </c>
      <c r="T56" s="574">
        <v>0</v>
      </c>
      <c r="U56" s="574">
        <v>0.84199999999999997</v>
      </c>
      <c r="V56" s="574">
        <v>2040.1579999999999</v>
      </c>
      <c r="W56" s="574">
        <v>0</v>
      </c>
      <c r="X56" s="574">
        <v>4940.1580000000004</v>
      </c>
      <c r="Y56" s="575">
        <f t="shared" si="1"/>
        <v>2900.0000000000005</v>
      </c>
      <c r="Z56" s="576">
        <f t="shared" si="2"/>
        <v>0</v>
      </c>
    </row>
    <row r="57" spans="1:26" ht="64.5" customHeight="1">
      <c r="A57" s="597">
        <v>2</v>
      </c>
      <c r="B57" s="598" t="s">
        <v>110</v>
      </c>
      <c r="C57" s="579" t="s">
        <v>489</v>
      </c>
      <c r="D57" s="579"/>
      <c r="E57" s="574">
        <v>5000</v>
      </c>
      <c r="F57" s="574">
        <v>0</v>
      </c>
      <c r="G57" s="574">
        <v>0</v>
      </c>
      <c r="H57" s="574">
        <v>0</v>
      </c>
      <c r="I57" s="574">
        <v>0</v>
      </c>
      <c r="J57" s="574">
        <v>0</v>
      </c>
      <c r="K57" s="574">
        <v>0</v>
      </c>
      <c r="L57" s="574">
        <v>0</v>
      </c>
      <c r="M57" s="574">
        <v>0</v>
      </c>
      <c r="N57" s="574">
        <v>0</v>
      </c>
      <c r="O57" s="574">
        <v>0</v>
      </c>
      <c r="P57" s="574">
        <v>1086</v>
      </c>
      <c r="Q57" s="574">
        <v>1086</v>
      </c>
      <c r="R57" s="574">
        <v>1086</v>
      </c>
      <c r="S57" s="574">
        <v>0</v>
      </c>
      <c r="T57" s="574">
        <v>0</v>
      </c>
      <c r="U57" s="574">
        <v>0</v>
      </c>
      <c r="V57" s="574">
        <v>1086</v>
      </c>
      <c r="W57" s="574">
        <v>0</v>
      </c>
      <c r="X57" s="574">
        <v>1086</v>
      </c>
      <c r="Y57" s="575">
        <f t="shared" si="1"/>
        <v>0</v>
      </c>
      <c r="Z57" s="576">
        <f t="shared" si="2"/>
        <v>0</v>
      </c>
    </row>
    <row r="58" spans="1:26" ht="64.5" customHeight="1">
      <c r="A58" s="595">
        <v>3</v>
      </c>
      <c r="B58" s="598" t="s">
        <v>178</v>
      </c>
      <c r="C58" s="579" t="s">
        <v>489</v>
      </c>
      <c r="D58" s="579"/>
      <c r="E58" s="574">
        <v>14000</v>
      </c>
      <c r="F58" s="574">
        <v>0</v>
      </c>
      <c r="G58" s="574">
        <v>0</v>
      </c>
      <c r="H58" s="574">
        <v>0</v>
      </c>
      <c r="I58" s="574">
        <v>0</v>
      </c>
      <c r="J58" s="574">
        <v>0</v>
      </c>
      <c r="K58" s="574">
        <v>0</v>
      </c>
      <c r="L58" s="574">
        <v>0</v>
      </c>
      <c r="M58" s="574">
        <v>0</v>
      </c>
      <c r="N58" s="574">
        <v>0</v>
      </c>
      <c r="O58" s="574">
        <v>0</v>
      </c>
      <c r="P58" s="574">
        <v>2365.5</v>
      </c>
      <c r="Q58" s="574">
        <v>1733.9780000000001</v>
      </c>
      <c r="R58" s="574">
        <v>1733.9780000000001</v>
      </c>
      <c r="S58" s="574">
        <v>0</v>
      </c>
      <c r="T58" s="574">
        <v>0</v>
      </c>
      <c r="U58" s="574">
        <v>631.52200000000005</v>
      </c>
      <c r="V58" s="574">
        <v>1733.9780000000001</v>
      </c>
      <c r="W58" s="574">
        <v>0</v>
      </c>
      <c r="X58" s="574">
        <v>1733.9780000000001</v>
      </c>
      <c r="Y58" s="575">
        <f t="shared" si="1"/>
        <v>0</v>
      </c>
      <c r="Z58" s="576">
        <f t="shared" si="2"/>
        <v>0</v>
      </c>
    </row>
    <row r="59" spans="1:26" ht="64.5" customHeight="1">
      <c r="A59" s="597">
        <v>4</v>
      </c>
      <c r="B59" s="598" t="s">
        <v>180</v>
      </c>
      <c r="C59" s="579" t="s">
        <v>489</v>
      </c>
      <c r="D59" s="579"/>
      <c r="E59" s="574">
        <v>8769</v>
      </c>
      <c r="F59" s="574">
        <v>0</v>
      </c>
      <c r="G59" s="574">
        <v>0</v>
      </c>
      <c r="H59" s="574">
        <v>0</v>
      </c>
      <c r="I59" s="574">
        <v>0</v>
      </c>
      <c r="J59" s="574">
        <v>0</v>
      </c>
      <c r="K59" s="574">
        <v>0</v>
      </c>
      <c r="L59" s="574">
        <v>0</v>
      </c>
      <c r="M59" s="574">
        <v>0</v>
      </c>
      <c r="N59" s="574">
        <v>0</v>
      </c>
      <c r="O59" s="574">
        <v>0</v>
      </c>
      <c r="P59" s="574">
        <v>1480</v>
      </c>
      <c r="Q59" s="574">
        <v>1480</v>
      </c>
      <c r="R59" s="574">
        <v>1480</v>
      </c>
      <c r="S59" s="574">
        <v>0</v>
      </c>
      <c r="T59" s="574">
        <v>0</v>
      </c>
      <c r="U59" s="574">
        <v>0</v>
      </c>
      <c r="V59" s="574">
        <v>1480</v>
      </c>
      <c r="W59" s="574">
        <v>0</v>
      </c>
      <c r="X59" s="574">
        <v>1480</v>
      </c>
      <c r="Y59" s="575">
        <f t="shared" si="1"/>
        <v>0</v>
      </c>
      <c r="Z59" s="576">
        <f t="shared" si="2"/>
        <v>0</v>
      </c>
    </row>
    <row r="60" spans="1:26" ht="60.75" customHeight="1">
      <c r="A60" s="595">
        <v>5</v>
      </c>
      <c r="B60" s="598" t="s">
        <v>182</v>
      </c>
      <c r="C60" s="579" t="s">
        <v>489</v>
      </c>
      <c r="D60" s="579"/>
      <c r="E60" s="574">
        <v>7000</v>
      </c>
      <c r="F60" s="574">
        <v>0</v>
      </c>
      <c r="G60" s="574">
        <v>0</v>
      </c>
      <c r="H60" s="574">
        <v>0</v>
      </c>
      <c r="I60" s="574">
        <v>0</v>
      </c>
      <c r="J60" s="574">
        <v>0</v>
      </c>
      <c r="K60" s="574">
        <v>0</v>
      </c>
      <c r="L60" s="574">
        <v>0</v>
      </c>
      <c r="M60" s="574">
        <v>0</v>
      </c>
      <c r="N60" s="574">
        <v>0</v>
      </c>
      <c r="O60" s="574">
        <v>0</v>
      </c>
      <c r="P60" s="574">
        <v>1180</v>
      </c>
      <c r="Q60" s="574">
        <v>1180</v>
      </c>
      <c r="R60" s="574">
        <v>1180</v>
      </c>
      <c r="S60" s="574">
        <v>0</v>
      </c>
      <c r="T60" s="574">
        <v>0</v>
      </c>
      <c r="U60" s="574">
        <v>0</v>
      </c>
      <c r="V60" s="574">
        <v>1180</v>
      </c>
      <c r="W60" s="574">
        <v>0</v>
      </c>
      <c r="X60" s="574">
        <v>1180</v>
      </c>
      <c r="Y60" s="575">
        <f t="shared" si="1"/>
        <v>0</v>
      </c>
      <c r="Z60" s="576">
        <f t="shared" si="2"/>
        <v>0</v>
      </c>
    </row>
    <row r="61" spans="1:26" ht="57.75" customHeight="1">
      <c r="A61" s="597">
        <v>6</v>
      </c>
      <c r="B61" s="599" t="s">
        <v>557</v>
      </c>
      <c r="C61" s="579" t="s">
        <v>489</v>
      </c>
      <c r="D61" s="579"/>
      <c r="E61" s="574">
        <v>580</v>
      </c>
      <c r="F61" s="574">
        <v>200</v>
      </c>
      <c r="G61" s="574">
        <v>0</v>
      </c>
      <c r="H61" s="574">
        <v>0</v>
      </c>
      <c r="I61" s="574">
        <v>0</v>
      </c>
      <c r="J61" s="574">
        <v>0</v>
      </c>
      <c r="K61" s="574">
        <v>0</v>
      </c>
      <c r="L61" s="574">
        <v>0</v>
      </c>
      <c r="M61" s="574">
        <v>0</v>
      </c>
      <c r="N61" s="574">
        <v>0</v>
      </c>
      <c r="O61" s="574">
        <v>0</v>
      </c>
      <c r="P61" s="574">
        <v>370</v>
      </c>
      <c r="Q61" s="574">
        <v>369.05900000000003</v>
      </c>
      <c r="R61" s="574">
        <v>369.05900000000003</v>
      </c>
      <c r="S61" s="574">
        <v>0</v>
      </c>
      <c r="T61" s="574">
        <v>0</v>
      </c>
      <c r="U61" s="574">
        <v>0.94099999999999995</v>
      </c>
      <c r="V61" s="574">
        <v>369.05900000000003</v>
      </c>
      <c r="W61" s="574">
        <v>0</v>
      </c>
      <c r="X61" s="574">
        <v>569.05899999999997</v>
      </c>
      <c r="Y61" s="575">
        <f t="shared" si="1"/>
        <v>199.99999999999994</v>
      </c>
      <c r="Z61" s="576">
        <f t="shared" si="2"/>
        <v>0</v>
      </c>
    </row>
    <row r="62" spans="1:26" ht="64.5" customHeight="1">
      <c r="A62" s="595">
        <v>7</v>
      </c>
      <c r="B62" s="596" t="s">
        <v>558</v>
      </c>
      <c r="C62" s="579" t="s">
        <v>489</v>
      </c>
      <c r="D62" s="579"/>
      <c r="E62" s="574">
        <v>4550</v>
      </c>
      <c r="F62" s="574">
        <v>3000</v>
      </c>
      <c r="G62" s="574">
        <v>0</v>
      </c>
      <c r="H62" s="574">
        <v>0</v>
      </c>
      <c r="I62" s="574">
        <v>0</v>
      </c>
      <c r="J62" s="574">
        <v>0</v>
      </c>
      <c r="K62" s="574">
        <v>0</v>
      </c>
      <c r="L62" s="574">
        <v>0</v>
      </c>
      <c r="M62" s="574">
        <v>0</v>
      </c>
      <c r="N62" s="574">
        <v>0</v>
      </c>
      <c r="O62" s="574">
        <v>0</v>
      </c>
      <c r="P62" s="574">
        <v>1535</v>
      </c>
      <c r="Q62" s="574">
        <v>1534.3130000000001</v>
      </c>
      <c r="R62" s="574">
        <v>1534.3130000000001</v>
      </c>
      <c r="S62" s="574">
        <v>0</v>
      </c>
      <c r="T62" s="574">
        <v>0</v>
      </c>
      <c r="U62" s="574">
        <v>0.68700000000000006</v>
      </c>
      <c r="V62" s="574">
        <v>1534.3130000000001</v>
      </c>
      <c r="W62" s="574">
        <v>0</v>
      </c>
      <c r="X62" s="574">
        <v>4534.3130000000001</v>
      </c>
      <c r="Y62" s="575">
        <f t="shared" si="1"/>
        <v>3000</v>
      </c>
      <c r="Z62" s="576">
        <f t="shared" si="2"/>
        <v>0</v>
      </c>
    </row>
    <row r="63" spans="1:26" ht="45" customHeight="1">
      <c r="A63" s="597">
        <v>8</v>
      </c>
      <c r="B63" s="596" t="s">
        <v>559</v>
      </c>
      <c r="C63" s="579" t="s">
        <v>489</v>
      </c>
      <c r="D63" s="579"/>
      <c r="E63" s="574">
        <v>4995</v>
      </c>
      <c r="F63" s="574">
        <v>2745</v>
      </c>
      <c r="G63" s="574">
        <v>0</v>
      </c>
      <c r="H63" s="574">
        <v>0</v>
      </c>
      <c r="I63" s="574">
        <v>0</v>
      </c>
      <c r="J63" s="574">
        <v>0</v>
      </c>
      <c r="K63" s="574">
        <v>0</v>
      </c>
      <c r="L63" s="574">
        <v>0</v>
      </c>
      <c r="M63" s="574">
        <v>0</v>
      </c>
      <c r="N63" s="574">
        <v>0</v>
      </c>
      <c r="O63" s="574">
        <v>0</v>
      </c>
      <c r="P63" s="574">
        <v>2088</v>
      </c>
      <c r="Q63" s="574">
        <v>2086.578</v>
      </c>
      <c r="R63" s="574">
        <v>2086.578</v>
      </c>
      <c r="S63" s="574">
        <v>0</v>
      </c>
      <c r="T63" s="574">
        <v>0</v>
      </c>
      <c r="U63" s="574">
        <v>1.4219999999999999</v>
      </c>
      <c r="V63" s="574">
        <v>2086.578</v>
      </c>
      <c r="W63" s="574">
        <v>0</v>
      </c>
      <c r="X63" s="574">
        <v>4831.5780000000004</v>
      </c>
      <c r="Y63" s="575">
        <f t="shared" si="1"/>
        <v>2745.0000000000005</v>
      </c>
      <c r="Z63" s="576">
        <f t="shared" si="2"/>
        <v>0</v>
      </c>
    </row>
    <row r="64" spans="1:26" ht="45" customHeight="1">
      <c r="A64" s="595">
        <v>9</v>
      </c>
      <c r="B64" s="596" t="s">
        <v>93</v>
      </c>
      <c r="C64" s="579" t="s">
        <v>489</v>
      </c>
      <c r="D64" s="591"/>
      <c r="E64" s="574">
        <v>14990</v>
      </c>
      <c r="F64" s="574">
        <v>3000</v>
      </c>
      <c r="G64" s="574">
        <v>0</v>
      </c>
      <c r="H64" s="574">
        <v>0</v>
      </c>
      <c r="I64" s="574">
        <v>0</v>
      </c>
      <c r="J64" s="574">
        <v>0</v>
      </c>
      <c r="K64" s="574">
        <v>0</v>
      </c>
      <c r="L64" s="574">
        <v>0</v>
      </c>
      <c r="M64" s="574">
        <v>0</v>
      </c>
      <c r="N64" s="574">
        <v>0</v>
      </c>
      <c r="O64" s="574">
        <v>0</v>
      </c>
      <c r="P64" s="574">
        <v>8550</v>
      </c>
      <c r="Q64" s="574">
        <v>8550</v>
      </c>
      <c r="R64" s="574">
        <v>8550</v>
      </c>
      <c r="S64" s="574">
        <v>0</v>
      </c>
      <c r="T64" s="574">
        <v>0</v>
      </c>
      <c r="U64" s="574">
        <v>0</v>
      </c>
      <c r="V64" s="574">
        <v>8550</v>
      </c>
      <c r="W64" s="574">
        <v>0</v>
      </c>
      <c r="X64" s="574">
        <v>11550</v>
      </c>
      <c r="Y64" s="575">
        <f t="shared" si="1"/>
        <v>3000</v>
      </c>
      <c r="Z64" s="576">
        <f t="shared" si="2"/>
        <v>0</v>
      </c>
    </row>
    <row r="65" spans="1:26" ht="64.5" customHeight="1">
      <c r="A65" s="597">
        <v>10</v>
      </c>
      <c r="B65" s="599" t="s">
        <v>560</v>
      </c>
      <c r="C65" s="579" t="s">
        <v>489</v>
      </c>
      <c r="D65" s="579"/>
      <c r="E65" s="574">
        <v>6500</v>
      </c>
      <c r="F65" s="574">
        <v>6362.2659999999996</v>
      </c>
      <c r="G65" s="574">
        <v>0</v>
      </c>
      <c r="H65" s="574">
        <v>0</v>
      </c>
      <c r="I65" s="574">
        <v>0</v>
      </c>
      <c r="J65" s="574">
        <v>0</v>
      </c>
      <c r="K65" s="574">
        <v>0</v>
      </c>
      <c r="L65" s="574">
        <v>0</v>
      </c>
      <c r="M65" s="574">
        <v>0</v>
      </c>
      <c r="N65" s="574">
        <v>0</v>
      </c>
      <c r="O65" s="574">
        <v>0</v>
      </c>
      <c r="P65" s="574">
        <v>58</v>
      </c>
      <c r="Q65" s="574">
        <v>57.265000000000001</v>
      </c>
      <c r="R65" s="574">
        <v>57.265000000000001</v>
      </c>
      <c r="S65" s="574">
        <v>0</v>
      </c>
      <c r="T65" s="574">
        <v>0</v>
      </c>
      <c r="U65" s="574">
        <v>0.73499999999999999</v>
      </c>
      <c r="V65" s="574">
        <v>57.265000000000001</v>
      </c>
      <c r="W65" s="574">
        <v>0</v>
      </c>
      <c r="X65" s="574">
        <v>6419.5309999999999</v>
      </c>
      <c r="Y65" s="575"/>
      <c r="Z65" s="576"/>
    </row>
    <row r="66" spans="1:26" ht="39.75" customHeight="1">
      <c r="A66" s="573" t="s">
        <v>43</v>
      </c>
      <c r="B66" s="578" t="s">
        <v>561</v>
      </c>
      <c r="C66" s="579" t="s">
        <v>489</v>
      </c>
      <c r="D66" s="573"/>
      <c r="E66" s="574">
        <v>3000</v>
      </c>
      <c r="F66" s="574">
        <v>2523.3470000000002</v>
      </c>
      <c r="G66" s="574">
        <v>0</v>
      </c>
      <c r="H66" s="574">
        <v>0</v>
      </c>
      <c r="I66" s="574">
        <v>0</v>
      </c>
      <c r="J66" s="574">
        <v>0</v>
      </c>
      <c r="K66" s="574">
        <v>0</v>
      </c>
      <c r="L66" s="574">
        <v>0</v>
      </c>
      <c r="M66" s="574">
        <v>0</v>
      </c>
      <c r="N66" s="574">
        <v>0</v>
      </c>
      <c r="O66" s="574">
        <v>0</v>
      </c>
      <c r="P66" s="574">
        <v>235</v>
      </c>
      <c r="Q66" s="574">
        <v>235</v>
      </c>
      <c r="R66" s="574">
        <v>235</v>
      </c>
      <c r="S66" s="574">
        <v>0</v>
      </c>
      <c r="T66" s="574">
        <v>0</v>
      </c>
      <c r="U66" s="574">
        <v>0</v>
      </c>
      <c r="V66" s="574">
        <v>235</v>
      </c>
      <c r="W66" s="574">
        <v>0</v>
      </c>
      <c r="X66" s="574">
        <v>2758.3470000000002</v>
      </c>
      <c r="Y66" s="574">
        <f t="shared" ref="Y66:Z66" si="4">+Y67</f>
        <v>0</v>
      </c>
      <c r="Z66" s="574">
        <f t="shared" si="4"/>
        <v>0</v>
      </c>
    </row>
    <row r="67" spans="1:26" ht="57" customHeight="1">
      <c r="A67" s="579">
        <v>26</v>
      </c>
      <c r="B67" s="599" t="s">
        <v>562</v>
      </c>
      <c r="C67" s="579" t="s">
        <v>489</v>
      </c>
      <c r="D67" s="579"/>
      <c r="E67" s="574">
        <v>3000</v>
      </c>
      <c r="F67" s="574">
        <v>2523.3470000000002</v>
      </c>
      <c r="G67" s="574">
        <v>0</v>
      </c>
      <c r="H67" s="574">
        <v>0</v>
      </c>
      <c r="I67" s="574">
        <v>0</v>
      </c>
      <c r="J67" s="574">
        <v>0</v>
      </c>
      <c r="K67" s="574">
        <v>0</v>
      </c>
      <c r="L67" s="574">
        <v>0</v>
      </c>
      <c r="M67" s="574">
        <v>0</v>
      </c>
      <c r="N67" s="574">
        <v>0</v>
      </c>
      <c r="O67" s="574">
        <v>0</v>
      </c>
      <c r="P67" s="574">
        <v>235</v>
      </c>
      <c r="Q67" s="574">
        <v>235</v>
      </c>
      <c r="R67" s="574">
        <v>235</v>
      </c>
      <c r="S67" s="574">
        <v>0</v>
      </c>
      <c r="T67" s="574">
        <v>0</v>
      </c>
      <c r="U67" s="574">
        <v>0</v>
      </c>
      <c r="V67" s="574">
        <v>235</v>
      </c>
      <c r="W67" s="574">
        <v>0</v>
      </c>
      <c r="X67" s="574">
        <v>2758.3470000000002</v>
      </c>
      <c r="Y67" s="575"/>
      <c r="Z67" s="576"/>
    </row>
    <row r="68" spans="1:26" ht="37.5" customHeight="1">
      <c r="A68" s="573" t="s">
        <v>53</v>
      </c>
      <c r="B68" s="600" t="s">
        <v>490</v>
      </c>
      <c r="C68" s="579" t="s">
        <v>489</v>
      </c>
      <c r="D68" s="573"/>
      <c r="E68" s="574">
        <v>77380</v>
      </c>
      <c r="F68" s="574">
        <v>17748</v>
      </c>
      <c r="G68" s="574">
        <v>3333.1390000000001</v>
      </c>
      <c r="H68" s="574">
        <v>0</v>
      </c>
      <c r="I68" s="574">
        <v>3333.1390000000001</v>
      </c>
      <c r="J68" s="574">
        <v>0</v>
      </c>
      <c r="K68" s="574">
        <v>0</v>
      </c>
      <c r="L68" s="574">
        <v>0</v>
      </c>
      <c r="M68" s="574">
        <v>0</v>
      </c>
      <c r="N68" s="574">
        <v>0</v>
      </c>
      <c r="O68" s="574">
        <v>0</v>
      </c>
      <c r="P68" s="574">
        <v>16725.801940000001</v>
      </c>
      <c r="Q68" s="574">
        <v>16725.532940000001</v>
      </c>
      <c r="R68" s="574">
        <v>16725.532940000001</v>
      </c>
      <c r="S68" s="574">
        <v>0</v>
      </c>
      <c r="T68" s="574">
        <v>0</v>
      </c>
      <c r="U68" s="574">
        <v>0.26900000000000002</v>
      </c>
      <c r="V68" s="574">
        <v>20058.67194</v>
      </c>
      <c r="W68" s="574">
        <v>0</v>
      </c>
      <c r="X68" s="574">
        <v>34473.532939999997</v>
      </c>
      <c r="Y68" s="575"/>
      <c r="Z68" s="576"/>
    </row>
    <row r="69" spans="1:26" s="645" customFormat="1" ht="40.5" customHeight="1">
      <c r="A69" s="630">
        <v>1</v>
      </c>
      <c r="B69" s="642" t="s">
        <v>563</v>
      </c>
      <c r="C69" s="630" t="s">
        <v>489</v>
      </c>
      <c r="D69" s="630">
        <v>7910399</v>
      </c>
      <c r="E69" s="631">
        <v>14990</v>
      </c>
      <c r="F69" s="631">
        <v>7189</v>
      </c>
      <c r="G69" s="631">
        <v>0</v>
      </c>
      <c r="H69" s="631">
        <v>0</v>
      </c>
      <c r="I69" s="631">
        <v>0</v>
      </c>
      <c r="J69" s="631">
        <v>0</v>
      </c>
      <c r="K69" s="631">
        <v>0</v>
      </c>
      <c r="L69" s="631">
        <v>0</v>
      </c>
      <c r="M69" s="631">
        <v>0</v>
      </c>
      <c r="N69" s="631">
        <v>0</v>
      </c>
      <c r="O69" s="631">
        <v>0</v>
      </c>
      <c r="P69" s="631">
        <v>6794</v>
      </c>
      <c r="Q69" s="631">
        <v>6793.7309999999998</v>
      </c>
      <c r="R69" s="631">
        <v>6793.7309999999998</v>
      </c>
      <c r="S69" s="631">
        <v>0</v>
      </c>
      <c r="T69" s="631">
        <v>0</v>
      </c>
      <c r="U69" s="631">
        <v>0.26900000000000002</v>
      </c>
      <c r="V69" s="631">
        <v>6793.7309999999998</v>
      </c>
      <c r="W69" s="631">
        <v>0</v>
      </c>
      <c r="X69" s="631">
        <v>13982.731</v>
      </c>
      <c r="Y69" s="643"/>
      <c r="Z69" s="644"/>
    </row>
    <row r="70" spans="1:26" s="645" customFormat="1" ht="40.5" customHeight="1">
      <c r="A70" s="630">
        <v>1</v>
      </c>
      <c r="B70" s="642" t="s">
        <v>125</v>
      </c>
      <c r="C70" s="630" t="s">
        <v>489</v>
      </c>
      <c r="D70" s="630">
        <v>7925258</v>
      </c>
      <c r="E70" s="631">
        <v>25000</v>
      </c>
      <c r="F70" s="631">
        <v>6149</v>
      </c>
      <c r="G70" s="631">
        <v>1383.1389999999999</v>
      </c>
      <c r="H70" s="631">
        <v>0</v>
      </c>
      <c r="I70" s="631">
        <v>1383.1389999999999</v>
      </c>
      <c r="J70" s="631">
        <v>0</v>
      </c>
      <c r="K70" s="631">
        <v>0</v>
      </c>
      <c r="L70" s="631">
        <v>0</v>
      </c>
      <c r="M70" s="631">
        <v>0</v>
      </c>
      <c r="N70" s="631">
        <v>0</v>
      </c>
      <c r="O70" s="631">
        <v>0</v>
      </c>
      <c r="P70" s="631">
        <v>6229.8019400000003</v>
      </c>
      <c r="Q70" s="631">
        <v>6229.8019400000003</v>
      </c>
      <c r="R70" s="631">
        <v>6229.8019400000003</v>
      </c>
      <c r="S70" s="631">
        <v>0</v>
      </c>
      <c r="T70" s="631">
        <v>0</v>
      </c>
      <c r="U70" s="631">
        <v>0</v>
      </c>
      <c r="V70" s="631">
        <v>7612.9409400000004</v>
      </c>
      <c r="W70" s="631">
        <v>0</v>
      </c>
      <c r="X70" s="631">
        <v>12378.801939999999</v>
      </c>
      <c r="Y70" s="643"/>
      <c r="Z70" s="644"/>
    </row>
    <row r="71" spans="1:26" s="645" customFormat="1" ht="40.5" customHeight="1">
      <c r="A71" s="630">
        <v>2</v>
      </c>
      <c r="B71" s="642" t="s">
        <v>127</v>
      </c>
      <c r="C71" s="630" t="s">
        <v>489</v>
      </c>
      <c r="D71" s="630">
        <v>7925257</v>
      </c>
      <c r="E71" s="631">
        <v>14990</v>
      </c>
      <c r="F71" s="631">
        <v>3910</v>
      </c>
      <c r="G71" s="631">
        <v>1950</v>
      </c>
      <c r="H71" s="631">
        <v>0</v>
      </c>
      <c r="I71" s="631">
        <v>1950</v>
      </c>
      <c r="J71" s="631">
        <v>0</v>
      </c>
      <c r="K71" s="631">
        <v>0</v>
      </c>
      <c r="L71" s="631">
        <v>0</v>
      </c>
      <c r="M71" s="631">
        <v>0</v>
      </c>
      <c r="N71" s="631">
        <v>0</v>
      </c>
      <c r="O71" s="631">
        <v>0</v>
      </c>
      <c r="P71" s="631">
        <v>3702</v>
      </c>
      <c r="Q71" s="631">
        <v>3702</v>
      </c>
      <c r="R71" s="631">
        <v>3702</v>
      </c>
      <c r="S71" s="631">
        <v>0</v>
      </c>
      <c r="T71" s="631">
        <v>0</v>
      </c>
      <c r="U71" s="631">
        <v>0</v>
      </c>
      <c r="V71" s="631">
        <v>5652</v>
      </c>
      <c r="W71" s="631">
        <v>0</v>
      </c>
      <c r="X71" s="631">
        <v>7612</v>
      </c>
      <c r="Y71" s="643"/>
      <c r="Z71" s="644"/>
    </row>
    <row r="72" spans="1:26" ht="40.5" customHeight="1">
      <c r="A72" s="579">
        <v>3</v>
      </c>
      <c r="B72" s="599" t="s">
        <v>128</v>
      </c>
      <c r="C72" s="579" t="s">
        <v>489</v>
      </c>
      <c r="D72" s="591" t="s">
        <v>491</v>
      </c>
      <c r="E72" s="574">
        <v>22400</v>
      </c>
      <c r="F72" s="574">
        <v>500</v>
      </c>
      <c r="G72" s="574">
        <v>0</v>
      </c>
      <c r="H72" s="574">
        <v>0</v>
      </c>
      <c r="I72" s="574">
        <v>0</v>
      </c>
      <c r="J72" s="574">
        <v>0</v>
      </c>
      <c r="K72" s="574">
        <v>0</v>
      </c>
      <c r="L72" s="574">
        <v>0</v>
      </c>
      <c r="M72" s="574">
        <v>0</v>
      </c>
      <c r="N72" s="574">
        <v>0</v>
      </c>
      <c r="O72" s="574">
        <v>0</v>
      </c>
      <c r="P72" s="574">
        <v>0</v>
      </c>
      <c r="Q72" s="574">
        <v>0</v>
      </c>
      <c r="R72" s="574">
        <v>0</v>
      </c>
      <c r="S72" s="574">
        <v>0</v>
      </c>
      <c r="T72" s="574">
        <v>0</v>
      </c>
      <c r="U72" s="574">
        <v>0</v>
      </c>
      <c r="V72" s="574">
        <v>0</v>
      </c>
      <c r="W72" s="574">
        <v>0</v>
      </c>
      <c r="X72" s="574">
        <v>500</v>
      </c>
      <c r="Y72" s="575"/>
      <c r="Z72" s="576"/>
    </row>
    <row r="73" spans="1:26" ht="40.5" customHeight="1">
      <c r="A73" s="573" t="s">
        <v>54</v>
      </c>
      <c r="B73" s="600" t="s">
        <v>493</v>
      </c>
      <c r="C73" s="579" t="s">
        <v>489</v>
      </c>
      <c r="D73" s="573"/>
      <c r="E73" s="574">
        <v>42490</v>
      </c>
      <c r="F73" s="574">
        <v>5000</v>
      </c>
      <c r="G73" s="574">
        <v>5000</v>
      </c>
      <c r="H73" s="574">
        <v>0</v>
      </c>
      <c r="I73" s="574">
        <v>5000</v>
      </c>
      <c r="J73" s="574">
        <v>0</v>
      </c>
      <c r="K73" s="574">
        <v>0</v>
      </c>
      <c r="L73" s="574">
        <v>0</v>
      </c>
      <c r="M73" s="574">
        <v>0</v>
      </c>
      <c r="N73" s="574">
        <v>0</v>
      </c>
      <c r="O73" s="574">
        <v>0</v>
      </c>
      <c r="P73" s="574">
        <v>13000</v>
      </c>
      <c r="Q73" s="574">
        <v>13000</v>
      </c>
      <c r="R73" s="574">
        <v>13000</v>
      </c>
      <c r="S73" s="574">
        <v>0</v>
      </c>
      <c r="T73" s="574">
        <v>0</v>
      </c>
      <c r="U73" s="574">
        <v>0</v>
      </c>
      <c r="V73" s="574">
        <v>18000</v>
      </c>
      <c r="W73" s="574">
        <v>0</v>
      </c>
      <c r="X73" s="574">
        <v>18000</v>
      </c>
      <c r="Y73" s="575"/>
      <c r="Z73" s="576"/>
    </row>
    <row r="74" spans="1:26" ht="47.25" customHeight="1">
      <c r="A74" s="593" t="s">
        <v>131</v>
      </c>
      <c r="B74" s="601" t="s">
        <v>494</v>
      </c>
      <c r="C74" s="579" t="s">
        <v>489</v>
      </c>
      <c r="D74" s="579">
        <v>7925258</v>
      </c>
      <c r="E74" s="574">
        <v>25000</v>
      </c>
      <c r="F74" s="574">
        <v>5000</v>
      </c>
      <c r="G74" s="574">
        <v>5000</v>
      </c>
      <c r="H74" s="574">
        <v>0</v>
      </c>
      <c r="I74" s="574">
        <v>5000</v>
      </c>
      <c r="J74" s="574">
        <v>0</v>
      </c>
      <c r="K74" s="574">
        <v>0</v>
      </c>
      <c r="L74" s="574">
        <v>0</v>
      </c>
      <c r="M74" s="574">
        <v>0</v>
      </c>
      <c r="N74" s="574">
        <v>0</v>
      </c>
      <c r="O74" s="574">
        <v>0</v>
      </c>
      <c r="P74" s="574">
        <v>4000</v>
      </c>
      <c r="Q74" s="574">
        <v>4000</v>
      </c>
      <c r="R74" s="574">
        <v>4000</v>
      </c>
      <c r="S74" s="574">
        <v>0</v>
      </c>
      <c r="T74" s="574">
        <v>0</v>
      </c>
      <c r="U74" s="574">
        <v>0</v>
      </c>
      <c r="V74" s="574">
        <v>9000</v>
      </c>
      <c r="W74" s="574">
        <v>0</v>
      </c>
      <c r="X74" s="574">
        <v>9000</v>
      </c>
      <c r="Y74" s="575"/>
      <c r="Z74" s="576"/>
    </row>
    <row r="75" spans="1:26" ht="47.25" customHeight="1">
      <c r="A75" s="593" t="s">
        <v>134</v>
      </c>
      <c r="B75" s="601" t="s">
        <v>495</v>
      </c>
      <c r="C75" s="579" t="s">
        <v>489</v>
      </c>
      <c r="D75" s="579">
        <v>7925257</v>
      </c>
      <c r="E75" s="574">
        <v>2500</v>
      </c>
      <c r="F75" s="574">
        <v>0</v>
      </c>
      <c r="G75" s="574">
        <v>0</v>
      </c>
      <c r="H75" s="574">
        <v>0</v>
      </c>
      <c r="I75" s="574">
        <v>0</v>
      </c>
      <c r="J75" s="574">
        <v>0</v>
      </c>
      <c r="K75" s="574">
        <v>0</v>
      </c>
      <c r="L75" s="574">
        <v>0</v>
      </c>
      <c r="M75" s="574">
        <v>0</v>
      </c>
      <c r="N75" s="574">
        <v>0</v>
      </c>
      <c r="O75" s="574">
        <v>0</v>
      </c>
      <c r="P75" s="574">
        <v>4000</v>
      </c>
      <c r="Q75" s="574">
        <v>4000</v>
      </c>
      <c r="R75" s="574">
        <v>4000</v>
      </c>
      <c r="S75" s="574">
        <v>0</v>
      </c>
      <c r="T75" s="574">
        <v>0</v>
      </c>
      <c r="U75" s="574">
        <v>0</v>
      </c>
      <c r="V75" s="574">
        <v>4000</v>
      </c>
      <c r="W75" s="574">
        <v>0</v>
      </c>
      <c r="X75" s="574">
        <v>4000</v>
      </c>
      <c r="Y75" s="575"/>
      <c r="Z75" s="576"/>
    </row>
    <row r="76" spans="1:26" ht="47.25" customHeight="1">
      <c r="A76" s="593" t="s">
        <v>89</v>
      </c>
      <c r="B76" s="601" t="s">
        <v>496</v>
      </c>
      <c r="C76" s="579" t="s">
        <v>489</v>
      </c>
      <c r="D76" s="579">
        <v>7910399</v>
      </c>
      <c r="E76" s="574">
        <v>14990</v>
      </c>
      <c r="F76" s="574">
        <v>0</v>
      </c>
      <c r="G76" s="574">
        <v>0</v>
      </c>
      <c r="H76" s="574">
        <v>0</v>
      </c>
      <c r="I76" s="574">
        <v>0</v>
      </c>
      <c r="J76" s="574">
        <v>0</v>
      </c>
      <c r="K76" s="574">
        <v>0</v>
      </c>
      <c r="L76" s="574">
        <v>0</v>
      </c>
      <c r="M76" s="574">
        <v>0</v>
      </c>
      <c r="N76" s="574">
        <v>0</v>
      </c>
      <c r="O76" s="574">
        <v>0</v>
      </c>
      <c r="P76" s="574">
        <v>5000</v>
      </c>
      <c r="Q76" s="574">
        <v>5000</v>
      </c>
      <c r="R76" s="574">
        <v>5000</v>
      </c>
      <c r="S76" s="574">
        <v>0</v>
      </c>
      <c r="T76" s="574">
        <v>0</v>
      </c>
      <c r="U76" s="574">
        <v>0</v>
      </c>
      <c r="V76" s="574">
        <v>5000</v>
      </c>
      <c r="W76" s="574">
        <v>0</v>
      </c>
      <c r="X76" s="574">
        <v>5000</v>
      </c>
      <c r="Y76" s="575"/>
      <c r="Z76" s="576"/>
    </row>
    <row r="77" spans="1:26" ht="54" customHeight="1">
      <c r="A77" s="573" t="s">
        <v>55</v>
      </c>
      <c r="B77" s="578" t="s">
        <v>214</v>
      </c>
      <c r="C77" s="579" t="s">
        <v>489</v>
      </c>
      <c r="D77" s="573"/>
      <c r="E77" s="574">
        <v>39095</v>
      </c>
      <c r="F77" s="574">
        <v>15765.781000000001</v>
      </c>
      <c r="G77" s="574">
        <v>0</v>
      </c>
      <c r="H77" s="574">
        <v>0</v>
      </c>
      <c r="I77" s="574">
        <v>0</v>
      </c>
      <c r="J77" s="574">
        <v>488.21899999999999</v>
      </c>
      <c r="K77" s="574">
        <v>0</v>
      </c>
      <c r="L77" s="574">
        <v>0</v>
      </c>
      <c r="M77" s="574">
        <v>0</v>
      </c>
      <c r="N77" s="574">
        <v>0</v>
      </c>
      <c r="O77" s="574">
        <v>488.21899999999999</v>
      </c>
      <c r="P77" s="574">
        <v>19000</v>
      </c>
      <c r="Q77" s="574">
        <v>17736.225999999999</v>
      </c>
      <c r="R77" s="574">
        <v>17736.225999999999</v>
      </c>
      <c r="S77" s="574">
        <v>0</v>
      </c>
      <c r="T77" s="574">
        <v>1262.778</v>
      </c>
      <c r="U77" s="574">
        <v>0.996</v>
      </c>
      <c r="V77" s="574">
        <v>17736.225999999999</v>
      </c>
      <c r="W77" s="574">
        <v>0</v>
      </c>
      <c r="X77" s="574">
        <v>33502.006999999998</v>
      </c>
      <c r="Y77" s="575"/>
      <c r="Z77" s="576"/>
    </row>
    <row r="78" spans="1:26" ht="38.25" customHeight="1">
      <c r="A78" s="602" t="s">
        <v>89</v>
      </c>
      <c r="B78" s="603" t="s">
        <v>564</v>
      </c>
      <c r="C78" s="579" t="s">
        <v>489</v>
      </c>
      <c r="D78" s="587" t="s">
        <v>565</v>
      </c>
      <c r="E78" s="574">
        <v>14000</v>
      </c>
      <c r="F78" s="574">
        <v>0</v>
      </c>
      <c r="G78" s="574">
        <v>0</v>
      </c>
      <c r="H78" s="574">
        <v>0</v>
      </c>
      <c r="I78" s="574">
        <v>0</v>
      </c>
      <c r="J78" s="574">
        <v>0</v>
      </c>
      <c r="K78" s="574">
        <v>0</v>
      </c>
      <c r="L78" s="574">
        <v>0</v>
      </c>
      <c r="M78" s="574">
        <v>0</v>
      </c>
      <c r="N78" s="574">
        <v>0</v>
      </c>
      <c r="O78" s="574">
        <v>0</v>
      </c>
      <c r="P78" s="574">
        <v>13264</v>
      </c>
      <c r="Q78" s="574">
        <v>13263.236000000001</v>
      </c>
      <c r="R78" s="574">
        <v>13263.236000000001</v>
      </c>
      <c r="S78" s="574">
        <v>0</v>
      </c>
      <c r="T78" s="574">
        <v>0</v>
      </c>
      <c r="U78" s="574">
        <v>0.76400000000000001</v>
      </c>
      <c r="V78" s="574">
        <v>13263.236000000001</v>
      </c>
      <c r="W78" s="574">
        <v>0</v>
      </c>
      <c r="X78" s="574">
        <v>13263.236000000001</v>
      </c>
      <c r="Y78" s="575"/>
      <c r="Z78" s="576"/>
    </row>
    <row r="79" spans="1:26" ht="38.25" customHeight="1">
      <c r="A79" s="602" t="s">
        <v>131</v>
      </c>
      <c r="B79" s="603" t="s">
        <v>566</v>
      </c>
      <c r="C79" s="579" t="s">
        <v>489</v>
      </c>
      <c r="D79" s="587" t="s">
        <v>567</v>
      </c>
      <c r="E79" s="574">
        <v>4341</v>
      </c>
      <c r="F79" s="574">
        <v>0</v>
      </c>
      <c r="G79" s="574">
        <v>0</v>
      </c>
      <c r="H79" s="574">
        <v>0</v>
      </c>
      <c r="I79" s="574">
        <v>0</v>
      </c>
      <c r="J79" s="574">
        <v>0</v>
      </c>
      <c r="K79" s="574">
        <v>0</v>
      </c>
      <c r="L79" s="574">
        <v>0</v>
      </c>
      <c r="M79" s="574">
        <v>0</v>
      </c>
      <c r="N79" s="574">
        <v>0</v>
      </c>
      <c r="O79" s="574">
        <v>0</v>
      </c>
      <c r="P79" s="574">
        <v>4176</v>
      </c>
      <c r="Q79" s="574">
        <v>4175.768</v>
      </c>
      <c r="R79" s="574">
        <v>4175.768</v>
      </c>
      <c r="S79" s="574">
        <v>0</v>
      </c>
      <c r="T79" s="574">
        <v>0</v>
      </c>
      <c r="U79" s="574">
        <v>0.23200000000000001</v>
      </c>
      <c r="V79" s="574">
        <v>4175.768</v>
      </c>
      <c r="W79" s="574">
        <v>0</v>
      </c>
      <c r="X79" s="574">
        <v>4175.768</v>
      </c>
      <c r="Y79" s="575"/>
      <c r="Z79" s="576"/>
    </row>
    <row r="80" spans="1:26" ht="38.25" customHeight="1">
      <c r="A80" s="602" t="s">
        <v>134</v>
      </c>
      <c r="B80" s="604" t="s">
        <v>90</v>
      </c>
      <c r="C80" s="579" t="s">
        <v>489</v>
      </c>
      <c r="D80" s="605" t="s">
        <v>497</v>
      </c>
      <c r="E80" s="574">
        <v>2000</v>
      </c>
      <c r="F80" s="574">
        <v>0</v>
      </c>
      <c r="G80" s="574">
        <v>0</v>
      </c>
      <c r="H80" s="574">
        <v>0</v>
      </c>
      <c r="I80" s="574">
        <v>0</v>
      </c>
      <c r="J80" s="574">
        <v>0</v>
      </c>
      <c r="K80" s="574">
        <v>0</v>
      </c>
      <c r="L80" s="574">
        <v>0</v>
      </c>
      <c r="M80" s="574">
        <v>0</v>
      </c>
      <c r="N80" s="574">
        <v>0</v>
      </c>
      <c r="O80" s="574">
        <v>0</v>
      </c>
      <c r="P80" s="574">
        <v>1060</v>
      </c>
      <c r="Q80" s="574">
        <v>134.81299999999999</v>
      </c>
      <c r="R80" s="574">
        <v>134.81299999999999</v>
      </c>
      <c r="S80" s="574">
        <v>0</v>
      </c>
      <c r="T80" s="574">
        <v>925.18700000000001</v>
      </c>
      <c r="U80" s="574">
        <v>0</v>
      </c>
      <c r="V80" s="574">
        <v>134.81299999999999</v>
      </c>
      <c r="W80" s="574">
        <v>0</v>
      </c>
      <c r="X80" s="574">
        <v>134.81299999999999</v>
      </c>
      <c r="Y80" s="575"/>
      <c r="Z80" s="576"/>
    </row>
    <row r="81" spans="1:26" ht="38.25" customHeight="1">
      <c r="A81" s="602" t="s">
        <v>137</v>
      </c>
      <c r="B81" s="604" t="s">
        <v>148</v>
      </c>
      <c r="C81" s="579" t="s">
        <v>489</v>
      </c>
      <c r="D81" s="605" t="s">
        <v>498</v>
      </c>
      <c r="E81" s="574">
        <v>2500</v>
      </c>
      <c r="F81" s="574">
        <v>0</v>
      </c>
      <c r="G81" s="574">
        <v>0</v>
      </c>
      <c r="H81" s="574">
        <v>0</v>
      </c>
      <c r="I81" s="574">
        <v>0</v>
      </c>
      <c r="J81" s="574">
        <v>0</v>
      </c>
      <c r="K81" s="574">
        <v>0</v>
      </c>
      <c r="L81" s="574">
        <v>0</v>
      </c>
      <c r="M81" s="574">
        <v>0</v>
      </c>
      <c r="N81" s="574">
        <v>0</v>
      </c>
      <c r="O81" s="574">
        <v>0</v>
      </c>
      <c r="P81" s="574">
        <v>500</v>
      </c>
      <c r="Q81" s="574">
        <v>162.40899999999999</v>
      </c>
      <c r="R81" s="574">
        <v>162.40899999999999</v>
      </c>
      <c r="S81" s="574">
        <v>0</v>
      </c>
      <c r="T81" s="574">
        <v>337.59100000000001</v>
      </c>
      <c r="U81" s="574">
        <v>0</v>
      </c>
      <c r="V81" s="574">
        <v>162.40899999999999</v>
      </c>
      <c r="W81" s="574">
        <v>0</v>
      </c>
      <c r="X81" s="574">
        <v>162.40899999999999</v>
      </c>
      <c r="Y81" s="575"/>
      <c r="Z81" s="576"/>
    </row>
    <row r="82" spans="1:26" ht="38.25" customHeight="1">
      <c r="A82" s="602" t="s">
        <v>82</v>
      </c>
      <c r="B82" s="594" t="s">
        <v>568</v>
      </c>
      <c r="C82" s="579" t="s">
        <v>489</v>
      </c>
      <c r="D82" s="606" t="s">
        <v>569</v>
      </c>
      <c r="E82" s="574">
        <v>2500</v>
      </c>
      <c r="F82" s="574">
        <v>2431.7890000000002</v>
      </c>
      <c r="G82" s="574">
        <v>0</v>
      </c>
      <c r="H82" s="574">
        <v>0</v>
      </c>
      <c r="I82" s="574">
        <v>0</v>
      </c>
      <c r="J82" s="574">
        <v>68.210999999999999</v>
      </c>
      <c r="K82" s="574">
        <v>0</v>
      </c>
      <c r="L82" s="574">
        <v>0</v>
      </c>
      <c r="M82" s="574">
        <v>0</v>
      </c>
      <c r="N82" s="574">
        <v>0</v>
      </c>
      <c r="O82" s="574">
        <v>68.210999999999999</v>
      </c>
      <c r="P82" s="574">
        <v>0</v>
      </c>
      <c r="Q82" s="574">
        <v>0</v>
      </c>
      <c r="R82" s="574">
        <v>0</v>
      </c>
      <c r="S82" s="574">
        <v>0</v>
      </c>
      <c r="T82" s="574">
        <v>0</v>
      </c>
      <c r="U82" s="574">
        <v>0</v>
      </c>
      <c r="V82" s="574">
        <v>0</v>
      </c>
      <c r="W82" s="574">
        <v>0</v>
      </c>
      <c r="X82" s="574">
        <v>2431.7890000000002</v>
      </c>
      <c r="Y82" s="575"/>
      <c r="Z82" s="576"/>
    </row>
    <row r="83" spans="1:26" ht="38.25" customHeight="1">
      <c r="A83" s="602" t="s">
        <v>84</v>
      </c>
      <c r="B83" s="594" t="s">
        <v>570</v>
      </c>
      <c r="C83" s="579" t="s">
        <v>489</v>
      </c>
      <c r="D83" s="606" t="s">
        <v>571</v>
      </c>
      <c r="E83" s="574">
        <v>3500</v>
      </c>
      <c r="F83" s="574">
        <v>3276.5549999999998</v>
      </c>
      <c r="G83" s="574">
        <v>0</v>
      </c>
      <c r="H83" s="574">
        <v>0</v>
      </c>
      <c r="I83" s="574">
        <v>0</v>
      </c>
      <c r="J83" s="574">
        <v>223.44499999999999</v>
      </c>
      <c r="K83" s="574">
        <v>0</v>
      </c>
      <c r="L83" s="574">
        <v>0</v>
      </c>
      <c r="M83" s="574">
        <v>0</v>
      </c>
      <c r="N83" s="574">
        <v>0</v>
      </c>
      <c r="O83" s="574">
        <v>223.44499999999999</v>
      </c>
      <c r="P83" s="574">
        <v>0</v>
      </c>
      <c r="Q83" s="574">
        <v>0</v>
      </c>
      <c r="R83" s="574">
        <v>0</v>
      </c>
      <c r="S83" s="574">
        <v>0</v>
      </c>
      <c r="T83" s="574">
        <v>0</v>
      </c>
      <c r="U83" s="574">
        <v>0</v>
      </c>
      <c r="V83" s="574">
        <v>0</v>
      </c>
      <c r="W83" s="574">
        <v>0</v>
      </c>
      <c r="X83" s="574">
        <v>3276.5549999999998</v>
      </c>
      <c r="Y83" s="575"/>
      <c r="Z83" s="576"/>
    </row>
    <row r="84" spans="1:26" ht="38.25" customHeight="1">
      <c r="A84" s="602" t="s">
        <v>276</v>
      </c>
      <c r="B84" s="594" t="s">
        <v>572</v>
      </c>
      <c r="C84" s="579" t="s">
        <v>489</v>
      </c>
      <c r="D84" s="606" t="s">
        <v>573</v>
      </c>
      <c r="E84" s="574">
        <v>3000</v>
      </c>
      <c r="F84" s="574">
        <v>2913.1460000000002</v>
      </c>
      <c r="G84" s="574">
        <v>0</v>
      </c>
      <c r="H84" s="574">
        <v>0</v>
      </c>
      <c r="I84" s="574">
        <v>0</v>
      </c>
      <c r="J84" s="574">
        <v>86.853999999999999</v>
      </c>
      <c r="K84" s="574">
        <v>0</v>
      </c>
      <c r="L84" s="574">
        <v>0</v>
      </c>
      <c r="M84" s="574">
        <v>0</v>
      </c>
      <c r="N84" s="574">
        <v>0</v>
      </c>
      <c r="O84" s="574">
        <v>86.853999999999999</v>
      </c>
      <c r="P84" s="574">
        <v>0</v>
      </c>
      <c r="Q84" s="574">
        <v>0</v>
      </c>
      <c r="R84" s="574">
        <v>0</v>
      </c>
      <c r="S84" s="574">
        <v>0</v>
      </c>
      <c r="T84" s="574">
        <v>0</v>
      </c>
      <c r="U84" s="574">
        <v>0</v>
      </c>
      <c r="V84" s="574">
        <v>0</v>
      </c>
      <c r="W84" s="574">
        <v>0</v>
      </c>
      <c r="X84" s="574">
        <v>2913.1460000000002</v>
      </c>
      <c r="Y84" s="575"/>
      <c r="Z84" s="576"/>
    </row>
    <row r="85" spans="1:26" ht="38.25" customHeight="1">
      <c r="A85" s="602" t="s">
        <v>260</v>
      </c>
      <c r="B85" s="594" t="s">
        <v>574</v>
      </c>
      <c r="C85" s="579" t="s">
        <v>489</v>
      </c>
      <c r="D85" s="606" t="s">
        <v>575</v>
      </c>
      <c r="E85" s="574">
        <v>3751</v>
      </c>
      <c r="F85" s="574">
        <v>3673.9639999999999</v>
      </c>
      <c r="G85" s="574">
        <v>0</v>
      </c>
      <c r="H85" s="574">
        <v>0</v>
      </c>
      <c r="I85" s="574">
        <v>0</v>
      </c>
      <c r="J85" s="574">
        <v>77.036000000000001</v>
      </c>
      <c r="K85" s="574">
        <v>0</v>
      </c>
      <c r="L85" s="574">
        <v>0</v>
      </c>
      <c r="M85" s="574">
        <v>0</v>
      </c>
      <c r="N85" s="574">
        <v>0</v>
      </c>
      <c r="O85" s="574">
        <v>77.036000000000001</v>
      </c>
      <c r="P85" s="574">
        <v>0</v>
      </c>
      <c r="Q85" s="574">
        <v>0</v>
      </c>
      <c r="R85" s="574">
        <v>0</v>
      </c>
      <c r="S85" s="574">
        <v>0</v>
      </c>
      <c r="T85" s="574">
        <v>0</v>
      </c>
      <c r="U85" s="574">
        <v>0</v>
      </c>
      <c r="V85" s="574">
        <v>0</v>
      </c>
      <c r="W85" s="574">
        <v>0</v>
      </c>
      <c r="X85" s="574">
        <v>3673.9639999999999</v>
      </c>
      <c r="Y85" s="575"/>
      <c r="Z85" s="576"/>
    </row>
    <row r="86" spans="1:26" ht="38.25" customHeight="1">
      <c r="A86" s="602" t="s">
        <v>280</v>
      </c>
      <c r="B86" s="594" t="s">
        <v>576</v>
      </c>
      <c r="C86" s="579" t="s">
        <v>489</v>
      </c>
      <c r="D86" s="606" t="s">
        <v>577</v>
      </c>
      <c r="E86" s="574">
        <v>2203</v>
      </c>
      <c r="F86" s="574">
        <v>2188.2800000000002</v>
      </c>
      <c r="G86" s="574">
        <v>0</v>
      </c>
      <c r="H86" s="574">
        <v>0</v>
      </c>
      <c r="I86" s="574">
        <v>0</v>
      </c>
      <c r="J86" s="574">
        <v>14.72</v>
      </c>
      <c r="K86" s="574">
        <v>0</v>
      </c>
      <c r="L86" s="574">
        <v>0</v>
      </c>
      <c r="M86" s="574">
        <v>0</v>
      </c>
      <c r="N86" s="574">
        <v>0</v>
      </c>
      <c r="O86" s="574">
        <v>14.72</v>
      </c>
      <c r="P86" s="574">
        <v>0</v>
      </c>
      <c r="Q86" s="574">
        <v>0</v>
      </c>
      <c r="R86" s="574">
        <v>0</v>
      </c>
      <c r="S86" s="574">
        <v>0</v>
      </c>
      <c r="T86" s="574">
        <v>0</v>
      </c>
      <c r="U86" s="574">
        <v>0</v>
      </c>
      <c r="V86" s="574">
        <v>0</v>
      </c>
      <c r="W86" s="574">
        <v>0</v>
      </c>
      <c r="X86" s="574">
        <v>2188.2800000000002</v>
      </c>
      <c r="Y86" s="575"/>
      <c r="Z86" s="576"/>
    </row>
    <row r="87" spans="1:26" ht="38.25" customHeight="1">
      <c r="A87" s="602" t="s">
        <v>283</v>
      </c>
      <c r="B87" s="594" t="s">
        <v>578</v>
      </c>
      <c r="C87" s="579" t="s">
        <v>489</v>
      </c>
      <c r="D87" s="606" t="s">
        <v>579</v>
      </c>
      <c r="E87" s="574">
        <v>1300</v>
      </c>
      <c r="F87" s="574">
        <v>1282.047</v>
      </c>
      <c r="G87" s="574">
        <v>0</v>
      </c>
      <c r="H87" s="574">
        <v>0</v>
      </c>
      <c r="I87" s="574">
        <v>0</v>
      </c>
      <c r="J87" s="574">
        <v>17.952999999999999</v>
      </c>
      <c r="K87" s="574">
        <v>0</v>
      </c>
      <c r="L87" s="574">
        <v>0</v>
      </c>
      <c r="M87" s="574">
        <v>0</v>
      </c>
      <c r="N87" s="574">
        <v>0</v>
      </c>
      <c r="O87" s="574">
        <v>17.952999999999999</v>
      </c>
      <c r="P87" s="574">
        <v>0</v>
      </c>
      <c r="Q87" s="574">
        <v>0</v>
      </c>
      <c r="R87" s="574">
        <v>0</v>
      </c>
      <c r="S87" s="574">
        <v>0</v>
      </c>
      <c r="T87" s="574">
        <v>0</v>
      </c>
      <c r="U87" s="574">
        <v>0</v>
      </c>
      <c r="V87" s="574">
        <v>0</v>
      </c>
      <c r="W87" s="574">
        <v>0</v>
      </c>
      <c r="X87" s="574">
        <v>1282.047</v>
      </c>
      <c r="Y87" s="575"/>
      <c r="Z87" s="576"/>
    </row>
    <row r="88" spans="1:26" ht="49.5" customHeight="1">
      <c r="A88" s="573" t="s">
        <v>246</v>
      </c>
      <c r="B88" s="578" t="s">
        <v>139</v>
      </c>
      <c r="C88" s="579" t="s">
        <v>489</v>
      </c>
      <c r="D88" s="573"/>
      <c r="E88" s="574">
        <v>45490</v>
      </c>
      <c r="F88" s="574">
        <v>10633.495000000001</v>
      </c>
      <c r="G88" s="574">
        <v>1026</v>
      </c>
      <c r="H88" s="574">
        <v>0</v>
      </c>
      <c r="I88" s="574">
        <v>1026</v>
      </c>
      <c r="J88" s="574">
        <v>4356.5050000000001</v>
      </c>
      <c r="K88" s="574">
        <v>3478.3980000000001</v>
      </c>
      <c r="L88" s="574">
        <v>3478.3980000000001</v>
      </c>
      <c r="M88" s="574">
        <v>0</v>
      </c>
      <c r="N88" s="574">
        <v>0</v>
      </c>
      <c r="O88" s="574">
        <v>878.10699999999997</v>
      </c>
      <c r="P88" s="574">
        <v>8660</v>
      </c>
      <c r="Q88" s="574">
        <v>5193.0190000000002</v>
      </c>
      <c r="R88" s="574">
        <v>3087.8789999999999</v>
      </c>
      <c r="S88" s="574">
        <v>2105.14</v>
      </c>
      <c r="T88" s="574">
        <v>3466.98</v>
      </c>
      <c r="U88" s="574">
        <v>1E-3</v>
      </c>
      <c r="V88" s="574">
        <v>7592.277</v>
      </c>
      <c r="W88" s="574">
        <v>2105.14</v>
      </c>
      <c r="X88" s="574">
        <v>19304.912</v>
      </c>
      <c r="Y88" s="574">
        <f t="shared" ref="Y88:Z88" si="5">SUM(Y89:Y92)</f>
        <v>0</v>
      </c>
      <c r="Z88" s="574">
        <f t="shared" si="5"/>
        <v>0</v>
      </c>
    </row>
    <row r="89" spans="1:26" ht="47.25" customHeight="1">
      <c r="A89" s="579">
        <v>1</v>
      </c>
      <c r="B89" s="594" t="s">
        <v>580</v>
      </c>
      <c r="C89" s="579" t="s">
        <v>489</v>
      </c>
      <c r="D89" s="588" t="s">
        <v>581</v>
      </c>
      <c r="E89" s="574">
        <v>14990</v>
      </c>
      <c r="F89" s="574">
        <v>10633.495000000001</v>
      </c>
      <c r="G89" s="574">
        <v>1026</v>
      </c>
      <c r="H89" s="574">
        <v>0</v>
      </c>
      <c r="I89" s="574">
        <v>1026</v>
      </c>
      <c r="J89" s="574">
        <v>4356.5050000000001</v>
      </c>
      <c r="K89" s="574">
        <v>3478.3980000000001</v>
      </c>
      <c r="L89" s="574">
        <v>3478.3980000000001</v>
      </c>
      <c r="M89" s="574">
        <v>0</v>
      </c>
      <c r="N89" s="574">
        <v>0</v>
      </c>
      <c r="O89" s="574">
        <v>878.10699999999997</v>
      </c>
      <c r="P89" s="574">
        <v>0</v>
      </c>
      <c r="Q89" s="574">
        <v>0</v>
      </c>
      <c r="R89" s="574">
        <v>0</v>
      </c>
      <c r="S89" s="574">
        <v>0</v>
      </c>
      <c r="T89" s="574">
        <v>0</v>
      </c>
      <c r="U89" s="574">
        <v>0</v>
      </c>
      <c r="V89" s="574">
        <v>4504.3980000000001</v>
      </c>
      <c r="W89" s="574">
        <v>0</v>
      </c>
      <c r="X89" s="574">
        <v>14111.893</v>
      </c>
      <c r="Y89" s="575"/>
      <c r="Z89" s="576"/>
    </row>
    <row r="90" spans="1:26" s="616" customFormat="1" ht="47.25" customHeight="1">
      <c r="A90" s="585">
        <v>3</v>
      </c>
      <c r="B90" s="647" t="s">
        <v>239</v>
      </c>
      <c r="C90" s="585" t="s">
        <v>489</v>
      </c>
      <c r="D90" s="613" t="s">
        <v>499</v>
      </c>
      <c r="E90" s="618">
        <v>8500</v>
      </c>
      <c r="F90" s="618">
        <v>0</v>
      </c>
      <c r="G90" s="618">
        <v>0</v>
      </c>
      <c r="H90" s="618">
        <v>0</v>
      </c>
      <c r="I90" s="618">
        <v>0</v>
      </c>
      <c r="J90" s="618">
        <v>0</v>
      </c>
      <c r="K90" s="618">
        <v>0</v>
      </c>
      <c r="L90" s="618">
        <v>0</v>
      </c>
      <c r="M90" s="618">
        <v>0</v>
      </c>
      <c r="N90" s="618">
        <v>0</v>
      </c>
      <c r="O90" s="618">
        <v>0</v>
      </c>
      <c r="P90" s="618">
        <v>2600</v>
      </c>
      <c r="Q90" s="618">
        <v>2599.9989999999998</v>
      </c>
      <c r="R90" s="618">
        <v>494.85899999999998</v>
      </c>
      <c r="S90" s="618">
        <v>2105.14</v>
      </c>
      <c r="T90" s="618">
        <v>0</v>
      </c>
      <c r="U90" s="618">
        <v>1E-3</v>
      </c>
      <c r="V90" s="618">
        <v>494.85899999999998</v>
      </c>
      <c r="W90" s="618">
        <v>2105.14</v>
      </c>
      <c r="X90" s="618">
        <v>2599.9989999999998</v>
      </c>
      <c r="Y90" s="614"/>
      <c r="Z90" s="615"/>
    </row>
    <row r="91" spans="1:26" s="616" customFormat="1" ht="47.25" customHeight="1">
      <c r="A91" s="585">
        <v>4</v>
      </c>
      <c r="B91" s="612" t="s">
        <v>241</v>
      </c>
      <c r="C91" s="585" t="s">
        <v>489</v>
      </c>
      <c r="D91" s="613" t="s">
        <v>500</v>
      </c>
      <c r="E91" s="618">
        <v>14000</v>
      </c>
      <c r="F91" s="618">
        <v>0</v>
      </c>
      <c r="G91" s="618">
        <v>0</v>
      </c>
      <c r="H91" s="618">
        <v>0</v>
      </c>
      <c r="I91" s="618">
        <v>0</v>
      </c>
      <c r="J91" s="618">
        <v>0</v>
      </c>
      <c r="K91" s="618">
        <v>0</v>
      </c>
      <c r="L91" s="618">
        <v>0</v>
      </c>
      <c r="M91" s="618">
        <v>0</v>
      </c>
      <c r="N91" s="618">
        <v>0</v>
      </c>
      <c r="O91" s="618">
        <v>0</v>
      </c>
      <c r="P91" s="618">
        <v>3860</v>
      </c>
      <c r="Q91" s="618">
        <v>620.53899999999999</v>
      </c>
      <c r="R91" s="618">
        <v>620.53899999999999</v>
      </c>
      <c r="S91" s="618">
        <v>0</v>
      </c>
      <c r="T91" s="618">
        <v>3239.4609999999998</v>
      </c>
      <c r="U91" s="618">
        <v>0</v>
      </c>
      <c r="V91" s="618">
        <v>620.53899999999999</v>
      </c>
      <c r="W91" s="618">
        <v>0</v>
      </c>
      <c r="X91" s="618">
        <v>620.53899999999999</v>
      </c>
      <c r="Y91" s="614"/>
      <c r="Z91" s="615"/>
    </row>
    <row r="92" spans="1:26" s="616" customFormat="1" ht="47.25" customHeight="1">
      <c r="A92" s="585">
        <v>5</v>
      </c>
      <c r="B92" s="648" t="s">
        <v>140</v>
      </c>
      <c r="C92" s="585" t="s">
        <v>489</v>
      </c>
      <c r="D92" s="613" t="s">
        <v>501</v>
      </c>
      <c r="E92" s="618">
        <v>8000</v>
      </c>
      <c r="F92" s="618">
        <v>0</v>
      </c>
      <c r="G92" s="618">
        <v>0</v>
      </c>
      <c r="H92" s="618">
        <v>0</v>
      </c>
      <c r="I92" s="618">
        <v>0</v>
      </c>
      <c r="J92" s="618">
        <v>0</v>
      </c>
      <c r="K92" s="618">
        <v>0</v>
      </c>
      <c r="L92" s="618">
        <v>0</v>
      </c>
      <c r="M92" s="618">
        <v>0</v>
      </c>
      <c r="N92" s="618">
        <v>0</v>
      </c>
      <c r="O92" s="618">
        <v>0</v>
      </c>
      <c r="P92" s="618">
        <v>2200</v>
      </c>
      <c r="Q92" s="618">
        <v>1972.481</v>
      </c>
      <c r="R92" s="618">
        <v>1972.481</v>
      </c>
      <c r="S92" s="618">
        <v>0</v>
      </c>
      <c r="T92" s="618">
        <v>227.51900000000001</v>
      </c>
      <c r="U92" s="618">
        <v>0</v>
      </c>
      <c r="V92" s="618">
        <v>1972.481</v>
      </c>
      <c r="W92" s="618">
        <v>0</v>
      </c>
      <c r="X92" s="618">
        <v>1972.481</v>
      </c>
      <c r="Y92" s="614"/>
      <c r="Z92" s="615"/>
    </row>
    <row r="93" spans="1:26" ht="54.75" customHeight="1">
      <c r="A93" s="607" t="s">
        <v>339</v>
      </c>
      <c r="B93" s="608" t="s">
        <v>502</v>
      </c>
      <c r="C93" s="579" t="s">
        <v>489</v>
      </c>
      <c r="D93" s="579"/>
      <c r="E93" s="574">
        <v>30203</v>
      </c>
      <c r="F93" s="574">
        <v>0</v>
      </c>
      <c r="G93" s="574">
        <v>0</v>
      </c>
      <c r="H93" s="574">
        <v>0</v>
      </c>
      <c r="I93" s="574">
        <v>0</v>
      </c>
      <c r="J93" s="574">
        <v>0</v>
      </c>
      <c r="K93" s="574">
        <v>0</v>
      </c>
      <c r="L93" s="574">
        <v>0</v>
      </c>
      <c r="M93" s="574">
        <v>0</v>
      </c>
      <c r="N93" s="574">
        <v>0</v>
      </c>
      <c r="O93" s="574">
        <v>0</v>
      </c>
      <c r="P93" s="574">
        <v>20705</v>
      </c>
      <c r="Q93" s="574">
        <v>13747.811452</v>
      </c>
      <c r="R93" s="574">
        <v>13747.811452</v>
      </c>
      <c r="S93" s="574">
        <v>0</v>
      </c>
      <c r="T93" s="574">
        <v>6955.5717789999999</v>
      </c>
      <c r="U93" s="574">
        <v>1.6167689999999999</v>
      </c>
      <c r="V93" s="574">
        <v>13747.811452</v>
      </c>
      <c r="W93" s="574">
        <v>0</v>
      </c>
      <c r="X93" s="574">
        <v>13747.811452</v>
      </c>
      <c r="Y93" s="575"/>
      <c r="Z93" s="576"/>
    </row>
    <row r="94" spans="1:26" ht="43.5" customHeight="1">
      <c r="A94" s="609">
        <v>1</v>
      </c>
      <c r="B94" s="603" t="s">
        <v>582</v>
      </c>
      <c r="C94" s="579" t="s">
        <v>489</v>
      </c>
      <c r="D94" s="587" t="s">
        <v>583</v>
      </c>
      <c r="E94" s="574">
        <v>2600</v>
      </c>
      <c r="F94" s="574">
        <v>0</v>
      </c>
      <c r="G94" s="574">
        <v>0</v>
      </c>
      <c r="H94" s="574">
        <v>0</v>
      </c>
      <c r="I94" s="574">
        <v>0</v>
      </c>
      <c r="J94" s="574">
        <v>0</v>
      </c>
      <c r="K94" s="574">
        <v>0</v>
      </c>
      <c r="L94" s="574">
        <v>0</v>
      </c>
      <c r="M94" s="574">
        <v>0</v>
      </c>
      <c r="N94" s="574">
        <v>0</v>
      </c>
      <c r="O94" s="574">
        <v>0</v>
      </c>
      <c r="P94" s="574">
        <v>2499</v>
      </c>
      <c r="Q94" s="574">
        <v>2498.3760000000002</v>
      </c>
      <c r="R94" s="574">
        <v>2498.3760000000002</v>
      </c>
      <c r="S94" s="574">
        <v>0</v>
      </c>
      <c r="T94" s="574">
        <v>0</v>
      </c>
      <c r="U94" s="574">
        <v>0.624</v>
      </c>
      <c r="V94" s="574">
        <v>2498.3760000000002</v>
      </c>
      <c r="W94" s="574">
        <v>0</v>
      </c>
      <c r="X94" s="574">
        <v>2498.3760000000002</v>
      </c>
      <c r="Y94" s="575"/>
      <c r="Z94" s="576"/>
    </row>
    <row r="95" spans="1:26" ht="37.5" customHeight="1">
      <c r="A95" s="609">
        <v>2</v>
      </c>
      <c r="B95" s="596" t="s">
        <v>503</v>
      </c>
      <c r="C95" s="579" t="s">
        <v>489</v>
      </c>
      <c r="D95" s="610">
        <v>8019877</v>
      </c>
      <c r="E95" s="574">
        <v>4000</v>
      </c>
      <c r="F95" s="574">
        <v>0</v>
      </c>
      <c r="G95" s="574">
        <v>0</v>
      </c>
      <c r="H95" s="574">
        <v>0</v>
      </c>
      <c r="I95" s="574">
        <v>0</v>
      </c>
      <c r="J95" s="574">
        <v>0</v>
      </c>
      <c r="K95" s="574">
        <v>0</v>
      </c>
      <c r="L95" s="574">
        <v>0</v>
      </c>
      <c r="M95" s="574">
        <v>0</v>
      </c>
      <c r="N95" s="574">
        <v>0</v>
      </c>
      <c r="O95" s="574">
        <v>0</v>
      </c>
      <c r="P95" s="574">
        <v>2996</v>
      </c>
      <c r="Q95" s="574">
        <v>1827.346221</v>
      </c>
      <c r="R95" s="574">
        <v>1827.346221</v>
      </c>
      <c r="S95" s="574">
        <v>0</v>
      </c>
      <c r="T95" s="574">
        <v>1168.653779</v>
      </c>
      <c r="U95" s="574">
        <v>0</v>
      </c>
      <c r="V95" s="574">
        <v>1827.346221</v>
      </c>
      <c r="W95" s="574">
        <v>0</v>
      </c>
      <c r="X95" s="574">
        <v>1827.346221</v>
      </c>
      <c r="Y95" s="575"/>
      <c r="Z95" s="576"/>
    </row>
    <row r="96" spans="1:26" ht="39.75" customHeight="1">
      <c r="A96" s="609">
        <v>3</v>
      </c>
      <c r="B96" s="596" t="s">
        <v>584</v>
      </c>
      <c r="C96" s="579" t="s">
        <v>489</v>
      </c>
      <c r="D96" s="610">
        <v>8012988</v>
      </c>
      <c r="E96" s="574">
        <v>3823</v>
      </c>
      <c r="F96" s="574">
        <v>0</v>
      </c>
      <c r="G96" s="574">
        <v>0</v>
      </c>
      <c r="H96" s="574">
        <v>0</v>
      </c>
      <c r="I96" s="574">
        <v>0</v>
      </c>
      <c r="J96" s="574">
        <v>0</v>
      </c>
      <c r="K96" s="574">
        <v>0</v>
      </c>
      <c r="L96" s="574">
        <v>0</v>
      </c>
      <c r="M96" s="574">
        <v>0</v>
      </c>
      <c r="N96" s="574">
        <v>0</v>
      </c>
      <c r="O96" s="574">
        <v>0</v>
      </c>
      <c r="P96" s="574">
        <v>2110</v>
      </c>
      <c r="Q96" s="574">
        <v>2110</v>
      </c>
      <c r="R96" s="574">
        <v>2110</v>
      </c>
      <c r="S96" s="574">
        <v>0</v>
      </c>
      <c r="T96" s="574">
        <v>0</v>
      </c>
      <c r="U96" s="574">
        <v>0</v>
      </c>
      <c r="V96" s="574">
        <v>2110</v>
      </c>
      <c r="W96" s="574">
        <v>0</v>
      </c>
      <c r="X96" s="574">
        <v>2110</v>
      </c>
      <c r="Y96" s="575"/>
      <c r="Z96" s="576"/>
    </row>
    <row r="97" spans="1:26" ht="49.5" customHeight="1">
      <c r="A97" s="609">
        <v>4</v>
      </c>
      <c r="B97" s="596" t="s">
        <v>585</v>
      </c>
      <c r="C97" s="579" t="s">
        <v>489</v>
      </c>
      <c r="D97" s="610">
        <v>8012989</v>
      </c>
      <c r="E97" s="574">
        <v>4335</v>
      </c>
      <c r="F97" s="574">
        <v>0</v>
      </c>
      <c r="G97" s="574">
        <v>0</v>
      </c>
      <c r="H97" s="574">
        <v>0</v>
      </c>
      <c r="I97" s="574">
        <v>0</v>
      </c>
      <c r="J97" s="574">
        <v>0</v>
      </c>
      <c r="K97" s="574">
        <v>0</v>
      </c>
      <c r="L97" s="574">
        <v>0</v>
      </c>
      <c r="M97" s="574">
        <v>0</v>
      </c>
      <c r="N97" s="574">
        <v>0</v>
      </c>
      <c r="O97" s="574">
        <v>0</v>
      </c>
      <c r="P97" s="574">
        <v>2535</v>
      </c>
      <c r="Q97" s="574">
        <v>2068.2860000000001</v>
      </c>
      <c r="R97" s="574">
        <v>2068.2860000000001</v>
      </c>
      <c r="S97" s="574">
        <v>0</v>
      </c>
      <c r="T97" s="574">
        <v>466.714</v>
      </c>
      <c r="U97" s="574">
        <v>0</v>
      </c>
      <c r="V97" s="574">
        <v>2068.2860000000001</v>
      </c>
      <c r="W97" s="574">
        <v>0</v>
      </c>
      <c r="X97" s="574">
        <v>2068.2860000000001</v>
      </c>
      <c r="Y97" s="575"/>
      <c r="Z97" s="576"/>
    </row>
    <row r="98" spans="1:26" ht="44.25" customHeight="1">
      <c r="A98" s="609">
        <v>5</v>
      </c>
      <c r="B98" s="596" t="s">
        <v>506</v>
      </c>
      <c r="C98" s="579" t="s">
        <v>489</v>
      </c>
      <c r="D98" s="610">
        <v>8012990</v>
      </c>
      <c r="E98" s="574">
        <v>4000</v>
      </c>
      <c r="F98" s="574">
        <v>0</v>
      </c>
      <c r="G98" s="574">
        <v>0</v>
      </c>
      <c r="H98" s="574">
        <v>0</v>
      </c>
      <c r="I98" s="574">
        <v>0</v>
      </c>
      <c r="J98" s="574">
        <v>0</v>
      </c>
      <c r="K98" s="574">
        <v>0</v>
      </c>
      <c r="L98" s="574">
        <v>0</v>
      </c>
      <c r="M98" s="574">
        <v>0</v>
      </c>
      <c r="N98" s="574">
        <v>0</v>
      </c>
      <c r="O98" s="574">
        <v>0</v>
      </c>
      <c r="P98" s="574">
        <v>3000</v>
      </c>
      <c r="Q98" s="574">
        <v>1183.605</v>
      </c>
      <c r="R98" s="574">
        <v>1183.605</v>
      </c>
      <c r="S98" s="574">
        <v>0</v>
      </c>
      <c r="T98" s="574">
        <v>1816.395</v>
      </c>
      <c r="U98" s="574">
        <v>0</v>
      </c>
      <c r="V98" s="574">
        <v>1183.605</v>
      </c>
      <c r="W98" s="574">
        <v>0</v>
      </c>
      <c r="X98" s="574">
        <v>1183.605</v>
      </c>
      <c r="Y98" s="575"/>
      <c r="Z98" s="576"/>
    </row>
    <row r="99" spans="1:26" ht="49.5" customHeight="1">
      <c r="A99" s="609">
        <v>6</v>
      </c>
      <c r="B99" s="596" t="s">
        <v>507</v>
      </c>
      <c r="C99" s="579" t="s">
        <v>489</v>
      </c>
      <c r="D99" s="610">
        <v>8012991</v>
      </c>
      <c r="E99" s="574">
        <v>4320</v>
      </c>
      <c r="F99" s="574">
        <v>0</v>
      </c>
      <c r="G99" s="574">
        <v>0</v>
      </c>
      <c r="H99" s="574">
        <v>0</v>
      </c>
      <c r="I99" s="574">
        <v>0</v>
      </c>
      <c r="J99" s="574">
        <v>0</v>
      </c>
      <c r="K99" s="574">
        <v>0</v>
      </c>
      <c r="L99" s="574">
        <v>0</v>
      </c>
      <c r="M99" s="574">
        <v>0</v>
      </c>
      <c r="N99" s="574">
        <v>0</v>
      </c>
      <c r="O99" s="574">
        <v>0</v>
      </c>
      <c r="P99" s="574">
        <v>2500</v>
      </c>
      <c r="Q99" s="574">
        <v>291.70299999999997</v>
      </c>
      <c r="R99" s="574">
        <v>291.70299999999997</v>
      </c>
      <c r="S99" s="574">
        <v>0</v>
      </c>
      <c r="T99" s="574">
        <v>2208.297</v>
      </c>
      <c r="U99" s="574">
        <v>0</v>
      </c>
      <c r="V99" s="574">
        <v>291.70299999999997</v>
      </c>
      <c r="W99" s="574">
        <v>0</v>
      </c>
      <c r="X99" s="574">
        <v>291.70299999999997</v>
      </c>
      <c r="Y99" s="575"/>
      <c r="Z99" s="576"/>
    </row>
    <row r="100" spans="1:26" ht="50.25" customHeight="1">
      <c r="A100" s="609">
        <v>7</v>
      </c>
      <c r="B100" s="596" t="s">
        <v>508</v>
      </c>
      <c r="C100" s="579" t="s">
        <v>489</v>
      </c>
      <c r="D100" s="610">
        <v>8012992</v>
      </c>
      <c r="E100" s="574">
        <v>4525</v>
      </c>
      <c r="F100" s="574">
        <v>0</v>
      </c>
      <c r="G100" s="574">
        <v>0</v>
      </c>
      <c r="H100" s="574">
        <v>0</v>
      </c>
      <c r="I100" s="574">
        <v>0</v>
      </c>
      <c r="J100" s="574">
        <v>0</v>
      </c>
      <c r="K100" s="574">
        <v>0</v>
      </c>
      <c r="L100" s="574">
        <v>0</v>
      </c>
      <c r="M100" s="574">
        <v>0</v>
      </c>
      <c r="N100" s="574">
        <v>0</v>
      </c>
      <c r="O100" s="574">
        <v>0</v>
      </c>
      <c r="P100" s="574">
        <v>2600</v>
      </c>
      <c r="Q100" s="574">
        <v>1304.4880000000001</v>
      </c>
      <c r="R100" s="574">
        <v>1304.4880000000001</v>
      </c>
      <c r="S100" s="574">
        <v>0</v>
      </c>
      <c r="T100" s="574">
        <v>1295.5119999999999</v>
      </c>
      <c r="U100" s="574">
        <v>0</v>
      </c>
      <c r="V100" s="574">
        <v>1304.4880000000001</v>
      </c>
      <c r="W100" s="574">
        <v>0</v>
      </c>
      <c r="X100" s="574">
        <v>1304.4880000000001</v>
      </c>
      <c r="Y100" s="575"/>
      <c r="Z100" s="576"/>
    </row>
    <row r="101" spans="1:26" s="616" customFormat="1" ht="55.5" customHeight="1">
      <c r="A101" s="611">
        <v>8</v>
      </c>
      <c r="B101" s="612" t="s">
        <v>586</v>
      </c>
      <c r="C101" s="585" t="s">
        <v>489</v>
      </c>
      <c r="D101" s="613" t="s">
        <v>587</v>
      </c>
      <c r="E101" s="574">
        <v>2600</v>
      </c>
      <c r="F101" s="574">
        <v>0</v>
      </c>
      <c r="G101" s="574">
        <v>0</v>
      </c>
      <c r="H101" s="574">
        <v>0</v>
      </c>
      <c r="I101" s="574">
        <v>0</v>
      </c>
      <c r="J101" s="574">
        <v>0</v>
      </c>
      <c r="K101" s="574">
        <v>0</v>
      </c>
      <c r="L101" s="574">
        <v>0</v>
      </c>
      <c r="M101" s="574">
        <v>0</v>
      </c>
      <c r="N101" s="574">
        <v>0</v>
      </c>
      <c r="O101" s="574">
        <v>0</v>
      </c>
      <c r="P101" s="574">
        <v>2465</v>
      </c>
      <c r="Q101" s="574">
        <v>2464.007231</v>
      </c>
      <c r="R101" s="574">
        <v>2464.007231</v>
      </c>
      <c r="S101" s="574">
        <v>0</v>
      </c>
      <c r="T101" s="574">
        <v>0</v>
      </c>
      <c r="U101" s="574">
        <v>0.99276900000000001</v>
      </c>
      <c r="V101" s="574">
        <v>2464.007231</v>
      </c>
      <c r="W101" s="574">
        <v>0</v>
      </c>
      <c r="X101" s="574">
        <v>2464.007231</v>
      </c>
      <c r="Y101" s="614"/>
      <c r="Z101" s="615"/>
    </row>
    <row r="102" spans="1:26" ht="28.5" customHeight="1">
      <c r="B102" s="617"/>
      <c r="C102" s="840"/>
      <c r="D102" s="840"/>
      <c r="E102" s="840"/>
      <c r="F102" s="840"/>
      <c r="G102" s="840"/>
      <c r="H102" s="840"/>
      <c r="I102" s="840"/>
      <c r="J102" s="840"/>
      <c r="K102" s="840"/>
    </row>
    <row r="103" spans="1:26" ht="28.5" customHeight="1">
      <c r="B103" s="617"/>
      <c r="C103" s="839"/>
      <c r="D103" s="839"/>
      <c r="E103" s="839"/>
      <c r="F103" s="839"/>
      <c r="G103" s="839"/>
      <c r="H103" s="839"/>
      <c r="I103" s="839"/>
      <c r="J103" s="839"/>
      <c r="K103" s="839"/>
      <c r="P103" s="840" t="s">
        <v>588</v>
      </c>
      <c r="Q103" s="840"/>
      <c r="R103" s="840"/>
      <c r="S103" s="840"/>
      <c r="T103" s="840"/>
      <c r="U103" s="840"/>
      <c r="V103" s="840"/>
      <c r="W103" s="840"/>
      <c r="X103" s="840"/>
      <c r="Y103" s="840"/>
    </row>
    <row r="104" spans="1:26" ht="28.5" customHeight="1">
      <c r="B104" s="617"/>
      <c r="C104" s="840"/>
      <c r="D104" s="840"/>
      <c r="E104" s="840"/>
      <c r="F104" s="840"/>
      <c r="G104" s="840"/>
      <c r="H104" s="840"/>
      <c r="I104" s="840"/>
      <c r="J104" s="840"/>
      <c r="K104" s="840"/>
      <c r="P104" s="839" t="s">
        <v>546</v>
      </c>
      <c r="Q104" s="839"/>
      <c r="R104" s="839"/>
      <c r="S104" s="839"/>
      <c r="T104" s="839"/>
      <c r="U104" s="839"/>
      <c r="V104" s="839"/>
      <c r="W104" s="839"/>
      <c r="X104" s="839"/>
      <c r="Y104" s="839"/>
    </row>
    <row r="105" spans="1:26" ht="30" customHeight="1">
      <c r="B105" s="617"/>
      <c r="P105" s="840" t="s">
        <v>547</v>
      </c>
      <c r="Q105" s="840"/>
      <c r="R105" s="840"/>
      <c r="S105" s="840"/>
      <c r="T105" s="840"/>
      <c r="U105" s="840"/>
      <c r="V105" s="840"/>
      <c r="W105" s="840"/>
      <c r="X105" s="840"/>
      <c r="Y105" s="840"/>
    </row>
    <row r="106" spans="1:26" ht="30" customHeight="1">
      <c r="B106" s="617"/>
      <c r="P106" s="844" t="s">
        <v>548</v>
      </c>
      <c r="Q106" s="844"/>
      <c r="R106" s="844"/>
      <c r="S106" s="844"/>
      <c r="T106" s="844"/>
      <c r="U106" s="844"/>
      <c r="V106" s="844"/>
      <c r="W106" s="844"/>
      <c r="X106" s="844"/>
      <c r="Y106" s="844"/>
    </row>
    <row r="107" spans="1:26" ht="17.25" customHeight="1">
      <c r="B107" s="617"/>
      <c r="Q107" s="617"/>
      <c r="T107" s="571"/>
      <c r="U107" s="571"/>
      <c r="V107" s="571"/>
      <c r="W107" s="571"/>
      <c r="X107" s="571"/>
    </row>
    <row r="108" spans="1:26" ht="17.25" customHeight="1">
      <c r="B108" s="617"/>
      <c r="Q108" s="617"/>
      <c r="T108" s="571"/>
      <c r="U108" s="571"/>
      <c r="V108" s="571"/>
      <c r="W108" s="571"/>
      <c r="X108" s="571"/>
    </row>
    <row r="109" spans="1:26" ht="17.25" customHeight="1">
      <c r="B109" s="617"/>
      <c r="Q109" s="617"/>
      <c r="T109" s="571"/>
      <c r="U109" s="571"/>
      <c r="V109" s="571"/>
      <c r="W109" s="571"/>
      <c r="X109" s="571"/>
    </row>
    <row r="110" spans="1:26" ht="17.25" customHeight="1">
      <c r="B110" s="617"/>
      <c r="Q110" s="617"/>
      <c r="T110" s="571"/>
      <c r="U110" s="571"/>
      <c r="V110" s="571"/>
      <c r="W110" s="571"/>
      <c r="X110" s="571"/>
    </row>
    <row r="111" spans="1:26" s="577" customFormat="1" ht="27.75" customHeight="1">
      <c r="A111" s="844"/>
      <c r="B111" s="844"/>
      <c r="C111" s="844"/>
      <c r="D111" s="844"/>
      <c r="E111" s="844"/>
      <c r="F111" s="844"/>
      <c r="G111" s="844"/>
      <c r="H111" s="844"/>
      <c r="I111" s="844"/>
      <c r="J111" s="844"/>
      <c r="P111" s="568"/>
      <c r="Q111" s="617"/>
      <c r="R111" s="568"/>
      <c r="S111" s="568"/>
      <c r="T111" s="571"/>
      <c r="U111" s="571"/>
      <c r="V111" s="571"/>
      <c r="W111" s="571"/>
      <c r="X111" s="571"/>
      <c r="Y111" s="568"/>
    </row>
    <row r="112" spans="1:26">
      <c r="Q112" s="617"/>
      <c r="T112" s="571"/>
      <c r="U112" s="571"/>
      <c r="V112" s="571"/>
      <c r="W112" s="571"/>
      <c r="X112" s="571"/>
    </row>
    <row r="113" spans="5:25">
      <c r="Q113" s="617"/>
      <c r="T113" s="571"/>
      <c r="U113" s="571"/>
      <c r="V113" s="571"/>
      <c r="W113" s="571"/>
      <c r="X113" s="571"/>
    </row>
    <row r="114" spans="5:25">
      <c r="Q114" s="617"/>
      <c r="T114" s="571"/>
      <c r="U114" s="571"/>
      <c r="V114" s="571"/>
      <c r="W114" s="571"/>
      <c r="X114" s="571"/>
    </row>
    <row r="115" spans="5:25">
      <c r="Q115" s="617"/>
      <c r="T115" s="571"/>
      <c r="U115" s="571"/>
      <c r="V115" s="571"/>
      <c r="W115" s="571"/>
      <c r="X115" s="571"/>
    </row>
    <row r="116" spans="5:25">
      <c r="Q116" s="617"/>
      <c r="T116" s="571"/>
      <c r="U116" s="571"/>
      <c r="V116" s="571"/>
      <c r="W116" s="571"/>
      <c r="X116" s="571"/>
    </row>
    <row r="117" spans="5:25">
      <c r="P117" s="844" t="s">
        <v>549</v>
      </c>
      <c r="Q117" s="844"/>
      <c r="R117" s="844"/>
      <c r="S117" s="844"/>
      <c r="T117" s="844"/>
      <c r="U117" s="844"/>
      <c r="V117" s="844"/>
      <c r="W117" s="844"/>
      <c r="X117" s="844"/>
      <c r="Y117" s="844"/>
    </row>
    <row r="119" spans="5:25">
      <c r="E119" s="568"/>
      <c r="F119" s="568"/>
      <c r="G119" s="568"/>
      <c r="H119" s="568"/>
      <c r="I119" s="568"/>
    </row>
    <row r="120" spans="5:25">
      <c r="E120" s="568"/>
      <c r="F120" s="568"/>
      <c r="G120" s="568"/>
      <c r="H120" s="568"/>
      <c r="I120" s="568"/>
    </row>
    <row r="121" spans="5:25">
      <c r="E121" s="568"/>
      <c r="F121" s="568"/>
      <c r="G121" s="568"/>
      <c r="H121" s="568"/>
      <c r="I121" s="568"/>
    </row>
    <row r="122" spans="5:25">
      <c r="E122" s="568"/>
      <c r="F122" s="568"/>
      <c r="G122" s="568"/>
      <c r="H122" s="568"/>
      <c r="I122" s="568"/>
    </row>
    <row r="123" spans="5:25">
      <c r="E123" s="568"/>
      <c r="F123" s="568"/>
      <c r="G123" s="568"/>
      <c r="H123" s="568"/>
      <c r="I123" s="568"/>
    </row>
    <row r="124" spans="5:25">
      <c r="E124" s="568"/>
      <c r="F124" s="568"/>
      <c r="G124" s="568"/>
      <c r="H124" s="568"/>
      <c r="I124" s="568"/>
    </row>
    <row r="125" spans="5:25">
      <c r="E125" s="568"/>
      <c r="F125" s="568"/>
      <c r="G125" s="568"/>
      <c r="H125" s="568"/>
      <c r="I125" s="568"/>
    </row>
    <row r="126" spans="5:25">
      <c r="E126" s="568"/>
      <c r="F126" s="568"/>
      <c r="G126" s="568"/>
      <c r="H126" s="568"/>
      <c r="I126" s="568"/>
    </row>
    <row r="127" spans="5:25">
      <c r="E127" s="568"/>
      <c r="F127" s="568"/>
      <c r="G127" s="568"/>
      <c r="H127" s="568"/>
      <c r="I127" s="568"/>
    </row>
    <row r="128" spans="5:25">
      <c r="E128" s="568"/>
      <c r="F128" s="568"/>
      <c r="G128" s="568"/>
      <c r="H128" s="568"/>
      <c r="I128" s="568"/>
    </row>
    <row r="129" spans="5:9">
      <c r="E129" s="568"/>
      <c r="F129" s="568"/>
      <c r="G129" s="568"/>
      <c r="H129" s="568"/>
      <c r="I129" s="568"/>
    </row>
    <row r="130" spans="5:9">
      <c r="E130" s="568"/>
      <c r="F130" s="568"/>
      <c r="G130" s="568"/>
      <c r="H130" s="568"/>
      <c r="I130" s="568"/>
    </row>
    <row r="131" spans="5:9">
      <c r="E131" s="568"/>
      <c r="F131" s="568"/>
      <c r="G131" s="568"/>
      <c r="H131" s="568"/>
      <c r="I131" s="568"/>
    </row>
    <row r="132" spans="5:9">
      <c r="E132" s="568"/>
      <c r="F132" s="568"/>
      <c r="G132" s="568"/>
      <c r="H132" s="568"/>
      <c r="I132" s="568"/>
    </row>
    <row r="133" spans="5:9">
      <c r="E133" s="568"/>
      <c r="F133" s="568"/>
      <c r="G133" s="568"/>
      <c r="H133" s="568"/>
      <c r="I133" s="568"/>
    </row>
    <row r="134" spans="5:9">
      <c r="E134" s="568"/>
      <c r="F134" s="568"/>
      <c r="G134" s="568"/>
      <c r="H134" s="568"/>
      <c r="I134" s="568"/>
    </row>
    <row r="135" spans="5:9">
      <c r="E135" s="568"/>
      <c r="F135" s="568"/>
      <c r="G135" s="568"/>
      <c r="H135" s="568"/>
      <c r="I135" s="568"/>
    </row>
  </sheetData>
  <mergeCells count="35">
    <mergeCell ref="P106:Y106"/>
    <mergeCell ref="A111:J111"/>
    <mergeCell ref="P117:Y117"/>
    <mergeCell ref="C102:K102"/>
    <mergeCell ref="C103:K103"/>
    <mergeCell ref="P103:Y103"/>
    <mergeCell ref="C104:K104"/>
    <mergeCell ref="P104:Y104"/>
    <mergeCell ref="P105:Y105"/>
    <mergeCell ref="W10:W12"/>
    <mergeCell ref="X10:X12"/>
    <mergeCell ref="J11:J12"/>
    <mergeCell ref="K11:M11"/>
    <mergeCell ref="N11:N12"/>
    <mergeCell ref="O11:O12"/>
    <mergeCell ref="P11:P12"/>
    <mergeCell ref="Q11:S11"/>
    <mergeCell ref="T11:T12"/>
    <mergeCell ref="U11:U12"/>
    <mergeCell ref="V10:V12"/>
    <mergeCell ref="F10:G11"/>
    <mergeCell ref="H10:H12"/>
    <mergeCell ref="I10:I12"/>
    <mergeCell ref="J10:O10"/>
    <mergeCell ref="P10:U10"/>
    <mergeCell ref="A2:X2"/>
    <mergeCell ref="A3:X3"/>
    <mergeCell ref="A5:G5"/>
    <mergeCell ref="A7:X7"/>
    <mergeCell ref="A9:X9"/>
    <mergeCell ref="A10:A12"/>
    <mergeCell ref="B10:B12"/>
    <mergeCell ref="C10:C12"/>
    <mergeCell ref="D10:D12"/>
    <mergeCell ref="E10:E12"/>
  </mergeCells>
  <conditionalFormatting sqref="B63:B64">
    <cfRule type="expression" dxfId="9" priority="1">
      <formula>$G63="Đã hoàn thành"</formula>
    </cfRule>
    <cfRule type="expression" dxfId="8" priority="2">
      <formula>$G63="Đang thực hiện"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98"/>
  <sheetViews>
    <sheetView topLeftCell="A9" workbookViewId="0">
      <pane xSplit="2" ySplit="5" topLeftCell="C53" activePane="bottomRight" state="frozen"/>
      <selection activeCell="A9" sqref="A9"/>
      <selection pane="topRight" activeCell="C9" sqref="C9"/>
      <selection pane="bottomLeft" activeCell="A14" sqref="A14"/>
      <selection pane="bottomRight" activeCell="B73" sqref="B73"/>
    </sheetView>
  </sheetViews>
  <sheetFormatPr defaultRowHeight="13.2"/>
  <cols>
    <col min="1" max="1" width="6" style="474" customWidth="1"/>
    <col min="2" max="2" width="31.21875" style="474" customWidth="1"/>
    <col min="3" max="3" width="11.33203125" style="474" customWidth="1"/>
    <col min="4" max="4" width="10.88671875" style="476" customWidth="1"/>
    <col min="5" max="5" width="17.77734375" style="477" customWidth="1"/>
    <col min="6" max="6" width="16.77734375" style="477" customWidth="1"/>
    <col min="7" max="7" width="15.6640625" style="477" customWidth="1"/>
    <col min="8" max="8" width="9" style="477" customWidth="1"/>
    <col min="9" max="9" width="15.6640625" style="477" customWidth="1"/>
    <col min="10" max="11" width="15.21875" style="474" customWidth="1"/>
    <col min="12" max="12" width="15.77734375" style="474" customWidth="1"/>
    <col min="13" max="13" width="14.88671875" style="474" customWidth="1"/>
    <col min="14" max="14" width="11.33203125" style="474" customWidth="1"/>
    <col min="15" max="15" width="14.33203125" style="474" customWidth="1"/>
    <col min="16" max="16" width="16.33203125" style="474" customWidth="1"/>
    <col min="17" max="17" width="16" style="474" customWidth="1"/>
    <col min="18" max="18" width="16.21875" style="474" customWidth="1"/>
    <col min="19" max="19" width="15.21875" style="474" customWidth="1"/>
    <col min="20" max="20" width="16" style="474" customWidth="1"/>
    <col min="21" max="21" width="15.109375" style="474" customWidth="1"/>
    <col min="22" max="22" width="16.21875" style="474" customWidth="1"/>
    <col min="23" max="23" width="15.21875" style="474" customWidth="1"/>
    <col min="24" max="24" width="17" style="474" customWidth="1"/>
    <col min="25" max="25" width="0" style="474" hidden="1" customWidth="1"/>
    <col min="26" max="26" width="0.77734375" style="474" customWidth="1"/>
    <col min="27" max="27" width="0.33203125" style="474" customWidth="1"/>
    <col min="28" max="237" width="9.109375" style="474"/>
    <col min="238" max="238" width="6.21875" style="474" customWidth="1"/>
    <col min="239" max="239" width="34.77734375" style="474" customWidth="1"/>
    <col min="240" max="240" width="13.33203125" style="474" customWidth="1"/>
    <col min="241" max="241" width="11.109375" style="474" customWidth="1"/>
    <col min="242" max="243" width="16.88671875" style="474" customWidth="1"/>
    <col min="244" max="244" width="15.109375" style="474" customWidth="1"/>
    <col min="245" max="245" width="13.21875" style="474" customWidth="1"/>
    <col min="246" max="246" width="14.77734375" style="474" customWidth="1"/>
    <col min="247" max="247" width="15.88671875" style="474" customWidth="1"/>
    <col min="248" max="248" width="16.109375" style="474" customWidth="1"/>
    <col min="249" max="249" width="16" style="474" customWidth="1"/>
    <col min="250" max="250" width="9.33203125" style="474" customWidth="1"/>
    <col min="251" max="251" width="12.21875" style="474" customWidth="1"/>
    <col min="252" max="252" width="15.109375" style="474" customWidth="1"/>
    <col min="253" max="253" width="17.109375" style="474" customWidth="1"/>
    <col min="254" max="254" width="17.21875" style="474" customWidth="1"/>
    <col min="255" max="255" width="15.21875" style="474" customWidth="1"/>
    <col min="256" max="256" width="16.33203125" style="474" customWidth="1"/>
    <col min="257" max="257" width="15" style="474" customWidth="1"/>
    <col min="258" max="259" width="15.21875" style="474" customWidth="1"/>
    <col min="260" max="260" width="16.77734375" style="474" customWidth="1"/>
    <col min="261" max="261" width="17.21875" style="474" customWidth="1"/>
    <col min="262" max="493" width="9.109375" style="474"/>
    <col min="494" max="494" width="6.21875" style="474" customWidth="1"/>
    <col min="495" max="495" width="34.77734375" style="474" customWidth="1"/>
    <col min="496" max="496" width="13.33203125" style="474" customWidth="1"/>
    <col min="497" max="497" width="11.109375" style="474" customWidth="1"/>
    <col min="498" max="499" width="16.88671875" style="474" customWidth="1"/>
    <col min="500" max="500" width="15.109375" style="474" customWidth="1"/>
    <col min="501" max="501" width="13.21875" style="474" customWidth="1"/>
    <col min="502" max="502" width="14.77734375" style="474" customWidth="1"/>
    <col min="503" max="503" width="15.88671875" style="474" customWidth="1"/>
    <col min="504" max="504" width="16.109375" style="474" customWidth="1"/>
    <col min="505" max="505" width="16" style="474" customWidth="1"/>
    <col min="506" max="506" width="9.33203125" style="474" customWidth="1"/>
    <col min="507" max="507" width="12.21875" style="474" customWidth="1"/>
    <col min="508" max="508" width="15.109375" style="474" customWidth="1"/>
    <col min="509" max="509" width="17.109375" style="474" customWidth="1"/>
    <col min="510" max="510" width="17.21875" style="474" customWidth="1"/>
    <col min="511" max="511" width="15.21875" style="474" customWidth="1"/>
    <col min="512" max="512" width="16.33203125" style="474" customWidth="1"/>
    <col min="513" max="513" width="15" style="474" customWidth="1"/>
    <col min="514" max="515" width="15.21875" style="474" customWidth="1"/>
    <col min="516" max="516" width="16.77734375" style="474" customWidth="1"/>
    <col min="517" max="517" width="17.21875" style="474" customWidth="1"/>
    <col min="518" max="749" width="9.109375" style="474"/>
    <col min="750" max="750" width="6.21875" style="474" customWidth="1"/>
    <col min="751" max="751" width="34.77734375" style="474" customWidth="1"/>
    <col min="752" max="752" width="13.33203125" style="474" customWidth="1"/>
    <col min="753" max="753" width="11.109375" style="474" customWidth="1"/>
    <col min="754" max="755" width="16.88671875" style="474" customWidth="1"/>
    <col min="756" max="756" width="15.109375" style="474" customWidth="1"/>
    <col min="757" max="757" width="13.21875" style="474" customWidth="1"/>
    <col min="758" max="758" width="14.77734375" style="474" customWidth="1"/>
    <col min="759" max="759" width="15.88671875" style="474" customWidth="1"/>
    <col min="760" max="760" width="16.109375" style="474" customWidth="1"/>
    <col min="761" max="761" width="16" style="474" customWidth="1"/>
    <col min="762" max="762" width="9.33203125" style="474" customWidth="1"/>
    <col min="763" max="763" width="12.21875" style="474" customWidth="1"/>
    <col min="764" max="764" width="15.109375" style="474" customWidth="1"/>
    <col min="765" max="765" width="17.109375" style="474" customWidth="1"/>
    <col min="766" max="766" width="17.21875" style="474" customWidth="1"/>
    <col min="767" max="767" width="15.21875" style="474" customWidth="1"/>
    <col min="768" max="768" width="16.33203125" style="474" customWidth="1"/>
    <col min="769" max="769" width="15" style="474" customWidth="1"/>
    <col min="770" max="771" width="15.21875" style="474" customWidth="1"/>
    <col min="772" max="772" width="16.77734375" style="474" customWidth="1"/>
    <col min="773" max="773" width="17.21875" style="474" customWidth="1"/>
    <col min="774" max="1005" width="9.109375" style="474"/>
    <col min="1006" max="1006" width="6.21875" style="474" customWidth="1"/>
    <col min="1007" max="1007" width="34.77734375" style="474" customWidth="1"/>
    <col min="1008" max="1008" width="13.33203125" style="474" customWidth="1"/>
    <col min="1009" max="1009" width="11.109375" style="474" customWidth="1"/>
    <col min="1010" max="1011" width="16.88671875" style="474" customWidth="1"/>
    <col min="1012" max="1012" width="15.109375" style="474" customWidth="1"/>
    <col min="1013" max="1013" width="13.21875" style="474" customWidth="1"/>
    <col min="1014" max="1014" width="14.77734375" style="474" customWidth="1"/>
    <col min="1015" max="1015" width="15.88671875" style="474" customWidth="1"/>
    <col min="1016" max="1016" width="16.109375" style="474" customWidth="1"/>
    <col min="1017" max="1017" width="16" style="474" customWidth="1"/>
    <col min="1018" max="1018" width="9.33203125" style="474" customWidth="1"/>
    <col min="1019" max="1019" width="12.21875" style="474" customWidth="1"/>
    <col min="1020" max="1020" width="15.109375" style="474" customWidth="1"/>
    <col min="1021" max="1021" width="17.109375" style="474" customWidth="1"/>
    <col min="1022" max="1022" width="17.21875" style="474" customWidth="1"/>
    <col min="1023" max="1023" width="15.21875" style="474" customWidth="1"/>
    <col min="1024" max="1024" width="16.33203125" style="474" customWidth="1"/>
    <col min="1025" max="1025" width="15" style="474" customWidth="1"/>
    <col min="1026" max="1027" width="15.21875" style="474" customWidth="1"/>
    <col min="1028" max="1028" width="16.77734375" style="474" customWidth="1"/>
    <col min="1029" max="1029" width="17.21875" style="474" customWidth="1"/>
    <col min="1030" max="1261" width="9.109375" style="474"/>
    <col min="1262" max="1262" width="6.21875" style="474" customWidth="1"/>
    <col min="1263" max="1263" width="34.77734375" style="474" customWidth="1"/>
    <col min="1264" max="1264" width="13.33203125" style="474" customWidth="1"/>
    <col min="1265" max="1265" width="11.109375" style="474" customWidth="1"/>
    <col min="1266" max="1267" width="16.88671875" style="474" customWidth="1"/>
    <col min="1268" max="1268" width="15.109375" style="474" customWidth="1"/>
    <col min="1269" max="1269" width="13.21875" style="474" customWidth="1"/>
    <col min="1270" max="1270" width="14.77734375" style="474" customWidth="1"/>
    <col min="1271" max="1271" width="15.88671875" style="474" customWidth="1"/>
    <col min="1272" max="1272" width="16.109375" style="474" customWidth="1"/>
    <col min="1273" max="1273" width="16" style="474" customWidth="1"/>
    <col min="1274" max="1274" width="9.33203125" style="474" customWidth="1"/>
    <col min="1275" max="1275" width="12.21875" style="474" customWidth="1"/>
    <col min="1276" max="1276" width="15.109375" style="474" customWidth="1"/>
    <col min="1277" max="1277" width="17.109375" style="474" customWidth="1"/>
    <col min="1278" max="1278" width="17.21875" style="474" customWidth="1"/>
    <col min="1279" max="1279" width="15.21875" style="474" customWidth="1"/>
    <col min="1280" max="1280" width="16.33203125" style="474" customWidth="1"/>
    <col min="1281" max="1281" width="15" style="474" customWidth="1"/>
    <col min="1282" max="1283" width="15.21875" style="474" customWidth="1"/>
    <col min="1284" max="1284" width="16.77734375" style="474" customWidth="1"/>
    <col min="1285" max="1285" width="17.21875" style="474" customWidth="1"/>
    <col min="1286" max="1517" width="9.109375" style="474"/>
    <col min="1518" max="1518" width="6.21875" style="474" customWidth="1"/>
    <col min="1519" max="1519" width="34.77734375" style="474" customWidth="1"/>
    <col min="1520" max="1520" width="13.33203125" style="474" customWidth="1"/>
    <col min="1521" max="1521" width="11.109375" style="474" customWidth="1"/>
    <col min="1522" max="1523" width="16.88671875" style="474" customWidth="1"/>
    <col min="1524" max="1524" width="15.109375" style="474" customWidth="1"/>
    <col min="1525" max="1525" width="13.21875" style="474" customWidth="1"/>
    <col min="1526" max="1526" width="14.77734375" style="474" customWidth="1"/>
    <col min="1527" max="1527" width="15.88671875" style="474" customWidth="1"/>
    <col min="1528" max="1528" width="16.109375" style="474" customWidth="1"/>
    <col min="1529" max="1529" width="16" style="474" customWidth="1"/>
    <col min="1530" max="1530" width="9.33203125" style="474" customWidth="1"/>
    <col min="1531" max="1531" width="12.21875" style="474" customWidth="1"/>
    <col min="1532" max="1532" width="15.109375" style="474" customWidth="1"/>
    <col min="1533" max="1533" width="17.109375" style="474" customWidth="1"/>
    <col min="1534" max="1534" width="17.21875" style="474" customWidth="1"/>
    <col min="1535" max="1535" width="15.21875" style="474" customWidth="1"/>
    <col min="1536" max="1536" width="16.33203125" style="474" customWidth="1"/>
    <col min="1537" max="1537" width="15" style="474" customWidth="1"/>
    <col min="1538" max="1539" width="15.21875" style="474" customWidth="1"/>
    <col min="1540" max="1540" width="16.77734375" style="474" customWidth="1"/>
    <col min="1541" max="1541" width="17.21875" style="474" customWidth="1"/>
    <col min="1542" max="1773" width="9.109375" style="474"/>
    <col min="1774" max="1774" width="6.21875" style="474" customWidth="1"/>
    <col min="1775" max="1775" width="34.77734375" style="474" customWidth="1"/>
    <col min="1776" max="1776" width="13.33203125" style="474" customWidth="1"/>
    <col min="1777" max="1777" width="11.109375" style="474" customWidth="1"/>
    <col min="1778" max="1779" width="16.88671875" style="474" customWidth="1"/>
    <col min="1780" max="1780" width="15.109375" style="474" customWidth="1"/>
    <col min="1781" max="1781" width="13.21875" style="474" customWidth="1"/>
    <col min="1782" max="1782" width="14.77734375" style="474" customWidth="1"/>
    <col min="1783" max="1783" width="15.88671875" style="474" customWidth="1"/>
    <col min="1784" max="1784" width="16.109375" style="474" customWidth="1"/>
    <col min="1785" max="1785" width="16" style="474" customWidth="1"/>
    <col min="1786" max="1786" width="9.33203125" style="474" customWidth="1"/>
    <col min="1787" max="1787" width="12.21875" style="474" customWidth="1"/>
    <col min="1788" max="1788" width="15.109375" style="474" customWidth="1"/>
    <col min="1789" max="1789" width="17.109375" style="474" customWidth="1"/>
    <col min="1790" max="1790" width="17.21875" style="474" customWidth="1"/>
    <col min="1791" max="1791" width="15.21875" style="474" customWidth="1"/>
    <col min="1792" max="1792" width="16.33203125" style="474" customWidth="1"/>
    <col min="1793" max="1793" width="15" style="474" customWidth="1"/>
    <col min="1794" max="1795" width="15.21875" style="474" customWidth="1"/>
    <col min="1796" max="1796" width="16.77734375" style="474" customWidth="1"/>
    <col min="1797" max="1797" width="17.21875" style="474" customWidth="1"/>
    <col min="1798" max="2029" width="9.109375" style="474"/>
    <col min="2030" max="2030" width="6.21875" style="474" customWidth="1"/>
    <col min="2031" max="2031" width="34.77734375" style="474" customWidth="1"/>
    <col min="2032" max="2032" width="13.33203125" style="474" customWidth="1"/>
    <col min="2033" max="2033" width="11.109375" style="474" customWidth="1"/>
    <col min="2034" max="2035" width="16.88671875" style="474" customWidth="1"/>
    <col min="2036" max="2036" width="15.109375" style="474" customWidth="1"/>
    <col min="2037" max="2037" width="13.21875" style="474" customWidth="1"/>
    <col min="2038" max="2038" width="14.77734375" style="474" customWidth="1"/>
    <col min="2039" max="2039" width="15.88671875" style="474" customWidth="1"/>
    <col min="2040" max="2040" width="16.109375" style="474" customWidth="1"/>
    <col min="2041" max="2041" width="16" style="474" customWidth="1"/>
    <col min="2042" max="2042" width="9.33203125" style="474" customWidth="1"/>
    <col min="2043" max="2043" width="12.21875" style="474" customWidth="1"/>
    <col min="2044" max="2044" width="15.109375" style="474" customWidth="1"/>
    <col min="2045" max="2045" width="17.109375" style="474" customWidth="1"/>
    <col min="2046" max="2046" width="17.21875" style="474" customWidth="1"/>
    <col min="2047" max="2047" width="15.21875" style="474" customWidth="1"/>
    <col min="2048" max="2048" width="16.33203125" style="474" customWidth="1"/>
    <col min="2049" max="2049" width="15" style="474" customWidth="1"/>
    <col min="2050" max="2051" width="15.21875" style="474" customWidth="1"/>
    <col min="2052" max="2052" width="16.77734375" style="474" customWidth="1"/>
    <col min="2053" max="2053" width="17.21875" style="474" customWidth="1"/>
    <col min="2054" max="2285" width="9.109375" style="474"/>
    <col min="2286" max="2286" width="6.21875" style="474" customWidth="1"/>
    <col min="2287" max="2287" width="34.77734375" style="474" customWidth="1"/>
    <col min="2288" max="2288" width="13.33203125" style="474" customWidth="1"/>
    <col min="2289" max="2289" width="11.109375" style="474" customWidth="1"/>
    <col min="2290" max="2291" width="16.88671875" style="474" customWidth="1"/>
    <col min="2292" max="2292" width="15.109375" style="474" customWidth="1"/>
    <col min="2293" max="2293" width="13.21875" style="474" customWidth="1"/>
    <col min="2294" max="2294" width="14.77734375" style="474" customWidth="1"/>
    <col min="2295" max="2295" width="15.88671875" style="474" customWidth="1"/>
    <col min="2296" max="2296" width="16.109375" style="474" customWidth="1"/>
    <col min="2297" max="2297" width="16" style="474" customWidth="1"/>
    <col min="2298" max="2298" width="9.33203125" style="474" customWidth="1"/>
    <col min="2299" max="2299" width="12.21875" style="474" customWidth="1"/>
    <col min="2300" max="2300" width="15.109375" style="474" customWidth="1"/>
    <col min="2301" max="2301" width="17.109375" style="474" customWidth="1"/>
    <col min="2302" max="2302" width="17.21875" style="474" customWidth="1"/>
    <col min="2303" max="2303" width="15.21875" style="474" customWidth="1"/>
    <col min="2304" max="2304" width="16.33203125" style="474" customWidth="1"/>
    <col min="2305" max="2305" width="15" style="474" customWidth="1"/>
    <col min="2306" max="2307" width="15.21875" style="474" customWidth="1"/>
    <col min="2308" max="2308" width="16.77734375" style="474" customWidth="1"/>
    <col min="2309" max="2309" width="17.21875" style="474" customWidth="1"/>
    <col min="2310" max="2541" width="9.109375" style="474"/>
    <col min="2542" max="2542" width="6.21875" style="474" customWidth="1"/>
    <col min="2543" max="2543" width="34.77734375" style="474" customWidth="1"/>
    <col min="2544" max="2544" width="13.33203125" style="474" customWidth="1"/>
    <col min="2545" max="2545" width="11.109375" style="474" customWidth="1"/>
    <col min="2546" max="2547" width="16.88671875" style="474" customWidth="1"/>
    <col min="2548" max="2548" width="15.109375" style="474" customWidth="1"/>
    <col min="2549" max="2549" width="13.21875" style="474" customWidth="1"/>
    <col min="2550" max="2550" width="14.77734375" style="474" customWidth="1"/>
    <col min="2551" max="2551" width="15.88671875" style="474" customWidth="1"/>
    <col min="2552" max="2552" width="16.109375" style="474" customWidth="1"/>
    <col min="2553" max="2553" width="16" style="474" customWidth="1"/>
    <col min="2554" max="2554" width="9.33203125" style="474" customWidth="1"/>
    <col min="2555" max="2555" width="12.21875" style="474" customWidth="1"/>
    <col min="2556" max="2556" width="15.109375" style="474" customWidth="1"/>
    <col min="2557" max="2557" width="17.109375" style="474" customWidth="1"/>
    <col min="2558" max="2558" width="17.21875" style="474" customWidth="1"/>
    <col min="2559" max="2559" width="15.21875" style="474" customWidth="1"/>
    <col min="2560" max="2560" width="16.33203125" style="474" customWidth="1"/>
    <col min="2561" max="2561" width="15" style="474" customWidth="1"/>
    <col min="2562" max="2563" width="15.21875" style="474" customWidth="1"/>
    <col min="2564" max="2564" width="16.77734375" style="474" customWidth="1"/>
    <col min="2565" max="2565" width="17.21875" style="474" customWidth="1"/>
    <col min="2566" max="2797" width="9.109375" style="474"/>
    <col min="2798" max="2798" width="6.21875" style="474" customWidth="1"/>
    <col min="2799" max="2799" width="34.77734375" style="474" customWidth="1"/>
    <col min="2800" max="2800" width="13.33203125" style="474" customWidth="1"/>
    <col min="2801" max="2801" width="11.109375" style="474" customWidth="1"/>
    <col min="2802" max="2803" width="16.88671875" style="474" customWidth="1"/>
    <col min="2804" max="2804" width="15.109375" style="474" customWidth="1"/>
    <col min="2805" max="2805" width="13.21875" style="474" customWidth="1"/>
    <col min="2806" max="2806" width="14.77734375" style="474" customWidth="1"/>
    <col min="2807" max="2807" width="15.88671875" style="474" customWidth="1"/>
    <col min="2808" max="2808" width="16.109375" style="474" customWidth="1"/>
    <col min="2809" max="2809" width="16" style="474" customWidth="1"/>
    <col min="2810" max="2810" width="9.33203125" style="474" customWidth="1"/>
    <col min="2811" max="2811" width="12.21875" style="474" customWidth="1"/>
    <col min="2812" max="2812" width="15.109375" style="474" customWidth="1"/>
    <col min="2813" max="2813" width="17.109375" style="474" customWidth="1"/>
    <col min="2814" max="2814" width="17.21875" style="474" customWidth="1"/>
    <col min="2815" max="2815" width="15.21875" style="474" customWidth="1"/>
    <col min="2816" max="2816" width="16.33203125" style="474" customWidth="1"/>
    <col min="2817" max="2817" width="15" style="474" customWidth="1"/>
    <col min="2818" max="2819" width="15.21875" style="474" customWidth="1"/>
    <col min="2820" max="2820" width="16.77734375" style="474" customWidth="1"/>
    <col min="2821" max="2821" width="17.21875" style="474" customWidth="1"/>
    <col min="2822" max="3053" width="9.109375" style="474"/>
    <col min="3054" max="3054" width="6.21875" style="474" customWidth="1"/>
    <col min="3055" max="3055" width="34.77734375" style="474" customWidth="1"/>
    <col min="3056" max="3056" width="13.33203125" style="474" customWidth="1"/>
    <col min="3057" max="3057" width="11.109375" style="474" customWidth="1"/>
    <col min="3058" max="3059" width="16.88671875" style="474" customWidth="1"/>
    <col min="3060" max="3060" width="15.109375" style="474" customWidth="1"/>
    <col min="3061" max="3061" width="13.21875" style="474" customWidth="1"/>
    <col min="3062" max="3062" width="14.77734375" style="474" customWidth="1"/>
    <col min="3063" max="3063" width="15.88671875" style="474" customWidth="1"/>
    <col min="3064" max="3064" width="16.109375" style="474" customWidth="1"/>
    <col min="3065" max="3065" width="16" style="474" customWidth="1"/>
    <col min="3066" max="3066" width="9.33203125" style="474" customWidth="1"/>
    <col min="3067" max="3067" width="12.21875" style="474" customWidth="1"/>
    <col min="3068" max="3068" width="15.109375" style="474" customWidth="1"/>
    <col min="3069" max="3069" width="17.109375" style="474" customWidth="1"/>
    <col min="3070" max="3070" width="17.21875" style="474" customWidth="1"/>
    <col min="3071" max="3071" width="15.21875" style="474" customWidth="1"/>
    <col min="3072" max="3072" width="16.33203125" style="474" customWidth="1"/>
    <col min="3073" max="3073" width="15" style="474" customWidth="1"/>
    <col min="3074" max="3075" width="15.21875" style="474" customWidth="1"/>
    <col min="3076" max="3076" width="16.77734375" style="474" customWidth="1"/>
    <col min="3077" max="3077" width="17.21875" style="474" customWidth="1"/>
    <col min="3078" max="3309" width="9.109375" style="474"/>
    <col min="3310" max="3310" width="6.21875" style="474" customWidth="1"/>
    <col min="3311" max="3311" width="34.77734375" style="474" customWidth="1"/>
    <col min="3312" max="3312" width="13.33203125" style="474" customWidth="1"/>
    <col min="3313" max="3313" width="11.109375" style="474" customWidth="1"/>
    <col min="3314" max="3315" width="16.88671875" style="474" customWidth="1"/>
    <col min="3316" max="3316" width="15.109375" style="474" customWidth="1"/>
    <col min="3317" max="3317" width="13.21875" style="474" customWidth="1"/>
    <col min="3318" max="3318" width="14.77734375" style="474" customWidth="1"/>
    <col min="3319" max="3319" width="15.88671875" style="474" customWidth="1"/>
    <col min="3320" max="3320" width="16.109375" style="474" customWidth="1"/>
    <col min="3321" max="3321" width="16" style="474" customWidth="1"/>
    <col min="3322" max="3322" width="9.33203125" style="474" customWidth="1"/>
    <col min="3323" max="3323" width="12.21875" style="474" customWidth="1"/>
    <col min="3324" max="3324" width="15.109375" style="474" customWidth="1"/>
    <col min="3325" max="3325" width="17.109375" style="474" customWidth="1"/>
    <col min="3326" max="3326" width="17.21875" style="474" customWidth="1"/>
    <col min="3327" max="3327" width="15.21875" style="474" customWidth="1"/>
    <col min="3328" max="3328" width="16.33203125" style="474" customWidth="1"/>
    <col min="3329" max="3329" width="15" style="474" customWidth="1"/>
    <col min="3330" max="3331" width="15.21875" style="474" customWidth="1"/>
    <col min="3332" max="3332" width="16.77734375" style="474" customWidth="1"/>
    <col min="3333" max="3333" width="17.21875" style="474" customWidth="1"/>
    <col min="3334" max="3565" width="9.109375" style="474"/>
    <col min="3566" max="3566" width="6.21875" style="474" customWidth="1"/>
    <col min="3567" max="3567" width="34.77734375" style="474" customWidth="1"/>
    <col min="3568" max="3568" width="13.33203125" style="474" customWidth="1"/>
    <col min="3569" max="3569" width="11.109375" style="474" customWidth="1"/>
    <col min="3570" max="3571" width="16.88671875" style="474" customWidth="1"/>
    <col min="3572" max="3572" width="15.109375" style="474" customWidth="1"/>
    <col min="3573" max="3573" width="13.21875" style="474" customWidth="1"/>
    <col min="3574" max="3574" width="14.77734375" style="474" customWidth="1"/>
    <col min="3575" max="3575" width="15.88671875" style="474" customWidth="1"/>
    <col min="3576" max="3576" width="16.109375" style="474" customWidth="1"/>
    <col min="3577" max="3577" width="16" style="474" customWidth="1"/>
    <col min="3578" max="3578" width="9.33203125" style="474" customWidth="1"/>
    <col min="3579" max="3579" width="12.21875" style="474" customWidth="1"/>
    <col min="3580" max="3580" width="15.109375" style="474" customWidth="1"/>
    <col min="3581" max="3581" width="17.109375" style="474" customWidth="1"/>
    <col min="3582" max="3582" width="17.21875" style="474" customWidth="1"/>
    <col min="3583" max="3583" width="15.21875" style="474" customWidth="1"/>
    <col min="3584" max="3584" width="16.33203125" style="474" customWidth="1"/>
    <col min="3585" max="3585" width="15" style="474" customWidth="1"/>
    <col min="3586" max="3587" width="15.21875" style="474" customWidth="1"/>
    <col min="3588" max="3588" width="16.77734375" style="474" customWidth="1"/>
    <col min="3589" max="3589" width="17.21875" style="474" customWidth="1"/>
    <col min="3590" max="3821" width="9.109375" style="474"/>
    <col min="3822" max="3822" width="6.21875" style="474" customWidth="1"/>
    <col min="3823" max="3823" width="34.77734375" style="474" customWidth="1"/>
    <col min="3824" max="3824" width="13.33203125" style="474" customWidth="1"/>
    <col min="3825" max="3825" width="11.109375" style="474" customWidth="1"/>
    <col min="3826" max="3827" width="16.88671875" style="474" customWidth="1"/>
    <col min="3828" max="3828" width="15.109375" style="474" customWidth="1"/>
    <col min="3829" max="3829" width="13.21875" style="474" customWidth="1"/>
    <col min="3830" max="3830" width="14.77734375" style="474" customWidth="1"/>
    <col min="3831" max="3831" width="15.88671875" style="474" customWidth="1"/>
    <col min="3832" max="3832" width="16.109375" style="474" customWidth="1"/>
    <col min="3833" max="3833" width="16" style="474" customWidth="1"/>
    <col min="3834" max="3834" width="9.33203125" style="474" customWidth="1"/>
    <col min="3835" max="3835" width="12.21875" style="474" customWidth="1"/>
    <col min="3836" max="3836" width="15.109375" style="474" customWidth="1"/>
    <col min="3837" max="3837" width="17.109375" style="474" customWidth="1"/>
    <col min="3838" max="3838" width="17.21875" style="474" customWidth="1"/>
    <col min="3839" max="3839" width="15.21875" style="474" customWidth="1"/>
    <col min="3840" max="3840" width="16.33203125" style="474" customWidth="1"/>
    <col min="3841" max="3841" width="15" style="474" customWidth="1"/>
    <col min="3842" max="3843" width="15.21875" style="474" customWidth="1"/>
    <col min="3844" max="3844" width="16.77734375" style="474" customWidth="1"/>
    <col min="3845" max="3845" width="17.21875" style="474" customWidth="1"/>
    <col min="3846" max="4077" width="9.109375" style="474"/>
    <col min="4078" max="4078" width="6.21875" style="474" customWidth="1"/>
    <col min="4079" max="4079" width="34.77734375" style="474" customWidth="1"/>
    <col min="4080" max="4080" width="13.33203125" style="474" customWidth="1"/>
    <col min="4081" max="4081" width="11.109375" style="474" customWidth="1"/>
    <col min="4082" max="4083" width="16.88671875" style="474" customWidth="1"/>
    <col min="4084" max="4084" width="15.109375" style="474" customWidth="1"/>
    <col min="4085" max="4085" width="13.21875" style="474" customWidth="1"/>
    <col min="4086" max="4086" width="14.77734375" style="474" customWidth="1"/>
    <col min="4087" max="4087" width="15.88671875" style="474" customWidth="1"/>
    <col min="4088" max="4088" width="16.109375" style="474" customWidth="1"/>
    <col min="4089" max="4089" width="16" style="474" customWidth="1"/>
    <col min="4090" max="4090" width="9.33203125" style="474" customWidth="1"/>
    <col min="4091" max="4091" width="12.21875" style="474" customWidth="1"/>
    <col min="4092" max="4092" width="15.109375" style="474" customWidth="1"/>
    <col min="4093" max="4093" width="17.109375" style="474" customWidth="1"/>
    <col min="4094" max="4094" width="17.21875" style="474" customWidth="1"/>
    <col min="4095" max="4095" width="15.21875" style="474" customWidth="1"/>
    <col min="4096" max="4096" width="16.33203125" style="474" customWidth="1"/>
    <col min="4097" max="4097" width="15" style="474" customWidth="1"/>
    <col min="4098" max="4099" width="15.21875" style="474" customWidth="1"/>
    <col min="4100" max="4100" width="16.77734375" style="474" customWidth="1"/>
    <col min="4101" max="4101" width="17.21875" style="474" customWidth="1"/>
    <col min="4102" max="4333" width="9.109375" style="474"/>
    <col min="4334" max="4334" width="6.21875" style="474" customWidth="1"/>
    <col min="4335" max="4335" width="34.77734375" style="474" customWidth="1"/>
    <col min="4336" max="4336" width="13.33203125" style="474" customWidth="1"/>
    <col min="4337" max="4337" width="11.109375" style="474" customWidth="1"/>
    <col min="4338" max="4339" width="16.88671875" style="474" customWidth="1"/>
    <col min="4340" max="4340" width="15.109375" style="474" customWidth="1"/>
    <col min="4341" max="4341" width="13.21875" style="474" customWidth="1"/>
    <col min="4342" max="4342" width="14.77734375" style="474" customWidth="1"/>
    <col min="4343" max="4343" width="15.88671875" style="474" customWidth="1"/>
    <col min="4344" max="4344" width="16.109375" style="474" customWidth="1"/>
    <col min="4345" max="4345" width="16" style="474" customWidth="1"/>
    <col min="4346" max="4346" width="9.33203125" style="474" customWidth="1"/>
    <col min="4347" max="4347" width="12.21875" style="474" customWidth="1"/>
    <col min="4348" max="4348" width="15.109375" style="474" customWidth="1"/>
    <col min="4349" max="4349" width="17.109375" style="474" customWidth="1"/>
    <col min="4350" max="4350" width="17.21875" style="474" customWidth="1"/>
    <col min="4351" max="4351" width="15.21875" style="474" customWidth="1"/>
    <col min="4352" max="4352" width="16.33203125" style="474" customWidth="1"/>
    <col min="4353" max="4353" width="15" style="474" customWidth="1"/>
    <col min="4354" max="4355" width="15.21875" style="474" customWidth="1"/>
    <col min="4356" max="4356" width="16.77734375" style="474" customWidth="1"/>
    <col min="4357" max="4357" width="17.21875" style="474" customWidth="1"/>
    <col min="4358" max="4589" width="9.109375" style="474"/>
    <col min="4590" max="4590" width="6.21875" style="474" customWidth="1"/>
    <col min="4591" max="4591" width="34.77734375" style="474" customWidth="1"/>
    <col min="4592" max="4592" width="13.33203125" style="474" customWidth="1"/>
    <col min="4593" max="4593" width="11.109375" style="474" customWidth="1"/>
    <col min="4594" max="4595" width="16.88671875" style="474" customWidth="1"/>
    <col min="4596" max="4596" width="15.109375" style="474" customWidth="1"/>
    <col min="4597" max="4597" width="13.21875" style="474" customWidth="1"/>
    <col min="4598" max="4598" width="14.77734375" style="474" customWidth="1"/>
    <col min="4599" max="4599" width="15.88671875" style="474" customWidth="1"/>
    <col min="4600" max="4600" width="16.109375" style="474" customWidth="1"/>
    <col min="4601" max="4601" width="16" style="474" customWidth="1"/>
    <col min="4602" max="4602" width="9.33203125" style="474" customWidth="1"/>
    <col min="4603" max="4603" width="12.21875" style="474" customWidth="1"/>
    <col min="4604" max="4604" width="15.109375" style="474" customWidth="1"/>
    <col min="4605" max="4605" width="17.109375" style="474" customWidth="1"/>
    <col min="4606" max="4606" width="17.21875" style="474" customWidth="1"/>
    <col min="4607" max="4607" width="15.21875" style="474" customWidth="1"/>
    <col min="4608" max="4608" width="16.33203125" style="474" customWidth="1"/>
    <col min="4609" max="4609" width="15" style="474" customWidth="1"/>
    <col min="4610" max="4611" width="15.21875" style="474" customWidth="1"/>
    <col min="4612" max="4612" width="16.77734375" style="474" customWidth="1"/>
    <col min="4613" max="4613" width="17.21875" style="474" customWidth="1"/>
    <col min="4614" max="4845" width="9.109375" style="474"/>
    <col min="4846" max="4846" width="6.21875" style="474" customWidth="1"/>
    <col min="4847" max="4847" width="34.77734375" style="474" customWidth="1"/>
    <col min="4848" max="4848" width="13.33203125" style="474" customWidth="1"/>
    <col min="4849" max="4849" width="11.109375" style="474" customWidth="1"/>
    <col min="4850" max="4851" width="16.88671875" style="474" customWidth="1"/>
    <col min="4852" max="4852" width="15.109375" style="474" customWidth="1"/>
    <col min="4853" max="4853" width="13.21875" style="474" customWidth="1"/>
    <col min="4854" max="4854" width="14.77734375" style="474" customWidth="1"/>
    <col min="4855" max="4855" width="15.88671875" style="474" customWidth="1"/>
    <col min="4856" max="4856" width="16.109375" style="474" customWidth="1"/>
    <col min="4857" max="4857" width="16" style="474" customWidth="1"/>
    <col min="4858" max="4858" width="9.33203125" style="474" customWidth="1"/>
    <col min="4859" max="4859" width="12.21875" style="474" customWidth="1"/>
    <col min="4860" max="4860" width="15.109375" style="474" customWidth="1"/>
    <col min="4861" max="4861" width="17.109375" style="474" customWidth="1"/>
    <col min="4862" max="4862" width="17.21875" style="474" customWidth="1"/>
    <col min="4863" max="4863" width="15.21875" style="474" customWidth="1"/>
    <col min="4864" max="4864" width="16.33203125" style="474" customWidth="1"/>
    <col min="4865" max="4865" width="15" style="474" customWidth="1"/>
    <col min="4866" max="4867" width="15.21875" style="474" customWidth="1"/>
    <col min="4868" max="4868" width="16.77734375" style="474" customWidth="1"/>
    <col min="4869" max="4869" width="17.21875" style="474" customWidth="1"/>
    <col min="4870" max="5101" width="9.109375" style="474"/>
    <col min="5102" max="5102" width="6.21875" style="474" customWidth="1"/>
    <col min="5103" max="5103" width="34.77734375" style="474" customWidth="1"/>
    <col min="5104" max="5104" width="13.33203125" style="474" customWidth="1"/>
    <col min="5105" max="5105" width="11.109375" style="474" customWidth="1"/>
    <col min="5106" max="5107" width="16.88671875" style="474" customWidth="1"/>
    <col min="5108" max="5108" width="15.109375" style="474" customWidth="1"/>
    <col min="5109" max="5109" width="13.21875" style="474" customWidth="1"/>
    <col min="5110" max="5110" width="14.77734375" style="474" customWidth="1"/>
    <col min="5111" max="5111" width="15.88671875" style="474" customWidth="1"/>
    <col min="5112" max="5112" width="16.109375" style="474" customWidth="1"/>
    <col min="5113" max="5113" width="16" style="474" customWidth="1"/>
    <col min="5114" max="5114" width="9.33203125" style="474" customWidth="1"/>
    <col min="5115" max="5115" width="12.21875" style="474" customWidth="1"/>
    <col min="5116" max="5116" width="15.109375" style="474" customWidth="1"/>
    <col min="5117" max="5117" width="17.109375" style="474" customWidth="1"/>
    <col min="5118" max="5118" width="17.21875" style="474" customWidth="1"/>
    <col min="5119" max="5119" width="15.21875" style="474" customWidth="1"/>
    <col min="5120" max="5120" width="16.33203125" style="474" customWidth="1"/>
    <col min="5121" max="5121" width="15" style="474" customWidth="1"/>
    <col min="5122" max="5123" width="15.21875" style="474" customWidth="1"/>
    <col min="5124" max="5124" width="16.77734375" style="474" customWidth="1"/>
    <col min="5125" max="5125" width="17.21875" style="474" customWidth="1"/>
    <col min="5126" max="5357" width="9.109375" style="474"/>
    <col min="5358" max="5358" width="6.21875" style="474" customWidth="1"/>
    <col min="5359" max="5359" width="34.77734375" style="474" customWidth="1"/>
    <col min="5360" max="5360" width="13.33203125" style="474" customWidth="1"/>
    <col min="5361" max="5361" width="11.109375" style="474" customWidth="1"/>
    <col min="5362" max="5363" width="16.88671875" style="474" customWidth="1"/>
    <col min="5364" max="5364" width="15.109375" style="474" customWidth="1"/>
    <col min="5365" max="5365" width="13.21875" style="474" customWidth="1"/>
    <col min="5366" max="5366" width="14.77734375" style="474" customWidth="1"/>
    <col min="5367" max="5367" width="15.88671875" style="474" customWidth="1"/>
    <col min="5368" max="5368" width="16.109375" style="474" customWidth="1"/>
    <col min="5369" max="5369" width="16" style="474" customWidth="1"/>
    <col min="5370" max="5370" width="9.33203125" style="474" customWidth="1"/>
    <col min="5371" max="5371" width="12.21875" style="474" customWidth="1"/>
    <col min="5372" max="5372" width="15.109375" style="474" customWidth="1"/>
    <col min="5373" max="5373" width="17.109375" style="474" customWidth="1"/>
    <col min="5374" max="5374" width="17.21875" style="474" customWidth="1"/>
    <col min="5375" max="5375" width="15.21875" style="474" customWidth="1"/>
    <col min="5376" max="5376" width="16.33203125" style="474" customWidth="1"/>
    <col min="5377" max="5377" width="15" style="474" customWidth="1"/>
    <col min="5378" max="5379" width="15.21875" style="474" customWidth="1"/>
    <col min="5380" max="5380" width="16.77734375" style="474" customWidth="1"/>
    <col min="5381" max="5381" width="17.21875" style="474" customWidth="1"/>
    <col min="5382" max="5613" width="9.109375" style="474"/>
    <col min="5614" max="5614" width="6.21875" style="474" customWidth="1"/>
    <col min="5615" max="5615" width="34.77734375" style="474" customWidth="1"/>
    <col min="5616" max="5616" width="13.33203125" style="474" customWidth="1"/>
    <col min="5617" max="5617" width="11.109375" style="474" customWidth="1"/>
    <col min="5618" max="5619" width="16.88671875" style="474" customWidth="1"/>
    <col min="5620" max="5620" width="15.109375" style="474" customWidth="1"/>
    <col min="5621" max="5621" width="13.21875" style="474" customWidth="1"/>
    <col min="5622" max="5622" width="14.77734375" style="474" customWidth="1"/>
    <col min="5623" max="5623" width="15.88671875" style="474" customWidth="1"/>
    <col min="5624" max="5624" width="16.109375" style="474" customWidth="1"/>
    <col min="5625" max="5625" width="16" style="474" customWidth="1"/>
    <col min="5626" max="5626" width="9.33203125" style="474" customWidth="1"/>
    <col min="5627" max="5627" width="12.21875" style="474" customWidth="1"/>
    <col min="5628" max="5628" width="15.109375" style="474" customWidth="1"/>
    <col min="5629" max="5629" width="17.109375" style="474" customWidth="1"/>
    <col min="5630" max="5630" width="17.21875" style="474" customWidth="1"/>
    <col min="5631" max="5631" width="15.21875" style="474" customWidth="1"/>
    <col min="5632" max="5632" width="16.33203125" style="474" customWidth="1"/>
    <col min="5633" max="5633" width="15" style="474" customWidth="1"/>
    <col min="5634" max="5635" width="15.21875" style="474" customWidth="1"/>
    <col min="5636" max="5636" width="16.77734375" style="474" customWidth="1"/>
    <col min="5637" max="5637" width="17.21875" style="474" customWidth="1"/>
    <col min="5638" max="5869" width="9.109375" style="474"/>
    <col min="5870" max="5870" width="6.21875" style="474" customWidth="1"/>
    <col min="5871" max="5871" width="34.77734375" style="474" customWidth="1"/>
    <col min="5872" max="5872" width="13.33203125" style="474" customWidth="1"/>
    <col min="5873" max="5873" width="11.109375" style="474" customWidth="1"/>
    <col min="5874" max="5875" width="16.88671875" style="474" customWidth="1"/>
    <col min="5876" max="5876" width="15.109375" style="474" customWidth="1"/>
    <col min="5877" max="5877" width="13.21875" style="474" customWidth="1"/>
    <col min="5878" max="5878" width="14.77734375" style="474" customWidth="1"/>
    <col min="5879" max="5879" width="15.88671875" style="474" customWidth="1"/>
    <col min="5880" max="5880" width="16.109375" style="474" customWidth="1"/>
    <col min="5881" max="5881" width="16" style="474" customWidth="1"/>
    <col min="5882" max="5882" width="9.33203125" style="474" customWidth="1"/>
    <col min="5883" max="5883" width="12.21875" style="474" customWidth="1"/>
    <col min="5884" max="5884" width="15.109375" style="474" customWidth="1"/>
    <col min="5885" max="5885" width="17.109375" style="474" customWidth="1"/>
    <col min="5886" max="5886" width="17.21875" style="474" customWidth="1"/>
    <col min="5887" max="5887" width="15.21875" style="474" customWidth="1"/>
    <col min="5888" max="5888" width="16.33203125" style="474" customWidth="1"/>
    <col min="5889" max="5889" width="15" style="474" customWidth="1"/>
    <col min="5890" max="5891" width="15.21875" style="474" customWidth="1"/>
    <col min="5892" max="5892" width="16.77734375" style="474" customWidth="1"/>
    <col min="5893" max="5893" width="17.21875" style="474" customWidth="1"/>
    <col min="5894" max="6125" width="9.109375" style="474"/>
    <col min="6126" max="6126" width="6.21875" style="474" customWidth="1"/>
    <col min="6127" max="6127" width="34.77734375" style="474" customWidth="1"/>
    <col min="6128" max="6128" width="13.33203125" style="474" customWidth="1"/>
    <col min="6129" max="6129" width="11.109375" style="474" customWidth="1"/>
    <col min="6130" max="6131" width="16.88671875" style="474" customWidth="1"/>
    <col min="6132" max="6132" width="15.109375" style="474" customWidth="1"/>
    <col min="6133" max="6133" width="13.21875" style="474" customWidth="1"/>
    <col min="6134" max="6134" width="14.77734375" style="474" customWidth="1"/>
    <col min="6135" max="6135" width="15.88671875" style="474" customWidth="1"/>
    <col min="6136" max="6136" width="16.109375" style="474" customWidth="1"/>
    <col min="6137" max="6137" width="16" style="474" customWidth="1"/>
    <col min="6138" max="6138" width="9.33203125" style="474" customWidth="1"/>
    <col min="6139" max="6139" width="12.21875" style="474" customWidth="1"/>
    <col min="6140" max="6140" width="15.109375" style="474" customWidth="1"/>
    <col min="6141" max="6141" width="17.109375" style="474" customWidth="1"/>
    <col min="6142" max="6142" width="17.21875" style="474" customWidth="1"/>
    <col min="6143" max="6143" width="15.21875" style="474" customWidth="1"/>
    <col min="6144" max="6144" width="16.33203125" style="474" customWidth="1"/>
    <col min="6145" max="6145" width="15" style="474" customWidth="1"/>
    <col min="6146" max="6147" width="15.21875" style="474" customWidth="1"/>
    <col min="6148" max="6148" width="16.77734375" style="474" customWidth="1"/>
    <col min="6149" max="6149" width="17.21875" style="474" customWidth="1"/>
    <col min="6150" max="6381" width="9.109375" style="474"/>
    <col min="6382" max="6382" width="6.21875" style="474" customWidth="1"/>
    <col min="6383" max="6383" width="34.77734375" style="474" customWidth="1"/>
    <col min="6384" max="6384" width="13.33203125" style="474" customWidth="1"/>
    <col min="6385" max="6385" width="11.109375" style="474" customWidth="1"/>
    <col min="6386" max="6387" width="16.88671875" style="474" customWidth="1"/>
    <col min="6388" max="6388" width="15.109375" style="474" customWidth="1"/>
    <col min="6389" max="6389" width="13.21875" style="474" customWidth="1"/>
    <col min="6390" max="6390" width="14.77734375" style="474" customWidth="1"/>
    <col min="6391" max="6391" width="15.88671875" style="474" customWidth="1"/>
    <col min="6392" max="6392" width="16.109375" style="474" customWidth="1"/>
    <col min="6393" max="6393" width="16" style="474" customWidth="1"/>
    <col min="6394" max="6394" width="9.33203125" style="474" customWidth="1"/>
    <col min="6395" max="6395" width="12.21875" style="474" customWidth="1"/>
    <col min="6396" max="6396" width="15.109375" style="474" customWidth="1"/>
    <col min="6397" max="6397" width="17.109375" style="474" customWidth="1"/>
    <col min="6398" max="6398" width="17.21875" style="474" customWidth="1"/>
    <col min="6399" max="6399" width="15.21875" style="474" customWidth="1"/>
    <col min="6400" max="6400" width="16.33203125" style="474" customWidth="1"/>
    <col min="6401" max="6401" width="15" style="474" customWidth="1"/>
    <col min="6402" max="6403" width="15.21875" style="474" customWidth="1"/>
    <col min="6404" max="6404" width="16.77734375" style="474" customWidth="1"/>
    <col min="6405" max="6405" width="17.21875" style="474" customWidth="1"/>
    <col min="6406" max="6637" width="9.109375" style="474"/>
    <col min="6638" max="6638" width="6.21875" style="474" customWidth="1"/>
    <col min="6639" max="6639" width="34.77734375" style="474" customWidth="1"/>
    <col min="6640" max="6640" width="13.33203125" style="474" customWidth="1"/>
    <col min="6641" max="6641" width="11.109375" style="474" customWidth="1"/>
    <col min="6642" max="6643" width="16.88671875" style="474" customWidth="1"/>
    <col min="6644" max="6644" width="15.109375" style="474" customWidth="1"/>
    <col min="6645" max="6645" width="13.21875" style="474" customWidth="1"/>
    <col min="6646" max="6646" width="14.77734375" style="474" customWidth="1"/>
    <col min="6647" max="6647" width="15.88671875" style="474" customWidth="1"/>
    <col min="6648" max="6648" width="16.109375" style="474" customWidth="1"/>
    <col min="6649" max="6649" width="16" style="474" customWidth="1"/>
    <col min="6650" max="6650" width="9.33203125" style="474" customWidth="1"/>
    <col min="6651" max="6651" width="12.21875" style="474" customWidth="1"/>
    <col min="6652" max="6652" width="15.109375" style="474" customWidth="1"/>
    <col min="6653" max="6653" width="17.109375" style="474" customWidth="1"/>
    <col min="6654" max="6654" width="17.21875" style="474" customWidth="1"/>
    <col min="6655" max="6655" width="15.21875" style="474" customWidth="1"/>
    <col min="6656" max="6656" width="16.33203125" style="474" customWidth="1"/>
    <col min="6657" max="6657" width="15" style="474" customWidth="1"/>
    <col min="6658" max="6659" width="15.21875" style="474" customWidth="1"/>
    <col min="6660" max="6660" width="16.77734375" style="474" customWidth="1"/>
    <col min="6661" max="6661" width="17.21875" style="474" customWidth="1"/>
    <col min="6662" max="6893" width="9.109375" style="474"/>
    <col min="6894" max="6894" width="6.21875" style="474" customWidth="1"/>
    <col min="6895" max="6895" width="34.77734375" style="474" customWidth="1"/>
    <col min="6896" max="6896" width="13.33203125" style="474" customWidth="1"/>
    <col min="6897" max="6897" width="11.109375" style="474" customWidth="1"/>
    <col min="6898" max="6899" width="16.88671875" style="474" customWidth="1"/>
    <col min="6900" max="6900" width="15.109375" style="474" customWidth="1"/>
    <col min="6901" max="6901" width="13.21875" style="474" customWidth="1"/>
    <col min="6902" max="6902" width="14.77734375" style="474" customWidth="1"/>
    <col min="6903" max="6903" width="15.88671875" style="474" customWidth="1"/>
    <col min="6904" max="6904" width="16.109375" style="474" customWidth="1"/>
    <col min="6905" max="6905" width="16" style="474" customWidth="1"/>
    <col min="6906" max="6906" width="9.33203125" style="474" customWidth="1"/>
    <col min="6907" max="6907" width="12.21875" style="474" customWidth="1"/>
    <col min="6908" max="6908" width="15.109375" style="474" customWidth="1"/>
    <col min="6909" max="6909" width="17.109375" style="474" customWidth="1"/>
    <col min="6910" max="6910" width="17.21875" style="474" customWidth="1"/>
    <col min="6911" max="6911" width="15.21875" style="474" customWidth="1"/>
    <col min="6912" max="6912" width="16.33203125" style="474" customWidth="1"/>
    <col min="6913" max="6913" width="15" style="474" customWidth="1"/>
    <col min="6914" max="6915" width="15.21875" style="474" customWidth="1"/>
    <col min="6916" max="6916" width="16.77734375" style="474" customWidth="1"/>
    <col min="6917" max="6917" width="17.21875" style="474" customWidth="1"/>
    <col min="6918" max="7149" width="9.109375" style="474"/>
    <col min="7150" max="7150" width="6.21875" style="474" customWidth="1"/>
    <col min="7151" max="7151" width="34.77734375" style="474" customWidth="1"/>
    <col min="7152" max="7152" width="13.33203125" style="474" customWidth="1"/>
    <col min="7153" max="7153" width="11.109375" style="474" customWidth="1"/>
    <col min="7154" max="7155" width="16.88671875" style="474" customWidth="1"/>
    <col min="7156" max="7156" width="15.109375" style="474" customWidth="1"/>
    <col min="7157" max="7157" width="13.21875" style="474" customWidth="1"/>
    <col min="7158" max="7158" width="14.77734375" style="474" customWidth="1"/>
    <col min="7159" max="7159" width="15.88671875" style="474" customWidth="1"/>
    <col min="7160" max="7160" width="16.109375" style="474" customWidth="1"/>
    <col min="7161" max="7161" width="16" style="474" customWidth="1"/>
    <col min="7162" max="7162" width="9.33203125" style="474" customWidth="1"/>
    <col min="7163" max="7163" width="12.21875" style="474" customWidth="1"/>
    <col min="7164" max="7164" width="15.109375" style="474" customWidth="1"/>
    <col min="7165" max="7165" width="17.109375" style="474" customWidth="1"/>
    <col min="7166" max="7166" width="17.21875" style="474" customWidth="1"/>
    <col min="7167" max="7167" width="15.21875" style="474" customWidth="1"/>
    <col min="7168" max="7168" width="16.33203125" style="474" customWidth="1"/>
    <col min="7169" max="7169" width="15" style="474" customWidth="1"/>
    <col min="7170" max="7171" width="15.21875" style="474" customWidth="1"/>
    <col min="7172" max="7172" width="16.77734375" style="474" customWidth="1"/>
    <col min="7173" max="7173" width="17.21875" style="474" customWidth="1"/>
    <col min="7174" max="7405" width="9.109375" style="474"/>
    <col min="7406" max="7406" width="6.21875" style="474" customWidth="1"/>
    <col min="7407" max="7407" width="34.77734375" style="474" customWidth="1"/>
    <col min="7408" max="7408" width="13.33203125" style="474" customWidth="1"/>
    <col min="7409" max="7409" width="11.109375" style="474" customWidth="1"/>
    <col min="7410" max="7411" width="16.88671875" style="474" customWidth="1"/>
    <col min="7412" max="7412" width="15.109375" style="474" customWidth="1"/>
    <col min="7413" max="7413" width="13.21875" style="474" customWidth="1"/>
    <col min="7414" max="7414" width="14.77734375" style="474" customWidth="1"/>
    <col min="7415" max="7415" width="15.88671875" style="474" customWidth="1"/>
    <col min="7416" max="7416" width="16.109375" style="474" customWidth="1"/>
    <col min="7417" max="7417" width="16" style="474" customWidth="1"/>
    <col min="7418" max="7418" width="9.33203125" style="474" customWidth="1"/>
    <col min="7419" max="7419" width="12.21875" style="474" customWidth="1"/>
    <col min="7420" max="7420" width="15.109375" style="474" customWidth="1"/>
    <col min="7421" max="7421" width="17.109375" style="474" customWidth="1"/>
    <col min="7422" max="7422" width="17.21875" style="474" customWidth="1"/>
    <col min="7423" max="7423" width="15.21875" style="474" customWidth="1"/>
    <col min="7424" max="7424" width="16.33203125" style="474" customWidth="1"/>
    <col min="7425" max="7425" width="15" style="474" customWidth="1"/>
    <col min="7426" max="7427" width="15.21875" style="474" customWidth="1"/>
    <col min="7428" max="7428" width="16.77734375" style="474" customWidth="1"/>
    <col min="7429" max="7429" width="17.21875" style="474" customWidth="1"/>
    <col min="7430" max="7661" width="9.109375" style="474"/>
    <col min="7662" max="7662" width="6.21875" style="474" customWidth="1"/>
    <col min="7663" max="7663" width="34.77734375" style="474" customWidth="1"/>
    <col min="7664" max="7664" width="13.33203125" style="474" customWidth="1"/>
    <col min="7665" max="7665" width="11.109375" style="474" customWidth="1"/>
    <col min="7666" max="7667" width="16.88671875" style="474" customWidth="1"/>
    <col min="7668" max="7668" width="15.109375" style="474" customWidth="1"/>
    <col min="7669" max="7669" width="13.21875" style="474" customWidth="1"/>
    <col min="7670" max="7670" width="14.77734375" style="474" customWidth="1"/>
    <col min="7671" max="7671" width="15.88671875" style="474" customWidth="1"/>
    <col min="7672" max="7672" width="16.109375" style="474" customWidth="1"/>
    <col min="7673" max="7673" width="16" style="474" customWidth="1"/>
    <col min="7674" max="7674" width="9.33203125" style="474" customWidth="1"/>
    <col min="7675" max="7675" width="12.21875" style="474" customWidth="1"/>
    <col min="7676" max="7676" width="15.109375" style="474" customWidth="1"/>
    <col min="7677" max="7677" width="17.109375" style="474" customWidth="1"/>
    <col min="7678" max="7678" width="17.21875" style="474" customWidth="1"/>
    <col min="7679" max="7679" width="15.21875" style="474" customWidth="1"/>
    <col min="7680" max="7680" width="16.33203125" style="474" customWidth="1"/>
    <col min="7681" max="7681" width="15" style="474" customWidth="1"/>
    <col min="7682" max="7683" width="15.21875" style="474" customWidth="1"/>
    <col min="7684" max="7684" width="16.77734375" style="474" customWidth="1"/>
    <col min="7685" max="7685" width="17.21875" style="474" customWidth="1"/>
    <col min="7686" max="7917" width="9.109375" style="474"/>
    <col min="7918" max="7918" width="6.21875" style="474" customWidth="1"/>
    <col min="7919" max="7919" width="34.77734375" style="474" customWidth="1"/>
    <col min="7920" max="7920" width="13.33203125" style="474" customWidth="1"/>
    <col min="7921" max="7921" width="11.109375" style="474" customWidth="1"/>
    <col min="7922" max="7923" width="16.88671875" style="474" customWidth="1"/>
    <col min="7924" max="7924" width="15.109375" style="474" customWidth="1"/>
    <col min="7925" max="7925" width="13.21875" style="474" customWidth="1"/>
    <col min="7926" max="7926" width="14.77734375" style="474" customWidth="1"/>
    <col min="7927" max="7927" width="15.88671875" style="474" customWidth="1"/>
    <col min="7928" max="7928" width="16.109375" style="474" customWidth="1"/>
    <col min="7929" max="7929" width="16" style="474" customWidth="1"/>
    <col min="7930" max="7930" width="9.33203125" style="474" customWidth="1"/>
    <col min="7931" max="7931" width="12.21875" style="474" customWidth="1"/>
    <col min="7932" max="7932" width="15.109375" style="474" customWidth="1"/>
    <col min="7933" max="7933" width="17.109375" style="474" customWidth="1"/>
    <col min="7934" max="7934" width="17.21875" style="474" customWidth="1"/>
    <col min="7935" max="7935" width="15.21875" style="474" customWidth="1"/>
    <col min="7936" max="7936" width="16.33203125" style="474" customWidth="1"/>
    <col min="7937" max="7937" width="15" style="474" customWidth="1"/>
    <col min="7938" max="7939" width="15.21875" style="474" customWidth="1"/>
    <col min="7940" max="7940" width="16.77734375" style="474" customWidth="1"/>
    <col min="7941" max="7941" width="17.21875" style="474" customWidth="1"/>
    <col min="7942" max="8173" width="9.109375" style="474"/>
    <col min="8174" max="8174" width="6.21875" style="474" customWidth="1"/>
    <col min="8175" max="8175" width="34.77734375" style="474" customWidth="1"/>
    <col min="8176" max="8176" width="13.33203125" style="474" customWidth="1"/>
    <col min="8177" max="8177" width="11.109375" style="474" customWidth="1"/>
    <col min="8178" max="8179" width="16.88671875" style="474" customWidth="1"/>
    <col min="8180" max="8180" width="15.109375" style="474" customWidth="1"/>
    <col min="8181" max="8181" width="13.21875" style="474" customWidth="1"/>
    <col min="8182" max="8182" width="14.77734375" style="474" customWidth="1"/>
    <col min="8183" max="8183" width="15.88671875" style="474" customWidth="1"/>
    <col min="8184" max="8184" width="16.109375" style="474" customWidth="1"/>
    <col min="8185" max="8185" width="16" style="474" customWidth="1"/>
    <col min="8186" max="8186" width="9.33203125" style="474" customWidth="1"/>
    <col min="8187" max="8187" width="12.21875" style="474" customWidth="1"/>
    <col min="8188" max="8188" width="15.109375" style="474" customWidth="1"/>
    <col min="8189" max="8189" width="17.109375" style="474" customWidth="1"/>
    <col min="8190" max="8190" width="17.21875" style="474" customWidth="1"/>
    <col min="8191" max="8191" width="15.21875" style="474" customWidth="1"/>
    <col min="8192" max="8192" width="16.33203125" style="474" customWidth="1"/>
    <col min="8193" max="8193" width="15" style="474" customWidth="1"/>
    <col min="8194" max="8195" width="15.21875" style="474" customWidth="1"/>
    <col min="8196" max="8196" width="16.77734375" style="474" customWidth="1"/>
    <col min="8197" max="8197" width="17.21875" style="474" customWidth="1"/>
    <col min="8198" max="8429" width="9.109375" style="474"/>
    <col min="8430" max="8430" width="6.21875" style="474" customWidth="1"/>
    <col min="8431" max="8431" width="34.77734375" style="474" customWidth="1"/>
    <col min="8432" max="8432" width="13.33203125" style="474" customWidth="1"/>
    <col min="8433" max="8433" width="11.109375" style="474" customWidth="1"/>
    <col min="8434" max="8435" width="16.88671875" style="474" customWidth="1"/>
    <col min="8436" max="8436" width="15.109375" style="474" customWidth="1"/>
    <col min="8437" max="8437" width="13.21875" style="474" customWidth="1"/>
    <col min="8438" max="8438" width="14.77734375" style="474" customWidth="1"/>
    <col min="8439" max="8439" width="15.88671875" style="474" customWidth="1"/>
    <col min="8440" max="8440" width="16.109375" style="474" customWidth="1"/>
    <col min="8441" max="8441" width="16" style="474" customWidth="1"/>
    <col min="8442" max="8442" width="9.33203125" style="474" customWidth="1"/>
    <col min="8443" max="8443" width="12.21875" style="474" customWidth="1"/>
    <col min="8444" max="8444" width="15.109375" style="474" customWidth="1"/>
    <col min="8445" max="8445" width="17.109375" style="474" customWidth="1"/>
    <col min="8446" max="8446" width="17.21875" style="474" customWidth="1"/>
    <col min="8447" max="8447" width="15.21875" style="474" customWidth="1"/>
    <col min="8448" max="8448" width="16.33203125" style="474" customWidth="1"/>
    <col min="8449" max="8449" width="15" style="474" customWidth="1"/>
    <col min="8450" max="8451" width="15.21875" style="474" customWidth="1"/>
    <col min="8452" max="8452" width="16.77734375" style="474" customWidth="1"/>
    <col min="8453" max="8453" width="17.21875" style="474" customWidth="1"/>
    <col min="8454" max="8685" width="9.109375" style="474"/>
    <col min="8686" max="8686" width="6.21875" style="474" customWidth="1"/>
    <col min="8687" max="8687" width="34.77734375" style="474" customWidth="1"/>
    <col min="8688" max="8688" width="13.33203125" style="474" customWidth="1"/>
    <col min="8689" max="8689" width="11.109375" style="474" customWidth="1"/>
    <col min="8690" max="8691" width="16.88671875" style="474" customWidth="1"/>
    <col min="8692" max="8692" width="15.109375" style="474" customWidth="1"/>
    <col min="8693" max="8693" width="13.21875" style="474" customWidth="1"/>
    <col min="8694" max="8694" width="14.77734375" style="474" customWidth="1"/>
    <col min="8695" max="8695" width="15.88671875" style="474" customWidth="1"/>
    <col min="8696" max="8696" width="16.109375" style="474" customWidth="1"/>
    <col min="8697" max="8697" width="16" style="474" customWidth="1"/>
    <col min="8698" max="8698" width="9.33203125" style="474" customWidth="1"/>
    <col min="8699" max="8699" width="12.21875" style="474" customWidth="1"/>
    <col min="8700" max="8700" width="15.109375" style="474" customWidth="1"/>
    <col min="8701" max="8701" width="17.109375" style="474" customWidth="1"/>
    <col min="8702" max="8702" width="17.21875" style="474" customWidth="1"/>
    <col min="8703" max="8703" width="15.21875" style="474" customWidth="1"/>
    <col min="8704" max="8704" width="16.33203125" style="474" customWidth="1"/>
    <col min="8705" max="8705" width="15" style="474" customWidth="1"/>
    <col min="8706" max="8707" width="15.21875" style="474" customWidth="1"/>
    <col min="8708" max="8708" width="16.77734375" style="474" customWidth="1"/>
    <col min="8709" max="8709" width="17.21875" style="474" customWidth="1"/>
    <col min="8710" max="8941" width="9.109375" style="474"/>
    <col min="8942" max="8942" width="6.21875" style="474" customWidth="1"/>
    <col min="8943" max="8943" width="34.77734375" style="474" customWidth="1"/>
    <col min="8944" max="8944" width="13.33203125" style="474" customWidth="1"/>
    <col min="8945" max="8945" width="11.109375" style="474" customWidth="1"/>
    <col min="8946" max="8947" width="16.88671875" style="474" customWidth="1"/>
    <col min="8948" max="8948" width="15.109375" style="474" customWidth="1"/>
    <col min="8949" max="8949" width="13.21875" style="474" customWidth="1"/>
    <col min="8950" max="8950" width="14.77734375" style="474" customWidth="1"/>
    <col min="8951" max="8951" width="15.88671875" style="474" customWidth="1"/>
    <col min="8952" max="8952" width="16.109375" style="474" customWidth="1"/>
    <col min="8953" max="8953" width="16" style="474" customWidth="1"/>
    <col min="8954" max="8954" width="9.33203125" style="474" customWidth="1"/>
    <col min="8955" max="8955" width="12.21875" style="474" customWidth="1"/>
    <col min="8956" max="8956" width="15.109375" style="474" customWidth="1"/>
    <col min="8957" max="8957" width="17.109375" style="474" customWidth="1"/>
    <col min="8958" max="8958" width="17.21875" style="474" customWidth="1"/>
    <col min="8959" max="8959" width="15.21875" style="474" customWidth="1"/>
    <col min="8960" max="8960" width="16.33203125" style="474" customWidth="1"/>
    <col min="8961" max="8961" width="15" style="474" customWidth="1"/>
    <col min="8962" max="8963" width="15.21875" style="474" customWidth="1"/>
    <col min="8964" max="8964" width="16.77734375" style="474" customWidth="1"/>
    <col min="8965" max="8965" width="17.21875" style="474" customWidth="1"/>
    <col min="8966" max="9197" width="9.109375" style="474"/>
    <col min="9198" max="9198" width="6.21875" style="474" customWidth="1"/>
    <col min="9199" max="9199" width="34.77734375" style="474" customWidth="1"/>
    <col min="9200" max="9200" width="13.33203125" style="474" customWidth="1"/>
    <col min="9201" max="9201" width="11.109375" style="474" customWidth="1"/>
    <col min="9202" max="9203" width="16.88671875" style="474" customWidth="1"/>
    <col min="9204" max="9204" width="15.109375" style="474" customWidth="1"/>
    <col min="9205" max="9205" width="13.21875" style="474" customWidth="1"/>
    <col min="9206" max="9206" width="14.77734375" style="474" customWidth="1"/>
    <col min="9207" max="9207" width="15.88671875" style="474" customWidth="1"/>
    <col min="9208" max="9208" width="16.109375" style="474" customWidth="1"/>
    <col min="9209" max="9209" width="16" style="474" customWidth="1"/>
    <col min="9210" max="9210" width="9.33203125" style="474" customWidth="1"/>
    <col min="9211" max="9211" width="12.21875" style="474" customWidth="1"/>
    <col min="9212" max="9212" width="15.109375" style="474" customWidth="1"/>
    <col min="9213" max="9213" width="17.109375" style="474" customWidth="1"/>
    <col min="9214" max="9214" width="17.21875" style="474" customWidth="1"/>
    <col min="9215" max="9215" width="15.21875" style="474" customWidth="1"/>
    <col min="9216" max="9216" width="16.33203125" style="474" customWidth="1"/>
    <col min="9217" max="9217" width="15" style="474" customWidth="1"/>
    <col min="9218" max="9219" width="15.21875" style="474" customWidth="1"/>
    <col min="9220" max="9220" width="16.77734375" style="474" customWidth="1"/>
    <col min="9221" max="9221" width="17.21875" style="474" customWidth="1"/>
    <col min="9222" max="9453" width="9.109375" style="474"/>
    <col min="9454" max="9454" width="6.21875" style="474" customWidth="1"/>
    <col min="9455" max="9455" width="34.77734375" style="474" customWidth="1"/>
    <col min="9456" max="9456" width="13.33203125" style="474" customWidth="1"/>
    <col min="9457" max="9457" width="11.109375" style="474" customWidth="1"/>
    <col min="9458" max="9459" width="16.88671875" style="474" customWidth="1"/>
    <col min="9460" max="9460" width="15.109375" style="474" customWidth="1"/>
    <col min="9461" max="9461" width="13.21875" style="474" customWidth="1"/>
    <col min="9462" max="9462" width="14.77734375" style="474" customWidth="1"/>
    <col min="9463" max="9463" width="15.88671875" style="474" customWidth="1"/>
    <col min="9464" max="9464" width="16.109375" style="474" customWidth="1"/>
    <col min="9465" max="9465" width="16" style="474" customWidth="1"/>
    <col min="9466" max="9466" width="9.33203125" style="474" customWidth="1"/>
    <col min="9467" max="9467" width="12.21875" style="474" customWidth="1"/>
    <col min="9468" max="9468" width="15.109375" style="474" customWidth="1"/>
    <col min="9469" max="9469" width="17.109375" style="474" customWidth="1"/>
    <col min="9470" max="9470" width="17.21875" style="474" customWidth="1"/>
    <col min="9471" max="9471" width="15.21875" style="474" customWidth="1"/>
    <col min="9472" max="9472" width="16.33203125" style="474" customWidth="1"/>
    <col min="9473" max="9473" width="15" style="474" customWidth="1"/>
    <col min="9474" max="9475" width="15.21875" style="474" customWidth="1"/>
    <col min="9476" max="9476" width="16.77734375" style="474" customWidth="1"/>
    <col min="9477" max="9477" width="17.21875" style="474" customWidth="1"/>
    <col min="9478" max="9709" width="9.109375" style="474"/>
    <col min="9710" max="9710" width="6.21875" style="474" customWidth="1"/>
    <col min="9711" max="9711" width="34.77734375" style="474" customWidth="1"/>
    <col min="9712" max="9712" width="13.33203125" style="474" customWidth="1"/>
    <col min="9713" max="9713" width="11.109375" style="474" customWidth="1"/>
    <col min="9714" max="9715" width="16.88671875" style="474" customWidth="1"/>
    <col min="9716" max="9716" width="15.109375" style="474" customWidth="1"/>
    <col min="9717" max="9717" width="13.21875" style="474" customWidth="1"/>
    <col min="9718" max="9718" width="14.77734375" style="474" customWidth="1"/>
    <col min="9719" max="9719" width="15.88671875" style="474" customWidth="1"/>
    <col min="9720" max="9720" width="16.109375" style="474" customWidth="1"/>
    <col min="9721" max="9721" width="16" style="474" customWidth="1"/>
    <col min="9722" max="9722" width="9.33203125" style="474" customWidth="1"/>
    <col min="9723" max="9723" width="12.21875" style="474" customWidth="1"/>
    <col min="9724" max="9724" width="15.109375" style="474" customWidth="1"/>
    <col min="9725" max="9725" width="17.109375" style="474" customWidth="1"/>
    <col min="9726" max="9726" width="17.21875" style="474" customWidth="1"/>
    <col min="9727" max="9727" width="15.21875" style="474" customWidth="1"/>
    <col min="9728" max="9728" width="16.33203125" style="474" customWidth="1"/>
    <col min="9729" max="9729" width="15" style="474" customWidth="1"/>
    <col min="9730" max="9731" width="15.21875" style="474" customWidth="1"/>
    <col min="9732" max="9732" width="16.77734375" style="474" customWidth="1"/>
    <col min="9733" max="9733" width="17.21875" style="474" customWidth="1"/>
    <col min="9734" max="9965" width="9.109375" style="474"/>
    <col min="9966" max="9966" width="6.21875" style="474" customWidth="1"/>
    <col min="9967" max="9967" width="34.77734375" style="474" customWidth="1"/>
    <col min="9968" max="9968" width="13.33203125" style="474" customWidth="1"/>
    <col min="9969" max="9969" width="11.109375" style="474" customWidth="1"/>
    <col min="9970" max="9971" width="16.88671875" style="474" customWidth="1"/>
    <col min="9972" max="9972" width="15.109375" style="474" customWidth="1"/>
    <col min="9973" max="9973" width="13.21875" style="474" customWidth="1"/>
    <col min="9974" max="9974" width="14.77734375" style="474" customWidth="1"/>
    <col min="9975" max="9975" width="15.88671875" style="474" customWidth="1"/>
    <col min="9976" max="9976" width="16.109375" style="474" customWidth="1"/>
    <col min="9977" max="9977" width="16" style="474" customWidth="1"/>
    <col min="9978" max="9978" width="9.33203125" style="474" customWidth="1"/>
    <col min="9979" max="9979" width="12.21875" style="474" customWidth="1"/>
    <col min="9980" max="9980" width="15.109375" style="474" customWidth="1"/>
    <col min="9981" max="9981" width="17.109375" style="474" customWidth="1"/>
    <col min="9982" max="9982" width="17.21875" style="474" customWidth="1"/>
    <col min="9983" max="9983" width="15.21875" style="474" customWidth="1"/>
    <col min="9984" max="9984" width="16.33203125" style="474" customWidth="1"/>
    <col min="9985" max="9985" width="15" style="474" customWidth="1"/>
    <col min="9986" max="9987" width="15.21875" style="474" customWidth="1"/>
    <col min="9988" max="9988" width="16.77734375" style="474" customWidth="1"/>
    <col min="9989" max="9989" width="17.21875" style="474" customWidth="1"/>
    <col min="9990" max="10221" width="9.109375" style="474"/>
    <col min="10222" max="10222" width="6.21875" style="474" customWidth="1"/>
    <col min="10223" max="10223" width="34.77734375" style="474" customWidth="1"/>
    <col min="10224" max="10224" width="13.33203125" style="474" customWidth="1"/>
    <col min="10225" max="10225" width="11.109375" style="474" customWidth="1"/>
    <col min="10226" max="10227" width="16.88671875" style="474" customWidth="1"/>
    <col min="10228" max="10228" width="15.109375" style="474" customWidth="1"/>
    <col min="10229" max="10229" width="13.21875" style="474" customWidth="1"/>
    <col min="10230" max="10230" width="14.77734375" style="474" customWidth="1"/>
    <col min="10231" max="10231" width="15.88671875" style="474" customWidth="1"/>
    <col min="10232" max="10232" width="16.109375" style="474" customWidth="1"/>
    <col min="10233" max="10233" width="16" style="474" customWidth="1"/>
    <col min="10234" max="10234" width="9.33203125" style="474" customWidth="1"/>
    <col min="10235" max="10235" width="12.21875" style="474" customWidth="1"/>
    <col min="10236" max="10236" width="15.109375" style="474" customWidth="1"/>
    <col min="10237" max="10237" width="17.109375" style="474" customWidth="1"/>
    <col min="10238" max="10238" width="17.21875" style="474" customWidth="1"/>
    <col min="10239" max="10239" width="15.21875" style="474" customWidth="1"/>
    <col min="10240" max="10240" width="16.33203125" style="474" customWidth="1"/>
    <col min="10241" max="10241" width="15" style="474" customWidth="1"/>
    <col min="10242" max="10243" width="15.21875" style="474" customWidth="1"/>
    <col min="10244" max="10244" width="16.77734375" style="474" customWidth="1"/>
    <col min="10245" max="10245" width="17.21875" style="474" customWidth="1"/>
    <col min="10246" max="10477" width="9.109375" style="474"/>
    <col min="10478" max="10478" width="6.21875" style="474" customWidth="1"/>
    <col min="10479" max="10479" width="34.77734375" style="474" customWidth="1"/>
    <col min="10480" max="10480" width="13.33203125" style="474" customWidth="1"/>
    <col min="10481" max="10481" width="11.109375" style="474" customWidth="1"/>
    <col min="10482" max="10483" width="16.88671875" style="474" customWidth="1"/>
    <col min="10484" max="10484" width="15.109375" style="474" customWidth="1"/>
    <col min="10485" max="10485" width="13.21875" style="474" customWidth="1"/>
    <col min="10486" max="10486" width="14.77734375" style="474" customWidth="1"/>
    <col min="10487" max="10487" width="15.88671875" style="474" customWidth="1"/>
    <col min="10488" max="10488" width="16.109375" style="474" customWidth="1"/>
    <col min="10489" max="10489" width="16" style="474" customWidth="1"/>
    <col min="10490" max="10490" width="9.33203125" style="474" customWidth="1"/>
    <col min="10491" max="10491" width="12.21875" style="474" customWidth="1"/>
    <col min="10492" max="10492" width="15.109375" style="474" customWidth="1"/>
    <col min="10493" max="10493" width="17.109375" style="474" customWidth="1"/>
    <col min="10494" max="10494" width="17.21875" style="474" customWidth="1"/>
    <col min="10495" max="10495" width="15.21875" style="474" customWidth="1"/>
    <col min="10496" max="10496" width="16.33203125" style="474" customWidth="1"/>
    <col min="10497" max="10497" width="15" style="474" customWidth="1"/>
    <col min="10498" max="10499" width="15.21875" style="474" customWidth="1"/>
    <col min="10500" max="10500" width="16.77734375" style="474" customWidth="1"/>
    <col min="10501" max="10501" width="17.21875" style="474" customWidth="1"/>
    <col min="10502" max="10733" width="9.109375" style="474"/>
    <col min="10734" max="10734" width="6.21875" style="474" customWidth="1"/>
    <col min="10735" max="10735" width="34.77734375" style="474" customWidth="1"/>
    <col min="10736" max="10736" width="13.33203125" style="474" customWidth="1"/>
    <col min="10737" max="10737" width="11.109375" style="474" customWidth="1"/>
    <col min="10738" max="10739" width="16.88671875" style="474" customWidth="1"/>
    <col min="10740" max="10740" width="15.109375" style="474" customWidth="1"/>
    <col min="10741" max="10741" width="13.21875" style="474" customWidth="1"/>
    <col min="10742" max="10742" width="14.77734375" style="474" customWidth="1"/>
    <col min="10743" max="10743" width="15.88671875" style="474" customWidth="1"/>
    <col min="10744" max="10744" width="16.109375" style="474" customWidth="1"/>
    <col min="10745" max="10745" width="16" style="474" customWidth="1"/>
    <col min="10746" max="10746" width="9.33203125" style="474" customWidth="1"/>
    <col min="10747" max="10747" width="12.21875" style="474" customWidth="1"/>
    <col min="10748" max="10748" width="15.109375" style="474" customWidth="1"/>
    <col min="10749" max="10749" width="17.109375" style="474" customWidth="1"/>
    <col min="10750" max="10750" width="17.21875" style="474" customWidth="1"/>
    <col min="10751" max="10751" width="15.21875" style="474" customWidth="1"/>
    <col min="10752" max="10752" width="16.33203125" style="474" customWidth="1"/>
    <col min="10753" max="10753" width="15" style="474" customWidth="1"/>
    <col min="10754" max="10755" width="15.21875" style="474" customWidth="1"/>
    <col min="10756" max="10756" width="16.77734375" style="474" customWidth="1"/>
    <col min="10757" max="10757" width="17.21875" style="474" customWidth="1"/>
    <col min="10758" max="10989" width="9.109375" style="474"/>
    <col min="10990" max="10990" width="6.21875" style="474" customWidth="1"/>
    <col min="10991" max="10991" width="34.77734375" style="474" customWidth="1"/>
    <col min="10992" max="10992" width="13.33203125" style="474" customWidth="1"/>
    <col min="10993" max="10993" width="11.109375" style="474" customWidth="1"/>
    <col min="10994" max="10995" width="16.88671875" style="474" customWidth="1"/>
    <col min="10996" max="10996" width="15.109375" style="474" customWidth="1"/>
    <col min="10997" max="10997" width="13.21875" style="474" customWidth="1"/>
    <col min="10998" max="10998" width="14.77734375" style="474" customWidth="1"/>
    <col min="10999" max="10999" width="15.88671875" style="474" customWidth="1"/>
    <col min="11000" max="11000" width="16.109375" style="474" customWidth="1"/>
    <col min="11001" max="11001" width="16" style="474" customWidth="1"/>
    <col min="11002" max="11002" width="9.33203125" style="474" customWidth="1"/>
    <col min="11003" max="11003" width="12.21875" style="474" customWidth="1"/>
    <col min="11004" max="11004" width="15.109375" style="474" customWidth="1"/>
    <col min="11005" max="11005" width="17.109375" style="474" customWidth="1"/>
    <col min="11006" max="11006" width="17.21875" style="474" customWidth="1"/>
    <col min="11007" max="11007" width="15.21875" style="474" customWidth="1"/>
    <col min="11008" max="11008" width="16.33203125" style="474" customWidth="1"/>
    <col min="11009" max="11009" width="15" style="474" customWidth="1"/>
    <col min="11010" max="11011" width="15.21875" style="474" customWidth="1"/>
    <col min="11012" max="11012" width="16.77734375" style="474" customWidth="1"/>
    <col min="11013" max="11013" width="17.21875" style="474" customWidth="1"/>
    <col min="11014" max="11245" width="9.109375" style="474"/>
    <col min="11246" max="11246" width="6.21875" style="474" customWidth="1"/>
    <col min="11247" max="11247" width="34.77734375" style="474" customWidth="1"/>
    <col min="11248" max="11248" width="13.33203125" style="474" customWidth="1"/>
    <col min="11249" max="11249" width="11.109375" style="474" customWidth="1"/>
    <col min="11250" max="11251" width="16.88671875" style="474" customWidth="1"/>
    <col min="11252" max="11252" width="15.109375" style="474" customWidth="1"/>
    <col min="11253" max="11253" width="13.21875" style="474" customWidth="1"/>
    <col min="11254" max="11254" width="14.77734375" style="474" customWidth="1"/>
    <col min="11255" max="11255" width="15.88671875" style="474" customWidth="1"/>
    <col min="11256" max="11256" width="16.109375" style="474" customWidth="1"/>
    <col min="11257" max="11257" width="16" style="474" customWidth="1"/>
    <col min="11258" max="11258" width="9.33203125" style="474" customWidth="1"/>
    <col min="11259" max="11259" width="12.21875" style="474" customWidth="1"/>
    <col min="11260" max="11260" width="15.109375" style="474" customWidth="1"/>
    <col min="11261" max="11261" width="17.109375" style="474" customWidth="1"/>
    <col min="11262" max="11262" width="17.21875" style="474" customWidth="1"/>
    <col min="11263" max="11263" width="15.21875" style="474" customWidth="1"/>
    <col min="11264" max="11264" width="16.33203125" style="474" customWidth="1"/>
    <col min="11265" max="11265" width="15" style="474" customWidth="1"/>
    <col min="11266" max="11267" width="15.21875" style="474" customWidth="1"/>
    <col min="11268" max="11268" width="16.77734375" style="474" customWidth="1"/>
    <col min="11269" max="11269" width="17.21875" style="474" customWidth="1"/>
    <col min="11270" max="11501" width="9.109375" style="474"/>
    <col min="11502" max="11502" width="6.21875" style="474" customWidth="1"/>
    <col min="11503" max="11503" width="34.77734375" style="474" customWidth="1"/>
    <col min="11504" max="11504" width="13.33203125" style="474" customWidth="1"/>
    <col min="11505" max="11505" width="11.109375" style="474" customWidth="1"/>
    <col min="11506" max="11507" width="16.88671875" style="474" customWidth="1"/>
    <col min="11508" max="11508" width="15.109375" style="474" customWidth="1"/>
    <col min="11509" max="11509" width="13.21875" style="474" customWidth="1"/>
    <col min="11510" max="11510" width="14.77734375" style="474" customWidth="1"/>
    <col min="11511" max="11511" width="15.88671875" style="474" customWidth="1"/>
    <col min="11512" max="11512" width="16.109375" style="474" customWidth="1"/>
    <col min="11513" max="11513" width="16" style="474" customWidth="1"/>
    <col min="11514" max="11514" width="9.33203125" style="474" customWidth="1"/>
    <col min="11515" max="11515" width="12.21875" style="474" customWidth="1"/>
    <col min="11516" max="11516" width="15.109375" style="474" customWidth="1"/>
    <col min="11517" max="11517" width="17.109375" style="474" customWidth="1"/>
    <col min="11518" max="11518" width="17.21875" style="474" customWidth="1"/>
    <col min="11519" max="11519" width="15.21875" style="474" customWidth="1"/>
    <col min="11520" max="11520" width="16.33203125" style="474" customWidth="1"/>
    <col min="11521" max="11521" width="15" style="474" customWidth="1"/>
    <col min="11522" max="11523" width="15.21875" style="474" customWidth="1"/>
    <col min="11524" max="11524" width="16.77734375" style="474" customWidth="1"/>
    <col min="11525" max="11525" width="17.21875" style="474" customWidth="1"/>
    <col min="11526" max="11757" width="9.109375" style="474"/>
    <col min="11758" max="11758" width="6.21875" style="474" customWidth="1"/>
    <col min="11759" max="11759" width="34.77734375" style="474" customWidth="1"/>
    <col min="11760" max="11760" width="13.33203125" style="474" customWidth="1"/>
    <col min="11761" max="11761" width="11.109375" style="474" customWidth="1"/>
    <col min="11762" max="11763" width="16.88671875" style="474" customWidth="1"/>
    <col min="11764" max="11764" width="15.109375" style="474" customWidth="1"/>
    <col min="11765" max="11765" width="13.21875" style="474" customWidth="1"/>
    <col min="11766" max="11766" width="14.77734375" style="474" customWidth="1"/>
    <col min="11767" max="11767" width="15.88671875" style="474" customWidth="1"/>
    <col min="11768" max="11768" width="16.109375" style="474" customWidth="1"/>
    <col min="11769" max="11769" width="16" style="474" customWidth="1"/>
    <col min="11770" max="11770" width="9.33203125" style="474" customWidth="1"/>
    <col min="11771" max="11771" width="12.21875" style="474" customWidth="1"/>
    <col min="11772" max="11772" width="15.109375" style="474" customWidth="1"/>
    <col min="11773" max="11773" width="17.109375" style="474" customWidth="1"/>
    <col min="11774" max="11774" width="17.21875" style="474" customWidth="1"/>
    <col min="11775" max="11775" width="15.21875" style="474" customWidth="1"/>
    <col min="11776" max="11776" width="16.33203125" style="474" customWidth="1"/>
    <col min="11777" max="11777" width="15" style="474" customWidth="1"/>
    <col min="11778" max="11779" width="15.21875" style="474" customWidth="1"/>
    <col min="11780" max="11780" width="16.77734375" style="474" customWidth="1"/>
    <col min="11781" max="11781" width="17.21875" style="474" customWidth="1"/>
    <col min="11782" max="12013" width="9.109375" style="474"/>
    <col min="12014" max="12014" width="6.21875" style="474" customWidth="1"/>
    <col min="12015" max="12015" width="34.77734375" style="474" customWidth="1"/>
    <col min="12016" max="12016" width="13.33203125" style="474" customWidth="1"/>
    <col min="12017" max="12017" width="11.109375" style="474" customWidth="1"/>
    <col min="12018" max="12019" width="16.88671875" style="474" customWidth="1"/>
    <col min="12020" max="12020" width="15.109375" style="474" customWidth="1"/>
    <col min="12021" max="12021" width="13.21875" style="474" customWidth="1"/>
    <col min="12022" max="12022" width="14.77734375" style="474" customWidth="1"/>
    <col min="12023" max="12023" width="15.88671875" style="474" customWidth="1"/>
    <col min="12024" max="12024" width="16.109375" style="474" customWidth="1"/>
    <col min="12025" max="12025" width="16" style="474" customWidth="1"/>
    <col min="12026" max="12026" width="9.33203125" style="474" customWidth="1"/>
    <col min="12027" max="12027" width="12.21875" style="474" customWidth="1"/>
    <col min="12028" max="12028" width="15.109375" style="474" customWidth="1"/>
    <col min="12029" max="12029" width="17.109375" style="474" customWidth="1"/>
    <col min="12030" max="12030" width="17.21875" style="474" customWidth="1"/>
    <col min="12031" max="12031" width="15.21875" style="474" customWidth="1"/>
    <col min="12032" max="12032" width="16.33203125" style="474" customWidth="1"/>
    <col min="12033" max="12033" width="15" style="474" customWidth="1"/>
    <col min="12034" max="12035" width="15.21875" style="474" customWidth="1"/>
    <col min="12036" max="12036" width="16.77734375" style="474" customWidth="1"/>
    <col min="12037" max="12037" width="17.21875" style="474" customWidth="1"/>
    <col min="12038" max="12269" width="9.109375" style="474"/>
    <col min="12270" max="12270" width="6.21875" style="474" customWidth="1"/>
    <col min="12271" max="12271" width="34.77734375" style="474" customWidth="1"/>
    <col min="12272" max="12272" width="13.33203125" style="474" customWidth="1"/>
    <col min="12273" max="12273" width="11.109375" style="474" customWidth="1"/>
    <col min="12274" max="12275" width="16.88671875" style="474" customWidth="1"/>
    <col min="12276" max="12276" width="15.109375" style="474" customWidth="1"/>
    <col min="12277" max="12277" width="13.21875" style="474" customWidth="1"/>
    <col min="12278" max="12278" width="14.77734375" style="474" customWidth="1"/>
    <col min="12279" max="12279" width="15.88671875" style="474" customWidth="1"/>
    <col min="12280" max="12280" width="16.109375" style="474" customWidth="1"/>
    <col min="12281" max="12281" width="16" style="474" customWidth="1"/>
    <col min="12282" max="12282" width="9.33203125" style="474" customWidth="1"/>
    <col min="12283" max="12283" width="12.21875" style="474" customWidth="1"/>
    <col min="12284" max="12284" width="15.109375" style="474" customWidth="1"/>
    <col min="12285" max="12285" width="17.109375" style="474" customWidth="1"/>
    <col min="12286" max="12286" width="17.21875" style="474" customWidth="1"/>
    <col min="12287" max="12287" width="15.21875" style="474" customWidth="1"/>
    <col min="12288" max="12288" width="16.33203125" style="474" customWidth="1"/>
    <col min="12289" max="12289" width="15" style="474" customWidth="1"/>
    <col min="12290" max="12291" width="15.21875" style="474" customWidth="1"/>
    <col min="12292" max="12292" width="16.77734375" style="474" customWidth="1"/>
    <col min="12293" max="12293" width="17.21875" style="474" customWidth="1"/>
    <col min="12294" max="12525" width="9.109375" style="474"/>
    <col min="12526" max="12526" width="6.21875" style="474" customWidth="1"/>
    <col min="12527" max="12527" width="34.77734375" style="474" customWidth="1"/>
    <col min="12528" max="12528" width="13.33203125" style="474" customWidth="1"/>
    <col min="12529" max="12529" width="11.109375" style="474" customWidth="1"/>
    <col min="12530" max="12531" width="16.88671875" style="474" customWidth="1"/>
    <col min="12532" max="12532" width="15.109375" style="474" customWidth="1"/>
    <col min="12533" max="12533" width="13.21875" style="474" customWidth="1"/>
    <col min="12534" max="12534" width="14.77734375" style="474" customWidth="1"/>
    <col min="12535" max="12535" width="15.88671875" style="474" customWidth="1"/>
    <col min="12536" max="12536" width="16.109375" style="474" customWidth="1"/>
    <col min="12537" max="12537" width="16" style="474" customWidth="1"/>
    <col min="12538" max="12538" width="9.33203125" style="474" customWidth="1"/>
    <col min="12539" max="12539" width="12.21875" style="474" customWidth="1"/>
    <col min="12540" max="12540" width="15.109375" style="474" customWidth="1"/>
    <col min="12541" max="12541" width="17.109375" style="474" customWidth="1"/>
    <col min="12542" max="12542" width="17.21875" style="474" customWidth="1"/>
    <col min="12543" max="12543" width="15.21875" style="474" customWidth="1"/>
    <col min="12544" max="12544" width="16.33203125" style="474" customWidth="1"/>
    <col min="12545" max="12545" width="15" style="474" customWidth="1"/>
    <col min="12546" max="12547" width="15.21875" style="474" customWidth="1"/>
    <col min="12548" max="12548" width="16.77734375" style="474" customWidth="1"/>
    <col min="12549" max="12549" width="17.21875" style="474" customWidth="1"/>
    <col min="12550" max="12781" width="9.109375" style="474"/>
    <col min="12782" max="12782" width="6.21875" style="474" customWidth="1"/>
    <col min="12783" max="12783" width="34.77734375" style="474" customWidth="1"/>
    <col min="12784" max="12784" width="13.33203125" style="474" customWidth="1"/>
    <col min="12785" max="12785" width="11.109375" style="474" customWidth="1"/>
    <col min="12786" max="12787" width="16.88671875" style="474" customWidth="1"/>
    <col min="12788" max="12788" width="15.109375" style="474" customWidth="1"/>
    <col min="12789" max="12789" width="13.21875" style="474" customWidth="1"/>
    <col min="12790" max="12790" width="14.77734375" style="474" customWidth="1"/>
    <col min="12791" max="12791" width="15.88671875" style="474" customWidth="1"/>
    <col min="12792" max="12792" width="16.109375" style="474" customWidth="1"/>
    <col min="12793" max="12793" width="16" style="474" customWidth="1"/>
    <col min="12794" max="12794" width="9.33203125" style="474" customWidth="1"/>
    <col min="12795" max="12795" width="12.21875" style="474" customWidth="1"/>
    <col min="12796" max="12796" width="15.109375" style="474" customWidth="1"/>
    <col min="12797" max="12797" width="17.109375" style="474" customWidth="1"/>
    <col min="12798" max="12798" width="17.21875" style="474" customWidth="1"/>
    <col min="12799" max="12799" width="15.21875" style="474" customWidth="1"/>
    <col min="12800" max="12800" width="16.33203125" style="474" customWidth="1"/>
    <col min="12801" max="12801" width="15" style="474" customWidth="1"/>
    <col min="12802" max="12803" width="15.21875" style="474" customWidth="1"/>
    <col min="12804" max="12804" width="16.77734375" style="474" customWidth="1"/>
    <col min="12805" max="12805" width="17.21875" style="474" customWidth="1"/>
    <col min="12806" max="13037" width="9.109375" style="474"/>
    <col min="13038" max="13038" width="6.21875" style="474" customWidth="1"/>
    <col min="13039" max="13039" width="34.77734375" style="474" customWidth="1"/>
    <col min="13040" max="13040" width="13.33203125" style="474" customWidth="1"/>
    <col min="13041" max="13041" width="11.109375" style="474" customWidth="1"/>
    <col min="13042" max="13043" width="16.88671875" style="474" customWidth="1"/>
    <col min="13044" max="13044" width="15.109375" style="474" customWidth="1"/>
    <col min="13045" max="13045" width="13.21875" style="474" customWidth="1"/>
    <col min="13046" max="13046" width="14.77734375" style="474" customWidth="1"/>
    <col min="13047" max="13047" width="15.88671875" style="474" customWidth="1"/>
    <col min="13048" max="13048" width="16.109375" style="474" customWidth="1"/>
    <col min="13049" max="13049" width="16" style="474" customWidth="1"/>
    <col min="13050" max="13050" width="9.33203125" style="474" customWidth="1"/>
    <col min="13051" max="13051" width="12.21875" style="474" customWidth="1"/>
    <col min="13052" max="13052" width="15.109375" style="474" customWidth="1"/>
    <col min="13053" max="13053" width="17.109375" style="474" customWidth="1"/>
    <col min="13054" max="13054" width="17.21875" style="474" customWidth="1"/>
    <col min="13055" max="13055" width="15.21875" style="474" customWidth="1"/>
    <col min="13056" max="13056" width="16.33203125" style="474" customWidth="1"/>
    <col min="13057" max="13057" width="15" style="474" customWidth="1"/>
    <col min="13058" max="13059" width="15.21875" style="474" customWidth="1"/>
    <col min="13060" max="13060" width="16.77734375" style="474" customWidth="1"/>
    <col min="13061" max="13061" width="17.21875" style="474" customWidth="1"/>
    <col min="13062" max="13293" width="9.109375" style="474"/>
    <col min="13294" max="13294" width="6.21875" style="474" customWidth="1"/>
    <col min="13295" max="13295" width="34.77734375" style="474" customWidth="1"/>
    <col min="13296" max="13296" width="13.33203125" style="474" customWidth="1"/>
    <col min="13297" max="13297" width="11.109375" style="474" customWidth="1"/>
    <col min="13298" max="13299" width="16.88671875" style="474" customWidth="1"/>
    <col min="13300" max="13300" width="15.109375" style="474" customWidth="1"/>
    <col min="13301" max="13301" width="13.21875" style="474" customWidth="1"/>
    <col min="13302" max="13302" width="14.77734375" style="474" customWidth="1"/>
    <col min="13303" max="13303" width="15.88671875" style="474" customWidth="1"/>
    <col min="13304" max="13304" width="16.109375" style="474" customWidth="1"/>
    <col min="13305" max="13305" width="16" style="474" customWidth="1"/>
    <col min="13306" max="13306" width="9.33203125" style="474" customWidth="1"/>
    <col min="13307" max="13307" width="12.21875" style="474" customWidth="1"/>
    <col min="13308" max="13308" width="15.109375" style="474" customWidth="1"/>
    <col min="13309" max="13309" width="17.109375" style="474" customWidth="1"/>
    <col min="13310" max="13310" width="17.21875" style="474" customWidth="1"/>
    <col min="13311" max="13311" width="15.21875" style="474" customWidth="1"/>
    <col min="13312" max="13312" width="16.33203125" style="474" customWidth="1"/>
    <col min="13313" max="13313" width="15" style="474" customWidth="1"/>
    <col min="13314" max="13315" width="15.21875" style="474" customWidth="1"/>
    <col min="13316" max="13316" width="16.77734375" style="474" customWidth="1"/>
    <col min="13317" max="13317" width="17.21875" style="474" customWidth="1"/>
    <col min="13318" max="13549" width="9.109375" style="474"/>
    <col min="13550" max="13550" width="6.21875" style="474" customWidth="1"/>
    <col min="13551" max="13551" width="34.77734375" style="474" customWidth="1"/>
    <col min="13552" max="13552" width="13.33203125" style="474" customWidth="1"/>
    <col min="13553" max="13553" width="11.109375" style="474" customWidth="1"/>
    <col min="13554" max="13555" width="16.88671875" style="474" customWidth="1"/>
    <col min="13556" max="13556" width="15.109375" style="474" customWidth="1"/>
    <col min="13557" max="13557" width="13.21875" style="474" customWidth="1"/>
    <col min="13558" max="13558" width="14.77734375" style="474" customWidth="1"/>
    <col min="13559" max="13559" width="15.88671875" style="474" customWidth="1"/>
    <col min="13560" max="13560" width="16.109375" style="474" customWidth="1"/>
    <col min="13561" max="13561" width="16" style="474" customWidth="1"/>
    <col min="13562" max="13562" width="9.33203125" style="474" customWidth="1"/>
    <col min="13563" max="13563" width="12.21875" style="474" customWidth="1"/>
    <col min="13564" max="13564" width="15.109375" style="474" customWidth="1"/>
    <col min="13565" max="13565" width="17.109375" style="474" customWidth="1"/>
    <col min="13566" max="13566" width="17.21875" style="474" customWidth="1"/>
    <col min="13567" max="13567" width="15.21875" style="474" customWidth="1"/>
    <col min="13568" max="13568" width="16.33203125" style="474" customWidth="1"/>
    <col min="13569" max="13569" width="15" style="474" customWidth="1"/>
    <col min="13570" max="13571" width="15.21875" style="474" customWidth="1"/>
    <col min="13572" max="13572" width="16.77734375" style="474" customWidth="1"/>
    <col min="13573" max="13573" width="17.21875" style="474" customWidth="1"/>
    <col min="13574" max="13805" width="9.109375" style="474"/>
    <col min="13806" max="13806" width="6.21875" style="474" customWidth="1"/>
    <col min="13807" max="13807" width="34.77734375" style="474" customWidth="1"/>
    <col min="13808" max="13808" width="13.33203125" style="474" customWidth="1"/>
    <col min="13809" max="13809" width="11.109375" style="474" customWidth="1"/>
    <col min="13810" max="13811" width="16.88671875" style="474" customWidth="1"/>
    <col min="13812" max="13812" width="15.109375" style="474" customWidth="1"/>
    <col min="13813" max="13813" width="13.21875" style="474" customWidth="1"/>
    <col min="13814" max="13814" width="14.77734375" style="474" customWidth="1"/>
    <col min="13815" max="13815" width="15.88671875" style="474" customWidth="1"/>
    <col min="13816" max="13816" width="16.109375" style="474" customWidth="1"/>
    <col min="13817" max="13817" width="16" style="474" customWidth="1"/>
    <col min="13818" max="13818" width="9.33203125" style="474" customWidth="1"/>
    <col min="13819" max="13819" width="12.21875" style="474" customWidth="1"/>
    <col min="13820" max="13820" width="15.109375" style="474" customWidth="1"/>
    <col min="13821" max="13821" width="17.109375" style="474" customWidth="1"/>
    <col min="13822" max="13822" width="17.21875" style="474" customWidth="1"/>
    <col min="13823" max="13823" width="15.21875" style="474" customWidth="1"/>
    <col min="13824" max="13824" width="16.33203125" style="474" customWidth="1"/>
    <col min="13825" max="13825" width="15" style="474" customWidth="1"/>
    <col min="13826" max="13827" width="15.21875" style="474" customWidth="1"/>
    <col min="13828" max="13828" width="16.77734375" style="474" customWidth="1"/>
    <col min="13829" max="13829" width="17.21875" style="474" customWidth="1"/>
    <col min="13830" max="14061" width="9.109375" style="474"/>
    <col min="14062" max="14062" width="6.21875" style="474" customWidth="1"/>
    <col min="14063" max="14063" width="34.77734375" style="474" customWidth="1"/>
    <col min="14064" max="14064" width="13.33203125" style="474" customWidth="1"/>
    <col min="14065" max="14065" width="11.109375" style="474" customWidth="1"/>
    <col min="14066" max="14067" width="16.88671875" style="474" customWidth="1"/>
    <col min="14068" max="14068" width="15.109375" style="474" customWidth="1"/>
    <col min="14069" max="14069" width="13.21875" style="474" customWidth="1"/>
    <col min="14070" max="14070" width="14.77734375" style="474" customWidth="1"/>
    <col min="14071" max="14071" width="15.88671875" style="474" customWidth="1"/>
    <col min="14072" max="14072" width="16.109375" style="474" customWidth="1"/>
    <col min="14073" max="14073" width="16" style="474" customWidth="1"/>
    <col min="14074" max="14074" width="9.33203125" style="474" customWidth="1"/>
    <col min="14075" max="14075" width="12.21875" style="474" customWidth="1"/>
    <col min="14076" max="14076" width="15.109375" style="474" customWidth="1"/>
    <col min="14077" max="14077" width="17.109375" style="474" customWidth="1"/>
    <col min="14078" max="14078" width="17.21875" style="474" customWidth="1"/>
    <col min="14079" max="14079" width="15.21875" style="474" customWidth="1"/>
    <col min="14080" max="14080" width="16.33203125" style="474" customWidth="1"/>
    <col min="14081" max="14081" width="15" style="474" customWidth="1"/>
    <col min="14082" max="14083" width="15.21875" style="474" customWidth="1"/>
    <col min="14084" max="14084" width="16.77734375" style="474" customWidth="1"/>
    <col min="14085" max="14085" width="17.21875" style="474" customWidth="1"/>
    <col min="14086" max="14317" width="9.109375" style="474"/>
    <col min="14318" max="14318" width="6.21875" style="474" customWidth="1"/>
    <col min="14319" max="14319" width="34.77734375" style="474" customWidth="1"/>
    <col min="14320" max="14320" width="13.33203125" style="474" customWidth="1"/>
    <col min="14321" max="14321" width="11.109375" style="474" customWidth="1"/>
    <col min="14322" max="14323" width="16.88671875" style="474" customWidth="1"/>
    <col min="14324" max="14324" width="15.109375" style="474" customWidth="1"/>
    <col min="14325" max="14325" width="13.21875" style="474" customWidth="1"/>
    <col min="14326" max="14326" width="14.77734375" style="474" customWidth="1"/>
    <col min="14327" max="14327" width="15.88671875" style="474" customWidth="1"/>
    <col min="14328" max="14328" width="16.109375" style="474" customWidth="1"/>
    <col min="14329" max="14329" width="16" style="474" customWidth="1"/>
    <col min="14330" max="14330" width="9.33203125" style="474" customWidth="1"/>
    <col min="14331" max="14331" width="12.21875" style="474" customWidth="1"/>
    <col min="14332" max="14332" width="15.109375" style="474" customWidth="1"/>
    <col min="14333" max="14333" width="17.109375" style="474" customWidth="1"/>
    <col min="14334" max="14334" width="17.21875" style="474" customWidth="1"/>
    <col min="14335" max="14335" width="15.21875" style="474" customWidth="1"/>
    <col min="14336" max="14336" width="16.33203125" style="474" customWidth="1"/>
    <col min="14337" max="14337" width="15" style="474" customWidth="1"/>
    <col min="14338" max="14339" width="15.21875" style="474" customWidth="1"/>
    <col min="14340" max="14340" width="16.77734375" style="474" customWidth="1"/>
    <col min="14341" max="14341" width="17.21875" style="474" customWidth="1"/>
    <col min="14342" max="14573" width="9.109375" style="474"/>
    <col min="14574" max="14574" width="6.21875" style="474" customWidth="1"/>
    <col min="14575" max="14575" width="34.77734375" style="474" customWidth="1"/>
    <col min="14576" max="14576" width="13.33203125" style="474" customWidth="1"/>
    <col min="14577" max="14577" width="11.109375" style="474" customWidth="1"/>
    <col min="14578" max="14579" width="16.88671875" style="474" customWidth="1"/>
    <col min="14580" max="14580" width="15.109375" style="474" customWidth="1"/>
    <col min="14581" max="14581" width="13.21875" style="474" customWidth="1"/>
    <col min="14582" max="14582" width="14.77734375" style="474" customWidth="1"/>
    <col min="14583" max="14583" width="15.88671875" style="474" customWidth="1"/>
    <col min="14584" max="14584" width="16.109375" style="474" customWidth="1"/>
    <col min="14585" max="14585" width="16" style="474" customWidth="1"/>
    <col min="14586" max="14586" width="9.33203125" style="474" customWidth="1"/>
    <col min="14587" max="14587" width="12.21875" style="474" customWidth="1"/>
    <col min="14588" max="14588" width="15.109375" style="474" customWidth="1"/>
    <col min="14589" max="14589" width="17.109375" style="474" customWidth="1"/>
    <col min="14590" max="14590" width="17.21875" style="474" customWidth="1"/>
    <col min="14591" max="14591" width="15.21875" style="474" customWidth="1"/>
    <col min="14592" max="14592" width="16.33203125" style="474" customWidth="1"/>
    <col min="14593" max="14593" width="15" style="474" customWidth="1"/>
    <col min="14594" max="14595" width="15.21875" style="474" customWidth="1"/>
    <col min="14596" max="14596" width="16.77734375" style="474" customWidth="1"/>
    <col min="14597" max="14597" width="17.21875" style="474" customWidth="1"/>
    <col min="14598" max="14829" width="9.109375" style="474"/>
    <col min="14830" max="14830" width="6.21875" style="474" customWidth="1"/>
    <col min="14831" max="14831" width="34.77734375" style="474" customWidth="1"/>
    <col min="14832" max="14832" width="13.33203125" style="474" customWidth="1"/>
    <col min="14833" max="14833" width="11.109375" style="474" customWidth="1"/>
    <col min="14834" max="14835" width="16.88671875" style="474" customWidth="1"/>
    <col min="14836" max="14836" width="15.109375" style="474" customWidth="1"/>
    <col min="14837" max="14837" width="13.21875" style="474" customWidth="1"/>
    <col min="14838" max="14838" width="14.77734375" style="474" customWidth="1"/>
    <col min="14839" max="14839" width="15.88671875" style="474" customWidth="1"/>
    <col min="14840" max="14840" width="16.109375" style="474" customWidth="1"/>
    <col min="14841" max="14841" width="16" style="474" customWidth="1"/>
    <col min="14842" max="14842" width="9.33203125" style="474" customWidth="1"/>
    <col min="14843" max="14843" width="12.21875" style="474" customWidth="1"/>
    <col min="14844" max="14844" width="15.109375" style="474" customWidth="1"/>
    <col min="14845" max="14845" width="17.109375" style="474" customWidth="1"/>
    <col min="14846" max="14846" width="17.21875" style="474" customWidth="1"/>
    <col min="14847" max="14847" width="15.21875" style="474" customWidth="1"/>
    <col min="14848" max="14848" width="16.33203125" style="474" customWidth="1"/>
    <col min="14849" max="14849" width="15" style="474" customWidth="1"/>
    <col min="14850" max="14851" width="15.21875" style="474" customWidth="1"/>
    <col min="14852" max="14852" width="16.77734375" style="474" customWidth="1"/>
    <col min="14853" max="14853" width="17.21875" style="474" customWidth="1"/>
    <col min="14854" max="15085" width="9.109375" style="474"/>
    <col min="15086" max="15086" width="6.21875" style="474" customWidth="1"/>
    <col min="15087" max="15087" width="34.77734375" style="474" customWidth="1"/>
    <col min="15088" max="15088" width="13.33203125" style="474" customWidth="1"/>
    <col min="15089" max="15089" width="11.109375" style="474" customWidth="1"/>
    <col min="15090" max="15091" width="16.88671875" style="474" customWidth="1"/>
    <col min="15092" max="15092" width="15.109375" style="474" customWidth="1"/>
    <col min="15093" max="15093" width="13.21875" style="474" customWidth="1"/>
    <col min="15094" max="15094" width="14.77734375" style="474" customWidth="1"/>
    <col min="15095" max="15095" width="15.88671875" style="474" customWidth="1"/>
    <col min="15096" max="15096" width="16.109375" style="474" customWidth="1"/>
    <col min="15097" max="15097" width="16" style="474" customWidth="1"/>
    <col min="15098" max="15098" width="9.33203125" style="474" customWidth="1"/>
    <col min="15099" max="15099" width="12.21875" style="474" customWidth="1"/>
    <col min="15100" max="15100" width="15.109375" style="474" customWidth="1"/>
    <col min="15101" max="15101" width="17.109375" style="474" customWidth="1"/>
    <col min="15102" max="15102" width="17.21875" style="474" customWidth="1"/>
    <col min="15103" max="15103" width="15.21875" style="474" customWidth="1"/>
    <col min="15104" max="15104" width="16.33203125" style="474" customWidth="1"/>
    <col min="15105" max="15105" width="15" style="474" customWidth="1"/>
    <col min="15106" max="15107" width="15.21875" style="474" customWidth="1"/>
    <col min="15108" max="15108" width="16.77734375" style="474" customWidth="1"/>
    <col min="15109" max="15109" width="17.21875" style="474" customWidth="1"/>
    <col min="15110" max="15341" width="9.109375" style="474"/>
    <col min="15342" max="15342" width="6.21875" style="474" customWidth="1"/>
    <col min="15343" max="15343" width="34.77734375" style="474" customWidth="1"/>
    <col min="15344" max="15344" width="13.33203125" style="474" customWidth="1"/>
    <col min="15345" max="15345" width="11.109375" style="474" customWidth="1"/>
    <col min="15346" max="15347" width="16.88671875" style="474" customWidth="1"/>
    <col min="15348" max="15348" width="15.109375" style="474" customWidth="1"/>
    <col min="15349" max="15349" width="13.21875" style="474" customWidth="1"/>
    <col min="15350" max="15350" width="14.77734375" style="474" customWidth="1"/>
    <col min="15351" max="15351" width="15.88671875" style="474" customWidth="1"/>
    <col min="15352" max="15352" width="16.109375" style="474" customWidth="1"/>
    <col min="15353" max="15353" width="16" style="474" customWidth="1"/>
    <col min="15354" max="15354" width="9.33203125" style="474" customWidth="1"/>
    <col min="15355" max="15355" width="12.21875" style="474" customWidth="1"/>
    <col min="15356" max="15356" width="15.109375" style="474" customWidth="1"/>
    <col min="15357" max="15357" width="17.109375" style="474" customWidth="1"/>
    <col min="15358" max="15358" width="17.21875" style="474" customWidth="1"/>
    <col min="15359" max="15359" width="15.21875" style="474" customWidth="1"/>
    <col min="15360" max="15360" width="16.33203125" style="474" customWidth="1"/>
    <col min="15361" max="15361" width="15" style="474" customWidth="1"/>
    <col min="15362" max="15363" width="15.21875" style="474" customWidth="1"/>
    <col min="15364" max="15364" width="16.77734375" style="474" customWidth="1"/>
    <col min="15365" max="15365" width="17.21875" style="474" customWidth="1"/>
    <col min="15366" max="15597" width="9.109375" style="474"/>
    <col min="15598" max="15598" width="6.21875" style="474" customWidth="1"/>
    <col min="15599" max="15599" width="34.77734375" style="474" customWidth="1"/>
    <col min="15600" max="15600" width="13.33203125" style="474" customWidth="1"/>
    <col min="15601" max="15601" width="11.109375" style="474" customWidth="1"/>
    <col min="15602" max="15603" width="16.88671875" style="474" customWidth="1"/>
    <col min="15604" max="15604" width="15.109375" style="474" customWidth="1"/>
    <col min="15605" max="15605" width="13.21875" style="474" customWidth="1"/>
    <col min="15606" max="15606" width="14.77734375" style="474" customWidth="1"/>
    <col min="15607" max="15607" width="15.88671875" style="474" customWidth="1"/>
    <col min="15608" max="15608" width="16.109375" style="474" customWidth="1"/>
    <col min="15609" max="15609" width="16" style="474" customWidth="1"/>
    <col min="15610" max="15610" width="9.33203125" style="474" customWidth="1"/>
    <col min="15611" max="15611" width="12.21875" style="474" customWidth="1"/>
    <col min="15612" max="15612" width="15.109375" style="474" customWidth="1"/>
    <col min="15613" max="15613" width="17.109375" style="474" customWidth="1"/>
    <col min="15614" max="15614" width="17.21875" style="474" customWidth="1"/>
    <col min="15615" max="15615" width="15.21875" style="474" customWidth="1"/>
    <col min="15616" max="15616" width="16.33203125" style="474" customWidth="1"/>
    <col min="15617" max="15617" width="15" style="474" customWidth="1"/>
    <col min="15618" max="15619" width="15.21875" style="474" customWidth="1"/>
    <col min="15620" max="15620" width="16.77734375" style="474" customWidth="1"/>
    <col min="15621" max="15621" width="17.21875" style="474" customWidth="1"/>
    <col min="15622" max="15853" width="9.109375" style="474"/>
    <col min="15854" max="15854" width="6.21875" style="474" customWidth="1"/>
    <col min="15855" max="15855" width="34.77734375" style="474" customWidth="1"/>
    <col min="15856" max="15856" width="13.33203125" style="474" customWidth="1"/>
    <col min="15857" max="15857" width="11.109375" style="474" customWidth="1"/>
    <col min="15858" max="15859" width="16.88671875" style="474" customWidth="1"/>
    <col min="15860" max="15860" width="15.109375" style="474" customWidth="1"/>
    <col min="15861" max="15861" width="13.21875" style="474" customWidth="1"/>
    <col min="15862" max="15862" width="14.77734375" style="474" customWidth="1"/>
    <col min="15863" max="15863" width="15.88671875" style="474" customWidth="1"/>
    <col min="15864" max="15864" width="16.109375" style="474" customWidth="1"/>
    <col min="15865" max="15865" width="16" style="474" customWidth="1"/>
    <col min="15866" max="15866" width="9.33203125" style="474" customWidth="1"/>
    <col min="15867" max="15867" width="12.21875" style="474" customWidth="1"/>
    <col min="15868" max="15868" width="15.109375" style="474" customWidth="1"/>
    <col min="15869" max="15869" width="17.109375" style="474" customWidth="1"/>
    <col min="15870" max="15870" width="17.21875" style="474" customWidth="1"/>
    <col min="15871" max="15871" width="15.21875" style="474" customWidth="1"/>
    <col min="15872" max="15872" width="16.33203125" style="474" customWidth="1"/>
    <col min="15873" max="15873" width="15" style="474" customWidth="1"/>
    <col min="15874" max="15875" width="15.21875" style="474" customWidth="1"/>
    <col min="15876" max="15876" width="16.77734375" style="474" customWidth="1"/>
    <col min="15877" max="15877" width="17.21875" style="474" customWidth="1"/>
    <col min="15878" max="16109" width="9.109375" style="474"/>
    <col min="16110" max="16110" width="6.21875" style="474" customWidth="1"/>
    <col min="16111" max="16111" width="34.77734375" style="474" customWidth="1"/>
    <col min="16112" max="16112" width="13.33203125" style="474" customWidth="1"/>
    <col min="16113" max="16113" width="11.109375" style="474" customWidth="1"/>
    <col min="16114" max="16115" width="16.88671875" style="474" customWidth="1"/>
    <col min="16116" max="16116" width="15.109375" style="474" customWidth="1"/>
    <col min="16117" max="16117" width="13.21875" style="474" customWidth="1"/>
    <col min="16118" max="16118" width="14.77734375" style="474" customWidth="1"/>
    <col min="16119" max="16119" width="15.88671875" style="474" customWidth="1"/>
    <col min="16120" max="16120" width="16.109375" style="474" customWidth="1"/>
    <col min="16121" max="16121" width="16" style="474" customWidth="1"/>
    <col min="16122" max="16122" width="9.33203125" style="474" customWidth="1"/>
    <col min="16123" max="16123" width="12.21875" style="474" customWidth="1"/>
    <col min="16124" max="16124" width="15.109375" style="474" customWidth="1"/>
    <col min="16125" max="16125" width="17.109375" style="474" customWidth="1"/>
    <col min="16126" max="16126" width="17.21875" style="474" customWidth="1"/>
    <col min="16127" max="16127" width="15.21875" style="474" customWidth="1"/>
    <col min="16128" max="16128" width="16.33203125" style="474" customWidth="1"/>
    <col min="16129" max="16129" width="15" style="474" customWidth="1"/>
    <col min="16130" max="16131" width="15.21875" style="474" customWidth="1"/>
    <col min="16132" max="16132" width="16.77734375" style="474" customWidth="1"/>
    <col min="16133" max="16133" width="17.21875" style="474" customWidth="1"/>
    <col min="16134" max="16384" width="9.109375" style="474"/>
  </cols>
  <sheetData>
    <row r="2" spans="1:27">
      <c r="A2" s="847" t="s">
        <v>450</v>
      </c>
      <c r="B2" s="847"/>
      <c r="C2" s="847"/>
      <c r="D2" s="847"/>
      <c r="E2" s="847"/>
      <c r="F2" s="847"/>
      <c r="G2" s="847"/>
      <c r="H2" s="847"/>
      <c r="I2" s="847"/>
      <c r="J2" s="847"/>
      <c r="K2" s="847"/>
      <c r="L2" s="847"/>
      <c r="M2" s="847"/>
      <c r="N2" s="847"/>
      <c r="O2" s="847"/>
      <c r="P2" s="847"/>
      <c r="Q2" s="847"/>
      <c r="R2" s="847"/>
      <c r="S2" s="847"/>
      <c r="T2" s="847"/>
      <c r="U2" s="847"/>
      <c r="V2" s="847"/>
      <c r="W2" s="847"/>
      <c r="X2" s="847"/>
    </row>
    <row r="3" spans="1:27" s="475" customFormat="1">
      <c r="A3" s="848" t="s">
        <v>451</v>
      </c>
      <c r="B3" s="848"/>
      <c r="C3" s="848"/>
      <c r="D3" s="848"/>
      <c r="E3" s="848"/>
      <c r="F3" s="848"/>
      <c r="G3" s="848"/>
      <c r="H3" s="848"/>
      <c r="I3" s="848"/>
      <c r="J3" s="848"/>
      <c r="K3" s="848"/>
      <c r="L3" s="848"/>
      <c r="M3" s="848"/>
      <c r="N3" s="848"/>
      <c r="O3" s="848"/>
      <c r="P3" s="848"/>
      <c r="Q3" s="848"/>
      <c r="R3" s="848"/>
      <c r="S3" s="848"/>
      <c r="T3" s="848"/>
      <c r="U3" s="848"/>
      <c r="V3" s="848"/>
      <c r="W3" s="848"/>
      <c r="X3" s="848"/>
    </row>
    <row r="4" spans="1:27">
      <c r="A4" s="476"/>
    </row>
    <row r="5" spans="1:27" s="479" customFormat="1" ht="21">
      <c r="A5" s="849" t="s">
        <v>452</v>
      </c>
      <c r="B5" s="849"/>
      <c r="C5" s="849"/>
      <c r="D5" s="849"/>
      <c r="E5" s="849"/>
      <c r="F5" s="849"/>
      <c r="G5" s="849"/>
      <c r="H5" s="478"/>
      <c r="I5" s="478"/>
    </row>
    <row r="6" spans="1:27" s="479" customFormat="1" ht="21">
      <c r="D6" s="480"/>
      <c r="E6" s="478"/>
      <c r="F6" s="478"/>
      <c r="G6" s="478"/>
      <c r="H6" s="478"/>
      <c r="I6" s="478"/>
    </row>
    <row r="7" spans="1:27" s="479" customFormat="1" ht="21">
      <c r="A7" s="849" t="s">
        <v>453</v>
      </c>
      <c r="B7" s="849"/>
      <c r="C7" s="849"/>
      <c r="D7" s="849"/>
      <c r="E7" s="849"/>
      <c r="F7" s="849"/>
      <c r="G7" s="849"/>
      <c r="H7" s="849"/>
      <c r="I7" s="849"/>
      <c r="J7" s="849"/>
      <c r="K7" s="849"/>
      <c r="L7" s="849"/>
      <c r="M7" s="849"/>
      <c r="N7" s="849"/>
      <c r="O7" s="849"/>
      <c r="P7" s="849"/>
      <c r="Q7" s="849"/>
      <c r="R7" s="849"/>
      <c r="S7" s="849"/>
      <c r="T7" s="849"/>
      <c r="U7" s="849"/>
      <c r="V7" s="849"/>
      <c r="W7" s="849"/>
      <c r="X7" s="849"/>
    </row>
    <row r="8" spans="1:27">
      <c r="A8" s="476"/>
    </row>
    <row r="9" spans="1:27">
      <c r="A9" s="850" t="s">
        <v>454</v>
      </c>
      <c r="B9" s="850"/>
      <c r="C9" s="850"/>
      <c r="D9" s="850"/>
      <c r="E9" s="850"/>
      <c r="F9" s="850"/>
      <c r="G9" s="850"/>
      <c r="H9" s="850"/>
      <c r="I9" s="850"/>
      <c r="J9" s="850"/>
      <c r="K9" s="850"/>
      <c r="L9" s="850"/>
      <c r="M9" s="850"/>
      <c r="N9" s="850"/>
      <c r="O9" s="850"/>
      <c r="P9" s="850"/>
      <c r="Q9" s="850"/>
      <c r="R9" s="850"/>
      <c r="S9" s="850"/>
      <c r="T9" s="850"/>
      <c r="U9" s="850"/>
      <c r="V9" s="850"/>
      <c r="W9" s="850"/>
      <c r="X9" s="850"/>
    </row>
    <row r="10" spans="1:27" s="483" customFormat="1" ht="36" customHeight="1">
      <c r="A10" s="845" t="s">
        <v>16</v>
      </c>
      <c r="B10" s="845" t="s">
        <v>62</v>
      </c>
      <c r="C10" s="845" t="s">
        <v>455</v>
      </c>
      <c r="D10" s="845" t="s">
        <v>456</v>
      </c>
      <c r="E10" s="846" t="s">
        <v>3</v>
      </c>
      <c r="F10" s="846" t="s">
        <v>457</v>
      </c>
      <c r="G10" s="846"/>
      <c r="H10" s="846" t="s">
        <v>458</v>
      </c>
      <c r="I10" s="846" t="s">
        <v>459</v>
      </c>
      <c r="J10" s="845" t="s">
        <v>460</v>
      </c>
      <c r="K10" s="845"/>
      <c r="L10" s="845"/>
      <c r="M10" s="845"/>
      <c r="N10" s="845"/>
      <c r="O10" s="845"/>
      <c r="P10" s="845" t="s">
        <v>461</v>
      </c>
      <c r="Q10" s="845"/>
      <c r="R10" s="845"/>
      <c r="S10" s="845"/>
      <c r="T10" s="845"/>
      <c r="U10" s="845"/>
      <c r="V10" s="845" t="s">
        <v>462</v>
      </c>
      <c r="W10" s="845" t="s">
        <v>463</v>
      </c>
      <c r="X10" s="845" t="s">
        <v>464</v>
      </c>
    </row>
    <row r="11" spans="1:27" s="483" customFormat="1" ht="30.75" customHeight="1">
      <c r="A11" s="845"/>
      <c r="B11" s="845"/>
      <c r="C11" s="845"/>
      <c r="D11" s="845"/>
      <c r="E11" s="846"/>
      <c r="F11" s="846"/>
      <c r="G11" s="846"/>
      <c r="H11" s="846"/>
      <c r="I11" s="846"/>
      <c r="J11" s="845" t="s">
        <v>465</v>
      </c>
      <c r="K11" s="845" t="s">
        <v>466</v>
      </c>
      <c r="L11" s="845"/>
      <c r="M11" s="845"/>
      <c r="N11" s="851" t="s">
        <v>467</v>
      </c>
      <c r="O11" s="845" t="s">
        <v>468</v>
      </c>
      <c r="P11" s="845" t="s">
        <v>469</v>
      </c>
      <c r="Q11" s="845" t="s">
        <v>466</v>
      </c>
      <c r="R11" s="845"/>
      <c r="S11" s="845"/>
      <c r="T11" s="851" t="s">
        <v>470</v>
      </c>
      <c r="U11" s="845" t="s">
        <v>468</v>
      </c>
      <c r="V11" s="845"/>
      <c r="W11" s="845"/>
      <c r="X11" s="845"/>
    </row>
    <row r="12" spans="1:27" s="483" customFormat="1" ht="89.25" customHeight="1">
      <c r="A12" s="845"/>
      <c r="B12" s="845"/>
      <c r="C12" s="845"/>
      <c r="D12" s="845"/>
      <c r="E12" s="846"/>
      <c r="F12" s="482" t="s">
        <v>28</v>
      </c>
      <c r="G12" s="482" t="s">
        <v>471</v>
      </c>
      <c r="H12" s="846"/>
      <c r="I12" s="846"/>
      <c r="J12" s="845"/>
      <c r="K12" s="481" t="s">
        <v>472</v>
      </c>
      <c r="L12" s="481" t="s">
        <v>63</v>
      </c>
      <c r="M12" s="481" t="s">
        <v>473</v>
      </c>
      <c r="N12" s="852"/>
      <c r="O12" s="845"/>
      <c r="P12" s="845"/>
      <c r="Q12" s="481" t="s">
        <v>28</v>
      </c>
      <c r="R12" s="481" t="s">
        <v>63</v>
      </c>
      <c r="S12" s="481" t="s">
        <v>473</v>
      </c>
      <c r="T12" s="852"/>
      <c r="U12" s="845"/>
      <c r="V12" s="845"/>
      <c r="W12" s="845"/>
      <c r="X12" s="845"/>
    </row>
    <row r="13" spans="1:27" ht="31.5" customHeight="1">
      <c r="A13" s="484">
        <v>1</v>
      </c>
      <c r="B13" s="484">
        <v>2</v>
      </c>
      <c r="C13" s="484">
        <v>3</v>
      </c>
      <c r="D13" s="484">
        <v>4</v>
      </c>
      <c r="E13" s="484">
        <v>5</v>
      </c>
      <c r="F13" s="484">
        <v>6</v>
      </c>
      <c r="G13" s="484">
        <v>7</v>
      </c>
      <c r="H13" s="484">
        <v>8</v>
      </c>
      <c r="I13" s="484">
        <v>9</v>
      </c>
      <c r="J13" s="484">
        <v>10</v>
      </c>
      <c r="K13" s="484" t="s">
        <v>474</v>
      </c>
      <c r="L13" s="484">
        <v>12</v>
      </c>
      <c r="M13" s="484">
        <v>13</v>
      </c>
      <c r="N13" s="484">
        <v>14</v>
      </c>
      <c r="O13" s="484" t="s">
        <v>475</v>
      </c>
      <c r="P13" s="484">
        <v>16</v>
      </c>
      <c r="Q13" s="484" t="s">
        <v>476</v>
      </c>
      <c r="R13" s="484">
        <v>18</v>
      </c>
      <c r="S13" s="484">
        <v>19</v>
      </c>
      <c r="T13" s="484">
        <v>20</v>
      </c>
      <c r="U13" s="484" t="s">
        <v>477</v>
      </c>
      <c r="V13" s="484" t="s">
        <v>478</v>
      </c>
      <c r="W13" s="484" t="s">
        <v>479</v>
      </c>
      <c r="X13" s="484" t="s">
        <v>480</v>
      </c>
    </row>
    <row r="14" spans="1:27" s="487" customFormat="1" ht="25.5" customHeight="1">
      <c r="A14" s="484"/>
      <c r="B14" s="484" t="s">
        <v>76</v>
      </c>
      <c r="C14" s="484"/>
      <c r="D14" s="484"/>
      <c r="E14" s="485">
        <v>1259227.6000000001</v>
      </c>
      <c r="F14" s="485">
        <v>442994.62598299998</v>
      </c>
      <c r="G14" s="485">
        <v>67682.207947999996</v>
      </c>
      <c r="H14" s="485">
        <v>0</v>
      </c>
      <c r="I14" s="485">
        <v>58579.552947999997</v>
      </c>
      <c r="J14" s="485">
        <v>25860.437956999998</v>
      </c>
      <c r="K14" s="485">
        <v>24945.029114000001</v>
      </c>
      <c r="L14" s="485">
        <v>23484.596206999999</v>
      </c>
      <c r="M14" s="485">
        <v>1460.4329069999999</v>
      </c>
      <c r="N14" s="485">
        <v>0</v>
      </c>
      <c r="O14" s="485">
        <v>915.40884300000005</v>
      </c>
      <c r="P14" s="485">
        <v>403857.49457699998</v>
      </c>
      <c r="Q14" s="485">
        <v>323118.17863184592</v>
      </c>
      <c r="R14" s="485">
        <v>299537.16141484596</v>
      </c>
      <c r="S14" s="485">
        <v>23581.017217000001</v>
      </c>
      <c r="T14" s="485">
        <v>11491.090577999999</v>
      </c>
      <c r="U14" s="485">
        <v>69248.225367154038</v>
      </c>
      <c r="V14" s="485">
        <v>381601.31056984595</v>
      </c>
      <c r="W14" s="485">
        <v>34144.105124000002</v>
      </c>
      <c r="X14" s="485">
        <v>791057.83372884593</v>
      </c>
      <c r="Y14" s="486">
        <f t="shared" ref="Y14:AA14" si="0">+$F$14-$H$14+$K$14+$Q$14</f>
        <v>791057.83372884593</v>
      </c>
      <c r="Z14" s="486">
        <f t="shared" si="0"/>
        <v>791057.83372884593</v>
      </c>
      <c r="AA14" s="486">
        <f t="shared" si="0"/>
        <v>791057.83372884593</v>
      </c>
    </row>
    <row r="15" spans="1:27" s="492" customFormat="1" ht="26.25" customHeight="1">
      <c r="A15" s="488"/>
      <c r="B15" s="489" t="s">
        <v>481</v>
      </c>
      <c r="C15" s="488"/>
      <c r="D15" s="488"/>
      <c r="E15" s="485">
        <v>1259227.6000000001</v>
      </c>
      <c r="F15" s="485">
        <v>442994.62598299998</v>
      </c>
      <c r="G15" s="485">
        <v>67682.207947999996</v>
      </c>
      <c r="H15" s="485">
        <v>0</v>
      </c>
      <c r="I15" s="485">
        <v>58579.552947999997</v>
      </c>
      <c r="J15" s="485">
        <v>25860.437956999998</v>
      </c>
      <c r="K15" s="485">
        <v>24945.029114000001</v>
      </c>
      <c r="L15" s="485">
        <v>23484.596206999999</v>
      </c>
      <c r="M15" s="485">
        <v>1460.4329069999999</v>
      </c>
      <c r="N15" s="485">
        <v>0</v>
      </c>
      <c r="O15" s="485">
        <v>915.40884300000005</v>
      </c>
      <c r="P15" s="485">
        <v>403857.49457699998</v>
      </c>
      <c r="Q15" s="485">
        <v>323118.17863184592</v>
      </c>
      <c r="R15" s="485">
        <v>299537.16141484596</v>
      </c>
      <c r="S15" s="485">
        <v>23581.017217000001</v>
      </c>
      <c r="T15" s="485">
        <v>11491.090577999999</v>
      </c>
      <c r="U15" s="485">
        <v>69248.225367154038</v>
      </c>
      <c r="V15" s="485">
        <v>381601.31056984595</v>
      </c>
      <c r="W15" s="485">
        <v>34144.105124000002</v>
      </c>
      <c r="X15" s="485">
        <v>791057.83372884593</v>
      </c>
      <c r="Y15" s="490">
        <f t="shared" ref="Y15:Y18" si="1">+X15-Q15</f>
        <v>467939.65509700001</v>
      </c>
      <c r="Z15" s="491">
        <f t="shared" ref="Z15:Z18" si="2">+Y15-F15</f>
        <v>24945.029114000034</v>
      </c>
    </row>
    <row r="16" spans="1:27" s="494" customFormat="1" ht="26.25" customHeight="1">
      <c r="A16" s="493"/>
      <c r="B16" s="489" t="s">
        <v>482</v>
      </c>
      <c r="C16" s="493"/>
      <c r="D16" s="493"/>
      <c r="E16" s="485">
        <v>0</v>
      </c>
      <c r="F16" s="485">
        <v>0</v>
      </c>
      <c r="G16" s="485">
        <v>0</v>
      </c>
      <c r="H16" s="485">
        <v>0</v>
      </c>
      <c r="I16" s="485">
        <v>0</v>
      </c>
      <c r="J16" s="485">
        <v>0</v>
      </c>
      <c r="K16" s="485">
        <v>0</v>
      </c>
      <c r="L16" s="485">
        <v>0</v>
      </c>
      <c r="M16" s="485">
        <v>0</v>
      </c>
      <c r="N16" s="485">
        <v>0</v>
      </c>
      <c r="O16" s="485">
        <v>0</v>
      </c>
      <c r="P16" s="485">
        <v>0</v>
      </c>
      <c r="Q16" s="485">
        <v>0</v>
      </c>
      <c r="R16" s="485">
        <v>0</v>
      </c>
      <c r="S16" s="485">
        <v>0</v>
      </c>
      <c r="T16" s="485">
        <v>0</v>
      </c>
      <c r="U16" s="485">
        <v>0</v>
      </c>
      <c r="V16" s="485">
        <v>0</v>
      </c>
      <c r="W16" s="485">
        <v>0</v>
      </c>
      <c r="X16" s="485">
        <v>0</v>
      </c>
      <c r="Y16" s="490">
        <f t="shared" si="1"/>
        <v>0</v>
      </c>
      <c r="Z16" s="491">
        <f t="shared" si="2"/>
        <v>0</v>
      </c>
    </row>
    <row r="17" spans="1:26" s="494" customFormat="1" ht="32.25" customHeight="1">
      <c r="A17" s="493"/>
      <c r="B17" s="495" t="s">
        <v>483</v>
      </c>
      <c r="C17" s="493"/>
      <c r="D17" s="493"/>
      <c r="E17" s="485">
        <v>0</v>
      </c>
      <c r="F17" s="485">
        <v>0</v>
      </c>
      <c r="G17" s="485">
        <v>0</v>
      </c>
      <c r="H17" s="485">
        <v>0</v>
      </c>
      <c r="I17" s="485">
        <v>0</v>
      </c>
      <c r="J17" s="485">
        <v>0</v>
      </c>
      <c r="K17" s="485">
        <v>0</v>
      </c>
      <c r="L17" s="485">
        <v>0</v>
      </c>
      <c r="M17" s="485">
        <v>0</v>
      </c>
      <c r="N17" s="485">
        <v>0</v>
      </c>
      <c r="O17" s="485">
        <v>0</v>
      </c>
      <c r="P17" s="485">
        <v>0</v>
      </c>
      <c r="Q17" s="485">
        <v>0</v>
      </c>
      <c r="R17" s="485">
        <v>0</v>
      </c>
      <c r="S17" s="485">
        <v>0</v>
      </c>
      <c r="T17" s="485">
        <v>0</v>
      </c>
      <c r="U17" s="485">
        <v>0</v>
      </c>
      <c r="V17" s="485">
        <v>0</v>
      </c>
      <c r="W17" s="485">
        <v>0</v>
      </c>
      <c r="X17" s="485">
        <v>0</v>
      </c>
      <c r="Y17" s="490">
        <f t="shared" si="1"/>
        <v>0</v>
      </c>
      <c r="Z17" s="491">
        <f t="shared" si="2"/>
        <v>0</v>
      </c>
    </row>
    <row r="18" spans="1:26" s="494" customFormat="1" ht="32.25" customHeight="1">
      <c r="A18" s="493"/>
      <c r="B18" s="495" t="s">
        <v>484</v>
      </c>
      <c r="C18" s="493"/>
      <c r="D18" s="493"/>
      <c r="E18" s="485">
        <v>0</v>
      </c>
      <c r="F18" s="485">
        <v>0</v>
      </c>
      <c r="G18" s="485">
        <v>0</v>
      </c>
      <c r="H18" s="485">
        <v>0</v>
      </c>
      <c r="I18" s="485">
        <v>0</v>
      </c>
      <c r="J18" s="485">
        <v>0</v>
      </c>
      <c r="K18" s="485">
        <v>0</v>
      </c>
      <c r="L18" s="485">
        <v>0</v>
      </c>
      <c r="M18" s="485">
        <v>0</v>
      </c>
      <c r="N18" s="485">
        <v>0</v>
      </c>
      <c r="O18" s="485">
        <v>0</v>
      </c>
      <c r="P18" s="485">
        <v>0</v>
      </c>
      <c r="Q18" s="485">
        <v>0</v>
      </c>
      <c r="R18" s="485">
        <v>0</v>
      </c>
      <c r="S18" s="485">
        <v>0</v>
      </c>
      <c r="T18" s="485">
        <v>0</v>
      </c>
      <c r="U18" s="485">
        <v>0</v>
      </c>
      <c r="V18" s="485">
        <v>0</v>
      </c>
      <c r="W18" s="485">
        <v>0</v>
      </c>
      <c r="X18" s="485">
        <v>0</v>
      </c>
      <c r="Y18" s="490">
        <f t="shared" si="1"/>
        <v>0</v>
      </c>
      <c r="Z18" s="491">
        <f t="shared" si="2"/>
        <v>0</v>
      </c>
    </row>
    <row r="19" spans="1:26" s="500" customFormat="1" ht="32.25" customHeight="1">
      <c r="A19" s="484" t="s">
        <v>485</v>
      </c>
      <c r="B19" s="496" t="s">
        <v>486</v>
      </c>
      <c r="C19" s="497"/>
      <c r="D19" s="497"/>
      <c r="E19" s="485">
        <v>1259227.6000000001</v>
      </c>
      <c r="F19" s="485">
        <v>442994.62598299998</v>
      </c>
      <c r="G19" s="485">
        <v>67682.207947999996</v>
      </c>
      <c r="H19" s="485">
        <v>0</v>
      </c>
      <c r="I19" s="485">
        <v>58579.552947999997</v>
      </c>
      <c r="J19" s="485">
        <v>25860.437956999998</v>
      </c>
      <c r="K19" s="485">
        <v>24945.029114000001</v>
      </c>
      <c r="L19" s="485">
        <v>23484.596206999999</v>
      </c>
      <c r="M19" s="485">
        <v>1460.4329069999999</v>
      </c>
      <c r="N19" s="485">
        <v>0</v>
      </c>
      <c r="O19" s="485">
        <v>915.40884300000005</v>
      </c>
      <c r="P19" s="485">
        <v>403857.49457699998</v>
      </c>
      <c r="Q19" s="485">
        <v>323118.17863184592</v>
      </c>
      <c r="R19" s="485">
        <v>299537.16141484596</v>
      </c>
      <c r="S19" s="485">
        <v>23581.017217000001</v>
      </c>
      <c r="T19" s="485">
        <v>11491.090577999999</v>
      </c>
      <c r="U19" s="485">
        <v>69248.225367154038</v>
      </c>
      <c r="V19" s="485">
        <v>381601.31056984595</v>
      </c>
      <c r="W19" s="485">
        <v>34144.105124000002</v>
      </c>
      <c r="X19" s="485">
        <v>791057.83372884593</v>
      </c>
      <c r="Y19" s="498"/>
      <c r="Z19" s="499"/>
    </row>
    <row r="20" spans="1:26" s="500" customFormat="1" ht="39.75" customHeight="1">
      <c r="A20" s="484" t="s">
        <v>487</v>
      </c>
      <c r="B20" s="496" t="s">
        <v>488</v>
      </c>
      <c r="C20" s="497"/>
      <c r="D20" s="497"/>
      <c r="E20" s="485">
        <v>381555.6</v>
      </c>
      <c r="F20" s="485">
        <v>72348.449160999997</v>
      </c>
      <c r="G20" s="485">
        <v>2105.14</v>
      </c>
      <c r="H20" s="485">
        <v>0</v>
      </c>
      <c r="I20" s="485">
        <v>450</v>
      </c>
      <c r="J20" s="485">
        <v>13943.329779</v>
      </c>
      <c r="K20" s="485">
        <v>13943.329779</v>
      </c>
      <c r="L20" s="485">
        <v>12482.896871999999</v>
      </c>
      <c r="M20" s="485">
        <v>1460.4329069999999</v>
      </c>
      <c r="N20" s="485">
        <v>0</v>
      </c>
      <c r="O20" s="485">
        <v>0</v>
      </c>
      <c r="P20" s="485">
        <v>123343.494577</v>
      </c>
      <c r="Q20" s="485">
        <v>113719.83780984595</v>
      </c>
      <c r="R20" s="485">
        <v>110442.74323284595</v>
      </c>
      <c r="S20" s="485">
        <v>3277.0945769999998</v>
      </c>
      <c r="T20" s="485">
        <v>8120.4449999999997</v>
      </c>
      <c r="U20" s="485">
        <v>1503.2117671540411</v>
      </c>
      <c r="V20" s="485">
        <v>123375.64010484595</v>
      </c>
      <c r="W20" s="485">
        <v>6392.6674839999996</v>
      </c>
      <c r="X20" s="485">
        <v>200011.61674984594</v>
      </c>
      <c r="Y20" s="485">
        <f>SUM(Y21:Y74)/2</f>
        <v>0</v>
      </c>
    </row>
    <row r="21" spans="1:26" s="500" customFormat="1" ht="42.75" customHeight="1">
      <c r="A21" s="484" t="s">
        <v>54</v>
      </c>
      <c r="B21" s="508" t="s">
        <v>490</v>
      </c>
      <c r="C21" s="497"/>
      <c r="D21" s="484"/>
      <c r="E21" s="485">
        <v>113687</v>
      </c>
      <c r="F21" s="485">
        <v>20490.801940000001</v>
      </c>
      <c r="G21" s="485">
        <v>0</v>
      </c>
      <c r="H21" s="485">
        <v>0</v>
      </c>
      <c r="I21" s="485">
        <v>0</v>
      </c>
      <c r="J21" s="485">
        <v>0</v>
      </c>
      <c r="K21" s="485">
        <v>0</v>
      </c>
      <c r="L21" s="485">
        <v>0</v>
      </c>
      <c r="M21" s="485">
        <v>0</v>
      </c>
      <c r="N21" s="485">
        <v>0</v>
      </c>
      <c r="O21" s="485">
        <v>0</v>
      </c>
      <c r="P21" s="485">
        <v>16829</v>
      </c>
      <c r="Q21" s="485">
        <v>16808.944006999998</v>
      </c>
      <c r="R21" s="485">
        <v>16295.221007</v>
      </c>
      <c r="S21" s="485">
        <v>513.72299999999996</v>
      </c>
      <c r="T21" s="485">
        <v>0</v>
      </c>
      <c r="U21" s="485">
        <v>20.055993000000001</v>
      </c>
      <c r="V21" s="485">
        <v>16295.221007</v>
      </c>
      <c r="W21" s="485">
        <v>513.72299999999996</v>
      </c>
      <c r="X21" s="485">
        <v>37299.745947000003</v>
      </c>
      <c r="Y21" s="498"/>
    </row>
    <row r="22" spans="1:26" s="549" customFormat="1" ht="45" customHeight="1">
      <c r="A22" s="526">
        <v>9</v>
      </c>
      <c r="B22" s="527" t="s">
        <v>125</v>
      </c>
      <c r="C22" s="526" t="s">
        <v>489</v>
      </c>
      <c r="D22" s="526">
        <v>7925258</v>
      </c>
      <c r="E22" s="547">
        <v>25000</v>
      </c>
      <c r="F22" s="547">
        <v>12378.801939999999</v>
      </c>
      <c r="G22" s="547">
        <v>0</v>
      </c>
      <c r="H22" s="547">
        <v>0</v>
      </c>
      <c r="I22" s="547">
        <v>0</v>
      </c>
      <c r="J22" s="547">
        <v>0</v>
      </c>
      <c r="K22" s="547">
        <v>0</v>
      </c>
      <c r="L22" s="547">
        <v>0</v>
      </c>
      <c r="M22" s="547">
        <v>0</v>
      </c>
      <c r="N22" s="547">
        <v>0</v>
      </c>
      <c r="O22" s="547">
        <v>0</v>
      </c>
      <c r="P22" s="547">
        <v>2086</v>
      </c>
      <c r="Q22" s="547">
        <v>2068.3840599999999</v>
      </c>
      <c r="R22" s="547">
        <v>2068.3840599999999</v>
      </c>
      <c r="S22" s="547">
        <v>0</v>
      </c>
      <c r="T22" s="547">
        <v>0</v>
      </c>
      <c r="U22" s="547">
        <v>17.615939999999998</v>
      </c>
      <c r="V22" s="547">
        <v>2068.3840599999999</v>
      </c>
      <c r="W22" s="547">
        <v>0</v>
      </c>
      <c r="X22" s="547">
        <v>14447.186</v>
      </c>
      <c r="Y22" s="548"/>
    </row>
    <row r="23" spans="1:26" s="549" customFormat="1" ht="50.25" customHeight="1">
      <c r="A23" s="526">
        <v>10</v>
      </c>
      <c r="B23" s="527" t="s">
        <v>127</v>
      </c>
      <c r="C23" s="526" t="s">
        <v>489</v>
      </c>
      <c r="D23" s="526">
        <v>7925257</v>
      </c>
      <c r="E23" s="547">
        <v>14990</v>
      </c>
      <c r="F23" s="547">
        <v>7612</v>
      </c>
      <c r="G23" s="547">
        <v>0</v>
      </c>
      <c r="H23" s="547">
        <v>0</v>
      </c>
      <c r="I23" s="547">
        <v>0</v>
      </c>
      <c r="J23" s="547">
        <v>0</v>
      </c>
      <c r="K23" s="547">
        <v>0</v>
      </c>
      <c r="L23" s="547">
        <v>0</v>
      </c>
      <c r="M23" s="547">
        <v>0</v>
      </c>
      <c r="N23" s="547">
        <v>0</v>
      </c>
      <c r="O23" s="547">
        <v>0</v>
      </c>
      <c r="P23" s="547">
        <v>2105</v>
      </c>
      <c r="Q23" s="547">
        <v>2102.56</v>
      </c>
      <c r="R23" s="547">
        <v>2102.56</v>
      </c>
      <c r="S23" s="547">
        <v>0</v>
      </c>
      <c r="T23" s="547">
        <v>0</v>
      </c>
      <c r="U23" s="547">
        <v>2.44</v>
      </c>
      <c r="V23" s="547">
        <v>2102.56</v>
      </c>
      <c r="W23" s="547">
        <v>0</v>
      </c>
      <c r="X23" s="547">
        <v>9714.56</v>
      </c>
      <c r="Y23" s="548"/>
    </row>
    <row r="24" spans="1:26" s="549" customFormat="1" ht="50.25" customHeight="1">
      <c r="A24" s="526">
        <v>11</v>
      </c>
      <c r="B24" s="527" t="s">
        <v>128</v>
      </c>
      <c r="C24" s="526" t="s">
        <v>489</v>
      </c>
      <c r="D24" s="531" t="s">
        <v>491</v>
      </c>
      <c r="E24" s="547">
        <v>22400</v>
      </c>
      <c r="F24" s="547">
        <v>500</v>
      </c>
      <c r="G24" s="547">
        <v>0</v>
      </c>
      <c r="H24" s="547">
        <v>0</v>
      </c>
      <c r="I24" s="547">
        <v>0</v>
      </c>
      <c r="J24" s="547">
        <v>0</v>
      </c>
      <c r="K24" s="547">
        <v>0</v>
      </c>
      <c r="L24" s="547">
        <v>0</v>
      </c>
      <c r="M24" s="547">
        <v>0</v>
      </c>
      <c r="N24" s="547">
        <v>0</v>
      </c>
      <c r="O24" s="547">
        <v>0</v>
      </c>
      <c r="P24" s="547">
        <v>1900</v>
      </c>
      <c r="Q24" s="547">
        <v>1900</v>
      </c>
      <c r="R24" s="547">
        <v>1900</v>
      </c>
      <c r="S24" s="547">
        <v>0</v>
      </c>
      <c r="T24" s="547">
        <v>0</v>
      </c>
      <c r="U24" s="547">
        <v>0</v>
      </c>
      <c r="V24" s="547">
        <v>1900</v>
      </c>
      <c r="W24" s="547">
        <v>0</v>
      </c>
      <c r="X24" s="547">
        <v>2400</v>
      </c>
      <c r="Y24" s="548"/>
    </row>
    <row r="25" spans="1:26" s="500" customFormat="1" ht="50.25" customHeight="1">
      <c r="A25" s="497">
        <v>12</v>
      </c>
      <c r="B25" s="509" t="s">
        <v>492</v>
      </c>
      <c r="C25" s="497" t="s">
        <v>489</v>
      </c>
      <c r="D25" s="497">
        <v>8059352</v>
      </c>
      <c r="E25" s="485">
        <v>25662</v>
      </c>
      <c r="F25" s="485">
        <v>0</v>
      </c>
      <c r="G25" s="485">
        <v>0</v>
      </c>
      <c r="H25" s="485">
        <v>0</v>
      </c>
      <c r="I25" s="485">
        <v>0</v>
      </c>
      <c r="J25" s="485">
        <v>0</v>
      </c>
      <c r="K25" s="485">
        <v>0</v>
      </c>
      <c r="L25" s="485">
        <v>0</v>
      </c>
      <c r="M25" s="485">
        <v>0</v>
      </c>
      <c r="N25" s="485">
        <v>0</v>
      </c>
      <c r="O25" s="485">
        <v>0</v>
      </c>
      <c r="P25" s="485">
        <v>4000</v>
      </c>
      <c r="Q25" s="485">
        <v>3999.9999469999998</v>
      </c>
      <c r="R25" s="485">
        <v>3999.9999469999998</v>
      </c>
      <c r="S25" s="485">
        <v>0</v>
      </c>
      <c r="T25" s="485">
        <v>0</v>
      </c>
      <c r="U25" s="485">
        <v>5.3000000000000001E-5</v>
      </c>
      <c r="V25" s="485">
        <v>3999.9999469999998</v>
      </c>
      <c r="W25" s="485">
        <v>0</v>
      </c>
      <c r="X25" s="485">
        <v>3999.9999469999998</v>
      </c>
      <c r="Y25" s="498"/>
    </row>
    <row r="26" spans="1:26" s="500" customFormat="1" ht="50.25" customHeight="1">
      <c r="A26" s="497">
        <v>13</v>
      </c>
      <c r="B26" s="509" t="s">
        <v>195</v>
      </c>
      <c r="C26" s="497" t="s">
        <v>489</v>
      </c>
      <c r="D26" s="497">
        <v>8087260</v>
      </c>
      <c r="E26" s="485">
        <v>6860</v>
      </c>
      <c r="F26" s="485">
        <v>0</v>
      </c>
      <c r="G26" s="485">
        <v>0</v>
      </c>
      <c r="H26" s="485">
        <v>0</v>
      </c>
      <c r="I26" s="485">
        <v>0</v>
      </c>
      <c r="J26" s="485">
        <v>0</v>
      </c>
      <c r="K26" s="485">
        <v>0</v>
      </c>
      <c r="L26" s="485">
        <v>0</v>
      </c>
      <c r="M26" s="485">
        <v>0</v>
      </c>
      <c r="N26" s="485">
        <v>0</v>
      </c>
      <c r="O26" s="485">
        <v>0</v>
      </c>
      <c r="P26" s="485">
        <v>5133</v>
      </c>
      <c r="Q26" s="485">
        <v>5133</v>
      </c>
      <c r="R26" s="485">
        <v>5133</v>
      </c>
      <c r="S26" s="485">
        <v>0</v>
      </c>
      <c r="T26" s="485">
        <v>0</v>
      </c>
      <c r="U26" s="485">
        <v>0</v>
      </c>
      <c r="V26" s="485">
        <v>5133</v>
      </c>
      <c r="W26" s="485">
        <v>0</v>
      </c>
      <c r="X26" s="485">
        <v>5133</v>
      </c>
      <c r="Y26" s="498"/>
    </row>
    <row r="27" spans="1:26" s="549" customFormat="1" ht="47.25" customHeight="1">
      <c r="A27" s="526">
        <v>14</v>
      </c>
      <c r="B27" s="551" t="s">
        <v>198</v>
      </c>
      <c r="C27" s="526" t="s">
        <v>489</v>
      </c>
      <c r="D27" s="526">
        <v>8116984</v>
      </c>
      <c r="E27" s="547">
        <v>4000</v>
      </c>
      <c r="F27" s="547">
        <v>0</v>
      </c>
      <c r="G27" s="547">
        <v>0</v>
      </c>
      <c r="H27" s="547">
        <v>0</v>
      </c>
      <c r="I27" s="547">
        <v>0</v>
      </c>
      <c r="J27" s="547">
        <v>0</v>
      </c>
      <c r="K27" s="547">
        <v>0</v>
      </c>
      <c r="L27" s="547">
        <v>0</v>
      </c>
      <c r="M27" s="547">
        <v>0</v>
      </c>
      <c r="N27" s="547">
        <v>0</v>
      </c>
      <c r="O27" s="547">
        <v>0</v>
      </c>
      <c r="P27" s="547">
        <v>1010</v>
      </c>
      <c r="Q27" s="547">
        <v>1010</v>
      </c>
      <c r="R27" s="547">
        <v>496.27699999999999</v>
      </c>
      <c r="S27" s="547">
        <v>513.72299999999996</v>
      </c>
      <c r="T27" s="547">
        <v>0</v>
      </c>
      <c r="U27" s="547">
        <v>0</v>
      </c>
      <c r="V27" s="547">
        <v>496.27699999999999</v>
      </c>
      <c r="W27" s="547">
        <v>513.72299999999996</v>
      </c>
      <c r="X27" s="547">
        <v>1010</v>
      </c>
      <c r="Y27" s="548"/>
    </row>
    <row r="28" spans="1:26" s="549" customFormat="1" ht="47.25" customHeight="1">
      <c r="A28" s="526">
        <v>15</v>
      </c>
      <c r="B28" s="551" t="s">
        <v>201</v>
      </c>
      <c r="C28" s="526" t="s">
        <v>489</v>
      </c>
      <c r="D28" s="526">
        <v>8109836</v>
      </c>
      <c r="E28" s="547">
        <v>7000</v>
      </c>
      <c r="F28" s="547">
        <v>0</v>
      </c>
      <c r="G28" s="547">
        <v>0</v>
      </c>
      <c r="H28" s="547">
        <v>0</v>
      </c>
      <c r="I28" s="547">
        <v>0</v>
      </c>
      <c r="J28" s="547">
        <v>0</v>
      </c>
      <c r="K28" s="547">
        <v>0</v>
      </c>
      <c r="L28" s="547">
        <v>0</v>
      </c>
      <c r="M28" s="547">
        <v>0</v>
      </c>
      <c r="N28" s="547">
        <v>0</v>
      </c>
      <c r="O28" s="547">
        <v>0</v>
      </c>
      <c r="P28" s="547">
        <v>295</v>
      </c>
      <c r="Q28" s="547">
        <v>295</v>
      </c>
      <c r="R28" s="547">
        <v>295</v>
      </c>
      <c r="S28" s="547">
        <v>0</v>
      </c>
      <c r="T28" s="547">
        <v>0</v>
      </c>
      <c r="U28" s="547">
        <v>0</v>
      </c>
      <c r="V28" s="547">
        <v>295</v>
      </c>
      <c r="W28" s="547">
        <v>0</v>
      </c>
      <c r="X28" s="547">
        <v>295</v>
      </c>
      <c r="Y28" s="548"/>
    </row>
    <row r="29" spans="1:26" s="549" customFormat="1" ht="47.25" customHeight="1">
      <c r="A29" s="526">
        <v>16</v>
      </c>
      <c r="B29" s="551" t="s">
        <v>204</v>
      </c>
      <c r="C29" s="526" t="s">
        <v>489</v>
      </c>
      <c r="D29" s="526">
        <v>8130125</v>
      </c>
      <c r="E29" s="547">
        <v>3500</v>
      </c>
      <c r="F29" s="547">
        <v>0</v>
      </c>
      <c r="G29" s="547">
        <v>0</v>
      </c>
      <c r="H29" s="547">
        <v>0</v>
      </c>
      <c r="I29" s="547">
        <v>0</v>
      </c>
      <c r="J29" s="547">
        <v>0</v>
      </c>
      <c r="K29" s="547">
        <v>0</v>
      </c>
      <c r="L29" s="547">
        <v>0</v>
      </c>
      <c r="M29" s="547">
        <v>0</v>
      </c>
      <c r="N29" s="547">
        <v>0</v>
      </c>
      <c r="O29" s="547">
        <v>0</v>
      </c>
      <c r="P29" s="547">
        <v>130</v>
      </c>
      <c r="Q29" s="547">
        <v>130</v>
      </c>
      <c r="R29" s="547">
        <v>130</v>
      </c>
      <c r="S29" s="547">
        <v>0</v>
      </c>
      <c r="T29" s="547">
        <v>0</v>
      </c>
      <c r="U29" s="547">
        <v>0</v>
      </c>
      <c r="V29" s="547">
        <v>130</v>
      </c>
      <c r="W29" s="547">
        <v>0</v>
      </c>
      <c r="X29" s="547">
        <v>130</v>
      </c>
      <c r="Y29" s="548"/>
    </row>
    <row r="30" spans="1:26" s="549" customFormat="1" ht="40.5" customHeight="1">
      <c r="A30" s="526">
        <v>17</v>
      </c>
      <c r="B30" s="551" t="s">
        <v>209</v>
      </c>
      <c r="C30" s="526" t="s">
        <v>489</v>
      </c>
      <c r="D30" s="526">
        <v>8130126</v>
      </c>
      <c r="E30" s="547">
        <v>4275</v>
      </c>
      <c r="F30" s="547">
        <v>0</v>
      </c>
      <c r="G30" s="547">
        <v>0</v>
      </c>
      <c r="H30" s="547">
        <v>0</v>
      </c>
      <c r="I30" s="547">
        <v>0</v>
      </c>
      <c r="J30" s="547">
        <v>0</v>
      </c>
      <c r="K30" s="547">
        <v>0</v>
      </c>
      <c r="L30" s="547">
        <v>0</v>
      </c>
      <c r="M30" s="547">
        <v>0</v>
      </c>
      <c r="N30" s="547">
        <v>0</v>
      </c>
      <c r="O30" s="547">
        <v>0</v>
      </c>
      <c r="P30" s="547">
        <v>170</v>
      </c>
      <c r="Q30" s="547">
        <v>170</v>
      </c>
      <c r="R30" s="547">
        <v>170</v>
      </c>
      <c r="S30" s="547">
        <v>0</v>
      </c>
      <c r="T30" s="547">
        <v>0</v>
      </c>
      <c r="U30" s="547">
        <v>0</v>
      </c>
      <c r="V30" s="547">
        <v>170</v>
      </c>
      <c r="W30" s="547">
        <v>0</v>
      </c>
      <c r="X30" s="547">
        <v>170</v>
      </c>
      <c r="Y30" s="548"/>
    </row>
    <row r="31" spans="1:26" s="500" customFormat="1" ht="50.25" customHeight="1">
      <c r="A31" s="484" t="s">
        <v>55</v>
      </c>
      <c r="B31" s="508" t="s">
        <v>493</v>
      </c>
      <c r="C31" s="497" t="s">
        <v>489</v>
      </c>
      <c r="D31" s="484"/>
      <c r="E31" s="485">
        <v>62390</v>
      </c>
      <c r="F31" s="485">
        <v>18000</v>
      </c>
      <c r="G31" s="485">
        <v>0</v>
      </c>
      <c r="H31" s="485">
        <v>0</v>
      </c>
      <c r="I31" s="485">
        <v>0</v>
      </c>
      <c r="J31" s="485">
        <v>0</v>
      </c>
      <c r="K31" s="485">
        <v>0</v>
      </c>
      <c r="L31" s="485">
        <v>0</v>
      </c>
      <c r="M31" s="485">
        <v>0</v>
      </c>
      <c r="N31" s="485">
        <v>0</v>
      </c>
      <c r="O31" s="485">
        <v>0</v>
      </c>
      <c r="P31" s="485">
        <v>10000</v>
      </c>
      <c r="Q31" s="485">
        <v>10000</v>
      </c>
      <c r="R31" s="485">
        <v>10000</v>
      </c>
      <c r="S31" s="485">
        <v>0</v>
      </c>
      <c r="T31" s="485">
        <v>0</v>
      </c>
      <c r="U31" s="485">
        <v>0</v>
      </c>
      <c r="V31" s="485">
        <v>10000</v>
      </c>
      <c r="W31" s="485">
        <v>0</v>
      </c>
      <c r="X31" s="485">
        <v>28000</v>
      </c>
      <c r="Y31" s="498"/>
    </row>
    <row r="32" spans="1:26" s="500" customFormat="1" ht="51.75" customHeight="1">
      <c r="A32" s="497">
        <v>1</v>
      </c>
      <c r="B32" s="510" t="s">
        <v>494</v>
      </c>
      <c r="C32" s="497" t="s">
        <v>489</v>
      </c>
      <c r="D32" s="497">
        <v>7925258</v>
      </c>
      <c r="E32" s="485">
        <v>25000</v>
      </c>
      <c r="F32" s="485">
        <v>9000</v>
      </c>
      <c r="G32" s="485">
        <v>0</v>
      </c>
      <c r="H32" s="485">
        <v>0</v>
      </c>
      <c r="I32" s="485">
        <v>0</v>
      </c>
      <c r="J32" s="485">
        <v>0</v>
      </c>
      <c r="K32" s="485">
        <v>0</v>
      </c>
      <c r="L32" s="485">
        <v>0</v>
      </c>
      <c r="M32" s="485">
        <v>0</v>
      </c>
      <c r="N32" s="485">
        <v>0</v>
      </c>
      <c r="O32" s="485">
        <v>0</v>
      </c>
      <c r="P32" s="485">
        <v>1000</v>
      </c>
      <c r="Q32" s="485">
        <v>1000</v>
      </c>
      <c r="R32" s="485">
        <v>1000</v>
      </c>
      <c r="S32" s="485">
        <v>0</v>
      </c>
      <c r="T32" s="485">
        <v>0</v>
      </c>
      <c r="U32" s="485">
        <v>0</v>
      </c>
      <c r="V32" s="485">
        <v>1000</v>
      </c>
      <c r="W32" s="485">
        <v>0</v>
      </c>
      <c r="X32" s="485">
        <v>10000</v>
      </c>
      <c r="Y32" s="498"/>
    </row>
    <row r="33" spans="1:27" s="500" customFormat="1" ht="48.75" customHeight="1">
      <c r="A33" s="497">
        <v>2</v>
      </c>
      <c r="B33" s="510" t="s">
        <v>495</v>
      </c>
      <c r="C33" s="497" t="s">
        <v>489</v>
      </c>
      <c r="D33" s="497">
        <v>7925257</v>
      </c>
      <c r="E33" s="485">
        <v>14990</v>
      </c>
      <c r="F33" s="485">
        <v>4000</v>
      </c>
      <c r="G33" s="485">
        <v>0</v>
      </c>
      <c r="H33" s="485">
        <v>0</v>
      </c>
      <c r="I33" s="485">
        <v>0</v>
      </c>
      <c r="J33" s="485">
        <v>0</v>
      </c>
      <c r="K33" s="485">
        <v>0</v>
      </c>
      <c r="L33" s="485">
        <v>0</v>
      </c>
      <c r="M33" s="485">
        <v>0</v>
      </c>
      <c r="N33" s="485">
        <v>0</v>
      </c>
      <c r="O33" s="485">
        <v>0</v>
      </c>
      <c r="P33" s="485">
        <v>1000</v>
      </c>
      <c r="Q33" s="485">
        <v>1000</v>
      </c>
      <c r="R33" s="485">
        <v>1000</v>
      </c>
      <c r="S33" s="485">
        <v>0</v>
      </c>
      <c r="T33" s="485">
        <v>0</v>
      </c>
      <c r="U33" s="485">
        <v>0</v>
      </c>
      <c r="V33" s="485">
        <v>1000</v>
      </c>
      <c r="W33" s="485">
        <v>0</v>
      </c>
      <c r="X33" s="485">
        <v>5000</v>
      </c>
      <c r="Y33" s="498"/>
    </row>
    <row r="34" spans="1:27" s="500" customFormat="1" ht="48.75" customHeight="1">
      <c r="A34" s="497">
        <v>3</v>
      </c>
      <c r="B34" s="510" t="s">
        <v>496</v>
      </c>
      <c r="C34" s="497" t="s">
        <v>489</v>
      </c>
      <c r="D34" s="507" t="s">
        <v>491</v>
      </c>
      <c r="E34" s="485">
        <v>22400</v>
      </c>
      <c r="F34" s="485">
        <v>5000</v>
      </c>
      <c r="G34" s="485">
        <v>0</v>
      </c>
      <c r="H34" s="485">
        <v>0</v>
      </c>
      <c r="I34" s="485">
        <v>0</v>
      </c>
      <c r="J34" s="485">
        <v>0</v>
      </c>
      <c r="K34" s="485">
        <v>0</v>
      </c>
      <c r="L34" s="485">
        <v>0</v>
      </c>
      <c r="M34" s="485">
        <v>0</v>
      </c>
      <c r="N34" s="485">
        <v>0</v>
      </c>
      <c r="O34" s="485">
        <v>0</v>
      </c>
      <c r="P34" s="485">
        <v>8000</v>
      </c>
      <c r="Q34" s="485">
        <v>8000</v>
      </c>
      <c r="R34" s="485">
        <v>8000</v>
      </c>
      <c r="S34" s="485">
        <v>0</v>
      </c>
      <c r="T34" s="485">
        <v>0</v>
      </c>
      <c r="U34" s="485">
        <v>0</v>
      </c>
      <c r="V34" s="485">
        <v>8000</v>
      </c>
      <c r="W34" s="485">
        <v>0</v>
      </c>
      <c r="X34" s="485">
        <v>13000</v>
      </c>
      <c r="Y34" s="498"/>
    </row>
    <row r="35" spans="1:27" s="500" customFormat="1" ht="54" customHeight="1">
      <c r="A35" s="484" t="s">
        <v>246</v>
      </c>
      <c r="B35" s="501" t="s">
        <v>214</v>
      </c>
      <c r="C35" s="497" t="s">
        <v>489</v>
      </c>
      <c r="D35" s="484"/>
      <c r="E35" s="485">
        <v>17770</v>
      </c>
      <c r="F35" s="485">
        <v>297.22199999999998</v>
      </c>
      <c r="G35" s="485">
        <v>0</v>
      </c>
      <c r="H35" s="485">
        <v>0</v>
      </c>
      <c r="I35" s="485">
        <v>0</v>
      </c>
      <c r="J35" s="485">
        <v>3520.7779999999998</v>
      </c>
      <c r="K35" s="485">
        <v>3520.7779999999998</v>
      </c>
      <c r="L35" s="485">
        <v>2060.3450929999999</v>
      </c>
      <c r="M35" s="485">
        <v>1460.4329069999999</v>
      </c>
      <c r="N35" s="485">
        <v>0</v>
      </c>
      <c r="O35" s="485">
        <v>0</v>
      </c>
      <c r="P35" s="485">
        <v>4690</v>
      </c>
      <c r="Q35" s="485">
        <v>4688.665</v>
      </c>
      <c r="R35" s="485">
        <v>4688.665</v>
      </c>
      <c r="S35" s="485">
        <v>0</v>
      </c>
      <c r="T35" s="485">
        <v>0</v>
      </c>
      <c r="U35" s="485">
        <v>1.335</v>
      </c>
      <c r="V35" s="485">
        <v>6749.0100929999999</v>
      </c>
      <c r="W35" s="485">
        <v>1460.4329069999999</v>
      </c>
      <c r="X35" s="485">
        <v>8506.6650000000009</v>
      </c>
      <c r="Y35" s="498"/>
    </row>
    <row r="36" spans="1:27" s="549" customFormat="1" ht="57" customHeight="1">
      <c r="A36" s="552" t="s">
        <v>306</v>
      </c>
      <c r="B36" s="553" t="s">
        <v>218</v>
      </c>
      <c r="C36" s="526" t="s">
        <v>489</v>
      </c>
      <c r="D36" s="554">
        <v>8081933</v>
      </c>
      <c r="E36" s="547">
        <v>2430</v>
      </c>
      <c r="F36" s="547">
        <v>0</v>
      </c>
      <c r="G36" s="547">
        <v>0</v>
      </c>
      <c r="H36" s="547">
        <v>0</v>
      </c>
      <c r="I36" s="547">
        <v>0</v>
      </c>
      <c r="J36" s="547">
        <v>730</v>
      </c>
      <c r="K36" s="547">
        <v>730</v>
      </c>
      <c r="L36" s="547">
        <v>170.03100000000001</v>
      </c>
      <c r="M36" s="547">
        <v>559.96900000000005</v>
      </c>
      <c r="N36" s="547">
        <v>0</v>
      </c>
      <c r="O36" s="547">
        <v>0</v>
      </c>
      <c r="P36" s="547">
        <v>0</v>
      </c>
      <c r="Q36" s="547">
        <v>0</v>
      </c>
      <c r="R36" s="547">
        <v>0</v>
      </c>
      <c r="S36" s="547">
        <v>0</v>
      </c>
      <c r="T36" s="547">
        <v>0</v>
      </c>
      <c r="U36" s="547">
        <v>0</v>
      </c>
      <c r="V36" s="547">
        <v>170.03100000000001</v>
      </c>
      <c r="W36" s="547">
        <v>559.96900000000005</v>
      </c>
      <c r="X36" s="547">
        <v>730</v>
      </c>
      <c r="Y36" s="548"/>
    </row>
    <row r="37" spans="1:27" s="549" customFormat="1" ht="59.25" customHeight="1">
      <c r="A37" s="552" t="s">
        <v>309</v>
      </c>
      <c r="B37" s="553" t="s">
        <v>220</v>
      </c>
      <c r="C37" s="526" t="s">
        <v>489</v>
      </c>
      <c r="D37" s="554">
        <v>8098864</v>
      </c>
      <c r="E37" s="547">
        <v>5000</v>
      </c>
      <c r="F37" s="547">
        <v>0</v>
      </c>
      <c r="G37" s="547">
        <v>0</v>
      </c>
      <c r="H37" s="547">
        <v>0</v>
      </c>
      <c r="I37" s="547">
        <v>0</v>
      </c>
      <c r="J37" s="547">
        <v>578</v>
      </c>
      <c r="K37" s="547">
        <v>578</v>
      </c>
      <c r="L37" s="547">
        <v>366.86756100000002</v>
      </c>
      <c r="M37" s="547">
        <v>211.13243900000001</v>
      </c>
      <c r="N37" s="547">
        <v>0</v>
      </c>
      <c r="O37" s="547">
        <v>0</v>
      </c>
      <c r="P37" s="547">
        <v>0</v>
      </c>
      <c r="Q37" s="547">
        <v>0</v>
      </c>
      <c r="R37" s="547">
        <v>0</v>
      </c>
      <c r="S37" s="547">
        <v>0</v>
      </c>
      <c r="T37" s="547">
        <v>0</v>
      </c>
      <c r="U37" s="547">
        <v>0</v>
      </c>
      <c r="V37" s="547">
        <v>366.86756100000002</v>
      </c>
      <c r="W37" s="547">
        <v>211.13243900000001</v>
      </c>
      <c r="X37" s="547">
        <v>578</v>
      </c>
      <c r="Y37" s="548"/>
    </row>
    <row r="38" spans="1:27" s="549" customFormat="1" ht="46.5" customHeight="1">
      <c r="A38" s="552" t="s">
        <v>312</v>
      </c>
      <c r="B38" s="553" t="s">
        <v>91</v>
      </c>
      <c r="C38" s="526" t="s">
        <v>489</v>
      </c>
      <c r="D38" s="554">
        <v>8081934</v>
      </c>
      <c r="E38" s="547">
        <v>1000</v>
      </c>
      <c r="F38" s="547">
        <v>0</v>
      </c>
      <c r="G38" s="547">
        <v>0</v>
      </c>
      <c r="H38" s="547">
        <v>0</v>
      </c>
      <c r="I38" s="547">
        <v>0</v>
      </c>
      <c r="J38" s="547">
        <v>300</v>
      </c>
      <c r="K38" s="547">
        <v>300</v>
      </c>
      <c r="L38" s="547">
        <v>92.266531999999998</v>
      </c>
      <c r="M38" s="547">
        <v>207.73346799999999</v>
      </c>
      <c r="N38" s="547">
        <v>0</v>
      </c>
      <c r="O38" s="547">
        <v>0</v>
      </c>
      <c r="P38" s="547">
        <v>0</v>
      </c>
      <c r="Q38" s="547">
        <v>0</v>
      </c>
      <c r="R38" s="547">
        <v>0</v>
      </c>
      <c r="S38" s="547">
        <v>0</v>
      </c>
      <c r="T38" s="547">
        <v>0</v>
      </c>
      <c r="U38" s="547">
        <v>0</v>
      </c>
      <c r="V38" s="547">
        <v>92.266531999999998</v>
      </c>
      <c r="W38" s="547">
        <v>207.73346799999999</v>
      </c>
      <c r="X38" s="547">
        <v>300</v>
      </c>
      <c r="Y38" s="548"/>
    </row>
    <row r="39" spans="1:27" s="549" customFormat="1" ht="46.5" customHeight="1">
      <c r="A39" s="552" t="s">
        <v>315</v>
      </c>
      <c r="B39" s="553" t="s">
        <v>155</v>
      </c>
      <c r="C39" s="526" t="s">
        <v>489</v>
      </c>
      <c r="D39" s="554">
        <v>8098865</v>
      </c>
      <c r="E39" s="547">
        <v>2340</v>
      </c>
      <c r="F39" s="547">
        <v>0</v>
      </c>
      <c r="G39" s="547">
        <v>0</v>
      </c>
      <c r="H39" s="547">
        <v>0</v>
      </c>
      <c r="I39" s="547">
        <v>0</v>
      </c>
      <c r="J39" s="547">
        <v>650</v>
      </c>
      <c r="K39" s="547">
        <v>650</v>
      </c>
      <c r="L39" s="547">
        <v>168.40199999999999</v>
      </c>
      <c r="M39" s="547">
        <v>481.59800000000001</v>
      </c>
      <c r="N39" s="547">
        <v>0</v>
      </c>
      <c r="O39" s="547">
        <v>0</v>
      </c>
      <c r="P39" s="547">
        <v>0</v>
      </c>
      <c r="Q39" s="547">
        <v>0</v>
      </c>
      <c r="R39" s="547">
        <v>0</v>
      </c>
      <c r="S39" s="547">
        <v>0</v>
      </c>
      <c r="T39" s="547">
        <v>0</v>
      </c>
      <c r="U39" s="547">
        <v>0</v>
      </c>
      <c r="V39" s="547">
        <v>168.40199999999999</v>
      </c>
      <c r="W39" s="547">
        <v>481.59800000000001</v>
      </c>
      <c r="X39" s="547">
        <v>650</v>
      </c>
      <c r="Y39" s="548"/>
    </row>
    <row r="40" spans="1:27" s="549" customFormat="1" ht="48.75" customHeight="1">
      <c r="A40" s="552" t="s">
        <v>318</v>
      </c>
      <c r="B40" s="527" t="s">
        <v>90</v>
      </c>
      <c r="C40" s="526" t="s">
        <v>489</v>
      </c>
      <c r="D40" s="555" t="s">
        <v>497</v>
      </c>
      <c r="E40" s="547">
        <v>2000</v>
      </c>
      <c r="F40" s="547">
        <v>134.81299999999999</v>
      </c>
      <c r="G40" s="547">
        <v>0</v>
      </c>
      <c r="H40" s="547">
        <v>0</v>
      </c>
      <c r="I40" s="547">
        <v>0</v>
      </c>
      <c r="J40" s="547">
        <v>925.18700000000001</v>
      </c>
      <c r="K40" s="547">
        <v>925.18700000000001</v>
      </c>
      <c r="L40" s="547">
        <v>925.18700000000001</v>
      </c>
      <c r="M40" s="547">
        <v>0</v>
      </c>
      <c r="N40" s="547">
        <v>0</v>
      </c>
      <c r="O40" s="547">
        <v>0</v>
      </c>
      <c r="P40" s="547">
        <v>852</v>
      </c>
      <c r="Q40" s="547">
        <v>851.63199999999995</v>
      </c>
      <c r="R40" s="547">
        <v>851.63199999999995</v>
      </c>
      <c r="S40" s="547">
        <v>0</v>
      </c>
      <c r="T40" s="547">
        <v>0</v>
      </c>
      <c r="U40" s="547">
        <v>0.36799999999999999</v>
      </c>
      <c r="V40" s="547">
        <v>1776.819</v>
      </c>
      <c r="W40" s="547">
        <v>0</v>
      </c>
      <c r="X40" s="547">
        <v>1911.6320000000001</v>
      </c>
      <c r="Y40" s="548"/>
    </row>
    <row r="41" spans="1:27" s="549" customFormat="1" ht="48.75" customHeight="1">
      <c r="A41" s="552" t="s">
        <v>321</v>
      </c>
      <c r="B41" s="527" t="s">
        <v>148</v>
      </c>
      <c r="C41" s="526" t="s">
        <v>489</v>
      </c>
      <c r="D41" s="555" t="s">
        <v>498</v>
      </c>
      <c r="E41" s="547">
        <v>2500</v>
      </c>
      <c r="F41" s="547">
        <v>162.40899999999999</v>
      </c>
      <c r="G41" s="547">
        <v>0</v>
      </c>
      <c r="H41" s="547">
        <v>0</v>
      </c>
      <c r="I41" s="547">
        <v>0</v>
      </c>
      <c r="J41" s="547">
        <v>337.59100000000001</v>
      </c>
      <c r="K41" s="547">
        <v>337.59100000000001</v>
      </c>
      <c r="L41" s="547">
        <v>337.59100000000001</v>
      </c>
      <c r="M41" s="547">
        <v>0</v>
      </c>
      <c r="N41" s="547">
        <v>0</v>
      </c>
      <c r="O41" s="547">
        <v>0</v>
      </c>
      <c r="P41" s="547">
        <v>1901</v>
      </c>
      <c r="Q41" s="547">
        <v>1900.0329999999999</v>
      </c>
      <c r="R41" s="547">
        <v>1900.0329999999999</v>
      </c>
      <c r="S41" s="547">
        <v>0</v>
      </c>
      <c r="T41" s="547">
        <v>0</v>
      </c>
      <c r="U41" s="547">
        <v>0.96699999999999997</v>
      </c>
      <c r="V41" s="547">
        <v>2237.6239999999998</v>
      </c>
      <c r="W41" s="547">
        <v>0</v>
      </c>
      <c r="X41" s="547">
        <v>2400.0329999999999</v>
      </c>
      <c r="Y41" s="547">
        <f t="shared" ref="Y41" si="3">SUM(Y42:Y45)</f>
        <v>0</v>
      </c>
      <c r="Z41" s="556"/>
    </row>
    <row r="42" spans="1:27" s="549" customFormat="1" ht="47.25" customHeight="1">
      <c r="A42" s="552" t="s">
        <v>324</v>
      </c>
      <c r="B42" s="551" t="s">
        <v>149</v>
      </c>
      <c r="C42" s="526" t="s">
        <v>489</v>
      </c>
      <c r="D42" s="557">
        <v>8072197</v>
      </c>
      <c r="E42" s="547">
        <v>2500</v>
      </c>
      <c r="F42" s="547">
        <v>0</v>
      </c>
      <c r="G42" s="547">
        <v>0</v>
      </c>
      <c r="H42" s="547">
        <v>0</v>
      </c>
      <c r="I42" s="547">
        <v>0</v>
      </c>
      <c r="J42" s="547">
        <v>0</v>
      </c>
      <c r="K42" s="547">
        <v>0</v>
      </c>
      <c r="L42" s="547">
        <v>0</v>
      </c>
      <c r="M42" s="547">
        <v>0</v>
      </c>
      <c r="N42" s="547">
        <v>0</v>
      </c>
      <c r="O42" s="547">
        <v>0</v>
      </c>
      <c r="P42" s="547">
        <v>1937</v>
      </c>
      <c r="Q42" s="547">
        <v>1937</v>
      </c>
      <c r="R42" s="547">
        <v>1937</v>
      </c>
      <c r="S42" s="547">
        <v>0</v>
      </c>
      <c r="T42" s="547">
        <v>0</v>
      </c>
      <c r="U42" s="547">
        <v>0</v>
      </c>
      <c r="V42" s="547">
        <v>1937</v>
      </c>
      <c r="W42" s="547">
        <v>0</v>
      </c>
      <c r="X42" s="547">
        <v>1937</v>
      </c>
      <c r="Y42" s="548"/>
    </row>
    <row r="43" spans="1:27" s="500" customFormat="1" ht="55.5" customHeight="1">
      <c r="A43" s="484" t="s">
        <v>339</v>
      </c>
      <c r="B43" s="501" t="s">
        <v>139</v>
      </c>
      <c r="C43" s="497" t="s">
        <v>489</v>
      </c>
      <c r="D43" s="484"/>
      <c r="E43" s="485">
        <v>30500</v>
      </c>
      <c r="F43" s="485">
        <v>5193.0190000000002</v>
      </c>
      <c r="G43" s="485">
        <v>2105.14</v>
      </c>
      <c r="H43" s="485">
        <v>0</v>
      </c>
      <c r="I43" s="485">
        <v>450</v>
      </c>
      <c r="J43" s="485">
        <v>3466.98</v>
      </c>
      <c r="K43" s="485">
        <v>3466.98</v>
      </c>
      <c r="L43" s="485">
        <v>3466.98</v>
      </c>
      <c r="M43" s="485">
        <v>0</v>
      </c>
      <c r="N43" s="485">
        <v>0</v>
      </c>
      <c r="O43" s="485">
        <v>0</v>
      </c>
      <c r="P43" s="485">
        <v>20300</v>
      </c>
      <c r="Q43" s="485">
        <v>15762.236999999999</v>
      </c>
      <c r="R43" s="485">
        <v>15512.236999999999</v>
      </c>
      <c r="S43" s="485">
        <v>250</v>
      </c>
      <c r="T43" s="485">
        <v>4387.1270000000004</v>
      </c>
      <c r="U43" s="485">
        <v>150.636</v>
      </c>
      <c r="V43" s="485">
        <v>19429.217000000001</v>
      </c>
      <c r="W43" s="485">
        <v>1905.14</v>
      </c>
      <c r="X43" s="485">
        <v>24422.236000000001</v>
      </c>
      <c r="Y43" s="498"/>
    </row>
    <row r="44" spans="1:27" s="549" customFormat="1" ht="54.75" customHeight="1">
      <c r="A44" s="526">
        <v>25</v>
      </c>
      <c r="B44" s="558" t="s">
        <v>239</v>
      </c>
      <c r="C44" s="526" t="s">
        <v>489</v>
      </c>
      <c r="D44" s="528" t="s">
        <v>499</v>
      </c>
      <c r="E44" s="547">
        <v>8500</v>
      </c>
      <c r="F44" s="547">
        <v>2599.9989999999998</v>
      </c>
      <c r="G44" s="547">
        <v>2105.14</v>
      </c>
      <c r="H44" s="547">
        <v>0</v>
      </c>
      <c r="I44" s="547">
        <v>450</v>
      </c>
      <c r="J44" s="547">
        <v>0</v>
      </c>
      <c r="K44" s="547">
        <v>0</v>
      </c>
      <c r="L44" s="547">
        <v>0</v>
      </c>
      <c r="M44" s="547">
        <v>0</v>
      </c>
      <c r="N44" s="547">
        <v>0</v>
      </c>
      <c r="O44" s="547">
        <v>0</v>
      </c>
      <c r="P44" s="547">
        <v>5000</v>
      </c>
      <c r="Q44" s="547">
        <v>3966.7959999999998</v>
      </c>
      <c r="R44" s="547">
        <v>3966.7959999999998</v>
      </c>
      <c r="S44" s="547">
        <v>0</v>
      </c>
      <c r="T44" s="547">
        <v>1033.204</v>
      </c>
      <c r="U44" s="547">
        <v>0</v>
      </c>
      <c r="V44" s="547">
        <v>4416.7960000000003</v>
      </c>
      <c r="W44" s="547">
        <v>1655.14</v>
      </c>
      <c r="X44" s="547">
        <v>6566.7950000000001</v>
      </c>
      <c r="Y44" s="548"/>
    </row>
    <row r="45" spans="1:27" s="549" customFormat="1" ht="47.25" customHeight="1">
      <c r="A45" s="526">
        <v>26</v>
      </c>
      <c r="B45" s="558" t="s">
        <v>241</v>
      </c>
      <c r="C45" s="526" t="s">
        <v>489</v>
      </c>
      <c r="D45" s="528" t="s">
        <v>500</v>
      </c>
      <c r="E45" s="547">
        <v>14000</v>
      </c>
      <c r="F45" s="547">
        <v>620.53899999999999</v>
      </c>
      <c r="G45" s="547">
        <v>0</v>
      </c>
      <c r="H45" s="547">
        <v>0</v>
      </c>
      <c r="I45" s="547">
        <v>0</v>
      </c>
      <c r="J45" s="547">
        <v>3239.4609999999998</v>
      </c>
      <c r="K45" s="547">
        <v>3239.4609999999998</v>
      </c>
      <c r="L45" s="547">
        <v>3239.4609999999998</v>
      </c>
      <c r="M45" s="547">
        <v>0</v>
      </c>
      <c r="N45" s="547">
        <v>0</v>
      </c>
      <c r="O45" s="547">
        <v>0</v>
      </c>
      <c r="P45" s="547">
        <v>9500</v>
      </c>
      <c r="Q45" s="547">
        <v>6146.0770000000002</v>
      </c>
      <c r="R45" s="547">
        <v>5896.0770000000002</v>
      </c>
      <c r="S45" s="547">
        <v>250</v>
      </c>
      <c r="T45" s="547">
        <v>3353.9229999999998</v>
      </c>
      <c r="U45" s="547">
        <v>0</v>
      </c>
      <c r="V45" s="547">
        <v>9135.5380000000005</v>
      </c>
      <c r="W45" s="547">
        <v>250</v>
      </c>
      <c r="X45" s="547">
        <v>10006.076999999999</v>
      </c>
      <c r="Y45" s="548"/>
    </row>
    <row r="46" spans="1:27" s="549" customFormat="1" ht="57.75" customHeight="1">
      <c r="A46" s="526">
        <v>27</v>
      </c>
      <c r="B46" s="559" t="s">
        <v>140</v>
      </c>
      <c r="C46" s="526" t="s">
        <v>489</v>
      </c>
      <c r="D46" s="528" t="s">
        <v>501</v>
      </c>
      <c r="E46" s="547">
        <v>8000</v>
      </c>
      <c r="F46" s="547">
        <v>1972.481</v>
      </c>
      <c r="G46" s="547">
        <v>0</v>
      </c>
      <c r="H46" s="547">
        <v>0</v>
      </c>
      <c r="I46" s="547">
        <v>0</v>
      </c>
      <c r="J46" s="547">
        <v>227.51900000000001</v>
      </c>
      <c r="K46" s="547">
        <v>227.51900000000001</v>
      </c>
      <c r="L46" s="547">
        <v>227.51900000000001</v>
      </c>
      <c r="M46" s="547">
        <v>0</v>
      </c>
      <c r="N46" s="547">
        <v>0</v>
      </c>
      <c r="O46" s="547">
        <v>0</v>
      </c>
      <c r="P46" s="547">
        <v>5800</v>
      </c>
      <c r="Q46" s="547">
        <v>5649.3639999999996</v>
      </c>
      <c r="R46" s="547">
        <v>5649.3639999999996</v>
      </c>
      <c r="S46" s="547">
        <v>0</v>
      </c>
      <c r="T46" s="547">
        <v>0</v>
      </c>
      <c r="U46" s="547">
        <v>150.636</v>
      </c>
      <c r="V46" s="547">
        <v>5876.8829999999998</v>
      </c>
      <c r="W46" s="547">
        <v>0</v>
      </c>
      <c r="X46" s="547">
        <v>7849.3639999999996</v>
      </c>
      <c r="Y46" s="548"/>
      <c r="Z46" s="556">
        <f>+'[2]Bieu ĐC'!$J$9</f>
        <v>7849364000</v>
      </c>
    </row>
    <row r="47" spans="1:27" s="500" customFormat="1" ht="69.75" customHeight="1">
      <c r="A47" s="514" t="s">
        <v>344</v>
      </c>
      <c r="B47" s="515" t="s">
        <v>502</v>
      </c>
      <c r="C47" s="497" t="s">
        <v>489</v>
      </c>
      <c r="D47" s="497"/>
      <c r="E47" s="485">
        <v>75255.600000000006</v>
      </c>
      <c r="F47" s="485">
        <v>8785.4282210000001</v>
      </c>
      <c r="G47" s="485">
        <v>0</v>
      </c>
      <c r="H47" s="485">
        <v>0</v>
      </c>
      <c r="I47" s="485">
        <v>0</v>
      </c>
      <c r="J47" s="485">
        <v>6955.5717789999999</v>
      </c>
      <c r="K47" s="485">
        <v>6955.5717789999999</v>
      </c>
      <c r="L47" s="485">
        <v>6955.5717789999999</v>
      </c>
      <c r="M47" s="485">
        <v>0</v>
      </c>
      <c r="N47" s="485">
        <v>0</v>
      </c>
      <c r="O47" s="485">
        <v>0</v>
      </c>
      <c r="P47" s="485">
        <v>46818</v>
      </c>
      <c r="Q47" s="485">
        <v>42146.93322084596</v>
      </c>
      <c r="R47" s="485">
        <v>39708.93322084596</v>
      </c>
      <c r="S47" s="485">
        <v>2438</v>
      </c>
      <c r="T47" s="485">
        <v>3733.3180000000002</v>
      </c>
      <c r="U47" s="485">
        <v>937.74877915404102</v>
      </c>
      <c r="V47" s="485">
        <v>46664.504999845965</v>
      </c>
      <c r="W47" s="485">
        <v>2438</v>
      </c>
      <c r="X47" s="485">
        <v>57887.93322084596</v>
      </c>
      <c r="Y47" s="485">
        <f t="shared" ref="Y47:AA47" si="4">SUM(Y48:Y74)</f>
        <v>0</v>
      </c>
      <c r="Z47" s="485">
        <f t="shared" si="4"/>
        <v>52865149562.810997</v>
      </c>
      <c r="AA47" s="485">
        <f t="shared" si="4"/>
        <v>0</v>
      </c>
    </row>
    <row r="48" spans="1:27" s="500" customFormat="1" ht="49.5" customHeight="1">
      <c r="A48" s="516">
        <v>28</v>
      </c>
      <c r="B48" s="509" t="s">
        <v>249</v>
      </c>
      <c r="C48" s="497" t="s">
        <v>489</v>
      </c>
      <c r="D48" s="497">
        <v>8012664</v>
      </c>
      <c r="E48" s="485">
        <v>9373</v>
      </c>
      <c r="F48" s="485">
        <v>0</v>
      </c>
      <c r="G48" s="485">
        <v>0</v>
      </c>
      <c r="H48" s="485">
        <v>0</v>
      </c>
      <c r="I48" s="485">
        <v>0</v>
      </c>
      <c r="J48" s="485">
        <v>0</v>
      </c>
      <c r="K48" s="485">
        <v>0</v>
      </c>
      <c r="L48" s="485">
        <v>0</v>
      </c>
      <c r="M48" s="485">
        <v>0</v>
      </c>
      <c r="N48" s="485">
        <v>0</v>
      </c>
      <c r="O48" s="485">
        <v>0</v>
      </c>
      <c r="P48" s="485">
        <v>3000</v>
      </c>
      <c r="Q48" s="485">
        <v>2717.0520000000001</v>
      </c>
      <c r="R48" s="485">
        <v>279.05200000000002</v>
      </c>
      <c r="S48" s="485">
        <v>2438</v>
      </c>
      <c r="T48" s="485">
        <v>282.94799999999998</v>
      </c>
      <c r="U48" s="485">
        <v>0</v>
      </c>
      <c r="V48" s="485">
        <v>279.05200000000002</v>
      </c>
      <c r="W48" s="485">
        <v>2438</v>
      </c>
      <c r="X48" s="485">
        <v>2717.0520000000001</v>
      </c>
      <c r="Y48" s="498"/>
      <c r="Z48" s="512">
        <f>+[3]Bieu!$J$8</f>
        <v>2717052000</v>
      </c>
    </row>
    <row r="49" spans="1:26" s="500" customFormat="1" ht="49.5" customHeight="1">
      <c r="A49" s="516">
        <v>29</v>
      </c>
      <c r="B49" s="509" t="s">
        <v>251</v>
      </c>
      <c r="C49" s="497" t="s">
        <v>489</v>
      </c>
      <c r="D49" s="497">
        <v>8019878</v>
      </c>
      <c r="E49" s="485">
        <v>2335</v>
      </c>
      <c r="F49" s="485">
        <v>0</v>
      </c>
      <c r="G49" s="485">
        <v>0</v>
      </c>
      <c r="H49" s="485">
        <v>0</v>
      </c>
      <c r="I49" s="485">
        <v>0</v>
      </c>
      <c r="J49" s="485">
        <v>0</v>
      </c>
      <c r="K49" s="485">
        <v>0</v>
      </c>
      <c r="L49" s="485">
        <v>0</v>
      </c>
      <c r="M49" s="485">
        <v>0</v>
      </c>
      <c r="N49" s="485">
        <v>0</v>
      </c>
      <c r="O49" s="485">
        <v>0</v>
      </c>
      <c r="P49" s="485">
        <v>2300</v>
      </c>
      <c r="Q49" s="485">
        <v>1118.547</v>
      </c>
      <c r="R49" s="485">
        <v>1118.547</v>
      </c>
      <c r="S49" s="485">
        <v>0</v>
      </c>
      <c r="T49" s="485">
        <v>1181.453</v>
      </c>
      <c r="U49" s="485">
        <v>0</v>
      </c>
      <c r="V49" s="485">
        <v>1118.547</v>
      </c>
      <c r="W49" s="485">
        <v>0</v>
      </c>
      <c r="X49" s="485">
        <v>1118.547</v>
      </c>
      <c r="Y49" s="498"/>
      <c r="Z49" s="512">
        <f>+[4]Bieu!$K$8</f>
        <v>1118547000</v>
      </c>
    </row>
    <row r="50" spans="1:26" s="500" customFormat="1" ht="49.5" customHeight="1">
      <c r="A50" s="516">
        <v>30</v>
      </c>
      <c r="B50" s="509" t="s">
        <v>253</v>
      </c>
      <c r="C50" s="497" t="s">
        <v>489</v>
      </c>
      <c r="D50" s="497">
        <v>8012982</v>
      </c>
      <c r="E50" s="485">
        <v>1830</v>
      </c>
      <c r="F50" s="485">
        <v>0</v>
      </c>
      <c r="G50" s="485">
        <v>0</v>
      </c>
      <c r="H50" s="485">
        <v>0</v>
      </c>
      <c r="I50" s="485">
        <v>0</v>
      </c>
      <c r="J50" s="485">
        <v>0</v>
      </c>
      <c r="K50" s="485">
        <v>0</v>
      </c>
      <c r="L50" s="485">
        <v>0</v>
      </c>
      <c r="M50" s="485">
        <v>0</v>
      </c>
      <c r="N50" s="485">
        <v>0</v>
      </c>
      <c r="O50" s="485">
        <v>0</v>
      </c>
      <c r="P50" s="485">
        <v>1800</v>
      </c>
      <c r="Q50" s="485">
        <v>922.56600000000003</v>
      </c>
      <c r="R50" s="485">
        <v>922.56600000000003</v>
      </c>
      <c r="S50" s="485">
        <v>0</v>
      </c>
      <c r="T50" s="485">
        <v>877.43399999999997</v>
      </c>
      <c r="U50" s="485">
        <v>0</v>
      </c>
      <c r="V50" s="485">
        <v>922.56600000000003</v>
      </c>
      <c r="W50" s="485">
        <v>0</v>
      </c>
      <c r="X50" s="485">
        <v>922.56600000000003</v>
      </c>
      <c r="Y50" s="498"/>
      <c r="Z50" s="512">
        <f>+[5]Bieu!$K$8</f>
        <v>922566000</v>
      </c>
    </row>
    <row r="51" spans="1:26" s="500" customFormat="1" ht="49.5" customHeight="1">
      <c r="A51" s="516">
        <v>31</v>
      </c>
      <c r="B51" s="509" t="s">
        <v>428</v>
      </c>
      <c r="C51" s="497" t="s">
        <v>489</v>
      </c>
      <c r="D51" s="497">
        <v>8012983</v>
      </c>
      <c r="E51" s="485">
        <v>4060</v>
      </c>
      <c r="F51" s="485">
        <v>0</v>
      </c>
      <c r="G51" s="485">
        <v>0</v>
      </c>
      <c r="H51" s="485">
        <v>0</v>
      </c>
      <c r="I51" s="485">
        <v>0</v>
      </c>
      <c r="J51" s="485">
        <v>0</v>
      </c>
      <c r="K51" s="485">
        <v>0</v>
      </c>
      <c r="L51" s="485">
        <v>0</v>
      </c>
      <c r="M51" s="485">
        <v>0</v>
      </c>
      <c r="N51" s="485">
        <v>0</v>
      </c>
      <c r="O51" s="485">
        <v>0</v>
      </c>
      <c r="P51" s="485">
        <v>2000</v>
      </c>
      <c r="Q51" s="485">
        <v>1855.117</v>
      </c>
      <c r="R51" s="485">
        <v>1855.117</v>
      </c>
      <c r="S51" s="485">
        <v>0</v>
      </c>
      <c r="T51" s="485">
        <v>144.88300000000001</v>
      </c>
      <c r="U51" s="485">
        <v>0</v>
      </c>
      <c r="V51" s="485">
        <v>1855.117</v>
      </c>
      <c r="W51" s="485">
        <v>0</v>
      </c>
      <c r="X51" s="485">
        <v>1855.117</v>
      </c>
      <c r="Y51" s="498"/>
      <c r="Z51" s="498">
        <f>+[6]Bieu!$K$8</f>
        <v>1855117000</v>
      </c>
    </row>
    <row r="52" spans="1:26" s="500" customFormat="1" ht="49.5" customHeight="1">
      <c r="A52" s="516">
        <v>32</v>
      </c>
      <c r="B52" s="509" t="s">
        <v>257</v>
      </c>
      <c r="C52" s="497" t="s">
        <v>489</v>
      </c>
      <c r="D52" s="497">
        <v>8012984</v>
      </c>
      <c r="E52" s="485">
        <v>2280</v>
      </c>
      <c r="F52" s="485">
        <v>0</v>
      </c>
      <c r="G52" s="485">
        <v>0</v>
      </c>
      <c r="H52" s="485">
        <v>0</v>
      </c>
      <c r="I52" s="485">
        <v>0</v>
      </c>
      <c r="J52" s="485">
        <v>0</v>
      </c>
      <c r="K52" s="485">
        <v>0</v>
      </c>
      <c r="L52" s="485">
        <v>0</v>
      </c>
      <c r="M52" s="485">
        <v>0</v>
      </c>
      <c r="N52" s="485">
        <v>0</v>
      </c>
      <c r="O52" s="485">
        <v>0</v>
      </c>
      <c r="P52" s="485">
        <v>2200</v>
      </c>
      <c r="Q52" s="485">
        <v>953.4</v>
      </c>
      <c r="R52" s="485">
        <v>953.4</v>
      </c>
      <c r="S52" s="485">
        <v>0</v>
      </c>
      <c r="T52" s="485">
        <v>1246.5999999999999</v>
      </c>
      <c r="U52" s="485">
        <v>0</v>
      </c>
      <c r="V52" s="485">
        <v>953.4</v>
      </c>
      <c r="W52" s="485">
        <v>0</v>
      </c>
      <c r="X52" s="485">
        <v>953.4</v>
      </c>
      <c r="Y52" s="498"/>
      <c r="Z52" s="498">
        <f>+[7]Bieu!$K$8</f>
        <v>953400000</v>
      </c>
    </row>
    <row r="53" spans="1:26" s="500" customFormat="1" ht="49.5" customHeight="1">
      <c r="A53" s="516"/>
      <c r="B53" s="509"/>
      <c r="C53" s="497"/>
      <c r="D53" s="497"/>
      <c r="E53" s="485"/>
      <c r="F53" s="485"/>
      <c r="G53" s="485"/>
      <c r="H53" s="485"/>
      <c r="I53" s="485"/>
      <c r="J53" s="485"/>
      <c r="K53" s="485"/>
      <c r="L53" s="485"/>
      <c r="M53" s="485"/>
      <c r="N53" s="485"/>
      <c r="O53" s="485"/>
      <c r="P53" s="485"/>
      <c r="Q53" s="485"/>
      <c r="R53" s="485"/>
      <c r="S53" s="485"/>
      <c r="T53" s="485"/>
      <c r="U53" s="485"/>
      <c r="V53" s="485"/>
      <c r="W53" s="485"/>
      <c r="X53" s="485"/>
      <c r="Y53" s="498"/>
      <c r="Z53" s="498"/>
    </row>
    <row r="54" spans="1:26" s="500" customFormat="1" ht="55.5" customHeight="1">
      <c r="A54" s="516">
        <v>33</v>
      </c>
      <c r="B54" s="517" t="s">
        <v>503</v>
      </c>
      <c r="C54" s="497" t="s">
        <v>489</v>
      </c>
      <c r="D54" s="518">
        <v>8019877</v>
      </c>
      <c r="E54" s="485">
        <v>4000</v>
      </c>
      <c r="F54" s="485">
        <v>1827.346221</v>
      </c>
      <c r="G54" s="485">
        <v>0</v>
      </c>
      <c r="H54" s="485">
        <v>0</v>
      </c>
      <c r="I54" s="485">
        <v>0</v>
      </c>
      <c r="J54" s="485">
        <v>1168.653779</v>
      </c>
      <c r="K54" s="485">
        <v>1168.653779</v>
      </c>
      <c r="L54" s="485">
        <v>1168.653779</v>
      </c>
      <c r="M54" s="485">
        <v>0</v>
      </c>
      <c r="N54" s="485">
        <v>0</v>
      </c>
      <c r="O54" s="485">
        <v>0</v>
      </c>
      <c r="P54" s="485">
        <v>888</v>
      </c>
      <c r="Q54" s="485">
        <v>887.56622084595892</v>
      </c>
      <c r="R54" s="485">
        <v>887.56622084595892</v>
      </c>
      <c r="S54" s="485">
        <v>0</v>
      </c>
      <c r="T54" s="485">
        <v>0</v>
      </c>
      <c r="U54" s="485">
        <v>0.43377915404105188</v>
      </c>
      <c r="V54" s="485">
        <v>2056.2199998459591</v>
      </c>
      <c r="W54" s="485">
        <v>0</v>
      </c>
      <c r="X54" s="485">
        <v>3883.5662208459589</v>
      </c>
      <c r="Y54" s="498"/>
      <c r="Z54" s="498">
        <f>+[8]Bieu!$I$8</f>
        <v>3883566221</v>
      </c>
    </row>
    <row r="55" spans="1:26" s="500" customFormat="1" ht="65.25" customHeight="1">
      <c r="A55" s="516">
        <v>34</v>
      </c>
      <c r="B55" s="517" t="s">
        <v>504</v>
      </c>
      <c r="C55" s="497" t="s">
        <v>489</v>
      </c>
      <c r="D55" s="518">
        <v>8012988</v>
      </c>
      <c r="E55" s="485">
        <v>3823</v>
      </c>
      <c r="F55" s="485">
        <v>2110</v>
      </c>
      <c r="G55" s="485">
        <v>0</v>
      </c>
      <c r="H55" s="485">
        <v>0</v>
      </c>
      <c r="I55" s="485">
        <v>0</v>
      </c>
      <c r="J55" s="485">
        <v>0</v>
      </c>
      <c r="K55" s="485">
        <v>0</v>
      </c>
      <c r="L55" s="485">
        <v>0</v>
      </c>
      <c r="M55" s="485">
        <v>0</v>
      </c>
      <c r="N55" s="485">
        <v>0</v>
      </c>
      <c r="O55" s="485">
        <v>0</v>
      </c>
      <c r="P55" s="485">
        <v>1597</v>
      </c>
      <c r="Q55" s="485">
        <v>1596.35</v>
      </c>
      <c r="R55" s="485">
        <v>1596.35</v>
      </c>
      <c r="S55" s="485">
        <v>0</v>
      </c>
      <c r="T55" s="485">
        <v>0</v>
      </c>
      <c r="U55" s="485">
        <v>0.65</v>
      </c>
      <c r="V55" s="485">
        <v>1596.35</v>
      </c>
      <c r="W55" s="485">
        <v>0</v>
      </c>
      <c r="X55" s="485">
        <v>3706.35</v>
      </c>
      <c r="Y55" s="498"/>
      <c r="Z55" s="498">
        <f>+[9]Bieu!$I$8-X55</f>
        <v>3706346293.6500001</v>
      </c>
    </row>
    <row r="56" spans="1:26" s="500" customFormat="1" ht="65.25" customHeight="1">
      <c r="A56" s="516">
        <v>35</v>
      </c>
      <c r="B56" s="517" t="s">
        <v>505</v>
      </c>
      <c r="C56" s="497" t="s">
        <v>489</v>
      </c>
      <c r="D56" s="518">
        <v>8012989</v>
      </c>
      <c r="E56" s="485">
        <v>4335</v>
      </c>
      <c r="F56" s="485">
        <v>2068.2860000000001</v>
      </c>
      <c r="G56" s="485">
        <v>0</v>
      </c>
      <c r="H56" s="485">
        <v>0</v>
      </c>
      <c r="I56" s="485">
        <v>0</v>
      </c>
      <c r="J56" s="485">
        <v>466.714</v>
      </c>
      <c r="K56" s="485">
        <v>466.714</v>
      </c>
      <c r="L56" s="485">
        <v>466.714</v>
      </c>
      <c r="M56" s="485">
        <v>0</v>
      </c>
      <c r="N56" s="485">
        <v>0</v>
      </c>
      <c r="O56" s="485">
        <v>0</v>
      </c>
      <c r="P56" s="485">
        <v>1639</v>
      </c>
      <c r="Q56" s="485">
        <v>1638.1310000000001</v>
      </c>
      <c r="R56" s="485">
        <v>1638.1310000000001</v>
      </c>
      <c r="S56" s="485">
        <v>0</v>
      </c>
      <c r="T56" s="485">
        <v>0</v>
      </c>
      <c r="U56" s="485">
        <v>0.86899999999999999</v>
      </c>
      <c r="V56" s="485">
        <v>2104.8449999999998</v>
      </c>
      <c r="W56" s="485">
        <v>0</v>
      </c>
      <c r="X56" s="485">
        <v>4173.1310000000003</v>
      </c>
      <c r="Y56" s="498"/>
      <c r="Z56" s="498">
        <f>+[10]Bieu!$I$8-X56</f>
        <v>4173126826.869</v>
      </c>
    </row>
    <row r="57" spans="1:26" s="500" customFormat="1" ht="55.5" customHeight="1">
      <c r="A57" s="516">
        <v>36</v>
      </c>
      <c r="B57" s="517" t="s">
        <v>506</v>
      </c>
      <c r="C57" s="497" t="s">
        <v>489</v>
      </c>
      <c r="D57" s="518">
        <v>8012990</v>
      </c>
      <c r="E57" s="485">
        <v>4000</v>
      </c>
      <c r="F57" s="485">
        <v>1183.605</v>
      </c>
      <c r="G57" s="485">
        <v>0</v>
      </c>
      <c r="H57" s="485">
        <v>0</v>
      </c>
      <c r="I57" s="485">
        <v>0</v>
      </c>
      <c r="J57" s="485">
        <v>1816.395</v>
      </c>
      <c r="K57" s="485">
        <v>1816.395</v>
      </c>
      <c r="L57" s="485">
        <v>1816.395</v>
      </c>
      <c r="M57" s="485">
        <v>0</v>
      </c>
      <c r="N57" s="485">
        <v>0</v>
      </c>
      <c r="O57" s="485">
        <v>0</v>
      </c>
      <c r="P57" s="485">
        <v>641</v>
      </c>
      <c r="Q57" s="485">
        <v>640.80200000000002</v>
      </c>
      <c r="R57" s="485">
        <v>640.80200000000002</v>
      </c>
      <c r="S57" s="485">
        <v>0</v>
      </c>
      <c r="T57" s="485">
        <v>0</v>
      </c>
      <c r="U57" s="485">
        <v>0.19800000000000001</v>
      </c>
      <c r="V57" s="485">
        <v>2457.1970000000001</v>
      </c>
      <c r="W57" s="485">
        <v>0</v>
      </c>
      <c r="X57" s="485">
        <v>3640.8020000000001</v>
      </c>
      <c r="Y57" s="498"/>
      <c r="Z57" s="498">
        <f>+[11]Bieu!$J$8-X57</f>
        <v>3640798359.198</v>
      </c>
    </row>
    <row r="58" spans="1:26" s="500" customFormat="1" ht="55.5" customHeight="1">
      <c r="A58" s="516">
        <v>37</v>
      </c>
      <c r="B58" s="517" t="s">
        <v>507</v>
      </c>
      <c r="C58" s="497" t="s">
        <v>489</v>
      </c>
      <c r="D58" s="518">
        <v>8012991</v>
      </c>
      <c r="E58" s="485">
        <v>4320</v>
      </c>
      <c r="F58" s="485">
        <v>291.70299999999997</v>
      </c>
      <c r="G58" s="485">
        <v>0</v>
      </c>
      <c r="H58" s="485">
        <v>0</v>
      </c>
      <c r="I58" s="485">
        <v>0</v>
      </c>
      <c r="J58" s="485">
        <v>2208.297</v>
      </c>
      <c r="K58" s="485">
        <v>2208.297</v>
      </c>
      <c r="L58" s="485">
        <v>2208.297</v>
      </c>
      <c r="M58" s="485">
        <v>0</v>
      </c>
      <c r="N58" s="485">
        <v>0</v>
      </c>
      <c r="O58" s="485">
        <v>0</v>
      </c>
      <c r="P58" s="485">
        <v>1744</v>
      </c>
      <c r="Q58" s="485">
        <v>1637.7059999999999</v>
      </c>
      <c r="R58" s="485">
        <v>1637.7059999999999</v>
      </c>
      <c r="S58" s="485">
        <v>0</v>
      </c>
      <c r="T58" s="485">
        <v>0</v>
      </c>
      <c r="U58" s="485">
        <v>106.294</v>
      </c>
      <c r="V58" s="485">
        <v>3846.0030000000002</v>
      </c>
      <c r="W58" s="485">
        <v>0</v>
      </c>
      <c r="X58" s="485">
        <v>4137.7060000000001</v>
      </c>
      <c r="Y58" s="498"/>
      <c r="Z58" s="498">
        <f>+[12]Bieu!$J$9-X58</f>
        <v>4137701862.2940001</v>
      </c>
    </row>
    <row r="59" spans="1:26" s="500" customFormat="1" ht="67.5" customHeight="1">
      <c r="A59" s="516">
        <v>38</v>
      </c>
      <c r="B59" s="517" t="s">
        <v>508</v>
      </c>
      <c r="C59" s="497" t="s">
        <v>489</v>
      </c>
      <c r="D59" s="518">
        <v>8012992</v>
      </c>
      <c r="E59" s="485">
        <v>4525</v>
      </c>
      <c r="F59" s="485">
        <v>1304.4880000000001</v>
      </c>
      <c r="G59" s="485">
        <v>0</v>
      </c>
      <c r="H59" s="485">
        <v>0</v>
      </c>
      <c r="I59" s="485">
        <v>0</v>
      </c>
      <c r="J59" s="485">
        <v>1295.5119999999999</v>
      </c>
      <c r="K59" s="485">
        <v>1295.5119999999999</v>
      </c>
      <c r="L59" s="485">
        <v>1295.5119999999999</v>
      </c>
      <c r="M59" s="485">
        <v>0</v>
      </c>
      <c r="N59" s="485">
        <v>0</v>
      </c>
      <c r="O59" s="485">
        <v>0</v>
      </c>
      <c r="P59" s="485">
        <v>1877</v>
      </c>
      <c r="Q59" s="485">
        <v>1715.3979999999999</v>
      </c>
      <c r="R59" s="485">
        <v>1715.3979999999999</v>
      </c>
      <c r="S59" s="485">
        <v>0</v>
      </c>
      <c r="T59" s="485">
        <v>0</v>
      </c>
      <c r="U59" s="485">
        <v>161.602</v>
      </c>
      <c r="V59" s="485">
        <v>3010.91</v>
      </c>
      <c r="W59" s="485">
        <v>0</v>
      </c>
      <c r="X59" s="485">
        <v>4315.3980000000001</v>
      </c>
      <c r="Y59" s="498"/>
      <c r="Z59" s="498">
        <f>+[13]Bieu!$I$9</f>
        <v>4315398000</v>
      </c>
    </row>
    <row r="60" spans="1:26" s="500" customFormat="1" ht="74.25" customHeight="1">
      <c r="A60" s="516">
        <v>39</v>
      </c>
      <c r="B60" s="519" t="s">
        <v>107</v>
      </c>
      <c r="C60" s="497" t="s">
        <v>489</v>
      </c>
      <c r="D60" s="513">
        <v>8072198</v>
      </c>
      <c r="E60" s="485">
        <v>2100</v>
      </c>
      <c r="F60" s="485">
        <v>0</v>
      </c>
      <c r="G60" s="485">
        <v>0</v>
      </c>
      <c r="H60" s="485">
        <v>0</v>
      </c>
      <c r="I60" s="485">
        <v>0</v>
      </c>
      <c r="J60" s="485">
        <v>0</v>
      </c>
      <c r="K60" s="485">
        <v>0</v>
      </c>
      <c r="L60" s="485">
        <v>0</v>
      </c>
      <c r="M60" s="485">
        <v>0</v>
      </c>
      <c r="N60" s="485">
        <v>0</v>
      </c>
      <c r="O60" s="485">
        <v>0</v>
      </c>
      <c r="P60" s="485">
        <v>2100</v>
      </c>
      <c r="Q60" s="485">
        <v>1960.0219999999999</v>
      </c>
      <c r="R60" s="485">
        <v>1960.0219999999999</v>
      </c>
      <c r="S60" s="485">
        <v>0</v>
      </c>
      <c r="T60" s="485">
        <v>0</v>
      </c>
      <c r="U60" s="485">
        <v>139.97800000000001</v>
      </c>
      <c r="V60" s="485">
        <v>1960.0219999999999</v>
      </c>
      <c r="W60" s="485">
        <v>0</v>
      </c>
      <c r="X60" s="485">
        <v>1960.0219999999999</v>
      </c>
      <c r="Y60" s="498"/>
      <c r="Z60" s="498">
        <f>+[14]Bieu!$I$8</f>
        <v>1960022000</v>
      </c>
    </row>
    <row r="61" spans="1:26" s="500" customFormat="1" ht="55.5" customHeight="1">
      <c r="A61" s="516">
        <v>40</v>
      </c>
      <c r="B61" s="519" t="s">
        <v>158</v>
      </c>
      <c r="C61" s="497" t="s">
        <v>489</v>
      </c>
      <c r="D61" s="513">
        <v>8072199</v>
      </c>
      <c r="E61" s="485">
        <v>2300</v>
      </c>
      <c r="F61" s="485">
        <v>0</v>
      </c>
      <c r="G61" s="485">
        <v>0</v>
      </c>
      <c r="H61" s="485">
        <v>0</v>
      </c>
      <c r="I61" s="485">
        <v>0</v>
      </c>
      <c r="J61" s="485">
        <v>0</v>
      </c>
      <c r="K61" s="485">
        <v>0</v>
      </c>
      <c r="L61" s="485">
        <v>0</v>
      </c>
      <c r="M61" s="485">
        <v>0</v>
      </c>
      <c r="N61" s="485">
        <v>0</v>
      </c>
      <c r="O61" s="485">
        <v>0</v>
      </c>
      <c r="P61" s="485">
        <v>2300</v>
      </c>
      <c r="Q61" s="485">
        <v>2170.6179999999999</v>
      </c>
      <c r="R61" s="485">
        <v>2170.6179999999999</v>
      </c>
      <c r="S61" s="485">
        <v>0</v>
      </c>
      <c r="T61" s="485">
        <v>0</v>
      </c>
      <c r="U61" s="485">
        <v>129.38200000000001</v>
      </c>
      <c r="V61" s="485">
        <v>2170.6179999999999</v>
      </c>
      <c r="W61" s="485">
        <v>0</v>
      </c>
      <c r="X61" s="485">
        <v>2170.6179999999999</v>
      </c>
      <c r="Y61" s="498"/>
      <c r="Z61" s="512">
        <f>+[15]Bieu!$I$8</f>
        <v>2170618000</v>
      </c>
    </row>
    <row r="62" spans="1:26" s="500" customFormat="1" ht="78" customHeight="1">
      <c r="A62" s="516">
        <v>41</v>
      </c>
      <c r="B62" s="519" t="s">
        <v>98</v>
      </c>
      <c r="C62" s="497" t="s">
        <v>489</v>
      </c>
      <c r="D62" s="513">
        <v>8072195</v>
      </c>
      <c r="E62" s="485">
        <v>560</v>
      </c>
      <c r="F62" s="485">
        <v>0</v>
      </c>
      <c r="G62" s="485">
        <v>0</v>
      </c>
      <c r="H62" s="485">
        <v>0</v>
      </c>
      <c r="I62" s="485">
        <v>0</v>
      </c>
      <c r="J62" s="485">
        <v>0</v>
      </c>
      <c r="K62" s="485">
        <v>0</v>
      </c>
      <c r="L62" s="485">
        <v>0</v>
      </c>
      <c r="M62" s="485">
        <v>0</v>
      </c>
      <c r="N62" s="485">
        <v>0</v>
      </c>
      <c r="O62" s="485">
        <v>0</v>
      </c>
      <c r="P62" s="485">
        <v>560</v>
      </c>
      <c r="Q62" s="485">
        <v>495.90600000000001</v>
      </c>
      <c r="R62" s="485">
        <v>495.90600000000001</v>
      </c>
      <c r="S62" s="485">
        <v>0</v>
      </c>
      <c r="T62" s="485">
        <v>0</v>
      </c>
      <c r="U62" s="485">
        <v>64.093999999999994</v>
      </c>
      <c r="V62" s="485">
        <v>495.90600000000001</v>
      </c>
      <c r="W62" s="485">
        <v>0</v>
      </c>
      <c r="X62" s="485">
        <v>495.90600000000001</v>
      </c>
      <c r="Y62" s="498"/>
      <c r="Z62" s="512">
        <f>+[16]Bieu!$I$8</f>
        <v>495905999.83999997</v>
      </c>
    </row>
    <row r="63" spans="1:26" s="500" customFormat="1" ht="55.5" customHeight="1">
      <c r="A63" s="516">
        <v>42</v>
      </c>
      <c r="B63" s="519" t="s">
        <v>145</v>
      </c>
      <c r="C63" s="497" t="s">
        <v>489</v>
      </c>
      <c r="D63" s="513">
        <v>8072194</v>
      </c>
      <c r="E63" s="485">
        <v>3500</v>
      </c>
      <c r="F63" s="485">
        <v>0</v>
      </c>
      <c r="G63" s="485">
        <v>0</v>
      </c>
      <c r="H63" s="485">
        <v>0</v>
      </c>
      <c r="I63" s="485">
        <v>0</v>
      </c>
      <c r="J63" s="485">
        <v>0</v>
      </c>
      <c r="K63" s="485">
        <v>0</v>
      </c>
      <c r="L63" s="485">
        <v>0</v>
      </c>
      <c r="M63" s="485">
        <v>0</v>
      </c>
      <c r="N63" s="485">
        <v>0</v>
      </c>
      <c r="O63" s="485">
        <v>0</v>
      </c>
      <c r="P63" s="485">
        <v>3457</v>
      </c>
      <c r="Q63" s="485">
        <v>3402.1469999999999</v>
      </c>
      <c r="R63" s="485">
        <v>3402.1469999999999</v>
      </c>
      <c r="S63" s="485">
        <v>0</v>
      </c>
      <c r="T63" s="485">
        <v>0</v>
      </c>
      <c r="U63" s="485">
        <v>54.853000000000002</v>
      </c>
      <c r="V63" s="485">
        <v>3402.1469999999999</v>
      </c>
      <c r="W63" s="485">
        <v>0</v>
      </c>
      <c r="X63" s="485">
        <v>3402.1469999999999</v>
      </c>
      <c r="Y63" s="498"/>
      <c r="Z63" s="512">
        <f>+[17]Bieu!$I$8</f>
        <v>3402147000</v>
      </c>
    </row>
    <row r="64" spans="1:26" s="500" customFormat="1" ht="55.5" customHeight="1">
      <c r="A64" s="516">
        <v>43</v>
      </c>
      <c r="B64" s="519" t="s">
        <v>434</v>
      </c>
      <c r="C64" s="497" t="s">
        <v>489</v>
      </c>
      <c r="D64" s="513">
        <v>8072193</v>
      </c>
      <c r="E64" s="485">
        <v>1700</v>
      </c>
      <c r="F64" s="485">
        <v>0</v>
      </c>
      <c r="G64" s="485">
        <v>0</v>
      </c>
      <c r="H64" s="485">
        <v>0</v>
      </c>
      <c r="I64" s="485">
        <v>0</v>
      </c>
      <c r="J64" s="485">
        <v>0</v>
      </c>
      <c r="K64" s="485">
        <v>0</v>
      </c>
      <c r="L64" s="485">
        <v>0</v>
      </c>
      <c r="M64" s="485">
        <v>0</v>
      </c>
      <c r="N64" s="485">
        <v>0</v>
      </c>
      <c r="O64" s="485">
        <v>0</v>
      </c>
      <c r="P64" s="485">
        <v>1621</v>
      </c>
      <c r="Q64" s="485">
        <v>1620.7650000000001</v>
      </c>
      <c r="R64" s="485">
        <v>1620.7650000000001</v>
      </c>
      <c r="S64" s="485">
        <v>0</v>
      </c>
      <c r="T64" s="485">
        <v>0</v>
      </c>
      <c r="U64" s="485">
        <v>0.23499999999999999</v>
      </c>
      <c r="V64" s="485">
        <v>1620.7650000000001</v>
      </c>
      <c r="W64" s="485">
        <v>0</v>
      </c>
      <c r="X64" s="485">
        <v>1620.7650000000001</v>
      </c>
      <c r="Y64" s="498"/>
      <c r="Z64" s="512">
        <f>+[18]Bieu!$I$8</f>
        <v>1620765000</v>
      </c>
    </row>
    <row r="65" spans="1:27" s="500" customFormat="1" ht="55.5" customHeight="1">
      <c r="A65" s="516">
        <v>44</v>
      </c>
      <c r="B65" s="519" t="s">
        <v>144</v>
      </c>
      <c r="C65" s="497" t="s">
        <v>489</v>
      </c>
      <c r="D65" s="513">
        <v>8072384</v>
      </c>
      <c r="E65" s="485">
        <v>1700</v>
      </c>
      <c r="F65" s="485">
        <v>0</v>
      </c>
      <c r="G65" s="485">
        <v>0</v>
      </c>
      <c r="H65" s="485">
        <v>0</v>
      </c>
      <c r="I65" s="485">
        <v>0</v>
      </c>
      <c r="J65" s="485">
        <v>0</v>
      </c>
      <c r="K65" s="485">
        <v>0</v>
      </c>
      <c r="L65" s="485">
        <v>0</v>
      </c>
      <c r="M65" s="485">
        <v>0</v>
      </c>
      <c r="N65" s="485">
        <v>0</v>
      </c>
      <c r="O65" s="485">
        <v>0</v>
      </c>
      <c r="P65" s="485">
        <v>1695</v>
      </c>
      <c r="Q65" s="485">
        <v>1648.4490000000001</v>
      </c>
      <c r="R65" s="485">
        <v>1648.4490000000001</v>
      </c>
      <c r="S65" s="485">
        <v>0</v>
      </c>
      <c r="T65" s="485">
        <v>0</v>
      </c>
      <c r="U65" s="485">
        <v>46.551000000000002</v>
      </c>
      <c r="V65" s="485">
        <v>1648.4490000000001</v>
      </c>
      <c r="W65" s="485">
        <v>0</v>
      </c>
      <c r="X65" s="485">
        <v>1648.4490000000001</v>
      </c>
      <c r="Y65" s="498"/>
      <c r="Z65" s="512">
        <f>+[19]Bieu!$I$8</f>
        <v>1648449000</v>
      </c>
    </row>
    <row r="66" spans="1:27" s="500" customFormat="1" ht="68.25" customHeight="1">
      <c r="A66" s="516">
        <v>45</v>
      </c>
      <c r="B66" s="519" t="s">
        <v>147</v>
      </c>
      <c r="C66" s="497" t="s">
        <v>489</v>
      </c>
      <c r="D66" s="513">
        <v>8072192</v>
      </c>
      <c r="E66" s="485">
        <v>2900</v>
      </c>
      <c r="F66" s="485">
        <v>0</v>
      </c>
      <c r="G66" s="485">
        <v>0</v>
      </c>
      <c r="H66" s="485">
        <v>0</v>
      </c>
      <c r="I66" s="485">
        <v>0</v>
      </c>
      <c r="J66" s="485">
        <v>0</v>
      </c>
      <c r="K66" s="485">
        <v>0</v>
      </c>
      <c r="L66" s="485">
        <v>0</v>
      </c>
      <c r="M66" s="485">
        <v>0</v>
      </c>
      <c r="N66" s="485">
        <v>0</v>
      </c>
      <c r="O66" s="485">
        <v>0</v>
      </c>
      <c r="P66" s="485">
        <v>2880</v>
      </c>
      <c r="Q66" s="485">
        <v>2825.308</v>
      </c>
      <c r="R66" s="485">
        <v>2825.308</v>
      </c>
      <c r="S66" s="485">
        <v>0</v>
      </c>
      <c r="T66" s="485">
        <v>0</v>
      </c>
      <c r="U66" s="485">
        <v>54.692</v>
      </c>
      <c r="V66" s="485">
        <v>2825.308</v>
      </c>
      <c r="W66" s="485">
        <v>0</v>
      </c>
      <c r="X66" s="485">
        <v>2825.308</v>
      </c>
      <c r="Y66" s="498"/>
      <c r="Z66" s="520">
        <f>+[20]Bieu!$I$8</f>
        <v>2825308000</v>
      </c>
    </row>
    <row r="67" spans="1:27" s="500" customFormat="1" ht="55.5" customHeight="1">
      <c r="A67" s="516">
        <v>46</v>
      </c>
      <c r="B67" s="519" t="s">
        <v>106</v>
      </c>
      <c r="C67" s="497" t="s">
        <v>489</v>
      </c>
      <c r="D67" s="513">
        <v>8072190</v>
      </c>
      <c r="E67" s="485">
        <v>2550</v>
      </c>
      <c r="F67" s="485">
        <v>0</v>
      </c>
      <c r="G67" s="485">
        <v>0</v>
      </c>
      <c r="H67" s="485">
        <v>0</v>
      </c>
      <c r="I67" s="485">
        <v>0</v>
      </c>
      <c r="J67" s="485">
        <v>0</v>
      </c>
      <c r="K67" s="485">
        <v>0</v>
      </c>
      <c r="L67" s="485">
        <v>0</v>
      </c>
      <c r="M67" s="485">
        <v>0</v>
      </c>
      <c r="N67" s="485">
        <v>0</v>
      </c>
      <c r="O67" s="485">
        <v>0</v>
      </c>
      <c r="P67" s="485">
        <v>2058</v>
      </c>
      <c r="Q67" s="485">
        <v>2058</v>
      </c>
      <c r="R67" s="485">
        <v>2058</v>
      </c>
      <c r="S67" s="485">
        <v>0</v>
      </c>
      <c r="T67" s="485">
        <v>0</v>
      </c>
      <c r="U67" s="485">
        <v>0</v>
      </c>
      <c r="V67" s="485">
        <v>2058</v>
      </c>
      <c r="W67" s="485">
        <v>0</v>
      </c>
      <c r="X67" s="485">
        <v>2058</v>
      </c>
      <c r="Y67" s="498"/>
      <c r="Z67" s="512"/>
    </row>
    <row r="68" spans="1:27" s="500" customFormat="1" ht="55.5" customHeight="1">
      <c r="A68" s="516">
        <v>47</v>
      </c>
      <c r="B68" s="519" t="s">
        <v>95</v>
      </c>
      <c r="C68" s="497" t="s">
        <v>489</v>
      </c>
      <c r="D68" s="513">
        <v>8072189</v>
      </c>
      <c r="E68" s="485">
        <v>1500</v>
      </c>
      <c r="F68" s="485">
        <v>0</v>
      </c>
      <c r="G68" s="485">
        <v>0</v>
      </c>
      <c r="H68" s="485">
        <v>0</v>
      </c>
      <c r="I68" s="485">
        <v>0</v>
      </c>
      <c r="J68" s="485">
        <v>0</v>
      </c>
      <c r="K68" s="485">
        <v>0</v>
      </c>
      <c r="L68" s="485">
        <v>0</v>
      </c>
      <c r="M68" s="485">
        <v>0</v>
      </c>
      <c r="N68" s="485">
        <v>0</v>
      </c>
      <c r="O68" s="485">
        <v>0</v>
      </c>
      <c r="P68" s="485">
        <v>1493</v>
      </c>
      <c r="Q68" s="485">
        <v>1467.3789999999999</v>
      </c>
      <c r="R68" s="485">
        <v>1467.3789999999999</v>
      </c>
      <c r="S68" s="485">
        <v>0</v>
      </c>
      <c r="T68" s="485">
        <v>0</v>
      </c>
      <c r="U68" s="485">
        <v>25.620999999999999</v>
      </c>
      <c r="V68" s="485">
        <v>1467.3789999999999</v>
      </c>
      <c r="W68" s="485">
        <v>0</v>
      </c>
      <c r="X68" s="485">
        <v>1467.3789999999999</v>
      </c>
      <c r="Y68" s="498"/>
      <c r="Z68" s="512">
        <f>+[21]Bieu!$I$9</f>
        <v>1467379000</v>
      </c>
    </row>
    <row r="69" spans="1:27" s="500" customFormat="1" ht="55.5" customHeight="1">
      <c r="A69" s="516">
        <v>48</v>
      </c>
      <c r="B69" s="519" t="s">
        <v>94</v>
      </c>
      <c r="C69" s="497" t="s">
        <v>489</v>
      </c>
      <c r="D69" s="513">
        <v>8072188</v>
      </c>
      <c r="E69" s="485">
        <v>900</v>
      </c>
      <c r="F69" s="485">
        <v>0</v>
      </c>
      <c r="G69" s="485">
        <v>0</v>
      </c>
      <c r="H69" s="485">
        <v>0</v>
      </c>
      <c r="I69" s="485">
        <v>0</v>
      </c>
      <c r="J69" s="485">
        <v>0</v>
      </c>
      <c r="K69" s="485">
        <v>0</v>
      </c>
      <c r="L69" s="485">
        <v>0</v>
      </c>
      <c r="M69" s="485">
        <v>0</v>
      </c>
      <c r="N69" s="485">
        <v>0</v>
      </c>
      <c r="O69" s="485">
        <v>0</v>
      </c>
      <c r="P69" s="485">
        <v>841</v>
      </c>
      <c r="Q69" s="485">
        <v>840.76300000000003</v>
      </c>
      <c r="R69" s="485">
        <v>840.76300000000003</v>
      </c>
      <c r="S69" s="485">
        <v>0</v>
      </c>
      <c r="T69" s="485">
        <v>0</v>
      </c>
      <c r="U69" s="485">
        <v>0.23699999999999999</v>
      </c>
      <c r="V69" s="485">
        <v>840.76300000000003</v>
      </c>
      <c r="W69" s="485">
        <v>0</v>
      </c>
      <c r="X69" s="485">
        <v>840.76300000000003</v>
      </c>
      <c r="Y69" s="498"/>
      <c r="Z69" s="512">
        <f>+[22]Bieu!$I$8</f>
        <v>840763000</v>
      </c>
    </row>
    <row r="70" spans="1:27" s="500" customFormat="1" ht="55.5" customHeight="1">
      <c r="A70" s="516">
        <v>49</v>
      </c>
      <c r="B70" s="519" t="s">
        <v>105</v>
      </c>
      <c r="C70" s="497" t="s">
        <v>489</v>
      </c>
      <c r="D70" s="513">
        <v>8072187</v>
      </c>
      <c r="E70" s="485">
        <v>1300</v>
      </c>
      <c r="F70" s="485">
        <v>0</v>
      </c>
      <c r="G70" s="485">
        <v>0</v>
      </c>
      <c r="H70" s="485">
        <v>0</v>
      </c>
      <c r="I70" s="485">
        <v>0</v>
      </c>
      <c r="J70" s="485">
        <v>0</v>
      </c>
      <c r="K70" s="485">
        <v>0</v>
      </c>
      <c r="L70" s="485">
        <v>0</v>
      </c>
      <c r="M70" s="485">
        <v>0</v>
      </c>
      <c r="N70" s="485">
        <v>0</v>
      </c>
      <c r="O70" s="485">
        <v>0</v>
      </c>
      <c r="P70" s="485">
        <v>1292</v>
      </c>
      <c r="Q70" s="485">
        <v>1270.6420000000001</v>
      </c>
      <c r="R70" s="485">
        <v>1270.6420000000001</v>
      </c>
      <c r="S70" s="485">
        <v>0</v>
      </c>
      <c r="T70" s="485">
        <v>0</v>
      </c>
      <c r="U70" s="485">
        <v>21.358000000000001</v>
      </c>
      <c r="V70" s="485">
        <v>1270.6420000000001</v>
      </c>
      <c r="W70" s="485">
        <v>0</v>
      </c>
      <c r="X70" s="485">
        <v>1270.6420000000001</v>
      </c>
      <c r="Y70" s="498"/>
      <c r="Z70" s="512">
        <f>+[23]Bieu!$I$8</f>
        <v>1270642000</v>
      </c>
    </row>
    <row r="71" spans="1:27" s="500" customFormat="1" ht="55.5" customHeight="1">
      <c r="A71" s="516">
        <v>50</v>
      </c>
      <c r="B71" s="519" t="s">
        <v>96</v>
      </c>
      <c r="C71" s="497" t="s">
        <v>489</v>
      </c>
      <c r="D71" s="513">
        <v>8072186</v>
      </c>
      <c r="E71" s="485">
        <v>1500</v>
      </c>
      <c r="F71" s="485">
        <v>0</v>
      </c>
      <c r="G71" s="485">
        <v>0</v>
      </c>
      <c r="H71" s="485">
        <v>0</v>
      </c>
      <c r="I71" s="485">
        <v>0</v>
      </c>
      <c r="J71" s="485">
        <v>0</v>
      </c>
      <c r="K71" s="485">
        <v>0</v>
      </c>
      <c r="L71" s="485">
        <v>0</v>
      </c>
      <c r="M71" s="485">
        <v>0</v>
      </c>
      <c r="N71" s="485">
        <v>0</v>
      </c>
      <c r="O71" s="485">
        <v>0</v>
      </c>
      <c r="P71" s="485">
        <v>1470</v>
      </c>
      <c r="Q71" s="485">
        <v>1445.26</v>
      </c>
      <c r="R71" s="485">
        <v>1445.26</v>
      </c>
      <c r="S71" s="485">
        <v>0</v>
      </c>
      <c r="T71" s="485">
        <v>0</v>
      </c>
      <c r="U71" s="485">
        <v>24.74</v>
      </c>
      <c r="V71" s="485">
        <v>1445.26</v>
      </c>
      <c r="W71" s="485">
        <v>0</v>
      </c>
      <c r="X71" s="485">
        <v>1445.26</v>
      </c>
      <c r="Y71" s="498"/>
      <c r="Z71" s="512">
        <f>+[24]Bieu!$J$8</f>
        <v>1445260000</v>
      </c>
    </row>
    <row r="72" spans="1:27" s="500" customFormat="1" ht="60" customHeight="1">
      <c r="A72" s="516">
        <v>51</v>
      </c>
      <c r="B72" s="519" t="s">
        <v>146</v>
      </c>
      <c r="C72" s="497" t="s">
        <v>489</v>
      </c>
      <c r="D72" s="513">
        <v>8072185</v>
      </c>
      <c r="E72" s="485">
        <v>1364.6</v>
      </c>
      <c r="F72" s="485">
        <v>0</v>
      </c>
      <c r="G72" s="485">
        <v>0</v>
      </c>
      <c r="H72" s="485">
        <v>0</v>
      </c>
      <c r="I72" s="485">
        <v>0</v>
      </c>
      <c r="J72" s="485">
        <v>0</v>
      </c>
      <c r="K72" s="485">
        <v>0</v>
      </c>
      <c r="L72" s="485">
        <v>0</v>
      </c>
      <c r="M72" s="485">
        <v>0</v>
      </c>
      <c r="N72" s="485">
        <v>0</v>
      </c>
      <c r="O72" s="485">
        <v>0</v>
      </c>
      <c r="P72" s="485">
        <v>1365</v>
      </c>
      <c r="Q72" s="485">
        <v>1294.271</v>
      </c>
      <c r="R72" s="485">
        <v>1294.271</v>
      </c>
      <c r="S72" s="485">
        <v>0</v>
      </c>
      <c r="T72" s="485">
        <v>0</v>
      </c>
      <c r="U72" s="485">
        <v>70.728999999999999</v>
      </c>
      <c r="V72" s="485">
        <v>1294.271</v>
      </c>
      <c r="W72" s="485">
        <v>0</v>
      </c>
      <c r="X72" s="485">
        <v>1294.271</v>
      </c>
      <c r="Y72" s="498"/>
      <c r="Z72" s="512">
        <f>+[25]Bieu!$J$8</f>
        <v>1294270999.96</v>
      </c>
    </row>
    <row r="73" spans="1:27" s="500" customFormat="1" ht="77.25" customHeight="1">
      <c r="A73" s="516">
        <v>52</v>
      </c>
      <c r="B73" s="519" t="s">
        <v>102</v>
      </c>
      <c r="C73" s="497" t="s">
        <v>489</v>
      </c>
      <c r="D73" s="513">
        <v>8072184</v>
      </c>
      <c r="E73" s="485">
        <v>1000</v>
      </c>
      <c r="F73" s="485">
        <v>0</v>
      </c>
      <c r="G73" s="485">
        <v>0</v>
      </c>
      <c r="H73" s="485">
        <v>0</v>
      </c>
      <c r="I73" s="485">
        <v>0</v>
      </c>
      <c r="J73" s="485">
        <v>0</v>
      </c>
      <c r="K73" s="485">
        <v>0</v>
      </c>
      <c r="L73" s="485">
        <v>0</v>
      </c>
      <c r="M73" s="485">
        <v>0</v>
      </c>
      <c r="N73" s="485">
        <v>0</v>
      </c>
      <c r="O73" s="485">
        <v>0</v>
      </c>
      <c r="P73" s="485">
        <v>1000</v>
      </c>
      <c r="Q73" s="485">
        <v>964.76800000000003</v>
      </c>
      <c r="R73" s="485">
        <v>964.76800000000003</v>
      </c>
      <c r="S73" s="485">
        <v>0</v>
      </c>
      <c r="T73" s="485">
        <v>0</v>
      </c>
      <c r="U73" s="485">
        <v>35.231999999999999</v>
      </c>
      <c r="V73" s="485">
        <v>964.76800000000003</v>
      </c>
      <c r="W73" s="485">
        <v>0</v>
      </c>
      <c r="X73" s="485">
        <v>964.76800000000003</v>
      </c>
      <c r="Y73" s="498"/>
      <c r="Z73" s="512">
        <f>+[26]Bieu!$I$8</f>
        <v>964768000</v>
      </c>
    </row>
    <row r="74" spans="1:27" s="549" customFormat="1" ht="62.25" customHeight="1">
      <c r="A74" s="560">
        <v>53</v>
      </c>
      <c r="B74" s="561" t="s">
        <v>159</v>
      </c>
      <c r="C74" s="526" t="s">
        <v>489</v>
      </c>
      <c r="D74" s="557">
        <v>8072183</v>
      </c>
      <c r="E74" s="547">
        <v>5500</v>
      </c>
      <c r="F74" s="547">
        <v>0</v>
      </c>
      <c r="G74" s="547">
        <v>0</v>
      </c>
      <c r="H74" s="547">
        <v>0</v>
      </c>
      <c r="I74" s="547">
        <v>0</v>
      </c>
      <c r="J74" s="547">
        <v>0</v>
      </c>
      <c r="K74" s="547">
        <v>0</v>
      </c>
      <c r="L74" s="547">
        <v>0</v>
      </c>
      <c r="M74" s="547">
        <v>0</v>
      </c>
      <c r="N74" s="547">
        <v>0</v>
      </c>
      <c r="O74" s="547">
        <v>0</v>
      </c>
      <c r="P74" s="547">
        <v>3000</v>
      </c>
      <c r="Q74" s="547">
        <v>3000</v>
      </c>
      <c r="R74" s="547">
        <v>3000</v>
      </c>
      <c r="S74" s="547">
        <v>0</v>
      </c>
      <c r="T74" s="547">
        <v>0</v>
      </c>
      <c r="U74" s="547">
        <v>0</v>
      </c>
      <c r="V74" s="547">
        <v>3000</v>
      </c>
      <c r="W74" s="547">
        <v>0</v>
      </c>
      <c r="X74" s="547">
        <v>3000</v>
      </c>
      <c r="Y74" s="548"/>
      <c r="Z74" s="556">
        <f>+[26]Bieu!$I$7</f>
        <v>35232000</v>
      </c>
    </row>
    <row r="75" spans="1:27" ht="30.75" customHeight="1">
      <c r="A75" s="484" t="s">
        <v>509</v>
      </c>
      <c r="B75" s="501" t="s">
        <v>510</v>
      </c>
      <c r="C75" s="497"/>
      <c r="D75" s="497"/>
      <c r="E75" s="485">
        <v>877672</v>
      </c>
      <c r="F75" s="485">
        <v>370646.17682200001</v>
      </c>
      <c r="G75" s="485">
        <v>65577.067947999996</v>
      </c>
      <c r="H75" s="485">
        <v>0</v>
      </c>
      <c r="I75" s="485">
        <v>58129.552947999997</v>
      </c>
      <c r="J75" s="485">
        <v>11917.108178</v>
      </c>
      <c r="K75" s="485">
        <v>11001.699334999999</v>
      </c>
      <c r="L75" s="485">
        <v>11001.699334999999</v>
      </c>
      <c r="M75" s="485">
        <v>0</v>
      </c>
      <c r="N75" s="485">
        <v>0</v>
      </c>
      <c r="O75" s="485">
        <v>915.40884300000005</v>
      </c>
      <c r="P75" s="485">
        <v>280514</v>
      </c>
      <c r="Q75" s="485">
        <v>209398.340822</v>
      </c>
      <c r="R75" s="485">
        <v>189094.41818199999</v>
      </c>
      <c r="S75" s="485">
        <v>20303.922640000001</v>
      </c>
      <c r="T75" s="485">
        <v>3370.6455780000001</v>
      </c>
      <c r="U75" s="485">
        <v>67745.013600000006</v>
      </c>
      <c r="V75" s="485">
        <v>258225.670465</v>
      </c>
      <c r="W75" s="485">
        <v>27751.43764</v>
      </c>
      <c r="X75" s="485">
        <v>591046.21697900002</v>
      </c>
      <c r="Y75" s="485">
        <f t="shared" ref="Y75:AA75" si="5">SUM(Y76:Y108)/2</f>
        <v>0</v>
      </c>
      <c r="Z75" s="485">
        <f t="shared" si="5"/>
        <v>0</v>
      </c>
      <c r="AA75" s="485">
        <f t="shared" si="5"/>
        <v>0</v>
      </c>
    </row>
    <row r="76" spans="1:27" ht="42" customHeight="1">
      <c r="A76" s="484" t="s">
        <v>36</v>
      </c>
      <c r="B76" s="521" t="s">
        <v>511</v>
      </c>
      <c r="C76" s="497"/>
      <c r="D76" s="497"/>
      <c r="E76" s="485">
        <v>183000</v>
      </c>
      <c r="F76" s="485">
        <v>135000</v>
      </c>
      <c r="G76" s="485">
        <v>18609.388948</v>
      </c>
      <c r="H76" s="485">
        <v>0</v>
      </c>
      <c r="I76" s="485">
        <v>18608.373948</v>
      </c>
      <c r="J76" s="485">
        <v>0</v>
      </c>
      <c r="K76" s="485">
        <v>0</v>
      </c>
      <c r="L76" s="485">
        <v>0</v>
      </c>
      <c r="M76" s="485">
        <v>0</v>
      </c>
      <c r="N76" s="485">
        <v>0</v>
      </c>
      <c r="O76" s="485">
        <v>0</v>
      </c>
      <c r="P76" s="485">
        <v>48000</v>
      </c>
      <c r="Q76" s="485">
        <v>42893.816400000003</v>
      </c>
      <c r="R76" s="485">
        <v>42677.687400000003</v>
      </c>
      <c r="S76" s="485">
        <v>216.12899999999999</v>
      </c>
      <c r="T76" s="485">
        <v>0</v>
      </c>
      <c r="U76" s="485">
        <v>5106.1836000000003</v>
      </c>
      <c r="V76" s="485">
        <v>61286.061348000003</v>
      </c>
      <c r="W76" s="485">
        <v>217.14400000000001</v>
      </c>
      <c r="X76" s="485">
        <v>177893.81640000001</v>
      </c>
      <c r="Y76" s="485">
        <f t="shared" ref="Y76:AA76" si="6">+Y77</f>
        <v>0</v>
      </c>
      <c r="Z76" s="485">
        <f t="shared" si="6"/>
        <v>0</v>
      </c>
      <c r="AA76" s="485">
        <f t="shared" si="6"/>
        <v>0</v>
      </c>
    </row>
    <row r="77" spans="1:27" s="524" customFormat="1" ht="33.75" customHeight="1">
      <c r="A77" s="522">
        <v>1</v>
      </c>
      <c r="B77" s="523" t="s">
        <v>512</v>
      </c>
      <c r="C77" s="522" t="s">
        <v>513</v>
      </c>
      <c r="D77" s="522">
        <v>7912008</v>
      </c>
      <c r="E77" s="485">
        <v>183000</v>
      </c>
      <c r="F77" s="485">
        <v>135000</v>
      </c>
      <c r="G77" s="485">
        <v>18609.388948</v>
      </c>
      <c r="H77" s="485">
        <v>0</v>
      </c>
      <c r="I77" s="485">
        <v>18608.373948</v>
      </c>
      <c r="J77" s="485">
        <v>0</v>
      </c>
      <c r="K77" s="485">
        <v>0</v>
      </c>
      <c r="L77" s="485">
        <v>0</v>
      </c>
      <c r="M77" s="485">
        <v>0</v>
      </c>
      <c r="N77" s="485">
        <v>0</v>
      </c>
      <c r="O77" s="485">
        <v>0</v>
      </c>
      <c r="P77" s="485">
        <v>48000</v>
      </c>
      <c r="Q77" s="485">
        <v>42893.816400000003</v>
      </c>
      <c r="R77" s="485">
        <v>42677.687400000003</v>
      </c>
      <c r="S77" s="485">
        <v>216.12899999999999</v>
      </c>
      <c r="T77" s="485">
        <v>0</v>
      </c>
      <c r="U77" s="485">
        <v>5106.1836000000003</v>
      </c>
      <c r="V77" s="485">
        <v>61286.061348000003</v>
      </c>
      <c r="W77" s="485">
        <v>217.14400000000001</v>
      </c>
      <c r="X77" s="485">
        <v>177893.81640000001</v>
      </c>
    </row>
    <row r="78" spans="1:27" s="525" customFormat="1" ht="39.75" customHeight="1">
      <c r="A78" s="484" t="s">
        <v>43</v>
      </c>
      <c r="B78" s="501" t="s">
        <v>139</v>
      </c>
      <c r="C78" s="484"/>
      <c r="D78" s="484"/>
      <c r="E78" s="485">
        <v>140662</v>
      </c>
      <c r="F78" s="485">
        <v>76707.230821999998</v>
      </c>
      <c r="G78" s="485">
        <v>10205.548000000001</v>
      </c>
      <c r="H78" s="485">
        <v>0</v>
      </c>
      <c r="I78" s="485">
        <v>3051.5729999999999</v>
      </c>
      <c r="J78" s="485">
        <v>7873.7691779999996</v>
      </c>
      <c r="K78" s="485">
        <v>7757.961335</v>
      </c>
      <c r="L78" s="485">
        <v>7757.961335</v>
      </c>
      <c r="M78" s="485">
        <v>0</v>
      </c>
      <c r="N78" s="485">
        <v>0</v>
      </c>
      <c r="O78" s="485">
        <v>115.80784300000001</v>
      </c>
      <c r="P78" s="485">
        <v>19897</v>
      </c>
      <c r="Q78" s="485">
        <v>16526.354422</v>
      </c>
      <c r="R78" s="485">
        <v>14626.354422</v>
      </c>
      <c r="S78" s="485">
        <v>1900</v>
      </c>
      <c r="T78" s="485">
        <v>3370.6455780000001</v>
      </c>
      <c r="U78" s="485">
        <v>0</v>
      </c>
      <c r="V78" s="485">
        <v>25435.888757000001</v>
      </c>
      <c r="W78" s="485">
        <v>9053.9750000000004</v>
      </c>
      <c r="X78" s="485">
        <v>100991.546579</v>
      </c>
      <c r="Y78" s="485">
        <f t="shared" ref="Y78:AA78" si="7">SUM(Y79:Y83)</f>
        <v>0</v>
      </c>
      <c r="Z78" s="485">
        <f t="shared" si="7"/>
        <v>0</v>
      </c>
      <c r="AA78" s="485">
        <f t="shared" si="7"/>
        <v>0</v>
      </c>
    </row>
    <row r="79" spans="1:27" s="565" customFormat="1" ht="35.25" customHeight="1">
      <c r="A79" s="562">
        <v>2</v>
      </c>
      <c r="B79" s="563" t="s">
        <v>237</v>
      </c>
      <c r="C79" s="562" t="s">
        <v>513</v>
      </c>
      <c r="D79" s="566" t="s">
        <v>514</v>
      </c>
      <c r="E79" s="567">
        <v>25662</v>
      </c>
      <c r="F79" s="567">
        <v>2398.1</v>
      </c>
      <c r="G79" s="567">
        <v>1534.394</v>
      </c>
      <c r="H79" s="567">
        <v>0</v>
      </c>
      <c r="I79" s="567">
        <v>330</v>
      </c>
      <c r="J79" s="567">
        <v>101.9</v>
      </c>
      <c r="K79" s="567">
        <v>101.9</v>
      </c>
      <c r="L79" s="567">
        <v>101.9</v>
      </c>
      <c r="M79" s="567">
        <v>0</v>
      </c>
      <c r="N79" s="567">
        <v>0</v>
      </c>
      <c r="O79" s="567">
        <v>0</v>
      </c>
      <c r="P79" s="567">
        <v>8000</v>
      </c>
      <c r="Q79" s="567">
        <v>8000</v>
      </c>
      <c r="R79" s="567">
        <v>8000</v>
      </c>
      <c r="S79" s="567">
        <v>0</v>
      </c>
      <c r="T79" s="567">
        <v>0</v>
      </c>
      <c r="U79" s="567">
        <v>0</v>
      </c>
      <c r="V79" s="567">
        <v>8431.9</v>
      </c>
      <c r="W79" s="567">
        <v>1204.394</v>
      </c>
      <c r="X79" s="567">
        <v>10500</v>
      </c>
    </row>
    <row r="80" spans="1:27" s="529" customFormat="1" ht="35.25" customHeight="1">
      <c r="A80" s="526">
        <v>3</v>
      </c>
      <c r="B80" s="527" t="s">
        <v>231</v>
      </c>
      <c r="C80" s="526" t="s">
        <v>513</v>
      </c>
      <c r="D80" s="530" t="s">
        <v>515</v>
      </c>
      <c r="E80" s="485">
        <v>30000</v>
      </c>
      <c r="F80" s="485">
        <v>7080</v>
      </c>
      <c r="G80" s="485">
        <v>5949.5810000000001</v>
      </c>
      <c r="H80" s="485">
        <v>0</v>
      </c>
      <c r="I80" s="485">
        <v>0</v>
      </c>
      <c r="J80" s="485">
        <v>0</v>
      </c>
      <c r="K80" s="485">
        <v>0</v>
      </c>
      <c r="L80" s="485">
        <v>0</v>
      </c>
      <c r="M80" s="485">
        <v>0</v>
      </c>
      <c r="N80" s="485">
        <v>0</v>
      </c>
      <c r="O80" s="485">
        <v>0</v>
      </c>
      <c r="P80" s="485">
        <v>5430</v>
      </c>
      <c r="Q80" s="485">
        <v>2866.4915999999998</v>
      </c>
      <c r="R80" s="485">
        <v>966.49159999999995</v>
      </c>
      <c r="S80" s="485">
        <v>1900</v>
      </c>
      <c r="T80" s="485">
        <v>2563.5084000000002</v>
      </c>
      <c r="U80" s="485">
        <v>0</v>
      </c>
      <c r="V80" s="485">
        <v>966.49159999999995</v>
      </c>
      <c r="W80" s="485">
        <v>7849.5810000000001</v>
      </c>
      <c r="X80" s="485">
        <v>9946.4915999999994</v>
      </c>
    </row>
    <row r="81" spans="1:27" s="529" customFormat="1" ht="35.25" customHeight="1">
      <c r="A81" s="526">
        <v>4</v>
      </c>
      <c r="B81" s="527" t="s">
        <v>121</v>
      </c>
      <c r="C81" s="526" t="s">
        <v>513</v>
      </c>
      <c r="D81" s="530" t="s">
        <v>516</v>
      </c>
      <c r="E81" s="485">
        <v>20000</v>
      </c>
      <c r="F81" s="485">
        <v>19001</v>
      </c>
      <c r="G81" s="485">
        <v>0</v>
      </c>
      <c r="H81" s="485">
        <v>0</v>
      </c>
      <c r="I81" s="485">
        <v>0</v>
      </c>
      <c r="J81" s="485">
        <v>0</v>
      </c>
      <c r="K81" s="485">
        <v>0</v>
      </c>
      <c r="L81" s="485">
        <v>0</v>
      </c>
      <c r="M81" s="485">
        <v>0</v>
      </c>
      <c r="N81" s="485">
        <v>0</v>
      </c>
      <c r="O81" s="485">
        <v>0</v>
      </c>
      <c r="P81" s="485">
        <v>612</v>
      </c>
      <c r="Q81" s="485">
        <v>552.29300000000001</v>
      </c>
      <c r="R81" s="485">
        <v>552.29300000000001</v>
      </c>
      <c r="S81" s="485">
        <v>0</v>
      </c>
      <c r="T81" s="485">
        <v>59.707000000000001</v>
      </c>
      <c r="U81" s="485">
        <v>0</v>
      </c>
      <c r="V81" s="485">
        <v>552.29300000000001</v>
      </c>
      <c r="W81" s="485">
        <v>0</v>
      </c>
      <c r="X81" s="485">
        <v>19553.293000000001</v>
      </c>
    </row>
    <row r="82" spans="1:27" s="565" customFormat="1" ht="35.25" customHeight="1">
      <c r="A82" s="562">
        <v>5</v>
      </c>
      <c r="B82" s="563" t="s">
        <v>120</v>
      </c>
      <c r="C82" s="562" t="s">
        <v>513</v>
      </c>
      <c r="D82" s="564" t="s">
        <v>517</v>
      </c>
      <c r="E82" s="550">
        <v>30000</v>
      </c>
      <c r="F82" s="550">
        <v>23391.128000000001</v>
      </c>
      <c r="G82" s="550">
        <v>2721.5729999999999</v>
      </c>
      <c r="H82" s="550">
        <v>0</v>
      </c>
      <c r="I82" s="550">
        <v>2721.5729999999999</v>
      </c>
      <c r="J82" s="550">
        <v>5608.8720000000003</v>
      </c>
      <c r="K82" s="550">
        <v>5493.0641569999998</v>
      </c>
      <c r="L82" s="550">
        <v>5493.0641569999998</v>
      </c>
      <c r="M82" s="550">
        <v>0</v>
      </c>
      <c r="N82" s="550">
        <v>0</v>
      </c>
      <c r="O82" s="550">
        <v>115.80784300000001</v>
      </c>
      <c r="P82" s="550">
        <v>214</v>
      </c>
      <c r="Q82" s="550">
        <v>130.91200000000001</v>
      </c>
      <c r="R82" s="550">
        <v>130.91200000000001</v>
      </c>
      <c r="S82" s="550">
        <v>0</v>
      </c>
      <c r="T82" s="550">
        <v>83.087999999999994</v>
      </c>
      <c r="U82" s="550">
        <v>0</v>
      </c>
      <c r="V82" s="550">
        <v>8345.5491569999995</v>
      </c>
      <c r="W82" s="550">
        <v>0</v>
      </c>
      <c r="X82" s="550">
        <v>29015.104157000002</v>
      </c>
    </row>
    <row r="83" spans="1:27" s="565" customFormat="1" ht="35.25" customHeight="1">
      <c r="A83" s="562">
        <v>6</v>
      </c>
      <c r="B83" s="563" t="s">
        <v>119</v>
      </c>
      <c r="C83" s="562" t="s">
        <v>513</v>
      </c>
      <c r="D83" s="564" t="s">
        <v>518</v>
      </c>
      <c r="E83" s="550">
        <v>35000</v>
      </c>
      <c r="F83" s="550">
        <v>24837.002821999999</v>
      </c>
      <c r="G83" s="550">
        <v>0</v>
      </c>
      <c r="H83" s="550">
        <v>0</v>
      </c>
      <c r="I83" s="550">
        <v>0</v>
      </c>
      <c r="J83" s="550">
        <v>2162.9971780000001</v>
      </c>
      <c r="K83" s="550">
        <v>2162.9971780000001</v>
      </c>
      <c r="L83" s="550">
        <v>2162.9971780000001</v>
      </c>
      <c r="M83" s="550">
        <v>0</v>
      </c>
      <c r="N83" s="550">
        <v>0</v>
      </c>
      <c r="O83" s="550">
        <v>0</v>
      </c>
      <c r="P83" s="550">
        <v>5641</v>
      </c>
      <c r="Q83" s="550">
        <v>4976.6578220000001</v>
      </c>
      <c r="R83" s="550">
        <v>4976.6578220000001</v>
      </c>
      <c r="S83" s="550">
        <v>0</v>
      </c>
      <c r="T83" s="550">
        <v>664.34217799999999</v>
      </c>
      <c r="U83" s="550">
        <v>0</v>
      </c>
      <c r="V83" s="550">
        <v>7139.6549999999997</v>
      </c>
      <c r="W83" s="550">
        <v>0</v>
      </c>
      <c r="X83" s="550">
        <v>31976.657822000001</v>
      </c>
    </row>
    <row r="84" spans="1:27" s="525" customFormat="1" ht="66">
      <c r="A84" s="484" t="s">
        <v>53</v>
      </c>
      <c r="B84" s="501" t="s">
        <v>519</v>
      </c>
      <c r="C84" s="484"/>
      <c r="D84" s="484"/>
      <c r="E84" s="485">
        <v>86705</v>
      </c>
      <c r="F84" s="485">
        <v>57189.661</v>
      </c>
      <c r="G84" s="485">
        <v>0</v>
      </c>
      <c r="H84" s="485">
        <v>0</v>
      </c>
      <c r="I84" s="485">
        <v>0</v>
      </c>
      <c r="J84" s="485">
        <v>4043.3389999999999</v>
      </c>
      <c r="K84" s="485">
        <v>3243.7379999999998</v>
      </c>
      <c r="L84" s="485">
        <v>3243.7379999999998</v>
      </c>
      <c r="M84" s="485">
        <v>0</v>
      </c>
      <c r="N84" s="485">
        <v>0</v>
      </c>
      <c r="O84" s="485">
        <v>799.601</v>
      </c>
      <c r="P84" s="485">
        <v>10112</v>
      </c>
      <c r="Q84" s="485">
        <v>10000</v>
      </c>
      <c r="R84" s="485">
        <v>9027.2063600000001</v>
      </c>
      <c r="S84" s="485">
        <v>972.79363999999998</v>
      </c>
      <c r="T84" s="485">
        <v>0</v>
      </c>
      <c r="U84" s="485">
        <v>112</v>
      </c>
      <c r="V84" s="485">
        <v>12270.94436</v>
      </c>
      <c r="W84" s="485">
        <v>972.79363999999998</v>
      </c>
      <c r="X84" s="485">
        <v>70433.399000000005</v>
      </c>
      <c r="Y84" s="485">
        <f t="shared" ref="Y84:AA84" si="8">SUM(Y85:Y89)</f>
        <v>0</v>
      </c>
      <c r="Z84" s="485">
        <f t="shared" si="8"/>
        <v>0</v>
      </c>
      <c r="AA84" s="485">
        <f t="shared" si="8"/>
        <v>0</v>
      </c>
    </row>
    <row r="85" spans="1:27" s="565" customFormat="1" ht="26.4">
      <c r="A85" s="562">
        <v>7</v>
      </c>
      <c r="B85" s="563" t="s">
        <v>123</v>
      </c>
      <c r="C85" s="562" t="s">
        <v>513</v>
      </c>
      <c r="D85" s="564" t="s">
        <v>520</v>
      </c>
      <c r="E85" s="550">
        <v>14990</v>
      </c>
      <c r="F85" s="550">
        <v>12184.164000000001</v>
      </c>
      <c r="G85" s="550">
        <v>0</v>
      </c>
      <c r="H85" s="550">
        <v>0</v>
      </c>
      <c r="I85" s="550">
        <v>0</v>
      </c>
      <c r="J85" s="550">
        <v>2746.8359999999998</v>
      </c>
      <c r="K85" s="550">
        <v>2521.6849999999999</v>
      </c>
      <c r="L85" s="550">
        <v>2521.6849999999999</v>
      </c>
      <c r="M85" s="550">
        <v>0</v>
      </c>
      <c r="N85" s="550">
        <v>0</v>
      </c>
      <c r="O85" s="550">
        <v>225.15100000000001</v>
      </c>
      <c r="P85" s="550">
        <v>0</v>
      </c>
      <c r="Q85" s="550">
        <v>0</v>
      </c>
      <c r="R85" s="550">
        <v>0</v>
      </c>
      <c r="S85" s="550">
        <v>0</v>
      </c>
      <c r="T85" s="550">
        <v>0</v>
      </c>
      <c r="U85" s="550">
        <v>0</v>
      </c>
      <c r="V85" s="550">
        <v>2521.6849999999999</v>
      </c>
      <c r="W85" s="550">
        <v>0</v>
      </c>
      <c r="X85" s="550">
        <v>14705.849</v>
      </c>
    </row>
    <row r="86" spans="1:27" s="565" customFormat="1" ht="52.8">
      <c r="A86" s="562">
        <v>8</v>
      </c>
      <c r="B86" s="563" t="s">
        <v>122</v>
      </c>
      <c r="C86" s="562" t="s">
        <v>513</v>
      </c>
      <c r="D86" s="564" t="s">
        <v>521</v>
      </c>
      <c r="E86" s="550">
        <v>20000</v>
      </c>
      <c r="F86" s="550">
        <v>19051.456999999999</v>
      </c>
      <c r="G86" s="550">
        <v>0</v>
      </c>
      <c r="H86" s="550">
        <v>0</v>
      </c>
      <c r="I86" s="550">
        <v>0</v>
      </c>
      <c r="J86" s="550">
        <v>768.54300000000001</v>
      </c>
      <c r="K86" s="550">
        <v>257.31700000000001</v>
      </c>
      <c r="L86" s="550">
        <v>257.31700000000001</v>
      </c>
      <c r="M86" s="550">
        <v>0</v>
      </c>
      <c r="N86" s="550">
        <v>0</v>
      </c>
      <c r="O86" s="550">
        <v>511.226</v>
      </c>
      <c r="P86" s="550">
        <v>0</v>
      </c>
      <c r="Q86" s="550">
        <v>0</v>
      </c>
      <c r="R86" s="550">
        <v>0</v>
      </c>
      <c r="S86" s="550">
        <v>0</v>
      </c>
      <c r="T86" s="550">
        <v>0</v>
      </c>
      <c r="U86" s="550">
        <v>0</v>
      </c>
      <c r="V86" s="550">
        <v>257.31700000000001</v>
      </c>
      <c r="W86" s="550">
        <v>0</v>
      </c>
      <c r="X86" s="550">
        <v>19308.774000000001</v>
      </c>
    </row>
    <row r="87" spans="1:27" s="529" customFormat="1" ht="42.75" customHeight="1">
      <c r="A87" s="526">
        <v>9</v>
      </c>
      <c r="B87" s="527" t="s">
        <v>190</v>
      </c>
      <c r="C87" s="526" t="s">
        <v>513</v>
      </c>
      <c r="D87" s="531" t="s">
        <v>522</v>
      </c>
      <c r="E87" s="485">
        <v>25662</v>
      </c>
      <c r="F87" s="485">
        <v>367.37599999999998</v>
      </c>
      <c r="G87" s="485">
        <v>0</v>
      </c>
      <c r="H87" s="485">
        <v>0</v>
      </c>
      <c r="I87" s="485">
        <v>0</v>
      </c>
      <c r="J87" s="485">
        <v>282.62400000000002</v>
      </c>
      <c r="K87" s="485">
        <v>282.62400000000002</v>
      </c>
      <c r="L87" s="485">
        <v>282.62400000000002</v>
      </c>
      <c r="M87" s="485">
        <v>0</v>
      </c>
      <c r="N87" s="485">
        <v>0</v>
      </c>
      <c r="O87" s="485">
        <v>0</v>
      </c>
      <c r="P87" s="485">
        <v>10000</v>
      </c>
      <c r="Q87" s="485">
        <v>10000</v>
      </c>
      <c r="R87" s="485">
        <v>9027.2063600000001</v>
      </c>
      <c r="S87" s="485">
        <v>972.79363999999998</v>
      </c>
      <c r="T87" s="485">
        <v>0</v>
      </c>
      <c r="U87" s="485">
        <v>0</v>
      </c>
      <c r="V87" s="485">
        <v>9309.8303599999999</v>
      </c>
      <c r="W87" s="485">
        <v>972.79363999999998</v>
      </c>
      <c r="X87" s="485">
        <v>10650</v>
      </c>
    </row>
    <row r="88" spans="1:27" s="529" customFormat="1" ht="40.5" customHeight="1">
      <c r="A88" s="526">
        <v>10</v>
      </c>
      <c r="B88" s="527" t="s">
        <v>415</v>
      </c>
      <c r="C88" s="526" t="s">
        <v>513</v>
      </c>
      <c r="D88" s="530" t="s">
        <v>523</v>
      </c>
      <c r="E88" s="485">
        <v>12853</v>
      </c>
      <c r="F88" s="485">
        <v>12609.164000000001</v>
      </c>
      <c r="G88" s="485">
        <v>0</v>
      </c>
      <c r="H88" s="485">
        <v>0</v>
      </c>
      <c r="I88" s="485">
        <v>0</v>
      </c>
      <c r="J88" s="485">
        <v>129.83600000000001</v>
      </c>
      <c r="K88" s="485">
        <v>90.957999999999998</v>
      </c>
      <c r="L88" s="485">
        <v>90.957999999999998</v>
      </c>
      <c r="M88" s="485">
        <v>0</v>
      </c>
      <c r="N88" s="485">
        <v>0</v>
      </c>
      <c r="O88" s="485">
        <v>38.878</v>
      </c>
      <c r="P88" s="485">
        <v>56</v>
      </c>
      <c r="Q88" s="485">
        <v>0</v>
      </c>
      <c r="R88" s="485">
        <v>0</v>
      </c>
      <c r="S88" s="485">
        <v>0</v>
      </c>
      <c r="T88" s="485">
        <v>0</v>
      </c>
      <c r="U88" s="485">
        <v>56</v>
      </c>
      <c r="V88" s="485">
        <v>90.957999999999998</v>
      </c>
      <c r="W88" s="485">
        <v>0</v>
      </c>
      <c r="X88" s="485">
        <v>12700.121999999999</v>
      </c>
    </row>
    <row r="89" spans="1:27" s="529" customFormat="1" ht="40.5" customHeight="1">
      <c r="A89" s="526">
        <v>11</v>
      </c>
      <c r="B89" s="527" t="s">
        <v>417</v>
      </c>
      <c r="C89" s="526" t="s">
        <v>513</v>
      </c>
      <c r="D89" s="530" t="s">
        <v>524</v>
      </c>
      <c r="E89" s="485">
        <v>13200</v>
      </c>
      <c r="F89" s="485">
        <v>12977.5</v>
      </c>
      <c r="G89" s="485">
        <v>0</v>
      </c>
      <c r="H89" s="485">
        <v>0</v>
      </c>
      <c r="I89" s="485">
        <v>0</v>
      </c>
      <c r="J89" s="485">
        <v>115.5</v>
      </c>
      <c r="K89" s="485">
        <v>91.153999999999996</v>
      </c>
      <c r="L89" s="485">
        <v>91.153999999999996</v>
      </c>
      <c r="M89" s="485">
        <v>0</v>
      </c>
      <c r="N89" s="485">
        <v>0</v>
      </c>
      <c r="O89" s="485">
        <v>24.346</v>
      </c>
      <c r="P89" s="485">
        <v>56</v>
      </c>
      <c r="Q89" s="485">
        <v>0</v>
      </c>
      <c r="R89" s="485">
        <v>0</v>
      </c>
      <c r="S89" s="485">
        <v>0</v>
      </c>
      <c r="T89" s="485">
        <v>0</v>
      </c>
      <c r="U89" s="485">
        <v>56</v>
      </c>
      <c r="V89" s="485">
        <v>91.153999999999996</v>
      </c>
      <c r="W89" s="485">
        <v>0</v>
      </c>
      <c r="X89" s="485">
        <v>13068.654</v>
      </c>
    </row>
    <row r="90" spans="1:27" s="525" customFormat="1" ht="39.6">
      <c r="A90" s="484" t="s">
        <v>54</v>
      </c>
      <c r="B90" s="501" t="s">
        <v>81</v>
      </c>
      <c r="C90" s="484"/>
      <c r="D90" s="484"/>
      <c r="E90" s="485">
        <v>251783</v>
      </c>
      <c r="F90" s="485">
        <v>101749.285</v>
      </c>
      <c r="G90" s="485">
        <v>36762.131000000001</v>
      </c>
      <c r="H90" s="485">
        <v>0</v>
      </c>
      <c r="I90" s="485">
        <v>36469.606</v>
      </c>
      <c r="J90" s="485">
        <v>0</v>
      </c>
      <c r="K90" s="485">
        <v>0</v>
      </c>
      <c r="L90" s="485">
        <v>0</v>
      </c>
      <c r="M90" s="485">
        <v>0</v>
      </c>
      <c r="N90" s="485">
        <v>0</v>
      </c>
      <c r="O90" s="485">
        <v>0</v>
      </c>
      <c r="P90" s="485">
        <v>117904</v>
      </c>
      <c r="Q90" s="485">
        <v>117807.493</v>
      </c>
      <c r="R90" s="485">
        <v>117807.493</v>
      </c>
      <c r="S90" s="485">
        <v>0</v>
      </c>
      <c r="T90" s="485">
        <v>0</v>
      </c>
      <c r="U90" s="485">
        <v>96.507000000000005</v>
      </c>
      <c r="V90" s="485">
        <v>154277.09899999999</v>
      </c>
      <c r="W90" s="485">
        <v>292.52499999999998</v>
      </c>
      <c r="X90" s="485">
        <v>219556.77799999999</v>
      </c>
      <c r="Y90" s="485">
        <f t="shared" ref="Y90:AA90" si="9">SUM(Y91:Y106)</f>
        <v>0</v>
      </c>
      <c r="Z90" s="485">
        <f t="shared" si="9"/>
        <v>0</v>
      </c>
      <c r="AA90" s="485">
        <f t="shared" si="9"/>
        <v>0</v>
      </c>
    </row>
    <row r="91" spans="1:27" s="529" customFormat="1" ht="42.75" customHeight="1">
      <c r="A91" s="526">
        <v>12</v>
      </c>
      <c r="B91" s="527" t="s">
        <v>129</v>
      </c>
      <c r="C91" s="526" t="s">
        <v>513</v>
      </c>
      <c r="D91" s="533" t="s">
        <v>525</v>
      </c>
      <c r="E91" s="485">
        <v>6800</v>
      </c>
      <c r="F91" s="485">
        <v>4377</v>
      </c>
      <c r="G91" s="485">
        <v>0</v>
      </c>
      <c r="H91" s="485">
        <v>0</v>
      </c>
      <c r="I91" s="485">
        <v>0</v>
      </c>
      <c r="J91" s="485">
        <v>0</v>
      </c>
      <c r="K91" s="485">
        <v>0</v>
      </c>
      <c r="L91" s="485">
        <v>0</v>
      </c>
      <c r="M91" s="485">
        <v>0</v>
      </c>
      <c r="N91" s="485">
        <v>0</v>
      </c>
      <c r="O91" s="485">
        <v>0</v>
      </c>
      <c r="P91" s="485">
        <v>1776</v>
      </c>
      <c r="Q91" s="485">
        <v>1752.1890000000001</v>
      </c>
      <c r="R91" s="485">
        <v>1752.1890000000001</v>
      </c>
      <c r="S91" s="485">
        <v>0</v>
      </c>
      <c r="T91" s="485">
        <v>0</v>
      </c>
      <c r="U91" s="485">
        <v>23.811</v>
      </c>
      <c r="V91" s="485">
        <v>1752.1890000000001</v>
      </c>
      <c r="W91" s="485">
        <v>0</v>
      </c>
      <c r="X91" s="485">
        <v>6129.1890000000003</v>
      </c>
    </row>
    <row r="92" spans="1:27" s="529" customFormat="1" ht="43.5" customHeight="1">
      <c r="A92" s="526">
        <v>13</v>
      </c>
      <c r="B92" s="527" t="s">
        <v>130</v>
      </c>
      <c r="C92" s="526" t="s">
        <v>513</v>
      </c>
      <c r="D92" s="533" t="s">
        <v>526</v>
      </c>
      <c r="E92" s="485">
        <v>9692</v>
      </c>
      <c r="F92" s="485">
        <v>6237.6</v>
      </c>
      <c r="G92" s="485">
        <v>0</v>
      </c>
      <c r="H92" s="485">
        <v>0</v>
      </c>
      <c r="I92" s="485">
        <v>0</v>
      </c>
      <c r="J92" s="485">
        <v>0</v>
      </c>
      <c r="K92" s="485">
        <v>0</v>
      </c>
      <c r="L92" s="485">
        <v>0</v>
      </c>
      <c r="M92" s="485">
        <v>0</v>
      </c>
      <c r="N92" s="485">
        <v>0</v>
      </c>
      <c r="O92" s="485">
        <v>0</v>
      </c>
      <c r="P92" s="485">
        <v>3054</v>
      </c>
      <c r="Q92" s="485">
        <v>3031.5819999999999</v>
      </c>
      <c r="R92" s="485">
        <v>3031.5819999999999</v>
      </c>
      <c r="S92" s="485">
        <v>0</v>
      </c>
      <c r="T92" s="485">
        <v>0</v>
      </c>
      <c r="U92" s="485">
        <v>22.417999999999999</v>
      </c>
      <c r="V92" s="485">
        <v>3031.5819999999999</v>
      </c>
      <c r="W92" s="485">
        <v>0</v>
      </c>
      <c r="X92" s="485">
        <v>9269.1820000000007</v>
      </c>
    </row>
    <row r="93" spans="1:27" s="529" customFormat="1" ht="39.6">
      <c r="A93" s="526">
        <v>14</v>
      </c>
      <c r="B93" s="527" t="s">
        <v>132</v>
      </c>
      <c r="C93" s="526" t="s">
        <v>513</v>
      </c>
      <c r="D93" s="533" t="s">
        <v>527</v>
      </c>
      <c r="E93" s="485">
        <v>6000</v>
      </c>
      <c r="F93" s="485">
        <v>5119.5379999999996</v>
      </c>
      <c r="G93" s="485">
        <v>0</v>
      </c>
      <c r="H93" s="485">
        <v>0</v>
      </c>
      <c r="I93" s="485">
        <v>0</v>
      </c>
      <c r="J93" s="485">
        <v>0</v>
      </c>
      <c r="K93" s="485">
        <v>0</v>
      </c>
      <c r="L93" s="485">
        <v>0</v>
      </c>
      <c r="M93" s="485">
        <v>0</v>
      </c>
      <c r="N93" s="485">
        <v>0</v>
      </c>
      <c r="O93" s="485">
        <v>0</v>
      </c>
      <c r="P93" s="485">
        <v>360</v>
      </c>
      <c r="Q93" s="485">
        <v>360</v>
      </c>
      <c r="R93" s="485">
        <v>360</v>
      </c>
      <c r="S93" s="485">
        <v>0</v>
      </c>
      <c r="T93" s="485">
        <v>0</v>
      </c>
      <c r="U93" s="485">
        <v>0</v>
      </c>
      <c r="V93" s="485">
        <v>360</v>
      </c>
      <c r="W93" s="485">
        <v>0</v>
      </c>
      <c r="X93" s="485">
        <v>5479.5379999999996</v>
      </c>
    </row>
    <row r="94" spans="1:27" s="529" customFormat="1" ht="38.25" customHeight="1">
      <c r="A94" s="526">
        <v>15</v>
      </c>
      <c r="B94" s="527" t="s">
        <v>133</v>
      </c>
      <c r="C94" s="526" t="s">
        <v>513</v>
      </c>
      <c r="D94" s="533" t="s">
        <v>528</v>
      </c>
      <c r="E94" s="485">
        <v>11200</v>
      </c>
      <c r="F94" s="485">
        <v>7240</v>
      </c>
      <c r="G94" s="485">
        <v>0</v>
      </c>
      <c r="H94" s="485">
        <v>0</v>
      </c>
      <c r="I94" s="485">
        <v>0</v>
      </c>
      <c r="J94" s="485">
        <v>0</v>
      </c>
      <c r="K94" s="485">
        <v>0</v>
      </c>
      <c r="L94" s="485">
        <v>0</v>
      </c>
      <c r="M94" s="485">
        <v>0</v>
      </c>
      <c r="N94" s="485">
        <v>0</v>
      </c>
      <c r="O94" s="485">
        <v>0</v>
      </c>
      <c r="P94" s="485">
        <v>3322</v>
      </c>
      <c r="Q94" s="485">
        <v>3297.2890000000002</v>
      </c>
      <c r="R94" s="485">
        <v>3297.2890000000002</v>
      </c>
      <c r="S94" s="485">
        <v>0</v>
      </c>
      <c r="T94" s="485">
        <v>0</v>
      </c>
      <c r="U94" s="485">
        <v>24.710999999999999</v>
      </c>
      <c r="V94" s="485">
        <v>3297.2890000000002</v>
      </c>
      <c r="W94" s="485">
        <v>0</v>
      </c>
      <c r="X94" s="485">
        <v>10537.289000000001</v>
      </c>
    </row>
    <row r="95" spans="1:27" s="529" customFormat="1" ht="38.25" customHeight="1">
      <c r="A95" s="526">
        <v>16</v>
      </c>
      <c r="B95" s="527" t="s">
        <v>349</v>
      </c>
      <c r="C95" s="526" t="s">
        <v>513</v>
      </c>
      <c r="D95" s="533" t="s">
        <v>529</v>
      </c>
      <c r="E95" s="485">
        <v>46000</v>
      </c>
      <c r="F95" s="485">
        <v>13438.361999999999</v>
      </c>
      <c r="G95" s="485">
        <v>5620.3879999999999</v>
      </c>
      <c r="H95" s="485">
        <v>0</v>
      </c>
      <c r="I95" s="485">
        <v>5419.0020000000004</v>
      </c>
      <c r="J95" s="485">
        <v>0</v>
      </c>
      <c r="K95" s="485">
        <v>0</v>
      </c>
      <c r="L95" s="485">
        <v>0</v>
      </c>
      <c r="M95" s="485">
        <v>0</v>
      </c>
      <c r="N95" s="485">
        <v>0</v>
      </c>
      <c r="O95" s="485">
        <v>0</v>
      </c>
      <c r="P95" s="485">
        <v>25504</v>
      </c>
      <c r="Q95" s="485">
        <v>25504</v>
      </c>
      <c r="R95" s="485">
        <v>25504</v>
      </c>
      <c r="S95" s="485">
        <v>0</v>
      </c>
      <c r="T95" s="485">
        <v>0</v>
      </c>
      <c r="U95" s="485">
        <v>0</v>
      </c>
      <c r="V95" s="485">
        <v>30923.002</v>
      </c>
      <c r="W95" s="485">
        <v>201.386</v>
      </c>
      <c r="X95" s="485">
        <v>38942.362000000001</v>
      </c>
    </row>
    <row r="96" spans="1:27" s="529" customFormat="1" ht="43.5" customHeight="1">
      <c r="A96" s="526">
        <v>17</v>
      </c>
      <c r="B96" s="527" t="s">
        <v>351</v>
      </c>
      <c r="C96" s="526" t="s">
        <v>513</v>
      </c>
      <c r="D96" s="533" t="s">
        <v>530</v>
      </c>
      <c r="E96" s="485">
        <v>28000</v>
      </c>
      <c r="F96" s="485">
        <v>8100</v>
      </c>
      <c r="G96" s="485">
        <v>6980</v>
      </c>
      <c r="H96" s="485">
        <v>0</v>
      </c>
      <c r="I96" s="485">
        <v>6980</v>
      </c>
      <c r="J96" s="485">
        <v>0</v>
      </c>
      <c r="K96" s="485">
        <v>0</v>
      </c>
      <c r="L96" s="485">
        <v>0</v>
      </c>
      <c r="M96" s="485">
        <v>0</v>
      </c>
      <c r="N96" s="485">
        <v>0</v>
      </c>
      <c r="O96" s="485">
        <v>0</v>
      </c>
      <c r="P96" s="485">
        <v>17302</v>
      </c>
      <c r="Q96" s="485">
        <v>17302</v>
      </c>
      <c r="R96" s="485">
        <v>17302</v>
      </c>
      <c r="S96" s="485">
        <v>0</v>
      </c>
      <c r="T96" s="485">
        <v>0</v>
      </c>
      <c r="U96" s="485">
        <v>0</v>
      </c>
      <c r="V96" s="485">
        <v>24282</v>
      </c>
      <c r="W96" s="485">
        <v>0</v>
      </c>
      <c r="X96" s="485">
        <v>25402</v>
      </c>
    </row>
    <row r="97" spans="1:27" s="529" customFormat="1" ht="39.6">
      <c r="A97" s="526">
        <v>18</v>
      </c>
      <c r="B97" s="527" t="s">
        <v>353</v>
      </c>
      <c r="C97" s="526" t="s">
        <v>513</v>
      </c>
      <c r="D97" s="533" t="s">
        <v>531</v>
      </c>
      <c r="E97" s="485">
        <v>21500</v>
      </c>
      <c r="F97" s="485">
        <v>6300</v>
      </c>
      <c r="G97" s="485">
        <v>3473.5419999999999</v>
      </c>
      <c r="H97" s="485">
        <v>0</v>
      </c>
      <c r="I97" s="485">
        <v>3382.4029999999998</v>
      </c>
      <c r="J97" s="485">
        <v>0</v>
      </c>
      <c r="K97" s="485">
        <v>0</v>
      </c>
      <c r="L97" s="485">
        <v>0</v>
      </c>
      <c r="M97" s="485">
        <v>0</v>
      </c>
      <c r="N97" s="485">
        <v>0</v>
      </c>
      <c r="O97" s="485">
        <v>0</v>
      </c>
      <c r="P97" s="485">
        <v>13386</v>
      </c>
      <c r="Q97" s="485">
        <v>13386</v>
      </c>
      <c r="R97" s="485">
        <v>13386</v>
      </c>
      <c r="S97" s="485">
        <v>0</v>
      </c>
      <c r="T97" s="485">
        <v>0</v>
      </c>
      <c r="U97" s="485">
        <v>0</v>
      </c>
      <c r="V97" s="485">
        <v>16768.402999999998</v>
      </c>
      <c r="W97" s="485">
        <v>91.138999999999996</v>
      </c>
      <c r="X97" s="485">
        <v>19686</v>
      </c>
    </row>
    <row r="98" spans="1:27" s="529" customFormat="1" ht="34.5" customHeight="1">
      <c r="A98" s="526">
        <v>19</v>
      </c>
      <c r="B98" s="527" t="s">
        <v>83</v>
      </c>
      <c r="C98" s="526" t="s">
        <v>513</v>
      </c>
      <c r="D98" s="533" t="s">
        <v>532</v>
      </c>
      <c r="E98" s="485">
        <v>3000</v>
      </c>
      <c r="F98" s="485">
        <v>1850.03</v>
      </c>
      <c r="G98" s="485">
        <v>0</v>
      </c>
      <c r="H98" s="485">
        <v>0</v>
      </c>
      <c r="I98" s="485">
        <v>0</v>
      </c>
      <c r="J98" s="485">
        <v>0</v>
      </c>
      <c r="K98" s="485">
        <v>0</v>
      </c>
      <c r="L98" s="485">
        <v>0</v>
      </c>
      <c r="M98" s="485">
        <v>0</v>
      </c>
      <c r="N98" s="485">
        <v>0</v>
      </c>
      <c r="O98" s="485">
        <v>0</v>
      </c>
      <c r="P98" s="485">
        <v>833</v>
      </c>
      <c r="Q98" s="485">
        <v>824.43</v>
      </c>
      <c r="R98" s="485">
        <v>824.43</v>
      </c>
      <c r="S98" s="485">
        <v>0</v>
      </c>
      <c r="T98" s="485">
        <v>0</v>
      </c>
      <c r="U98" s="485">
        <v>8.57</v>
      </c>
      <c r="V98" s="485">
        <v>824.43</v>
      </c>
      <c r="W98" s="485">
        <v>0</v>
      </c>
      <c r="X98" s="485">
        <v>2674.46</v>
      </c>
    </row>
    <row r="99" spans="1:27" s="529" customFormat="1" ht="39.6">
      <c r="A99" s="526">
        <v>20</v>
      </c>
      <c r="B99" s="527" t="s">
        <v>357</v>
      </c>
      <c r="C99" s="526" t="s">
        <v>513</v>
      </c>
      <c r="D99" s="533" t="s">
        <v>533</v>
      </c>
      <c r="E99" s="485">
        <v>1600</v>
      </c>
      <c r="F99" s="485">
        <v>1489.8910000000001</v>
      </c>
      <c r="G99" s="485">
        <v>0</v>
      </c>
      <c r="H99" s="485">
        <v>0</v>
      </c>
      <c r="I99" s="485">
        <v>0</v>
      </c>
      <c r="J99" s="485">
        <v>0</v>
      </c>
      <c r="K99" s="485">
        <v>0</v>
      </c>
      <c r="L99" s="485">
        <v>0</v>
      </c>
      <c r="M99" s="485">
        <v>0</v>
      </c>
      <c r="N99" s="485">
        <v>0</v>
      </c>
      <c r="O99" s="485">
        <v>0</v>
      </c>
      <c r="P99" s="485">
        <v>11</v>
      </c>
      <c r="Q99" s="485">
        <v>10.869</v>
      </c>
      <c r="R99" s="485">
        <v>10.869</v>
      </c>
      <c r="S99" s="485">
        <v>0</v>
      </c>
      <c r="T99" s="485">
        <v>0</v>
      </c>
      <c r="U99" s="485">
        <v>0.13100000000000001</v>
      </c>
      <c r="V99" s="485">
        <v>10.869</v>
      </c>
      <c r="W99" s="485">
        <v>0</v>
      </c>
      <c r="X99" s="485">
        <v>1500.76</v>
      </c>
    </row>
    <row r="100" spans="1:27" s="529" customFormat="1" ht="34.5" customHeight="1">
      <c r="A100" s="526">
        <v>21</v>
      </c>
      <c r="B100" s="527" t="s">
        <v>360</v>
      </c>
      <c r="C100" s="526" t="s">
        <v>513</v>
      </c>
      <c r="D100" s="533" t="s">
        <v>534</v>
      </c>
      <c r="E100" s="485">
        <v>93900</v>
      </c>
      <c r="F100" s="485">
        <v>30779.8</v>
      </c>
      <c r="G100" s="485">
        <v>20688.201000000001</v>
      </c>
      <c r="H100" s="485">
        <v>0</v>
      </c>
      <c r="I100" s="485">
        <v>20688.201000000001</v>
      </c>
      <c r="J100" s="485">
        <v>0</v>
      </c>
      <c r="K100" s="485">
        <v>0</v>
      </c>
      <c r="L100" s="485">
        <v>0</v>
      </c>
      <c r="M100" s="485">
        <v>0</v>
      </c>
      <c r="N100" s="485">
        <v>0</v>
      </c>
      <c r="O100" s="485">
        <v>0</v>
      </c>
      <c r="P100" s="485">
        <v>47219</v>
      </c>
      <c r="Q100" s="485">
        <v>47219</v>
      </c>
      <c r="R100" s="485">
        <v>47219</v>
      </c>
      <c r="S100" s="485">
        <v>0</v>
      </c>
      <c r="T100" s="485">
        <v>0</v>
      </c>
      <c r="U100" s="485">
        <v>0</v>
      </c>
      <c r="V100" s="485">
        <v>67907.201000000001</v>
      </c>
      <c r="W100" s="485">
        <v>0</v>
      </c>
      <c r="X100" s="485">
        <v>77998.8</v>
      </c>
    </row>
    <row r="101" spans="1:27" s="529" customFormat="1" ht="41.25" customHeight="1">
      <c r="A101" s="526">
        <v>22</v>
      </c>
      <c r="B101" s="527" t="s">
        <v>362</v>
      </c>
      <c r="C101" s="526" t="s">
        <v>513</v>
      </c>
      <c r="D101" s="533" t="s">
        <v>535</v>
      </c>
      <c r="E101" s="485">
        <v>7000</v>
      </c>
      <c r="F101" s="485">
        <v>4100</v>
      </c>
      <c r="G101" s="485">
        <v>0</v>
      </c>
      <c r="H101" s="485">
        <v>0</v>
      </c>
      <c r="I101" s="485">
        <v>0</v>
      </c>
      <c r="J101" s="485">
        <v>0</v>
      </c>
      <c r="K101" s="485">
        <v>0</v>
      </c>
      <c r="L101" s="485">
        <v>0</v>
      </c>
      <c r="M101" s="485">
        <v>0</v>
      </c>
      <c r="N101" s="485">
        <v>0</v>
      </c>
      <c r="O101" s="485">
        <v>0</v>
      </c>
      <c r="P101" s="485">
        <v>2042</v>
      </c>
      <c r="Q101" s="485">
        <v>2041.211</v>
      </c>
      <c r="R101" s="485">
        <v>2041.211</v>
      </c>
      <c r="S101" s="485">
        <v>0</v>
      </c>
      <c r="T101" s="485">
        <v>0</v>
      </c>
      <c r="U101" s="485">
        <v>0.78900000000000003</v>
      </c>
      <c r="V101" s="485">
        <v>2041.211</v>
      </c>
      <c r="W101" s="485">
        <v>0</v>
      </c>
      <c r="X101" s="485">
        <v>6141.2110000000002</v>
      </c>
    </row>
    <row r="102" spans="1:27" s="529" customFormat="1" ht="41.25" customHeight="1">
      <c r="A102" s="526">
        <v>23</v>
      </c>
      <c r="B102" s="527" t="s">
        <v>136</v>
      </c>
      <c r="C102" s="526" t="s">
        <v>513</v>
      </c>
      <c r="D102" s="533" t="s">
        <v>536</v>
      </c>
      <c r="E102" s="485">
        <v>6200</v>
      </c>
      <c r="F102" s="485">
        <v>3600</v>
      </c>
      <c r="G102" s="485">
        <v>0</v>
      </c>
      <c r="H102" s="485">
        <v>0</v>
      </c>
      <c r="I102" s="485">
        <v>0</v>
      </c>
      <c r="J102" s="485">
        <v>0</v>
      </c>
      <c r="K102" s="485">
        <v>0</v>
      </c>
      <c r="L102" s="485">
        <v>0</v>
      </c>
      <c r="M102" s="485">
        <v>0</v>
      </c>
      <c r="N102" s="485">
        <v>0</v>
      </c>
      <c r="O102" s="485">
        <v>0</v>
      </c>
      <c r="P102" s="485">
        <v>2308</v>
      </c>
      <c r="Q102" s="485">
        <v>2293.29</v>
      </c>
      <c r="R102" s="485">
        <v>2293.29</v>
      </c>
      <c r="S102" s="485">
        <v>0</v>
      </c>
      <c r="T102" s="485">
        <v>0</v>
      </c>
      <c r="U102" s="485">
        <v>14.71</v>
      </c>
      <c r="V102" s="485">
        <v>2293.29</v>
      </c>
      <c r="W102" s="485">
        <v>0</v>
      </c>
      <c r="X102" s="485">
        <v>5893.29</v>
      </c>
    </row>
    <row r="103" spans="1:27" s="529" customFormat="1" ht="39.6">
      <c r="A103" s="526">
        <v>24</v>
      </c>
      <c r="B103" s="527" t="s">
        <v>537</v>
      </c>
      <c r="C103" s="526" t="s">
        <v>513</v>
      </c>
      <c r="D103" s="533" t="s">
        <v>538</v>
      </c>
      <c r="E103" s="485">
        <v>3431</v>
      </c>
      <c r="F103" s="485">
        <v>2766.9079999999999</v>
      </c>
      <c r="G103" s="485">
        <v>0</v>
      </c>
      <c r="H103" s="485">
        <v>0</v>
      </c>
      <c r="I103" s="485">
        <v>0</v>
      </c>
      <c r="J103" s="485">
        <v>0</v>
      </c>
      <c r="K103" s="485">
        <v>0</v>
      </c>
      <c r="L103" s="485">
        <v>0</v>
      </c>
      <c r="M103" s="485">
        <v>0</v>
      </c>
      <c r="N103" s="485">
        <v>0</v>
      </c>
      <c r="O103" s="485">
        <v>0</v>
      </c>
      <c r="P103" s="485">
        <v>333</v>
      </c>
      <c r="Q103" s="485">
        <v>333</v>
      </c>
      <c r="R103" s="485">
        <v>333</v>
      </c>
      <c r="S103" s="485">
        <v>0</v>
      </c>
      <c r="T103" s="485">
        <v>0</v>
      </c>
      <c r="U103" s="485">
        <v>0</v>
      </c>
      <c r="V103" s="485">
        <v>333</v>
      </c>
      <c r="W103" s="485">
        <v>0</v>
      </c>
      <c r="X103" s="485">
        <v>3099.9079999999999</v>
      </c>
    </row>
    <row r="104" spans="1:27" s="529" customFormat="1" ht="42" customHeight="1">
      <c r="A104" s="526">
        <v>25</v>
      </c>
      <c r="B104" s="527" t="s">
        <v>539</v>
      </c>
      <c r="C104" s="526" t="s">
        <v>513</v>
      </c>
      <c r="D104" s="533" t="s">
        <v>540</v>
      </c>
      <c r="E104" s="485">
        <v>5000</v>
      </c>
      <c r="F104" s="485">
        <v>4500</v>
      </c>
      <c r="G104" s="485">
        <v>0</v>
      </c>
      <c r="H104" s="485">
        <v>0</v>
      </c>
      <c r="I104" s="485">
        <v>0</v>
      </c>
      <c r="J104" s="485">
        <v>0</v>
      </c>
      <c r="K104" s="485">
        <v>0</v>
      </c>
      <c r="L104" s="485">
        <v>0</v>
      </c>
      <c r="M104" s="485">
        <v>0</v>
      </c>
      <c r="N104" s="485">
        <v>0</v>
      </c>
      <c r="O104" s="485">
        <v>0</v>
      </c>
      <c r="P104" s="485">
        <v>403</v>
      </c>
      <c r="Q104" s="485">
        <v>402.91199999999998</v>
      </c>
      <c r="R104" s="485">
        <v>402.91199999999998</v>
      </c>
      <c r="S104" s="485">
        <v>0</v>
      </c>
      <c r="T104" s="485">
        <v>0</v>
      </c>
      <c r="U104" s="485">
        <v>8.7999999999999995E-2</v>
      </c>
      <c r="V104" s="485">
        <v>402.91199999999998</v>
      </c>
      <c r="W104" s="485">
        <v>0</v>
      </c>
      <c r="X104" s="485">
        <v>4902.9120000000003</v>
      </c>
    </row>
    <row r="105" spans="1:27" s="529" customFormat="1" ht="47.25" customHeight="1">
      <c r="A105" s="526">
        <v>26</v>
      </c>
      <c r="B105" s="527" t="s">
        <v>368</v>
      </c>
      <c r="C105" s="526" t="s">
        <v>513</v>
      </c>
      <c r="D105" s="533" t="s">
        <v>541</v>
      </c>
      <c r="E105" s="485">
        <v>560</v>
      </c>
      <c r="F105" s="485">
        <v>515.76499999999999</v>
      </c>
      <c r="G105" s="485">
        <v>0</v>
      </c>
      <c r="H105" s="485">
        <v>0</v>
      </c>
      <c r="I105" s="485">
        <v>0</v>
      </c>
      <c r="J105" s="485">
        <v>0</v>
      </c>
      <c r="K105" s="485">
        <v>0</v>
      </c>
      <c r="L105" s="485">
        <v>0</v>
      </c>
      <c r="M105" s="485">
        <v>0</v>
      </c>
      <c r="N105" s="485">
        <v>0</v>
      </c>
      <c r="O105" s="485">
        <v>0</v>
      </c>
      <c r="P105" s="485">
        <v>1</v>
      </c>
      <c r="Q105" s="485">
        <v>0.45</v>
      </c>
      <c r="R105" s="485">
        <v>0.45</v>
      </c>
      <c r="S105" s="485">
        <v>0</v>
      </c>
      <c r="T105" s="485">
        <v>0</v>
      </c>
      <c r="U105" s="485">
        <v>0.55000000000000004</v>
      </c>
      <c r="V105" s="485">
        <v>0.45</v>
      </c>
      <c r="W105" s="485">
        <v>0</v>
      </c>
      <c r="X105" s="485">
        <v>516.21500000000003</v>
      </c>
    </row>
    <row r="106" spans="1:27" s="529" customFormat="1" ht="48.75" customHeight="1">
      <c r="A106" s="526">
        <v>27</v>
      </c>
      <c r="B106" s="527" t="s">
        <v>370</v>
      </c>
      <c r="C106" s="526" t="s">
        <v>513</v>
      </c>
      <c r="D106" s="533" t="s">
        <v>542</v>
      </c>
      <c r="E106" s="485">
        <v>1900</v>
      </c>
      <c r="F106" s="485">
        <v>1334.3910000000001</v>
      </c>
      <c r="G106" s="485">
        <v>0</v>
      </c>
      <c r="H106" s="485">
        <v>0</v>
      </c>
      <c r="I106" s="485">
        <v>0</v>
      </c>
      <c r="J106" s="485">
        <v>0</v>
      </c>
      <c r="K106" s="485">
        <v>0</v>
      </c>
      <c r="L106" s="485">
        <v>0</v>
      </c>
      <c r="M106" s="485">
        <v>0</v>
      </c>
      <c r="N106" s="485">
        <v>0</v>
      </c>
      <c r="O106" s="485">
        <v>0</v>
      </c>
      <c r="P106" s="485">
        <v>50</v>
      </c>
      <c r="Q106" s="485">
        <v>49.271000000000001</v>
      </c>
      <c r="R106" s="485">
        <v>49.271000000000001</v>
      </c>
      <c r="S106" s="485">
        <v>0</v>
      </c>
      <c r="T106" s="485">
        <v>0</v>
      </c>
      <c r="U106" s="485">
        <v>0.72899999999999998</v>
      </c>
      <c r="V106" s="485">
        <v>49.271000000000001</v>
      </c>
      <c r="W106" s="485">
        <v>0</v>
      </c>
      <c r="X106" s="485">
        <v>1383.662</v>
      </c>
    </row>
    <row r="107" spans="1:27" s="525" customFormat="1" ht="34.5" customHeight="1">
      <c r="A107" s="484" t="s">
        <v>55</v>
      </c>
      <c r="B107" s="501" t="s">
        <v>543</v>
      </c>
      <c r="C107" s="484"/>
      <c r="D107" s="534"/>
      <c r="E107" s="485">
        <v>215522</v>
      </c>
      <c r="F107" s="485">
        <v>0</v>
      </c>
      <c r="G107" s="485">
        <v>0</v>
      </c>
      <c r="H107" s="485">
        <v>0</v>
      </c>
      <c r="I107" s="485">
        <v>0</v>
      </c>
      <c r="J107" s="485">
        <v>0</v>
      </c>
      <c r="K107" s="485">
        <v>0</v>
      </c>
      <c r="L107" s="485">
        <v>0</v>
      </c>
      <c r="M107" s="485">
        <v>0</v>
      </c>
      <c r="N107" s="485">
        <v>0</v>
      </c>
      <c r="O107" s="485">
        <v>0</v>
      </c>
      <c r="P107" s="485">
        <v>84601</v>
      </c>
      <c r="Q107" s="485">
        <v>22170.677</v>
      </c>
      <c r="R107" s="485">
        <v>4955.6769999999997</v>
      </c>
      <c r="S107" s="485">
        <v>17215</v>
      </c>
      <c r="T107" s="485">
        <v>0</v>
      </c>
      <c r="U107" s="485">
        <v>62430.322999999997</v>
      </c>
      <c r="V107" s="485">
        <v>4955.6769999999997</v>
      </c>
      <c r="W107" s="485">
        <v>17215</v>
      </c>
      <c r="X107" s="485">
        <v>22170.677</v>
      </c>
      <c r="Y107" s="485">
        <f t="shared" ref="Y107:AA107" si="10">+Y108</f>
        <v>0</v>
      </c>
      <c r="Z107" s="485">
        <f t="shared" si="10"/>
        <v>0</v>
      </c>
      <c r="AA107" s="485">
        <f t="shared" si="10"/>
        <v>0</v>
      </c>
    </row>
    <row r="108" spans="1:27" s="529" customFormat="1" ht="40.5" customHeight="1">
      <c r="A108" s="526">
        <v>28</v>
      </c>
      <c r="B108" s="527" t="s">
        <v>544</v>
      </c>
      <c r="C108" s="526" t="s">
        <v>513</v>
      </c>
      <c r="D108" s="533">
        <v>8103876</v>
      </c>
      <c r="E108" s="485">
        <v>215522</v>
      </c>
      <c r="F108" s="485">
        <v>0</v>
      </c>
      <c r="G108" s="485">
        <v>0</v>
      </c>
      <c r="H108" s="485">
        <v>0</v>
      </c>
      <c r="I108" s="485">
        <v>0</v>
      </c>
      <c r="J108" s="485">
        <v>0</v>
      </c>
      <c r="K108" s="485">
        <v>0</v>
      </c>
      <c r="L108" s="485">
        <v>0</v>
      </c>
      <c r="M108" s="485">
        <v>0</v>
      </c>
      <c r="N108" s="485">
        <v>0</v>
      </c>
      <c r="O108" s="485">
        <v>0</v>
      </c>
      <c r="P108" s="485">
        <v>84601</v>
      </c>
      <c r="Q108" s="485">
        <v>22170.677</v>
      </c>
      <c r="R108" s="485">
        <v>4955.6769999999997</v>
      </c>
      <c r="S108" s="485">
        <v>17215</v>
      </c>
      <c r="T108" s="485">
        <v>0</v>
      </c>
      <c r="U108" s="485">
        <v>62430.322999999997</v>
      </c>
      <c r="V108" s="485">
        <v>4955.6769999999997</v>
      </c>
      <c r="W108" s="485">
        <v>17215</v>
      </c>
      <c r="X108" s="485">
        <v>22170.677</v>
      </c>
    </row>
    <row r="109" spans="1:27" ht="24.75" customHeight="1">
      <c r="A109" s="535"/>
      <c r="B109" s="536"/>
      <c r="C109" s="476"/>
      <c r="D109" s="537"/>
      <c r="E109" s="538"/>
      <c r="F109" s="538"/>
      <c r="G109" s="538"/>
      <c r="H109" s="538"/>
      <c r="I109" s="538"/>
      <c r="J109" s="538"/>
      <c r="K109" s="539"/>
      <c r="L109" s="538"/>
      <c r="M109" s="538"/>
      <c r="N109" s="539"/>
      <c r="O109" s="538"/>
      <c r="P109" s="538"/>
      <c r="Q109" s="540"/>
      <c r="R109" s="538"/>
      <c r="S109" s="538"/>
      <c r="T109" s="538"/>
      <c r="U109" s="538"/>
      <c r="V109" s="541"/>
      <c r="W109" s="541"/>
      <c r="X109" s="541"/>
    </row>
    <row r="111" spans="1:27" s="479" customFormat="1" ht="21">
      <c r="A111" s="853"/>
      <c r="B111" s="853"/>
      <c r="C111" s="853"/>
      <c r="D111" s="853"/>
      <c r="E111" s="853"/>
      <c r="F111" s="853"/>
      <c r="G111" s="853"/>
      <c r="H111" s="853"/>
      <c r="I111" s="853"/>
      <c r="J111" s="853"/>
      <c r="P111" s="853" t="s">
        <v>545</v>
      </c>
      <c r="Q111" s="853"/>
      <c r="R111" s="853"/>
      <c r="S111" s="853"/>
      <c r="T111" s="853"/>
      <c r="U111" s="853"/>
      <c r="V111" s="853"/>
      <c r="W111" s="853"/>
      <c r="X111" s="853"/>
      <c r="Y111" s="853"/>
    </row>
    <row r="112" spans="1:27" s="479" customFormat="1" ht="21">
      <c r="A112" s="849"/>
      <c r="B112" s="849"/>
      <c r="C112" s="849"/>
      <c r="D112" s="849"/>
      <c r="E112" s="849"/>
      <c r="F112" s="849"/>
      <c r="G112" s="849"/>
      <c r="H112" s="849"/>
      <c r="I112" s="849"/>
      <c r="J112" s="849"/>
      <c r="P112" s="849" t="s">
        <v>546</v>
      </c>
      <c r="Q112" s="849"/>
      <c r="R112" s="849"/>
      <c r="S112" s="849"/>
      <c r="T112" s="849"/>
      <c r="U112" s="849"/>
      <c r="V112" s="849"/>
      <c r="W112" s="849"/>
      <c r="X112" s="849"/>
      <c r="Y112" s="849"/>
    </row>
    <row r="113" spans="1:25" s="542" customFormat="1" ht="21">
      <c r="A113" s="853"/>
      <c r="B113" s="853"/>
      <c r="C113" s="853"/>
      <c r="D113" s="853"/>
      <c r="E113" s="853"/>
      <c r="F113" s="853"/>
      <c r="G113" s="853"/>
      <c r="H113" s="853"/>
      <c r="I113" s="853"/>
      <c r="J113" s="853"/>
      <c r="P113" s="853" t="s">
        <v>547</v>
      </c>
      <c r="Q113" s="853"/>
      <c r="R113" s="853"/>
      <c r="S113" s="853"/>
      <c r="T113" s="853"/>
      <c r="U113" s="853"/>
      <c r="V113" s="853"/>
      <c r="W113" s="853"/>
      <c r="X113" s="853"/>
      <c r="Y113" s="853"/>
    </row>
    <row r="114" spans="1:25" s="479" customFormat="1" ht="21">
      <c r="A114" s="849"/>
      <c r="B114" s="849"/>
      <c r="C114" s="849"/>
      <c r="D114" s="849"/>
      <c r="E114" s="849"/>
      <c r="F114" s="849"/>
      <c r="G114" s="849"/>
      <c r="H114" s="849"/>
      <c r="I114" s="849"/>
      <c r="J114" s="849"/>
      <c r="P114" s="849" t="s">
        <v>548</v>
      </c>
      <c r="Q114" s="849"/>
      <c r="R114" s="849"/>
      <c r="S114" s="849"/>
      <c r="T114" s="849"/>
      <c r="U114" s="849"/>
      <c r="V114" s="849"/>
      <c r="W114" s="849"/>
      <c r="X114" s="849"/>
      <c r="Y114" s="849"/>
    </row>
    <row r="115" spans="1:25" s="479" customFormat="1" ht="21">
      <c r="D115" s="480"/>
      <c r="E115" s="478"/>
      <c r="F115" s="478"/>
      <c r="G115" s="478"/>
      <c r="H115" s="478"/>
      <c r="I115" s="478"/>
      <c r="S115" s="480"/>
      <c r="T115" s="478"/>
      <c r="U115" s="478"/>
      <c r="V115" s="478"/>
      <c r="W115" s="478"/>
      <c r="X115" s="478"/>
    </row>
    <row r="116" spans="1:25" s="479" customFormat="1" ht="21">
      <c r="D116" s="480"/>
      <c r="E116" s="478"/>
      <c r="F116" s="478"/>
      <c r="G116" s="478"/>
      <c r="H116" s="478"/>
      <c r="I116" s="478"/>
      <c r="S116" s="480"/>
      <c r="T116" s="478"/>
      <c r="U116" s="478"/>
      <c r="V116" s="478"/>
      <c r="W116" s="478"/>
      <c r="X116" s="478"/>
    </row>
    <row r="117" spans="1:25" s="479" customFormat="1" ht="21">
      <c r="D117" s="480"/>
      <c r="E117" s="478"/>
      <c r="F117" s="478"/>
      <c r="G117" s="478"/>
      <c r="H117" s="478"/>
      <c r="I117" s="478"/>
      <c r="S117" s="480"/>
      <c r="T117" s="478"/>
      <c r="U117" s="478"/>
      <c r="V117" s="478"/>
      <c r="W117" s="478"/>
      <c r="X117" s="478"/>
    </row>
    <row r="118" spans="1:25" s="479" customFormat="1" ht="21">
      <c r="D118" s="480"/>
      <c r="E118" s="478"/>
      <c r="F118" s="478"/>
      <c r="G118" s="478"/>
      <c r="H118" s="478"/>
      <c r="I118" s="478"/>
      <c r="S118" s="480"/>
      <c r="T118" s="478"/>
      <c r="U118" s="478"/>
      <c r="V118" s="478"/>
      <c r="W118" s="478"/>
      <c r="X118" s="478"/>
    </row>
    <row r="119" spans="1:25" s="479" customFormat="1" ht="21">
      <c r="D119" s="480"/>
      <c r="E119" s="478"/>
      <c r="F119" s="478"/>
      <c r="G119" s="478"/>
      <c r="H119" s="478"/>
      <c r="I119" s="478"/>
      <c r="S119" s="480"/>
      <c r="T119" s="478"/>
      <c r="U119" s="478"/>
      <c r="V119" s="478"/>
      <c r="W119" s="478"/>
      <c r="X119" s="478"/>
    </row>
    <row r="120" spans="1:25" s="479" customFormat="1" ht="21">
      <c r="D120" s="480"/>
      <c r="E120" s="478"/>
      <c r="F120" s="478"/>
      <c r="G120" s="478"/>
      <c r="H120" s="478"/>
      <c r="I120" s="478"/>
      <c r="S120" s="480"/>
      <c r="T120" s="478"/>
      <c r="U120" s="478"/>
      <c r="V120" s="478"/>
      <c r="W120" s="478"/>
      <c r="X120" s="478"/>
    </row>
    <row r="121" spans="1:25" s="479" customFormat="1" ht="21">
      <c r="D121" s="480"/>
      <c r="E121" s="478"/>
      <c r="F121" s="478"/>
      <c r="G121" s="478"/>
      <c r="H121" s="478"/>
      <c r="I121" s="478"/>
      <c r="S121" s="480"/>
      <c r="T121" s="478"/>
      <c r="U121" s="478"/>
      <c r="V121" s="478"/>
      <c r="W121" s="478"/>
      <c r="X121" s="478"/>
    </row>
    <row r="122" spans="1:25" s="479" customFormat="1" ht="21">
      <c r="D122" s="480"/>
      <c r="E122" s="478"/>
      <c r="F122" s="478"/>
      <c r="G122" s="478"/>
      <c r="H122" s="478"/>
      <c r="I122" s="478"/>
      <c r="S122" s="480"/>
      <c r="T122" s="478"/>
      <c r="U122" s="478"/>
      <c r="V122" s="478"/>
      <c r="W122" s="478"/>
      <c r="X122" s="478"/>
    </row>
    <row r="123" spans="1:25" s="479" customFormat="1" ht="21">
      <c r="D123" s="480"/>
      <c r="E123" s="478"/>
      <c r="F123" s="478"/>
      <c r="G123" s="478"/>
      <c r="H123" s="478"/>
      <c r="I123" s="478"/>
      <c r="S123" s="480"/>
      <c r="T123" s="478"/>
      <c r="U123" s="478"/>
      <c r="V123" s="478"/>
      <c r="W123" s="478"/>
      <c r="X123" s="478"/>
    </row>
    <row r="124" spans="1:25" s="479" customFormat="1" ht="21">
      <c r="D124" s="480"/>
      <c r="E124" s="478"/>
      <c r="F124" s="478"/>
      <c r="G124" s="478"/>
      <c r="H124" s="478"/>
      <c r="I124" s="478"/>
      <c r="S124" s="480"/>
      <c r="T124" s="478"/>
      <c r="U124" s="478"/>
      <c r="V124" s="478"/>
      <c r="W124" s="478"/>
      <c r="X124" s="478"/>
    </row>
    <row r="125" spans="1:25" s="479" customFormat="1" ht="21">
      <c r="D125" s="480"/>
      <c r="E125" s="478"/>
      <c r="F125" s="478"/>
      <c r="G125" s="478"/>
      <c r="H125" s="478"/>
      <c r="I125" s="478"/>
      <c r="S125" s="480"/>
      <c r="T125" s="478"/>
      <c r="U125" s="478"/>
      <c r="V125" s="478"/>
      <c r="W125" s="478"/>
      <c r="X125" s="478"/>
    </row>
    <row r="126" spans="1:25" s="479" customFormat="1" ht="21">
      <c r="D126" s="480"/>
      <c r="E126" s="478"/>
      <c r="F126" s="478"/>
      <c r="G126" s="478"/>
      <c r="H126" s="478"/>
      <c r="I126" s="478"/>
      <c r="S126" s="480"/>
      <c r="T126" s="478"/>
      <c r="U126" s="478"/>
      <c r="V126" s="478"/>
      <c r="W126" s="478"/>
      <c r="X126" s="478"/>
    </row>
    <row r="127" spans="1:25" s="543" customFormat="1" ht="20.399999999999999">
      <c r="A127" s="849"/>
      <c r="B127" s="849"/>
      <c r="C127" s="849"/>
      <c r="D127" s="849"/>
      <c r="E127" s="849"/>
      <c r="F127" s="849"/>
      <c r="G127" s="849"/>
      <c r="H127" s="849"/>
      <c r="I127" s="849"/>
      <c r="J127" s="849"/>
      <c r="P127" s="849" t="s">
        <v>549</v>
      </c>
      <c r="Q127" s="849"/>
      <c r="R127" s="849"/>
      <c r="S127" s="849"/>
      <c r="T127" s="849"/>
      <c r="U127" s="849"/>
      <c r="V127" s="849"/>
      <c r="W127" s="849"/>
      <c r="X127" s="849"/>
      <c r="Y127" s="849"/>
    </row>
    <row r="128" spans="1:25" s="479" customFormat="1" ht="21">
      <c r="D128" s="480"/>
      <c r="E128" s="478"/>
      <c r="F128" s="478"/>
      <c r="G128" s="478"/>
      <c r="H128" s="478"/>
      <c r="I128" s="478"/>
    </row>
    <row r="196" spans="1:27" s="525" customFormat="1" ht="39.6">
      <c r="A196" s="484" t="s">
        <v>78</v>
      </c>
      <c r="B196" s="501" t="s">
        <v>81</v>
      </c>
      <c r="C196" s="484" t="s">
        <v>513</v>
      </c>
      <c r="D196" s="484"/>
      <c r="E196" s="485">
        <f t="shared" ref="E196:AA196" si="11">SUM(E197:E250)</f>
        <v>3350000000</v>
      </c>
      <c r="F196" s="485">
        <f t="shared" si="11"/>
        <v>2866396000</v>
      </c>
      <c r="G196" s="485">
        <f t="shared" si="11"/>
        <v>0</v>
      </c>
      <c r="H196" s="485">
        <f t="shared" si="11"/>
        <v>0</v>
      </c>
      <c r="I196" s="485">
        <f t="shared" si="11"/>
        <v>0</v>
      </c>
      <c r="J196" s="485">
        <f t="shared" si="11"/>
        <v>0</v>
      </c>
      <c r="K196" s="485">
        <f t="shared" si="11"/>
        <v>0</v>
      </c>
      <c r="L196" s="485">
        <f t="shared" si="11"/>
        <v>0</v>
      </c>
      <c r="M196" s="485">
        <f t="shared" si="11"/>
        <v>0</v>
      </c>
      <c r="N196" s="485">
        <f t="shared" si="11"/>
        <v>0</v>
      </c>
      <c r="O196" s="485">
        <f t="shared" si="11"/>
        <v>0</v>
      </c>
      <c r="P196" s="485">
        <f t="shared" si="11"/>
        <v>0</v>
      </c>
      <c r="Q196" s="485">
        <f t="shared" si="11"/>
        <v>0</v>
      </c>
      <c r="R196" s="485">
        <f t="shared" si="11"/>
        <v>0</v>
      </c>
      <c r="S196" s="485">
        <f t="shared" si="11"/>
        <v>0</v>
      </c>
      <c r="T196" s="485">
        <f t="shared" si="11"/>
        <v>0</v>
      </c>
      <c r="U196" s="485">
        <f t="shared" si="11"/>
        <v>0</v>
      </c>
      <c r="V196" s="485">
        <f t="shared" si="11"/>
        <v>0</v>
      </c>
      <c r="W196" s="485">
        <f t="shared" si="11"/>
        <v>0</v>
      </c>
      <c r="X196" s="485">
        <f t="shared" si="11"/>
        <v>2866396000</v>
      </c>
      <c r="Y196" s="485">
        <f t="shared" si="11"/>
        <v>0</v>
      </c>
      <c r="Z196" s="485">
        <f t="shared" si="11"/>
        <v>0</v>
      </c>
      <c r="AA196" s="485">
        <f t="shared" si="11"/>
        <v>0</v>
      </c>
    </row>
    <row r="197" spans="1:27" ht="39.6">
      <c r="A197" s="497" t="s">
        <v>283</v>
      </c>
      <c r="B197" s="505" t="s">
        <v>85</v>
      </c>
      <c r="C197" s="497" t="s">
        <v>513</v>
      </c>
      <c r="D197" s="544" t="s">
        <v>550</v>
      </c>
      <c r="E197" s="502">
        <v>2300000000</v>
      </c>
      <c r="F197" s="502">
        <v>2029745000</v>
      </c>
      <c r="G197" s="502">
        <v>0</v>
      </c>
      <c r="H197" s="502"/>
      <c r="I197" s="502"/>
      <c r="J197" s="502">
        <v>0</v>
      </c>
      <c r="K197" s="504"/>
      <c r="L197" s="502"/>
      <c r="M197" s="502"/>
      <c r="N197" s="504">
        <f>+J197-K197</f>
        <v>0</v>
      </c>
      <c r="O197" s="502">
        <f>+J197-K197-N197</f>
        <v>0</v>
      </c>
      <c r="P197" s="545">
        <v>0</v>
      </c>
      <c r="Q197" s="546">
        <v>0</v>
      </c>
      <c r="R197" s="502">
        <v>0</v>
      </c>
      <c r="S197" s="502">
        <v>0</v>
      </c>
      <c r="T197" s="502"/>
      <c r="U197" s="502">
        <f>+P197-Q197-T197</f>
        <v>0</v>
      </c>
      <c r="V197" s="486">
        <f>+I197+L197+R197</f>
        <v>0</v>
      </c>
      <c r="W197" s="486">
        <f>+G197-H197-I197+M197+S197</f>
        <v>0</v>
      </c>
      <c r="X197" s="486">
        <f>+F197-H197+K197+Q197</f>
        <v>2029745000</v>
      </c>
    </row>
    <row r="198" spans="1:27" ht="39.6">
      <c r="A198" s="497" t="s">
        <v>306</v>
      </c>
      <c r="B198" s="505" t="s">
        <v>135</v>
      </c>
      <c r="C198" s="497" t="s">
        <v>513</v>
      </c>
      <c r="D198" s="544" t="s">
        <v>551</v>
      </c>
      <c r="E198" s="502">
        <v>1050000000</v>
      </c>
      <c r="F198" s="502">
        <v>836651000</v>
      </c>
      <c r="G198" s="502">
        <v>0</v>
      </c>
      <c r="H198" s="502"/>
      <c r="I198" s="502"/>
      <c r="J198" s="502">
        <v>0</v>
      </c>
      <c r="K198" s="504"/>
      <c r="L198" s="502"/>
      <c r="M198" s="502"/>
      <c r="N198" s="504">
        <f>+J198-K198</f>
        <v>0</v>
      </c>
      <c r="O198" s="502">
        <f>+J198-K198-N198</f>
        <v>0</v>
      </c>
      <c r="P198" s="545">
        <v>0</v>
      </c>
      <c r="Q198" s="546">
        <v>0</v>
      </c>
      <c r="R198" s="502">
        <v>0</v>
      </c>
      <c r="S198" s="502">
        <v>0</v>
      </c>
      <c r="T198" s="502"/>
      <c r="U198" s="502">
        <f>+P198-Q198-T198</f>
        <v>0</v>
      </c>
      <c r="V198" s="486">
        <f>+I198+L198+R198</f>
        <v>0</v>
      </c>
      <c r="W198" s="486">
        <f>+G198-H198-I198+M198+S198</f>
        <v>0</v>
      </c>
      <c r="X198" s="486">
        <f>+F198-H198+K198+Q198</f>
        <v>836651000</v>
      </c>
    </row>
  </sheetData>
  <mergeCells count="36">
    <mergeCell ref="A114:J114"/>
    <mergeCell ref="P114:Y114"/>
    <mergeCell ref="A127:J127"/>
    <mergeCell ref="P127:Y127"/>
    <mergeCell ref="A111:J111"/>
    <mergeCell ref="P111:Y111"/>
    <mergeCell ref="A112:J112"/>
    <mergeCell ref="P112:Y112"/>
    <mergeCell ref="A113:J113"/>
    <mergeCell ref="P113:Y113"/>
    <mergeCell ref="W10:W12"/>
    <mergeCell ref="X10:X12"/>
    <mergeCell ref="J11:J12"/>
    <mergeCell ref="K11:M11"/>
    <mergeCell ref="N11:N12"/>
    <mergeCell ref="O11:O12"/>
    <mergeCell ref="P11:P12"/>
    <mergeCell ref="Q11:S11"/>
    <mergeCell ref="T11:T12"/>
    <mergeCell ref="U11:U12"/>
    <mergeCell ref="V10:V12"/>
    <mergeCell ref="F10:G11"/>
    <mergeCell ref="H10:H12"/>
    <mergeCell ref="I10:I12"/>
    <mergeCell ref="J10:O10"/>
    <mergeCell ref="P10:U10"/>
    <mergeCell ref="A2:X2"/>
    <mergeCell ref="A3:X3"/>
    <mergeCell ref="A5:G5"/>
    <mergeCell ref="A7:X7"/>
    <mergeCell ref="A9:X9"/>
    <mergeCell ref="A10:A12"/>
    <mergeCell ref="B10:B12"/>
    <mergeCell ref="C10:C12"/>
    <mergeCell ref="D10:D12"/>
    <mergeCell ref="E10:E12"/>
  </mergeCells>
  <hyperlinks>
    <hyperlink ref="D36" r:id="rId1" display="https://dvc.vst.mof.gov.vn/frontend/faces/ThietLapDvqhns?_adf.ctrl-state=kifs3zqbj_14&amp;_afrLoop=50126478559974884"/>
    <hyperlink ref="D38" r:id="rId2" display="https://dvc.vst.mof.gov.vn/frontend/faces/ThietLapDvqhns?_adf.ctrl-state=kifs3zqbj_14&amp;_afrLoop=50126478559974884"/>
    <hyperlink ref="D37" r:id="rId3" display="https://dvc.vst.mof.gov.vn/frontend/faces/ThietLapDvqhns?_adf.ctrl-state=kifs3zqbj_14&amp;_afrLoop=50126478559974884"/>
    <hyperlink ref="D39" r:id="rId4" display="https://dvc.vst.mof.gov.vn/frontend/faces/ThietLapDvqhns?_adf.ctrl-state=kifs3zqbj_14&amp;_afrLoop=501264785599748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85"/>
  <sheetViews>
    <sheetView topLeftCell="A7" workbookViewId="0">
      <pane xSplit="2" ySplit="6" topLeftCell="N64" activePane="bottomRight" state="frozen"/>
      <selection activeCell="A7" sqref="A7"/>
      <selection pane="topRight" activeCell="C7" sqref="C7"/>
      <selection pane="bottomLeft" activeCell="A13" sqref="A13"/>
      <selection pane="bottomRight" activeCell="P66" sqref="P66"/>
    </sheetView>
  </sheetViews>
  <sheetFormatPr defaultRowHeight="13.2"/>
  <cols>
    <col min="1" max="1" width="6" style="474" customWidth="1"/>
    <col min="2" max="2" width="31.88671875" style="474" customWidth="1"/>
    <col min="3" max="3" width="10.6640625" style="474" customWidth="1"/>
    <col min="4" max="4" width="8.77734375" style="476" customWidth="1"/>
    <col min="5" max="5" width="16" style="477" customWidth="1"/>
    <col min="6" max="6" width="15.109375" style="477" customWidth="1"/>
    <col min="7" max="7" width="10.77734375" style="477" customWidth="1"/>
    <col min="8" max="8" width="9.77734375" style="477" customWidth="1"/>
    <col min="9" max="9" width="12.88671875" style="477" customWidth="1"/>
    <col min="10" max="10" width="7.33203125" style="474" customWidth="1"/>
    <col min="11" max="11" width="7.21875" style="474" customWidth="1"/>
    <col min="12" max="12" width="8.109375" style="474" customWidth="1"/>
    <col min="13" max="13" width="7.21875" style="474" customWidth="1"/>
    <col min="14" max="14" width="11.33203125" style="474" customWidth="1"/>
    <col min="15" max="15" width="8.6640625" style="474" customWidth="1"/>
    <col min="16" max="17" width="16" style="474" customWidth="1"/>
    <col min="18" max="18" width="16.21875" style="474" customWidth="1"/>
    <col min="19" max="19" width="15.33203125" style="474" customWidth="1"/>
    <col min="20" max="20" width="14" style="474" customWidth="1"/>
    <col min="21" max="21" width="12.88671875" style="474" customWidth="1"/>
    <col min="22" max="22" width="16.33203125" style="474" customWidth="1"/>
    <col min="23" max="23" width="15.21875" style="474" customWidth="1"/>
    <col min="24" max="24" width="16.21875" style="474" customWidth="1"/>
    <col min="25" max="27" width="0" style="474" hidden="1" customWidth="1"/>
    <col min="28" max="28" width="9.109375" style="474"/>
    <col min="29" max="29" width="13.6640625" style="474" bestFit="1" customWidth="1"/>
    <col min="30" max="255" width="9.109375" style="474"/>
    <col min="256" max="256" width="6.21875" style="474" customWidth="1"/>
    <col min="257" max="257" width="34.77734375" style="474" customWidth="1"/>
    <col min="258" max="258" width="13.33203125" style="474" customWidth="1"/>
    <col min="259" max="259" width="11.109375" style="474" customWidth="1"/>
    <col min="260" max="261" width="16.88671875" style="474" customWidth="1"/>
    <col min="262" max="262" width="15.109375" style="474" customWidth="1"/>
    <col min="263" max="263" width="13.21875" style="474" customWidth="1"/>
    <col min="264" max="264" width="14.77734375" style="474" customWidth="1"/>
    <col min="265" max="265" width="15.88671875" style="474" customWidth="1"/>
    <col min="266" max="266" width="16.109375" style="474" customWidth="1"/>
    <col min="267" max="267" width="16" style="474" customWidth="1"/>
    <col min="268" max="268" width="9.33203125" style="474" customWidth="1"/>
    <col min="269" max="269" width="12.21875" style="474" customWidth="1"/>
    <col min="270" max="270" width="15.109375" style="474" customWidth="1"/>
    <col min="271" max="271" width="17.109375" style="474" customWidth="1"/>
    <col min="272" max="272" width="17.21875" style="474" customWidth="1"/>
    <col min="273" max="273" width="15.21875" style="474" customWidth="1"/>
    <col min="274" max="274" width="16.33203125" style="474" customWidth="1"/>
    <col min="275" max="275" width="15" style="474" customWidth="1"/>
    <col min="276" max="277" width="15.21875" style="474" customWidth="1"/>
    <col min="278" max="278" width="16.77734375" style="474" customWidth="1"/>
    <col min="279" max="279" width="17.21875" style="474" customWidth="1"/>
    <col min="280" max="511" width="9.109375" style="474"/>
    <col min="512" max="512" width="6.21875" style="474" customWidth="1"/>
    <col min="513" max="513" width="34.77734375" style="474" customWidth="1"/>
    <col min="514" max="514" width="13.33203125" style="474" customWidth="1"/>
    <col min="515" max="515" width="11.109375" style="474" customWidth="1"/>
    <col min="516" max="517" width="16.88671875" style="474" customWidth="1"/>
    <col min="518" max="518" width="15.109375" style="474" customWidth="1"/>
    <col min="519" max="519" width="13.21875" style="474" customWidth="1"/>
    <col min="520" max="520" width="14.77734375" style="474" customWidth="1"/>
    <col min="521" max="521" width="15.88671875" style="474" customWidth="1"/>
    <col min="522" max="522" width="16.109375" style="474" customWidth="1"/>
    <col min="523" max="523" width="16" style="474" customWidth="1"/>
    <col min="524" max="524" width="9.33203125" style="474" customWidth="1"/>
    <col min="525" max="525" width="12.21875" style="474" customWidth="1"/>
    <col min="526" max="526" width="15.109375" style="474" customWidth="1"/>
    <col min="527" max="527" width="17.109375" style="474" customWidth="1"/>
    <col min="528" max="528" width="17.21875" style="474" customWidth="1"/>
    <col min="529" max="529" width="15.21875" style="474" customWidth="1"/>
    <col min="530" max="530" width="16.33203125" style="474" customWidth="1"/>
    <col min="531" max="531" width="15" style="474" customWidth="1"/>
    <col min="532" max="533" width="15.21875" style="474" customWidth="1"/>
    <col min="534" max="534" width="16.77734375" style="474" customWidth="1"/>
    <col min="535" max="535" width="17.21875" style="474" customWidth="1"/>
    <col min="536" max="767" width="9.109375" style="474"/>
    <col min="768" max="768" width="6.21875" style="474" customWidth="1"/>
    <col min="769" max="769" width="34.77734375" style="474" customWidth="1"/>
    <col min="770" max="770" width="13.33203125" style="474" customWidth="1"/>
    <col min="771" max="771" width="11.109375" style="474" customWidth="1"/>
    <col min="772" max="773" width="16.88671875" style="474" customWidth="1"/>
    <col min="774" max="774" width="15.109375" style="474" customWidth="1"/>
    <col min="775" max="775" width="13.21875" style="474" customWidth="1"/>
    <col min="776" max="776" width="14.77734375" style="474" customWidth="1"/>
    <col min="777" max="777" width="15.88671875" style="474" customWidth="1"/>
    <col min="778" max="778" width="16.109375" style="474" customWidth="1"/>
    <col min="779" max="779" width="16" style="474" customWidth="1"/>
    <col min="780" max="780" width="9.33203125" style="474" customWidth="1"/>
    <col min="781" max="781" width="12.21875" style="474" customWidth="1"/>
    <col min="782" max="782" width="15.109375" style="474" customWidth="1"/>
    <col min="783" max="783" width="17.109375" style="474" customWidth="1"/>
    <col min="784" max="784" width="17.21875" style="474" customWidth="1"/>
    <col min="785" max="785" width="15.21875" style="474" customWidth="1"/>
    <col min="786" max="786" width="16.33203125" style="474" customWidth="1"/>
    <col min="787" max="787" width="15" style="474" customWidth="1"/>
    <col min="788" max="789" width="15.21875" style="474" customWidth="1"/>
    <col min="790" max="790" width="16.77734375" style="474" customWidth="1"/>
    <col min="791" max="791" width="17.21875" style="474" customWidth="1"/>
    <col min="792" max="1023" width="9.109375" style="474"/>
    <col min="1024" max="1024" width="6.21875" style="474" customWidth="1"/>
    <col min="1025" max="1025" width="34.77734375" style="474" customWidth="1"/>
    <col min="1026" max="1026" width="13.33203125" style="474" customWidth="1"/>
    <col min="1027" max="1027" width="11.109375" style="474" customWidth="1"/>
    <col min="1028" max="1029" width="16.88671875" style="474" customWidth="1"/>
    <col min="1030" max="1030" width="15.109375" style="474" customWidth="1"/>
    <col min="1031" max="1031" width="13.21875" style="474" customWidth="1"/>
    <col min="1032" max="1032" width="14.77734375" style="474" customWidth="1"/>
    <col min="1033" max="1033" width="15.88671875" style="474" customWidth="1"/>
    <col min="1034" max="1034" width="16.109375" style="474" customWidth="1"/>
    <col min="1035" max="1035" width="16" style="474" customWidth="1"/>
    <col min="1036" max="1036" width="9.33203125" style="474" customWidth="1"/>
    <col min="1037" max="1037" width="12.21875" style="474" customWidth="1"/>
    <col min="1038" max="1038" width="15.109375" style="474" customWidth="1"/>
    <col min="1039" max="1039" width="17.109375" style="474" customWidth="1"/>
    <col min="1040" max="1040" width="17.21875" style="474" customWidth="1"/>
    <col min="1041" max="1041" width="15.21875" style="474" customWidth="1"/>
    <col min="1042" max="1042" width="16.33203125" style="474" customWidth="1"/>
    <col min="1043" max="1043" width="15" style="474" customWidth="1"/>
    <col min="1044" max="1045" width="15.21875" style="474" customWidth="1"/>
    <col min="1046" max="1046" width="16.77734375" style="474" customWidth="1"/>
    <col min="1047" max="1047" width="17.21875" style="474" customWidth="1"/>
    <col min="1048" max="1279" width="9.109375" style="474"/>
    <col min="1280" max="1280" width="6.21875" style="474" customWidth="1"/>
    <col min="1281" max="1281" width="34.77734375" style="474" customWidth="1"/>
    <col min="1282" max="1282" width="13.33203125" style="474" customWidth="1"/>
    <col min="1283" max="1283" width="11.109375" style="474" customWidth="1"/>
    <col min="1284" max="1285" width="16.88671875" style="474" customWidth="1"/>
    <col min="1286" max="1286" width="15.109375" style="474" customWidth="1"/>
    <col min="1287" max="1287" width="13.21875" style="474" customWidth="1"/>
    <col min="1288" max="1288" width="14.77734375" style="474" customWidth="1"/>
    <col min="1289" max="1289" width="15.88671875" style="474" customWidth="1"/>
    <col min="1290" max="1290" width="16.109375" style="474" customWidth="1"/>
    <col min="1291" max="1291" width="16" style="474" customWidth="1"/>
    <col min="1292" max="1292" width="9.33203125" style="474" customWidth="1"/>
    <col min="1293" max="1293" width="12.21875" style="474" customWidth="1"/>
    <col min="1294" max="1294" width="15.109375" style="474" customWidth="1"/>
    <col min="1295" max="1295" width="17.109375" style="474" customWidth="1"/>
    <col min="1296" max="1296" width="17.21875" style="474" customWidth="1"/>
    <col min="1297" max="1297" width="15.21875" style="474" customWidth="1"/>
    <col min="1298" max="1298" width="16.33203125" style="474" customWidth="1"/>
    <col min="1299" max="1299" width="15" style="474" customWidth="1"/>
    <col min="1300" max="1301" width="15.21875" style="474" customWidth="1"/>
    <col min="1302" max="1302" width="16.77734375" style="474" customWidth="1"/>
    <col min="1303" max="1303" width="17.21875" style="474" customWidth="1"/>
    <col min="1304" max="1535" width="9.109375" style="474"/>
    <col min="1536" max="1536" width="6.21875" style="474" customWidth="1"/>
    <col min="1537" max="1537" width="34.77734375" style="474" customWidth="1"/>
    <col min="1538" max="1538" width="13.33203125" style="474" customWidth="1"/>
    <col min="1539" max="1539" width="11.109375" style="474" customWidth="1"/>
    <col min="1540" max="1541" width="16.88671875" style="474" customWidth="1"/>
    <col min="1542" max="1542" width="15.109375" style="474" customWidth="1"/>
    <col min="1543" max="1543" width="13.21875" style="474" customWidth="1"/>
    <col min="1544" max="1544" width="14.77734375" style="474" customWidth="1"/>
    <col min="1545" max="1545" width="15.88671875" style="474" customWidth="1"/>
    <col min="1546" max="1546" width="16.109375" style="474" customWidth="1"/>
    <col min="1547" max="1547" width="16" style="474" customWidth="1"/>
    <col min="1548" max="1548" width="9.33203125" style="474" customWidth="1"/>
    <col min="1549" max="1549" width="12.21875" style="474" customWidth="1"/>
    <col min="1550" max="1550" width="15.109375" style="474" customWidth="1"/>
    <col min="1551" max="1551" width="17.109375" style="474" customWidth="1"/>
    <col min="1552" max="1552" width="17.21875" style="474" customWidth="1"/>
    <col min="1553" max="1553" width="15.21875" style="474" customWidth="1"/>
    <col min="1554" max="1554" width="16.33203125" style="474" customWidth="1"/>
    <col min="1555" max="1555" width="15" style="474" customWidth="1"/>
    <col min="1556" max="1557" width="15.21875" style="474" customWidth="1"/>
    <col min="1558" max="1558" width="16.77734375" style="474" customWidth="1"/>
    <col min="1559" max="1559" width="17.21875" style="474" customWidth="1"/>
    <col min="1560" max="1791" width="9.109375" style="474"/>
    <col min="1792" max="1792" width="6.21875" style="474" customWidth="1"/>
    <col min="1793" max="1793" width="34.77734375" style="474" customWidth="1"/>
    <col min="1794" max="1794" width="13.33203125" style="474" customWidth="1"/>
    <col min="1795" max="1795" width="11.109375" style="474" customWidth="1"/>
    <col min="1796" max="1797" width="16.88671875" style="474" customWidth="1"/>
    <col min="1798" max="1798" width="15.109375" style="474" customWidth="1"/>
    <col min="1799" max="1799" width="13.21875" style="474" customWidth="1"/>
    <col min="1800" max="1800" width="14.77734375" style="474" customWidth="1"/>
    <col min="1801" max="1801" width="15.88671875" style="474" customWidth="1"/>
    <col min="1802" max="1802" width="16.109375" style="474" customWidth="1"/>
    <col min="1803" max="1803" width="16" style="474" customWidth="1"/>
    <col min="1804" max="1804" width="9.33203125" style="474" customWidth="1"/>
    <col min="1805" max="1805" width="12.21875" style="474" customWidth="1"/>
    <col min="1806" max="1806" width="15.109375" style="474" customWidth="1"/>
    <col min="1807" max="1807" width="17.109375" style="474" customWidth="1"/>
    <col min="1808" max="1808" width="17.21875" style="474" customWidth="1"/>
    <col min="1809" max="1809" width="15.21875" style="474" customWidth="1"/>
    <col min="1810" max="1810" width="16.33203125" style="474" customWidth="1"/>
    <col min="1811" max="1811" width="15" style="474" customWidth="1"/>
    <col min="1812" max="1813" width="15.21875" style="474" customWidth="1"/>
    <col min="1814" max="1814" width="16.77734375" style="474" customWidth="1"/>
    <col min="1815" max="1815" width="17.21875" style="474" customWidth="1"/>
    <col min="1816" max="2047" width="9.109375" style="474"/>
    <col min="2048" max="2048" width="6.21875" style="474" customWidth="1"/>
    <col min="2049" max="2049" width="34.77734375" style="474" customWidth="1"/>
    <col min="2050" max="2050" width="13.33203125" style="474" customWidth="1"/>
    <col min="2051" max="2051" width="11.109375" style="474" customWidth="1"/>
    <col min="2052" max="2053" width="16.88671875" style="474" customWidth="1"/>
    <col min="2054" max="2054" width="15.109375" style="474" customWidth="1"/>
    <col min="2055" max="2055" width="13.21875" style="474" customWidth="1"/>
    <col min="2056" max="2056" width="14.77734375" style="474" customWidth="1"/>
    <col min="2057" max="2057" width="15.88671875" style="474" customWidth="1"/>
    <col min="2058" max="2058" width="16.109375" style="474" customWidth="1"/>
    <col min="2059" max="2059" width="16" style="474" customWidth="1"/>
    <col min="2060" max="2060" width="9.33203125" style="474" customWidth="1"/>
    <col min="2061" max="2061" width="12.21875" style="474" customWidth="1"/>
    <col min="2062" max="2062" width="15.109375" style="474" customWidth="1"/>
    <col min="2063" max="2063" width="17.109375" style="474" customWidth="1"/>
    <col min="2064" max="2064" width="17.21875" style="474" customWidth="1"/>
    <col min="2065" max="2065" width="15.21875" style="474" customWidth="1"/>
    <col min="2066" max="2066" width="16.33203125" style="474" customWidth="1"/>
    <col min="2067" max="2067" width="15" style="474" customWidth="1"/>
    <col min="2068" max="2069" width="15.21875" style="474" customWidth="1"/>
    <col min="2070" max="2070" width="16.77734375" style="474" customWidth="1"/>
    <col min="2071" max="2071" width="17.21875" style="474" customWidth="1"/>
    <col min="2072" max="2303" width="9.109375" style="474"/>
    <col min="2304" max="2304" width="6.21875" style="474" customWidth="1"/>
    <col min="2305" max="2305" width="34.77734375" style="474" customWidth="1"/>
    <col min="2306" max="2306" width="13.33203125" style="474" customWidth="1"/>
    <col min="2307" max="2307" width="11.109375" style="474" customWidth="1"/>
    <col min="2308" max="2309" width="16.88671875" style="474" customWidth="1"/>
    <col min="2310" max="2310" width="15.109375" style="474" customWidth="1"/>
    <col min="2311" max="2311" width="13.21875" style="474" customWidth="1"/>
    <col min="2312" max="2312" width="14.77734375" style="474" customWidth="1"/>
    <col min="2313" max="2313" width="15.88671875" style="474" customWidth="1"/>
    <col min="2314" max="2314" width="16.109375" style="474" customWidth="1"/>
    <col min="2315" max="2315" width="16" style="474" customWidth="1"/>
    <col min="2316" max="2316" width="9.33203125" style="474" customWidth="1"/>
    <col min="2317" max="2317" width="12.21875" style="474" customWidth="1"/>
    <col min="2318" max="2318" width="15.109375" style="474" customWidth="1"/>
    <col min="2319" max="2319" width="17.109375" style="474" customWidth="1"/>
    <col min="2320" max="2320" width="17.21875" style="474" customWidth="1"/>
    <col min="2321" max="2321" width="15.21875" style="474" customWidth="1"/>
    <col min="2322" max="2322" width="16.33203125" style="474" customWidth="1"/>
    <col min="2323" max="2323" width="15" style="474" customWidth="1"/>
    <col min="2324" max="2325" width="15.21875" style="474" customWidth="1"/>
    <col min="2326" max="2326" width="16.77734375" style="474" customWidth="1"/>
    <col min="2327" max="2327" width="17.21875" style="474" customWidth="1"/>
    <col min="2328" max="2559" width="9.109375" style="474"/>
    <col min="2560" max="2560" width="6.21875" style="474" customWidth="1"/>
    <col min="2561" max="2561" width="34.77734375" style="474" customWidth="1"/>
    <col min="2562" max="2562" width="13.33203125" style="474" customWidth="1"/>
    <col min="2563" max="2563" width="11.109375" style="474" customWidth="1"/>
    <col min="2564" max="2565" width="16.88671875" style="474" customWidth="1"/>
    <col min="2566" max="2566" width="15.109375" style="474" customWidth="1"/>
    <col min="2567" max="2567" width="13.21875" style="474" customWidth="1"/>
    <col min="2568" max="2568" width="14.77734375" style="474" customWidth="1"/>
    <col min="2569" max="2569" width="15.88671875" style="474" customWidth="1"/>
    <col min="2570" max="2570" width="16.109375" style="474" customWidth="1"/>
    <col min="2571" max="2571" width="16" style="474" customWidth="1"/>
    <col min="2572" max="2572" width="9.33203125" style="474" customWidth="1"/>
    <col min="2573" max="2573" width="12.21875" style="474" customWidth="1"/>
    <col min="2574" max="2574" width="15.109375" style="474" customWidth="1"/>
    <col min="2575" max="2575" width="17.109375" style="474" customWidth="1"/>
    <col min="2576" max="2576" width="17.21875" style="474" customWidth="1"/>
    <col min="2577" max="2577" width="15.21875" style="474" customWidth="1"/>
    <col min="2578" max="2578" width="16.33203125" style="474" customWidth="1"/>
    <col min="2579" max="2579" width="15" style="474" customWidth="1"/>
    <col min="2580" max="2581" width="15.21875" style="474" customWidth="1"/>
    <col min="2582" max="2582" width="16.77734375" style="474" customWidth="1"/>
    <col min="2583" max="2583" width="17.21875" style="474" customWidth="1"/>
    <col min="2584" max="2815" width="9.109375" style="474"/>
    <col min="2816" max="2816" width="6.21875" style="474" customWidth="1"/>
    <col min="2817" max="2817" width="34.77734375" style="474" customWidth="1"/>
    <col min="2818" max="2818" width="13.33203125" style="474" customWidth="1"/>
    <col min="2819" max="2819" width="11.109375" style="474" customWidth="1"/>
    <col min="2820" max="2821" width="16.88671875" style="474" customWidth="1"/>
    <col min="2822" max="2822" width="15.109375" style="474" customWidth="1"/>
    <col min="2823" max="2823" width="13.21875" style="474" customWidth="1"/>
    <col min="2824" max="2824" width="14.77734375" style="474" customWidth="1"/>
    <col min="2825" max="2825" width="15.88671875" style="474" customWidth="1"/>
    <col min="2826" max="2826" width="16.109375" style="474" customWidth="1"/>
    <col min="2827" max="2827" width="16" style="474" customWidth="1"/>
    <col min="2828" max="2828" width="9.33203125" style="474" customWidth="1"/>
    <col min="2829" max="2829" width="12.21875" style="474" customWidth="1"/>
    <col min="2830" max="2830" width="15.109375" style="474" customWidth="1"/>
    <col min="2831" max="2831" width="17.109375" style="474" customWidth="1"/>
    <col min="2832" max="2832" width="17.21875" style="474" customWidth="1"/>
    <col min="2833" max="2833" width="15.21875" style="474" customWidth="1"/>
    <col min="2834" max="2834" width="16.33203125" style="474" customWidth="1"/>
    <col min="2835" max="2835" width="15" style="474" customWidth="1"/>
    <col min="2836" max="2837" width="15.21875" style="474" customWidth="1"/>
    <col min="2838" max="2838" width="16.77734375" style="474" customWidth="1"/>
    <col min="2839" max="2839" width="17.21875" style="474" customWidth="1"/>
    <col min="2840" max="3071" width="9.109375" style="474"/>
    <col min="3072" max="3072" width="6.21875" style="474" customWidth="1"/>
    <col min="3073" max="3073" width="34.77734375" style="474" customWidth="1"/>
    <col min="3074" max="3074" width="13.33203125" style="474" customWidth="1"/>
    <col min="3075" max="3075" width="11.109375" style="474" customWidth="1"/>
    <col min="3076" max="3077" width="16.88671875" style="474" customWidth="1"/>
    <col min="3078" max="3078" width="15.109375" style="474" customWidth="1"/>
    <col min="3079" max="3079" width="13.21875" style="474" customWidth="1"/>
    <col min="3080" max="3080" width="14.77734375" style="474" customWidth="1"/>
    <col min="3081" max="3081" width="15.88671875" style="474" customWidth="1"/>
    <col min="3082" max="3082" width="16.109375" style="474" customWidth="1"/>
    <col min="3083" max="3083" width="16" style="474" customWidth="1"/>
    <col min="3084" max="3084" width="9.33203125" style="474" customWidth="1"/>
    <col min="3085" max="3085" width="12.21875" style="474" customWidth="1"/>
    <col min="3086" max="3086" width="15.109375" style="474" customWidth="1"/>
    <col min="3087" max="3087" width="17.109375" style="474" customWidth="1"/>
    <col min="3088" max="3088" width="17.21875" style="474" customWidth="1"/>
    <col min="3089" max="3089" width="15.21875" style="474" customWidth="1"/>
    <col min="3090" max="3090" width="16.33203125" style="474" customWidth="1"/>
    <col min="3091" max="3091" width="15" style="474" customWidth="1"/>
    <col min="3092" max="3093" width="15.21875" style="474" customWidth="1"/>
    <col min="3094" max="3094" width="16.77734375" style="474" customWidth="1"/>
    <col min="3095" max="3095" width="17.21875" style="474" customWidth="1"/>
    <col min="3096" max="3327" width="9.109375" style="474"/>
    <col min="3328" max="3328" width="6.21875" style="474" customWidth="1"/>
    <col min="3329" max="3329" width="34.77734375" style="474" customWidth="1"/>
    <col min="3330" max="3330" width="13.33203125" style="474" customWidth="1"/>
    <col min="3331" max="3331" width="11.109375" style="474" customWidth="1"/>
    <col min="3332" max="3333" width="16.88671875" style="474" customWidth="1"/>
    <col min="3334" max="3334" width="15.109375" style="474" customWidth="1"/>
    <col min="3335" max="3335" width="13.21875" style="474" customWidth="1"/>
    <col min="3336" max="3336" width="14.77734375" style="474" customWidth="1"/>
    <col min="3337" max="3337" width="15.88671875" style="474" customWidth="1"/>
    <col min="3338" max="3338" width="16.109375" style="474" customWidth="1"/>
    <col min="3339" max="3339" width="16" style="474" customWidth="1"/>
    <col min="3340" max="3340" width="9.33203125" style="474" customWidth="1"/>
    <col min="3341" max="3341" width="12.21875" style="474" customWidth="1"/>
    <col min="3342" max="3342" width="15.109375" style="474" customWidth="1"/>
    <col min="3343" max="3343" width="17.109375" style="474" customWidth="1"/>
    <col min="3344" max="3344" width="17.21875" style="474" customWidth="1"/>
    <col min="3345" max="3345" width="15.21875" style="474" customWidth="1"/>
    <col min="3346" max="3346" width="16.33203125" style="474" customWidth="1"/>
    <col min="3347" max="3347" width="15" style="474" customWidth="1"/>
    <col min="3348" max="3349" width="15.21875" style="474" customWidth="1"/>
    <col min="3350" max="3350" width="16.77734375" style="474" customWidth="1"/>
    <col min="3351" max="3351" width="17.21875" style="474" customWidth="1"/>
    <col min="3352" max="3583" width="9.109375" style="474"/>
    <col min="3584" max="3584" width="6.21875" style="474" customWidth="1"/>
    <col min="3585" max="3585" width="34.77734375" style="474" customWidth="1"/>
    <col min="3586" max="3586" width="13.33203125" style="474" customWidth="1"/>
    <col min="3587" max="3587" width="11.109375" style="474" customWidth="1"/>
    <col min="3588" max="3589" width="16.88671875" style="474" customWidth="1"/>
    <col min="3590" max="3590" width="15.109375" style="474" customWidth="1"/>
    <col min="3591" max="3591" width="13.21875" style="474" customWidth="1"/>
    <col min="3592" max="3592" width="14.77734375" style="474" customWidth="1"/>
    <col min="3593" max="3593" width="15.88671875" style="474" customWidth="1"/>
    <col min="3594" max="3594" width="16.109375" style="474" customWidth="1"/>
    <col min="3595" max="3595" width="16" style="474" customWidth="1"/>
    <col min="3596" max="3596" width="9.33203125" style="474" customWidth="1"/>
    <col min="3597" max="3597" width="12.21875" style="474" customWidth="1"/>
    <col min="3598" max="3598" width="15.109375" style="474" customWidth="1"/>
    <col min="3599" max="3599" width="17.109375" style="474" customWidth="1"/>
    <col min="3600" max="3600" width="17.21875" style="474" customWidth="1"/>
    <col min="3601" max="3601" width="15.21875" style="474" customWidth="1"/>
    <col min="3602" max="3602" width="16.33203125" style="474" customWidth="1"/>
    <col min="3603" max="3603" width="15" style="474" customWidth="1"/>
    <col min="3604" max="3605" width="15.21875" style="474" customWidth="1"/>
    <col min="3606" max="3606" width="16.77734375" style="474" customWidth="1"/>
    <col min="3607" max="3607" width="17.21875" style="474" customWidth="1"/>
    <col min="3608" max="3839" width="9.109375" style="474"/>
    <col min="3840" max="3840" width="6.21875" style="474" customWidth="1"/>
    <col min="3841" max="3841" width="34.77734375" style="474" customWidth="1"/>
    <col min="3842" max="3842" width="13.33203125" style="474" customWidth="1"/>
    <col min="3843" max="3843" width="11.109375" style="474" customWidth="1"/>
    <col min="3844" max="3845" width="16.88671875" style="474" customWidth="1"/>
    <col min="3846" max="3846" width="15.109375" style="474" customWidth="1"/>
    <col min="3847" max="3847" width="13.21875" style="474" customWidth="1"/>
    <col min="3848" max="3848" width="14.77734375" style="474" customWidth="1"/>
    <col min="3849" max="3849" width="15.88671875" style="474" customWidth="1"/>
    <col min="3850" max="3850" width="16.109375" style="474" customWidth="1"/>
    <col min="3851" max="3851" width="16" style="474" customWidth="1"/>
    <col min="3852" max="3852" width="9.33203125" style="474" customWidth="1"/>
    <col min="3853" max="3853" width="12.21875" style="474" customWidth="1"/>
    <col min="3854" max="3854" width="15.109375" style="474" customWidth="1"/>
    <col min="3855" max="3855" width="17.109375" style="474" customWidth="1"/>
    <col min="3856" max="3856" width="17.21875" style="474" customWidth="1"/>
    <col min="3857" max="3857" width="15.21875" style="474" customWidth="1"/>
    <col min="3858" max="3858" width="16.33203125" style="474" customWidth="1"/>
    <col min="3859" max="3859" width="15" style="474" customWidth="1"/>
    <col min="3860" max="3861" width="15.21875" style="474" customWidth="1"/>
    <col min="3862" max="3862" width="16.77734375" style="474" customWidth="1"/>
    <col min="3863" max="3863" width="17.21875" style="474" customWidth="1"/>
    <col min="3864" max="4095" width="9.109375" style="474"/>
    <col min="4096" max="4096" width="6.21875" style="474" customWidth="1"/>
    <col min="4097" max="4097" width="34.77734375" style="474" customWidth="1"/>
    <col min="4098" max="4098" width="13.33203125" style="474" customWidth="1"/>
    <col min="4099" max="4099" width="11.109375" style="474" customWidth="1"/>
    <col min="4100" max="4101" width="16.88671875" style="474" customWidth="1"/>
    <col min="4102" max="4102" width="15.109375" style="474" customWidth="1"/>
    <col min="4103" max="4103" width="13.21875" style="474" customWidth="1"/>
    <col min="4104" max="4104" width="14.77734375" style="474" customWidth="1"/>
    <col min="4105" max="4105" width="15.88671875" style="474" customWidth="1"/>
    <col min="4106" max="4106" width="16.109375" style="474" customWidth="1"/>
    <col min="4107" max="4107" width="16" style="474" customWidth="1"/>
    <col min="4108" max="4108" width="9.33203125" style="474" customWidth="1"/>
    <col min="4109" max="4109" width="12.21875" style="474" customWidth="1"/>
    <col min="4110" max="4110" width="15.109375" style="474" customWidth="1"/>
    <col min="4111" max="4111" width="17.109375" style="474" customWidth="1"/>
    <col min="4112" max="4112" width="17.21875" style="474" customWidth="1"/>
    <col min="4113" max="4113" width="15.21875" style="474" customWidth="1"/>
    <col min="4114" max="4114" width="16.33203125" style="474" customWidth="1"/>
    <col min="4115" max="4115" width="15" style="474" customWidth="1"/>
    <col min="4116" max="4117" width="15.21875" style="474" customWidth="1"/>
    <col min="4118" max="4118" width="16.77734375" style="474" customWidth="1"/>
    <col min="4119" max="4119" width="17.21875" style="474" customWidth="1"/>
    <col min="4120" max="4351" width="9.109375" style="474"/>
    <col min="4352" max="4352" width="6.21875" style="474" customWidth="1"/>
    <col min="4353" max="4353" width="34.77734375" style="474" customWidth="1"/>
    <col min="4354" max="4354" width="13.33203125" style="474" customWidth="1"/>
    <col min="4355" max="4355" width="11.109375" style="474" customWidth="1"/>
    <col min="4356" max="4357" width="16.88671875" style="474" customWidth="1"/>
    <col min="4358" max="4358" width="15.109375" style="474" customWidth="1"/>
    <col min="4359" max="4359" width="13.21875" style="474" customWidth="1"/>
    <col min="4360" max="4360" width="14.77734375" style="474" customWidth="1"/>
    <col min="4361" max="4361" width="15.88671875" style="474" customWidth="1"/>
    <col min="4362" max="4362" width="16.109375" style="474" customWidth="1"/>
    <col min="4363" max="4363" width="16" style="474" customWidth="1"/>
    <col min="4364" max="4364" width="9.33203125" style="474" customWidth="1"/>
    <col min="4365" max="4365" width="12.21875" style="474" customWidth="1"/>
    <col min="4366" max="4366" width="15.109375" style="474" customWidth="1"/>
    <col min="4367" max="4367" width="17.109375" style="474" customWidth="1"/>
    <col min="4368" max="4368" width="17.21875" style="474" customWidth="1"/>
    <col min="4369" max="4369" width="15.21875" style="474" customWidth="1"/>
    <col min="4370" max="4370" width="16.33203125" style="474" customWidth="1"/>
    <col min="4371" max="4371" width="15" style="474" customWidth="1"/>
    <col min="4372" max="4373" width="15.21875" style="474" customWidth="1"/>
    <col min="4374" max="4374" width="16.77734375" style="474" customWidth="1"/>
    <col min="4375" max="4375" width="17.21875" style="474" customWidth="1"/>
    <col min="4376" max="4607" width="9.109375" style="474"/>
    <col min="4608" max="4608" width="6.21875" style="474" customWidth="1"/>
    <col min="4609" max="4609" width="34.77734375" style="474" customWidth="1"/>
    <col min="4610" max="4610" width="13.33203125" style="474" customWidth="1"/>
    <col min="4611" max="4611" width="11.109375" style="474" customWidth="1"/>
    <col min="4612" max="4613" width="16.88671875" style="474" customWidth="1"/>
    <col min="4614" max="4614" width="15.109375" style="474" customWidth="1"/>
    <col min="4615" max="4615" width="13.21875" style="474" customWidth="1"/>
    <col min="4616" max="4616" width="14.77734375" style="474" customWidth="1"/>
    <col min="4617" max="4617" width="15.88671875" style="474" customWidth="1"/>
    <col min="4618" max="4618" width="16.109375" style="474" customWidth="1"/>
    <col min="4619" max="4619" width="16" style="474" customWidth="1"/>
    <col min="4620" max="4620" width="9.33203125" style="474" customWidth="1"/>
    <col min="4621" max="4621" width="12.21875" style="474" customWidth="1"/>
    <col min="4622" max="4622" width="15.109375" style="474" customWidth="1"/>
    <col min="4623" max="4623" width="17.109375" style="474" customWidth="1"/>
    <col min="4624" max="4624" width="17.21875" style="474" customWidth="1"/>
    <col min="4625" max="4625" width="15.21875" style="474" customWidth="1"/>
    <col min="4626" max="4626" width="16.33203125" style="474" customWidth="1"/>
    <col min="4627" max="4627" width="15" style="474" customWidth="1"/>
    <col min="4628" max="4629" width="15.21875" style="474" customWidth="1"/>
    <col min="4630" max="4630" width="16.77734375" style="474" customWidth="1"/>
    <col min="4631" max="4631" width="17.21875" style="474" customWidth="1"/>
    <col min="4632" max="4863" width="9.109375" style="474"/>
    <col min="4864" max="4864" width="6.21875" style="474" customWidth="1"/>
    <col min="4865" max="4865" width="34.77734375" style="474" customWidth="1"/>
    <col min="4866" max="4866" width="13.33203125" style="474" customWidth="1"/>
    <col min="4867" max="4867" width="11.109375" style="474" customWidth="1"/>
    <col min="4868" max="4869" width="16.88671875" style="474" customWidth="1"/>
    <col min="4870" max="4870" width="15.109375" style="474" customWidth="1"/>
    <col min="4871" max="4871" width="13.21875" style="474" customWidth="1"/>
    <col min="4872" max="4872" width="14.77734375" style="474" customWidth="1"/>
    <col min="4873" max="4873" width="15.88671875" style="474" customWidth="1"/>
    <col min="4874" max="4874" width="16.109375" style="474" customWidth="1"/>
    <col min="4875" max="4875" width="16" style="474" customWidth="1"/>
    <col min="4876" max="4876" width="9.33203125" style="474" customWidth="1"/>
    <col min="4877" max="4877" width="12.21875" style="474" customWidth="1"/>
    <col min="4878" max="4878" width="15.109375" style="474" customWidth="1"/>
    <col min="4879" max="4879" width="17.109375" style="474" customWidth="1"/>
    <col min="4880" max="4880" width="17.21875" style="474" customWidth="1"/>
    <col min="4881" max="4881" width="15.21875" style="474" customWidth="1"/>
    <col min="4882" max="4882" width="16.33203125" style="474" customWidth="1"/>
    <col min="4883" max="4883" width="15" style="474" customWidth="1"/>
    <col min="4884" max="4885" width="15.21875" style="474" customWidth="1"/>
    <col min="4886" max="4886" width="16.77734375" style="474" customWidth="1"/>
    <col min="4887" max="4887" width="17.21875" style="474" customWidth="1"/>
    <col min="4888" max="5119" width="9.109375" style="474"/>
    <col min="5120" max="5120" width="6.21875" style="474" customWidth="1"/>
    <col min="5121" max="5121" width="34.77734375" style="474" customWidth="1"/>
    <col min="5122" max="5122" width="13.33203125" style="474" customWidth="1"/>
    <col min="5123" max="5123" width="11.109375" style="474" customWidth="1"/>
    <col min="5124" max="5125" width="16.88671875" style="474" customWidth="1"/>
    <col min="5126" max="5126" width="15.109375" style="474" customWidth="1"/>
    <col min="5127" max="5127" width="13.21875" style="474" customWidth="1"/>
    <col min="5128" max="5128" width="14.77734375" style="474" customWidth="1"/>
    <col min="5129" max="5129" width="15.88671875" style="474" customWidth="1"/>
    <col min="5130" max="5130" width="16.109375" style="474" customWidth="1"/>
    <col min="5131" max="5131" width="16" style="474" customWidth="1"/>
    <col min="5132" max="5132" width="9.33203125" style="474" customWidth="1"/>
    <col min="5133" max="5133" width="12.21875" style="474" customWidth="1"/>
    <col min="5134" max="5134" width="15.109375" style="474" customWidth="1"/>
    <col min="5135" max="5135" width="17.109375" style="474" customWidth="1"/>
    <col min="5136" max="5136" width="17.21875" style="474" customWidth="1"/>
    <col min="5137" max="5137" width="15.21875" style="474" customWidth="1"/>
    <col min="5138" max="5138" width="16.33203125" style="474" customWidth="1"/>
    <col min="5139" max="5139" width="15" style="474" customWidth="1"/>
    <col min="5140" max="5141" width="15.21875" style="474" customWidth="1"/>
    <col min="5142" max="5142" width="16.77734375" style="474" customWidth="1"/>
    <col min="5143" max="5143" width="17.21875" style="474" customWidth="1"/>
    <col min="5144" max="5375" width="9.109375" style="474"/>
    <col min="5376" max="5376" width="6.21875" style="474" customWidth="1"/>
    <col min="5377" max="5377" width="34.77734375" style="474" customWidth="1"/>
    <col min="5378" max="5378" width="13.33203125" style="474" customWidth="1"/>
    <col min="5379" max="5379" width="11.109375" style="474" customWidth="1"/>
    <col min="5380" max="5381" width="16.88671875" style="474" customWidth="1"/>
    <col min="5382" max="5382" width="15.109375" style="474" customWidth="1"/>
    <col min="5383" max="5383" width="13.21875" style="474" customWidth="1"/>
    <col min="5384" max="5384" width="14.77734375" style="474" customWidth="1"/>
    <col min="5385" max="5385" width="15.88671875" style="474" customWidth="1"/>
    <col min="5386" max="5386" width="16.109375" style="474" customWidth="1"/>
    <col min="5387" max="5387" width="16" style="474" customWidth="1"/>
    <col min="5388" max="5388" width="9.33203125" style="474" customWidth="1"/>
    <col min="5389" max="5389" width="12.21875" style="474" customWidth="1"/>
    <col min="5390" max="5390" width="15.109375" style="474" customWidth="1"/>
    <col min="5391" max="5391" width="17.109375" style="474" customWidth="1"/>
    <col min="5392" max="5392" width="17.21875" style="474" customWidth="1"/>
    <col min="5393" max="5393" width="15.21875" style="474" customWidth="1"/>
    <col min="5394" max="5394" width="16.33203125" style="474" customWidth="1"/>
    <col min="5395" max="5395" width="15" style="474" customWidth="1"/>
    <col min="5396" max="5397" width="15.21875" style="474" customWidth="1"/>
    <col min="5398" max="5398" width="16.77734375" style="474" customWidth="1"/>
    <col min="5399" max="5399" width="17.21875" style="474" customWidth="1"/>
    <col min="5400" max="5631" width="9.109375" style="474"/>
    <col min="5632" max="5632" width="6.21875" style="474" customWidth="1"/>
    <col min="5633" max="5633" width="34.77734375" style="474" customWidth="1"/>
    <col min="5634" max="5634" width="13.33203125" style="474" customWidth="1"/>
    <col min="5635" max="5635" width="11.109375" style="474" customWidth="1"/>
    <col min="5636" max="5637" width="16.88671875" style="474" customWidth="1"/>
    <col min="5638" max="5638" width="15.109375" style="474" customWidth="1"/>
    <col min="5639" max="5639" width="13.21875" style="474" customWidth="1"/>
    <col min="5640" max="5640" width="14.77734375" style="474" customWidth="1"/>
    <col min="5641" max="5641" width="15.88671875" style="474" customWidth="1"/>
    <col min="5642" max="5642" width="16.109375" style="474" customWidth="1"/>
    <col min="5643" max="5643" width="16" style="474" customWidth="1"/>
    <col min="5644" max="5644" width="9.33203125" style="474" customWidth="1"/>
    <col min="5645" max="5645" width="12.21875" style="474" customWidth="1"/>
    <col min="5646" max="5646" width="15.109375" style="474" customWidth="1"/>
    <col min="5647" max="5647" width="17.109375" style="474" customWidth="1"/>
    <col min="5648" max="5648" width="17.21875" style="474" customWidth="1"/>
    <col min="5649" max="5649" width="15.21875" style="474" customWidth="1"/>
    <col min="5650" max="5650" width="16.33203125" style="474" customWidth="1"/>
    <col min="5651" max="5651" width="15" style="474" customWidth="1"/>
    <col min="5652" max="5653" width="15.21875" style="474" customWidth="1"/>
    <col min="5654" max="5654" width="16.77734375" style="474" customWidth="1"/>
    <col min="5655" max="5655" width="17.21875" style="474" customWidth="1"/>
    <col min="5656" max="5887" width="9.109375" style="474"/>
    <col min="5888" max="5888" width="6.21875" style="474" customWidth="1"/>
    <col min="5889" max="5889" width="34.77734375" style="474" customWidth="1"/>
    <col min="5890" max="5890" width="13.33203125" style="474" customWidth="1"/>
    <col min="5891" max="5891" width="11.109375" style="474" customWidth="1"/>
    <col min="5892" max="5893" width="16.88671875" style="474" customWidth="1"/>
    <col min="5894" max="5894" width="15.109375" style="474" customWidth="1"/>
    <col min="5895" max="5895" width="13.21875" style="474" customWidth="1"/>
    <col min="5896" max="5896" width="14.77734375" style="474" customWidth="1"/>
    <col min="5897" max="5897" width="15.88671875" style="474" customWidth="1"/>
    <col min="5898" max="5898" width="16.109375" style="474" customWidth="1"/>
    <col min="5899" max="5899" width="16" style="474" customWidth="1"/>
    <col min="5900" max="5900" width="9.33203125" style="474" customWidth="1"/>
    <col min="5901" max="5901" width="12.21875" style="474" customWidth="1"/>
    <col min="5902" max="5902" width="15.109375" style="474" customWidth="1"/>
    <col min="5903" max="5903" width="17.109375" style="474" customWidth="1"/>
    <col min="5904" max="5904" width="17.21875" style="474" customWidth="1"/>
    <col min="5905" max="5905" width="15.21875" style="474" customWidth="1"/>
    <col min="5906" max="5906" width="16.33203125" style="474" customWidth="1"/>
    <col min="5907" max="5907" width="15" style="474" customWidth="1"/>
    <col min="5908" max="5909" width="15.21875" style="474" customWidth="1"/>
    <col min="5910" max="5910" width="16.77734375" style="474" customWidth="1"/>
    <col min="5911" max="5911" width="17.21875" style="474" customWidth="1"/>
    <col min="5912" max="6143" width="9.109375" style="474"/>
    <col min="6144" max="6144" width="6.21875" style="474" customWidth="1"/>
    <col min="6145" max="6145" width="34.77734375" style="474" customWidth="1"/>
    <col min="6146" max="6146" width="13.33203125" style="474" customWidth="1"/>
    <col min="6147" max="6147" width="11.109375" style="474" customWidth="1"/>
    <col min="6148" max="6149" width="16.88671875" style="474" customWidth="1"/>
    <col min="6150" max="6150" width="15.109375" style="474" customWidth="1"/>
    <col min="6151" max="6151" width="13.21875" style="474" customWidth="1"/>
    <col min="6152" max="6152" width="14.77734375" style="474" customWidth="1"/>
    <col min="6153" max="6153" width="15.88671875" style="474" customWidth="1"/>
    <col min="6154" max="6154" width="16.109375" style="474" customWidth="1"/>
    <col min="6155" max="6155" width="16" style="474" customWidth="1"/>
    <col min="6156" max="6156" width="9.33203125" style="474" customWidth="1"/>
    <col min="6157" max="6157" width="12.21875" style="474" customWidth="1"/>
    <col min="6158" max="6158" width="15.109375" style="474" customWidth="1"/>
    <col min="6159" max="6159" width="17.109375" style="474" customWidth="1"/>
    <col min="6160" max="6160" width="17.21875" style="474" customWidth="1"/>
    <col min="6161" max="6161" width="15.21875" style="474" customWidth="1"/>
    <col min="6162" max="6162" width="16.33203125" style="474" customWidth="1"/>
    <col min="6163" max="6163" width="15" style="474" customWidth="1"/>
    <col min="6164" max="6165" width="15.21875" style="474" customWidth="1"/>
    <col min="6166" max="6166" width="16.77734375" style="474" customWidth="1"/>
    <col min="6167" max="6167" width="17.21875" style="474" customWidth="1"/>
    <col min="6168" max="6399" width="9.109375" style="474"/>
    <col min="6400" max="6400" width="6.21875" style="474" customWidth="1"/>
    <col min="6401" max="6401" width="34.77734375" style="474" customWidth="1"/>
    <col min="6402" max="6402" width="13.33203125" style="474" customWidth="1"/>
    <col min="6403" max="6403" width="11.109375" style="474" customWidth="1"/>
    <col min="6404" max="6405" width="16.88671875" style="474" customWidth="1"/>
    <col min="6406" max="6406" width="15.109375" style="474" customWidth="1"/>
    <col min="6407" max="6407" width="13.21875" style="474" customWidth="1"/>
    <col min="6408" max="6408" width="14.77734375" style="474" customWidth="1"/>
    <col min="6409" max="6409" width="15.88671875" style="474" customWidth="1"/>
    <col min="6410" max="6410" width="16.109375" style="474" customWidth="1"/>
    <col min="6411" max="6411" width="16" style="474" customWidth="1"/>
    <col min="6412" max="6412" width="9.33203125" style="474" customWidth="1"/>
    <col min="6413" max="6413" width="12.21875" style="474" customWidth="1"/>
    <col min="6414" max="6414" width="15.109375" style="474" customWidth="1"/>
    <col min="6415" max="6415" width="17.109375" style="474" customWidth="1"/>
    <col min="6416" max="6416" width="17.21875" style="474" customWidth="1"/>
    <col min="6417" max="6417" width="15.21875" style="474" customWidth="1"/>
    <col min="6418" max="6418" width="16.33203125" style="474" customWidth="1"/>
    <col min="6419" max="6419" width="15" style="474" customWidth="1"/>
    <col min="6420" max="6421" width="15.21875" style="474" customWidth="1"/>
    <col min="6422" max="6422" width="16.77734375" style="474" customWidth="1"/>
    <col min="6423" max="6423" width="17.21875" style="474" customWidth="1"/>
    <col min="6424" max="6655" width="9.109375" style="474"/>
    <col min="6656" max="6656" width="6.21875" style="474" customWidth="1"/>
    <col min="6657" max="6657" width="34.77734375" style="474" customWidth="1"/>
    <col min="6658" max="6658" width="13.33203125" style="474" customWidth="1"/>
    <col min="6659" max="6659" width="11.109375" style="474" customWidth="1"/>
    <col min="6660" max="6661" width="16.88671875" style="474" customWidth="1"/>
    <col min="6662" max="6662" width="15.109375" style="474" customWidth="1"/>
    <col min="6663" max="6663" width="13.21875" style="474" customWidth="1"/>
    <col min="6664" max="6664" width="14.77734375" style="474" customWidth="1"/>
    <col min="6665" max="6665" width="15.88671875" style="474" customWidth="1"/>
    <col min="6666" max="6666" width="16.109375" style="474" customWidth="1"/>
    <col min="6667" max="6667" width="16" style="474" customWidth="1"/>
    <col min="6668" max="6668" width="9.33203125" style="474" customWidth="1"/>
    <col min="6669" max="6669" width="12.21875" style="474" customWidth="1"/>
    <col min="6670" max="6670" width="15.109375" style="474" customWidth="1"/>
    <col min="6671" max="6671" width="17.109375" style="474" customWidth="1"/>
    <col min="6672" max="6672" width="17.21875" style="474" customWidth="1"/>
    <col min="6673" max="6673" width="15.21875" style="474" customWidth="1"/>
    <col min="6674" max="6674" width="16.33203125" style="474" customWidth="1"/>
    <col min="6675" max="6675" width="15" style="474" customWidth="1"/>
    <col min="6676" max="6677" width="15.21875" style="474" customWidth="1"/>
    <col min="6678" max="6678" width="16.77734375" style="474" customWidth="1"/>
    <col min="6679" max="6679" width="17.21875" style="474" customWidth="1"/>
    <col min="6680" max="6911" width="9.109375" style="474"/>
    <col min="6912" max="6912" width="6.21875" style="474" customWidth="1"/>
    <col min="6913" max="6913" width="34.77734375" style="474" customWidth="1"/>
    <col min="6914" max="6914" width="13.33203125" style="474" customWidth="1"/>
    <col min="6915" max="6915" width="11.109375" style="474" customWidth="1"/>
    <col min="6916" max="6917" width="16.88671875" style="474" customWidth="1"/>
    <col min="6918" max="6918" width="15.109375" style="474" customWidth="1"/>
    <col min="6919" max="6919" width="13.21875" style="474" customWidth="1"/>
    <col min="6920" max="6920" width="14.77734375" style="474" customWidth="1"/>
    <col min="6921" max="6921" width="15.88671875" style="474" customWidth="1"/>
    <col min="6922" max="6922" width="16.109375" style="474" customWidth="1"/>
    <col min="6923" max="6923" width="16" style="474" customWidth="1"/>
    <col min="6924" max="6924" width="9.33203125" style="474" customWidth="1"/>
    <col min="6925" max="6925" width="12.21875" style="474" customWidth="1"/>
    <col min="6926" max="6926" width="15.109375" style="474" customWidth="1"/>
    <col min="6927" max="6927" width="17.109375" style="474" customWidth="1"/>
    <col min="6928" max="6928" width="17.21875" style="474" customWidth="1"/>
    <col min="6929" max="6929" width="15.21875" style="474" customWidth="1"/>
    <col min="6930" max="6930" width="16.33203125" style="474" customWidth="1"/>
    <col min="6931" max="6931" width="15" style="474" customWidth="1"/>
    <col min="6932" max="6933" width="15.21875" style="474" customWidth="1"/>
    <col min="6934" max="6934" width="16.77734375" style="474" customWidth="1"/>
    <col min="6935" max="6935" width="17.21875" style="474" customWidth="1"/>
    <col min="6936" max="7167" width="9.109375" style="474"/>
    <col min="7168" max="7168" width="6.21875" style="474" customWidth="1"/>
    <col min="7169" max="7169" width="34.77734375" style="474" customWidth="1"/>
    <col min="7170" max="7170" width="13.33203125" style="474" customWidth="1"/>
    <col min="7171" max="7171" width="11.109375" style="474" customWidth="1"/>
    <col min="7172" max="7173" width="16.88671875" style="474" customWidth="1"/>
    <col min="7174" max="7174" width="15.109375" style="474" customWidth="1"/>
    <col min="7175" max="7175" width="13.21875" style="474" customWidth="1"/>
    <col min="7176" max="7176" width="14.77734375" style="474" customWidth="1"/>
    <col min="7177" max="7177" width="15.88671875" style="474" customWidth="1"/>
    <col min="7178" max="7178" width="16.109375" style="474" customWidth="1"/>
    <col min="7179" max="7179" width="16" style="474" customWidth="1"/>
    <col min="7180" max="7180" width="9.33203125" style="474" customWidth="1"/>
    <col min="7181" max="7181" width="12.21875" style="474" customWidth="1"/>
    <col min="7182" max="7182" width="15.109375" style="474" customWidth="1"/>
    <col min="7183" max="7183" width="17.109375" style="474" customWidth="1"/>
    <col min="7184" max="7184" width="17.21875" style="474" customWidth="1"/>
    <col min="7185" max="7185" width="15.21875" style="474" customWidth="1"/>
    <col min="7186" max="7186" width="16.33203125" style="474" customWidth="1"/>
    <col min="7187" max="7187" width="15" style="474" customWidth="1"/>
    <col min="7188" max="7189" width="15.21875" style="474" customWidth="1"/>
    <col min="7190" max="7190" width="16.77734375" style="474" customWidth="1"/>
    <col min="7191" max="7191" width="17.21875" style="474" customWidth="1"/>
    <col min="7192" max="7423" width="9.109375" style="474"/>
    <col min="7424" max="7424" width="6.21875" style="474" customWidth="1"/>
    <col min="7425" max="7425" width="34.77734375" style="474" customWidth="1"/>
    <col min="7426" max="7426" width="13.33203125" style="474" customWidth="1"/>
    <col min="7427" max="7427" width="11.109375" style="474" customWidth="1"/>
    <col min="7428" max="7429" width="16.88671875" style="474" customWidth="1"/>
    <col min="7430" max="7430" width="15.109375" style="474" customWidth="1"/>
    <col min="7431" max="7431" width="13.21875" style="474" customWidth="1"/>
    <col min="7432" max="7432" width="14.77734375" style="474" customWidth="1"/>
    <col min="7433" max="7433" width="15.88671875" style="474" customWidth="1"/>
    <col min="7434" max="7434" width="16.109375" style="474" customWidth="1"/>
    <col min="7435" max="7435" width="16" style="474" customWidth="1"/>
    <col min="7436" max="7436" width="9.33203125" style="474" customWidth="1"/>
    <col min="7437" max="7437" width="12.21875" style="474" customWidth="1"/>
    <col min="7438" max="7438" width="15.109375" style="474" customWidth="1"/>
    <col min="7439" max="7439" width="17.109375" style="474" customWidth="1"/>
    <col min="7440" max="7440" width="17.21875" style="474" customWidth="1"/>
    <col min="7441" max="7441" width="15.21875" style="474" customWidth="1"/>
    <col min="7442" max="7442" width="16.33203125" style="474" customWidth="1"/>
    <col min="7443" max="7443" width="15" style="474" customWidth="1"/>
    <col min="7444" max="7445" width="15.21875" style="474" customWidth="1"/>
    <col min="7446" max="7446" width="16.77734375" style="474" customWidth="1"/>
    <col min="7447" max="7447" width="17.21875" style="474" customWidth="1"/>
    <col min="7448" max="7679" width="9.109375" style="474"/>
    <col min="7680" max="7680" width="6.21875" style="474" customWidth="1"/>
    <col min="7681" max="7681" width="34.77734375" style="474" customWidth="1"/>
    <col min="7682" max="7682" width="13.33203125" style="474" customWidth="1"/>
    <col min="7683" max="7683" width="11.109375" style="474" customWidth="1"/>
    <col min="7684" max="7685" width="16.88671875" style="474" customWidth="1"/>
    <col min="7686" max="7686" width="15.109375" style="474" customWidth="1"/>
    <col min="7687" max="7687" width="13.21875" style="474" customWidth="1"/>
    <col min="7688" max="7688" width="14.77734375" style="474" customWidth="1"/>
    <col min="7689" max="7689" width="15.88671875" style="474" customWidth="1"/>
    <col min="7690" max="7690" width="16.109375" style="474" customWidth="1"/>
    <col min="7691" max="7691" width="16" style="474" customWidth="1"/>
    <col min="7692" max="7692" width="9.33203125" style="474" customWidth="1"/>
    <col min="7693" max="7693" width="12.21875" style="474" customWidth="1"/>
    <col min="7694" max="7694" width="15.109375" style="474" customWidth="1"/>
    <col min="7695" max="7695" width="17.109375" style="474" customWidth="1"/>
    <col min="7696" max="7696" width="17.21875" style="474" customWidth="1"/>
    <col min="7697" max="7697" width="15.21875" style="474" customWidth="1"/>
    <col min="7698" max="7698" width="16.33203125" style="474" customWidth="1"/>
    <col min="7699" max="7699" width="15" style="474" customWidth="1"/>
    <col min="7700" max="7701" width="15.21875" style="474" customWidth="1"/>
    <col min="7702" max="7702" width="16.77734375" style="474" customWidth="1"/>
    <col min="7703" max="7703" width="17.21875" style="474" customWidth="1"/>
    <col min="7704" max="7935" width="9.109375" style="474"/>
    <col min="7936" max="7936" width="6.21875" style="474" customWidth="1"/>
    <col min="7937" max="7937" width="34.77734375" style="474" customWidth="1"/>
    <col min="7938" max="7938" width="13.33203125" style="474" customWidth="1"/>
    <col min="7939" max="7939" width="11.109375" style="474" customWidth="1"/>
    <col min="7940" max="7941" width="16.88671875" style="474" customWidth="1"/>
    <col min="7942" max="7942" width="15.109375" style="474" customWidth="1"/>
    <col min="7943" max="7943" width="13.21875" style="474" customWidth="1"/>
    <col min="7944" max="7944" width="14.77734375" style="474" customWidth="1"/>
    <col min="7945" max="7945" width="15.88671875" style="474" customWidth="1"/>
    <col min="7946" max="7946" width="16.109375" style="474" customWidth="1"/>
    <col min="7947" max="7947" width="16" style="474" customWidth="1"/>
    <col min="7948" max="7948" width="9.33203125" style="474" customWidth="1"/>
    <col min="7949" max="7949" width="12.21875" style="474" customWidth="1"/>
    <col min="7950" max="7950" width="15.109375" style="474" customWidth="1"/>
    <col min="7951" max="7951" width="17.109375" style="474" customWidth="1"/>
    <col min="7952" max="7952" width="17.21875" style="474" customWidth="1"/>
    <col min="7953" max="7953" width="15.21875" style="474" customWidth="1"/>
    <col min="7954" max="7954" width="16.33203125" style="474" customWidth="1"/>
    <col min="7955" max="7955" width="15" style="474" customWidth="1"/>
    <col min="7956" max="7957" width="15.21875" style="474" customWidth="1"/>
    <col min="7958" max="7958" width="16.77734375" style="474" customWidth="1"/>
    <col min="7959" max="7959" width="17.21875" style="474" customWidth="1"/>
    <col min="7960" max="8191" width="9.109375" style="474"/>
    <col min="8192" max="8192" width="6.21875" style="474" customWidth="1"/>
    <col min="8193" max="8193" width="34.77734375" style="474" customWidth="1"/>
    <col min="8194" max="8194" width="13.33203125" style="474" customWidth="1"/>
    <col min="8195" max="8195" width="11.109375" style="474" customWidth="1"/>
    <col min="8196" max="8197" width="16.88671875" style="474" customWidth="1"/>
    <col min="8198" max="8198" width="15.109375" style="474" customWidth="1"/>
    <col min="8199" max="8199" width="13.21875" style="474" customWidth="1"/>
    <col min="8200" max="8200" width="14.77734375" style="474" customWidth="1"/>
    <col min="8201" max="8201" width="15.88671875" style="474" customWidth="1"/>
    <col min="8202" max="8202" width="16.109375" style="474" customWidth="1"/>
    <col min="8203" max="8203" width="16" style="474" customWidth="1"/>
    <col min="8204" max="8204" width="9.33203125" style="474" customWidth="1"/>
    <col min="8205" max="8205" width="12.21875" style="474" customWidth="1"/>
    <col min="8206" max="8206" width="15.109375" style="474" customWidth="1"/>
    <col min="8207" max="8207" width="17.109375" style="474" customWidth="1"/>
    <col min="8208" max="8208" width="17.21875" style="474" customWidth="1"/>
    <col min="8209" max="8209" width="15.21875" style="474" customWidth="1"/>
    <col min="8210" max="8210" width="16.33203125" style="474" customWidth="1"/>
    <col min="8211" max="8211" width="15" style="474" customWidth="1"/>
    <col min="8212" max="8213" width="15.21875" style="474" customWidth="1"/>
    <col min="8214" max="8214" width="16.77734375" style="474" customWidth="1"/>
    <col min="8215" max="8215" width="17.21875" style="474" customWidth="1"/>
    <col min="8216" max="8447" width="9.109375" style="474"/>
    <col min="8448" max="8448" width="6.21875" style="474" customWidth="1"/>
    <col min="8449" max="8449" width="34.77734375" style="474" customWidth="1"/>
    <col min="8450" max="8450" width="13.33203125" style="474" customWidth="1"/>
    <col min="8451" max="8451" width="11.109375" style="474" customWidth="1"/>
    <col min="8452" max="8453" width="16.88671875" style="474" customWidth="1"/>
    <col min="8454" max="8454" width="15.109375" style="474" customWidth="1"/>
    <col min="8455" max="8455" width="13.21875" style="474" customWidth="1"/>
    <col min="8456" max="8456" width="14.77734375" style="474" customWidth="1"/>
    <col min="8457" max="8457" width="15.88671875" style="474" customWidth="1"/>
    <col min="8458" max="8458" width="16.109375" style="474" customWidth="1"/>
    <col min="8459" max="8459" width="16" style="474" customWidth="1"/>
    <col min="8460" max="8460" width="9.33203125" style="474" customWidth="1"/>
    <col min="8461" max="8461" width="12.21875" style="474" customWidth="1"/>
    <col min="8462" max="8462" width="15.109375" style="474" customWidth="1"/>
    <col min="8463" max="8463" width="17.109375" style="474" customWidth="1"/>
    <col min="8464" max="8464" width="17.21875" style="474" customWidth="1"/>
    <col min="8465" max="8465" width="15.21875" style="474" customWidth="1"/>
    <col min="8466" max="8466" width="16.33203125" style="474" customWidth="1"/>
    <col min="8467" max="8467" width="15" style="474" customWidth="1"/>
    <col min="8468" max="8469" width="15.21875" style="474" customWidth="1"/>
    <col min="8470" max="8470" width="16.77734375" style="474" customWidth="1"/>
    <col min="8471" max="8471" width="17.21875" style="474" customWidth="1"/>
    <col min="8472" max="8703" width="9.109375" style="474"/>
    <col min="8704" max="8704" width="6.21875" style="474" customWidth="1"/>
    <col min="8705" max="8705" width="34.77734375" style="474" customWidth="1"/>
    <col min="8706" max="8706" width="13.33203125" style="474" customWidth="1"/>
    <col min="8707" max="8707" width="11.109375" style="474" customWidth="1"/>
    <col min="8708" max="8709" width="16.88671875" style="474" customWidth="1"/>
    <col min="8710" max="8710" width="15.109375" style="474" customWidth="1"/>
    <col min="8711" max="8711" width="13.21875" style="474" customWidth="1"/>
    <col min="8712" max="8712" width="14.77734375" style="474" customWidth="1"/>
    <col min="8713" max="8713" width="15.88671875" style="474" customWidth="1"/>
    <col min="8714" max="8714" width="16.109375" style="474" customWidth="1"/>
    <col min="8715" max="8715" width="16" style="474" customWidth="1"/>
    <col min="8716" max="8716" width="9.33203125" style="474" customWidth="1"/>
    <col min="8717" max="8717" width="12.21875" style="474" customWidth="1"/>
    <col min="8718" max="8718" width="15.109375" style="474" customWidth="1"/>
    <col min="8719" max="8719" width="17.109375" style="474" customWidth="1"/>
    <col min="8720" max="8720" width="17.21875" style="474" customWidth="1"/>
    <col min="8721" max="8721" width="15.21875" style="474" customWidth="1"/>
    <col min="8722" max="8722" width="16.33203125" style="474" customWidth="1"/>
    <col min="8723" max="8723" width="15" style="474" customWidth="1"/>
    <col min="8724" max="8725" width="15.21875" style="474" customWidth="1"/>
    <col min="8726" max="8726" width="16.77734375" style="474" customWidth="1"/>
    <col min="8727" max="8727" width="17.21875" style="474" customWidth="1"/>
    <col min="8728" max="8959" width="9.109375" style="474"/>
    <col min="8960" max="8960" width="6.21875" style="474" customWidth="1"/>
    <col min="8961" max="8961" width="34.77734375" style="474" customWidth="1"/>
    <col min="8962" max="8962" width="13.33203125" style="474" customWidth="1"/>
    <col min="8963" max="8963" width="11.109375" style="474" customWidth="1"/>
    <col min="8964" max="8965" width="16.88671875" style="474" customWidth="1"/>
    <col min="8966" max="8966" width="15.109375" style="474" customWidth="1"/>
    <col min="8967" max="8967" width="13.21875" style="474" customWidth="1"/>
    <col min="8968" max="8968" width="14.77734375" style="474" customWidth="1"/>
    <col min="8969" max="8969" width="15.88671875" style="474" customWidth="1"/>
    <col min="8970" max="8970" width="16.109375" style="474" customWidth="1"/>
    <col min="8971" max="8971" width="16" style="474" customWidth="1"/>
    <col min="8972" max="8972" width="9.33203125" style="474" customWidth="1"/>
    <col min="8973" max="8973" width="12.21875" style="474" customWidth="1"/>
    <col min="8974" max="8974" width="15.109375" style="474" customWidth="1"/>
    <col min="8975" max="8975" width="17.109375" style="474" customWidth="1"/>
    <col min="8976" max="8976" width="17.21875" style="474" customWidth="1"/>
    <col min="8977" max="8977" width="15.21875" style="474" customWidth="1"/>
    <col min="8978" max="8978" width="16.33203125" style="474" customWidth="1"/>
    <col min="8979" max="8979" width="15" style="474" customWidth="1"/>
    <col min="8980" max="8981" width="15.21875" style="474" customWidth="1"/>
    <col min="8982" max="8982" width="16.77734375" style="474" customWidth="1"/>
    <col min="8983" max="8983" width="17.21875" style="474" customWidth="1"/>
    <col min="8984" max="9215" width="9.109375" style="474"/>
    <col min="9216" max="9216" width="6.21875" style="474" customWidth="1"/>
    <col min="9217" max="9217" width="34.77734375" style="474" customWidth="1"/>
    <col min="9218" max="9218" width="13.33203125" style="474" customWidth="1"/>
    <col min="9219" max="9219" width="11.109375" style="474" customWidth="1"/>
    <col min="9220" max="9221" width="16.88671875" style="474" customWidth="1"/>
    <col min="9222" max="9222" width="15.109375" style="474" customWidth="1"/>
    <col min="9223" max="9223" width="13.21875" style="474" customWidth="1"/>
    <col min="9224" max="9224" width="14.77734375" style="474" customWidth="1"/>
    <col min="9225" max="9225" width="15.88671875" style="474" customWidth="1"/>
    <col min="9226" max="9226" width="16.109375" style="474" customWidth="1"/>
    <col min="9227" max="9227" width="16" style="474" customWidth="1"/>
    <col min="9228" max="9228" width="9.33203125" style="474" customWidth="1"/>
    <col min="9229" max="9229" width="12.21875" style="474" customWidth="1"/>
    <col min="9230" max="9230" width="15.109375" style="474" customWidth="1"/>
    <col min="9231" max="9231" width="17.109375" style="474" customWidth="1"/>
    <col min="9232" max="9232" width="17.21875" style="474" customWidth="1"/>
    <col min="9233" max="9233" width="15.21875" style="474" customWidth="1"/>
    <col min="9234" max="9234" width="16.33203125" style="474" customWidth="1"/>
    <col min="9235" max="9235" width="15" style="474" customWidth="1"/>
    <col min="9236" max="9237" width="15.21875" style="474" customWidth="1"/>
    <col min="9238" max="9238" width="16.77734375" style="474" customWidth="1"/>
    <col min="9239" max="9239" width="17.21875" style="474" customWidth="1"/>
    <col min="9240" max="9471" width="9.109375" style="474"/>
    <col min="9472" max="9472" width="6.21875" style="474" customWidth="1"/>
    <col min="9473" max="9473" width="34.77734375" style="474" customWidth="1"/>
    <col min="9474" max="9474" width="13.33203125" style="474" customWidth="1"/>
    <col min="9475" max="9475" width="11.109375" style="474" customWidth="1"/>
    <col min="9476" max="9477" width="16.88671875" style="474" customWidth="1"/>
    <col min="9478" max="9478" width="15.109375" style="474" customWidth="1"/>
    <col min="9479" max="9479" width="13.21875" style="474" customWidth="1"/>
    <col min="9480" max="9480" width="14.77734375" style="474" customWidth="1"/>
    <col min="9481" max="9481" width="15.88671875" style="474" customWidth="1"/>
    <col min="9482" max="9482" width="16.109375" style="474" customWidth="1"/>
    <col min="9483" max="9483" width="16" style="474" customWidth="1"/>
    <col min="9484" max="9484" width="9.33203125" style="474" customWidth="1"/>
    <col min="9485" max="9485" width="12.21875" style="474" customWidth="1"/>
    <col min="9486" max="9486" width="15.109375" style="474" customWidth="1"/>
    <col min="9487" max="9487" width="17.109375" style="474" customWidth="1"/>
    <col min="9488" max="9488" width="17.21875" style="474" customWidth="1"/>
    <col min="9489" max="9489" width="15.21875" style="474" customWidth="1"/>
    <col min="9490" max="9490" width="16.33203125" style="474" customWidth="1"/>
    <col min="9491" max="9491" width="15" style="474" customWidth="1"/>
    <col min="9492" max="9493" width="15.21875" style="474" customWidth="1"/>
    <col min="9494" max="9494" width="16.77734375" style="474" customWidth="1"/>
    <col min="9495" max="9495" width="17.21875" style="474" customWidth="1"/>
    <col min="9496" max="9727" width="9.109375" style="474"/>
    <col min="9728" max="9728" width="6.21875" style="474" customWidth="1"/>
    <col min="9729" max="9729" width="34.77734375" style="474" customWidth="1"/>
    <col min="9730" max="9730" width="13.33203125" style="474" customWidth="1"/>
    <col min="9731" max="9731" width="11.109375" style="474" customWidth="1"/>
    <col min="9732" max="9733" width="16.88671875" style="474" customWidth="1"/>
    <col min="9734" max="9734" width="15.109375" style="474" customWidth="1"/>
    <col min="9735" max="9735" width="13.21875" style="474" customWidth="1"/>
    <col min="9736" max="9736" width="14.77734375" style="474" customWidth="1"/>
    <col min="9737" max="9737" width="15.88671875" style="474" customWidth="1"/>
    <col min="9738" max="9738" width="16.109375" style="474" customWidth="1"/>
    <col min="9739" max="9739" width="16" style="474" customWidth="1"/>
    <col min="9740" max="9740" width="9.33203125" style="474" customWidth="1"/>
    <col min="9741" max="9741" width="12.21875" style="474" customWidth="1"/>
    <col min="9742" max="9742" width="15.109375" style="474" customWidth="1"/>
    <col min="9743" max="9743" width="17.109375" style="474" customWidth="1"/>
    <col min="9744" max="9744" width="17.21875" style="474" customWidth="1"/>
    <col min="9745" max="9745" width="15.21875" style="474" customWidth="1"/>
    <col min="9746" max="9746" width="16.33203125" style="474" customWidth="1"/>
    <col min="9747" max="9747" width="15" style="474" customWidth="1"/>
    <col min="9748" max="9749" width="15.21875" style="474" customWidth="1"/>
    <col min="9750" max="9750" width="16.77734375" style="474" customWidth="1"/>
    <col min="9751" max="9751" width="17.21875" style="474" customWidth="1"/>
    <col min="9752" max="9983" width="9.109375" style="474"/>
    <col min="9984" max="9984" width="6.21875" style="474" customWidth="1"/>
    <col min="9985" max="9985" width="34.77734375" style="474" customWidth="1"/>
    <col min="9986" max="9986" width="13.33203125" style="474" customWidth="1"/>
    <col min="9987" max="9987" width="11.109375" style="474" customWidth="1"/>
    <col min="9988" max="9989" width="16.88671875" style="474" customWidth="1"/>
    <col min="9990" max="9990" width="15.109375" style="474" customWidth="1"/>
    <col min="9991" max="9991" width="13.21875" style="474" customWidth="1"/>
    <col min="9992" max="9992" width="14.77734375" style="474" customWidth="1"/>
    <col min="9993" max="9993" width="15.88671875" style="474" customWidth="1"/>
    <col min="9994" max="9994" width="16.109375" style="474" customWidth="1"/>
    <col min="9995" max="9995" width="16" style="474" customWidth="1"/>
    <col min="9996" max="9996" width="9.33203125" style="474" customWidth="1"/>
    <col min="9997" max="9997" width="12.21875" style="474" customWidth="1"/>
    <col min="9998" max="9998" width="15.109375" style="474" customWidth="1"/>
    <col min="9999" max="9999" width="17.109375" style="474" customWidth="1"/>
    <col min="10000" max="10000" width="17.21875" style="474" customWidth="1"/>
    <col min="10001" max="10001" width="15.21875" style="474" customWidth="1"/>
    <col min="10002" max="10002" width="16.33203125" style="474" customWidth="1"/>
    <col min="10003" max="10003" width="15" style="474" customWidth="1"/>
    <col min="10004" max="10005" width="15.21875" style="474" customWidth="1"/>
    <col min="10006" max="10006" width="16.77734375" style="474" customWidth="1"/>
    <col min="10007" max="10007" width="17.21875" style="474" customWidth="1"/>
    <col min="10008" max="10239" width="9.109375" style="474"/>
    <col min="10240" max="10240" width="6.21875" style="474" customWidth="1"/>
    <col min="10241" max="10241" width="34.77734375" style="474" customWidth="1"/>
    <col min="10242" max="10242" width="13.33203125" style="474" customWidth="1"/>
    <col min="10243" max="10243" width="11.109375" style="474" customWidth="1"/>
    <col min="10244" max="10245" width="16.88671875" style="474" customWidth="1"/>
    <col min="10246" max="10246" width="15.109375" style="474" customWidth="1"/>
    <col min="10247" max="10247" width="13.21875" style="474" customWidth="1"/>
    <col min="10248" max="10248" width="14.77734375" style="474" customWidth="1"/>
    <col min="10249" max="10249" width="15.88671875" style="474" customWidth="1"/>
    <col min="10250" max="10250" width="16.109375" style="474" customWidth="1"/>
    <col min="10251" max="10251" width="16" style="474" customWidth="1"/>
    <col min="10252" max="10252" width="9.33203125" style="474" customWidth="1"/>
    <col min="10253" max="10253" width="12.21875" style="474" customWidth="1"/>
    <col min="10254" max="10254" width="15.109375" style="474" customWidth="1"/>
    <col min="10255" max="10255" width="17.109375" style="474" customWidth="1"/>
    <col min="10256" max="10256" width="17.21875" style="474" customWidth="1"/>
    <col min="10257" max="10257" width="15.21875" style="474" customWidth="1"/>
    <col min="10258" max="10258" width="16.33203125" style="474" customWidth="1"/>
    <col min="10259" max="10259" width="15" style="474" customWidth="1"/>
    <col min="10260" max="10261" width="15.21875" style="474" customWidth="1"/>
    <col min="10262" max="10262" width="16.77734375" style="474" customWidth="1"/>
    <col min="10263" max="10263" width="17.21875" style="474" customWidth="1"/>
    <col min="10264" max="10495" width="9.109375" style="474"/>
    <col min="10496" max="10496" width="6.21875" style="474" customWidth="1"/>
    <col min="10497" max="10497" width="34.77734375" style="474" customWidth="1"/>
    <col min="10498" max="10498" width="13.33203125" style="474" customWidth="1"/>
    <col min="10499" max="10499" width="11.109375" style="474" customWidth="1"/>
    <col min="10500" max="10501" width="16.88671875" style="474" customWidth="1"/>
    <col min="10502" max="10502" width="15.109375" style="474" customWidth="1"/>
    <col min="10503" max="10503" width="13.21875" style="474" customWidth="1"/>
    <col min="10504" max="10504" width="14.77734375" style="474" customWidth="1"/>
    <col min="10505" max="10505" width="15.88671875" style="474" customWidth="1"/>
    <col min="10506" max="10506" width="16.109375" style="474" customWidth="1"/>
    <col min="10507" max="10507" width="16" style="474" customWidth="1"/>
    <col min="10508" max="10508" width="9.33203125" style="474" customWidth="1"/>
    <col min="10509" max="10509" width="12.21875" style="474" customWidth="1"/>
    <col min="10510" max="10510" width="15.109375" style="474" customWidth="1"/>
    <col min="10511" max="10511" width="17.109375" style="474" customWidth="1"/>
    <col min="10512" max="10512" width="17.21875" style="474" customWidth="1"/>
    <col min="10513" max="10513" width="15.21875" style="474" customWidth="1"/>
    <col min="10514" max="10514" width="16.33203125" style="474" customWidth="1"/>
    <col min="10515" max="10515" width="15" style="474" customWidth="1"/>
    <col min="10516" max="10517" width="15.21875" style="474" customWidth="1"/>
    <col min="10518" max="10518" width="16.77734375" style="474" customWidth="1"/>
    <col min="10519" max="10519" width="17.21875" style="474" customWidth="1"/>
    <col min="10520" max="10751" width="9.109375" style="474"/>
    <col min="10752" max="10752" width="6.21875" style="474" customWidth="1"/>
    <col min="10753" max="10753" width="34.77734375" style="474" customWidth="1"/>
    <col min="10754" max="10754" width="13.33203125" style="474" customWidth="1"/>
    <col min="10755" max="10755" width="11.109375" style="474" customWidth="1"/>
    <col min="10756" max="10757" width="16.88671875" style="474" customWidth="1"/>
    <col min="10758" max="10758" width="15.109375" style="474" customWidth="1"/>
    <col min="10759" max="10759" width="13.21875" style="474" customWidth="1"/>
    <col min="10760" max="10760" width="14.77734375" style="474" customWidth="1"/>
    <col min="10761" max="10761" width="15.88671875" style="474" customWidth="1"/>
    <col min="10762" max="10762" width="16.109375" style="474" customWidth="1"/>
    <col min="10763" max="10763" width="16" style="474" customWidth="1"/>
    <col min="10764" max="10764" width="9.33203125" style="474" customWidth="1"/>
    <col min="10765" max="10765" width="12.21875" style="474" customWidth="1"/>
    <col min="10766" max="10766" width="15.109375" style="474" customWidth="1"/>
    <col min="10767" max="10767" width="17.109375" style="474" customWidth="1"/>
    <col min="10768" max="10768" width="17.21875" style="474" customWidth="1"/>
    <col min="10769" max="10769" width="15.21875" style="474" customWidth="1"/>
    <col min="10770" max="10770" width="16.33203125" style="474" customWidth="1"/>
    <col min="10771" max="10771" width="15" style="474" customWidth="1"/>
    <col min="10772" max="10773" width="15.21875" style="474" customWidth="1"/>
    <col min="10774" max="10774" width="16.77734375" style="474" customWidth="1"/>
    <col min="10775" max="10775" width="17.21875" style="474" customWidth="1"/>
    <col min="10776" max="11007" width="9.109375" style="474"/>
    <col min="11008" max="11008" width="6.21875" style="474" customWidth="1"/>
    <col min="11009" max="11009" width="34.77734375" style="474" customWidth="1"/>
    <col min="11010" max="11010" width="13.33203125" style="474" customWidth="1"/>
    <col min="11011" max="11011" width="11.109375" style="474" customWidth="1"/>
    <col min="11012" max="11013" width="16.88671875" style="474" customWidth="1"/>
    <col min="11014" max="11014" width="15.109375" style="474" customWidth="1"/>
    <col min="11015" max="11015" width="13.21875" style="474" customWidth="1"/>
    <col min="11016" max="11016" width="14.77734375" style="474" customWidth="1"/>
    <col min="11017" max="11017" width="15.88671875" style="474" customWidth="1"/>
    <col min="11018" max="11018" width="16.109375" style="474" customWidth="1"/>
    <col min="11019" max="11019" width="16" style="474" customWidth="1"/>
    <col min="11020" max="11020" width="9.33203125" style="474" customWidth="1"/>
    <col min="11021" max="11021" width="12.21875" style="474" customWidth="1"/>
    <col min="11022" max="11022" width="15.109375" style="474" customWidth="1"/>
    <col min="11023" max="11023" width="17.109375" style="474" customWidth="1"/>
    <col min="11024" max="11024" width="17.21875" style="474" customWidth="1"/>
    <col min="11025" max="11025" width="15.21875" style="474" customWidth="1"/>
    <col min="11026" max="11026" width="16.33203125" style="474" customWidth="1"/>
    <col min="11027" max="11027" width="15" style="474" customWidth="1"/>
    <col min="11028" max="11029" width="15.21875" style="474" customWidth="1"/>
    <col min="11030" max="11030" width="16.77734375" style="474" customWidth="1"/>
    <col min="11031" max="11031" width="17.21875" style="474" customWidth="1"/>
    <col min="11032" max="11263" width="9.109375" style="474"/>
    <col min="11264" max="11264" width="6.21875" style="474" customWidth="1"/>
    <col min="11265" max="11265" width="34.77734375" style="474" customWidth="1"/>
    <col min="11266" max="11266" width="13.33203125" style="474" customWidth="1"/>
    <col min="11267" max="11267" width="11.109375" style="474" customWidth="1"/>
    <col min="11268" max="11269" width="16.88671875" style="474" customWidth="1"/>
    <col min="11270" max="11270" width="15.109375" style="474" customWidth="1"/>
    <col min="11271" max="11271" width="13.21875" style="474" customWidth="1"/>
    <col min="11272" max="11272" width="14.77734375" style="474" customWidth="1"/>
    <col min="11273" max="11273" width="15.88671875" style="474" customWidth="1"/>
    <col min="11274" max="11274" width="16.109375" style="474" customWidth="1"/>
    <col min="11275" max="11275" width="16" style="474" customWidth="1"/>
    <col min="11276" max="11276" width="9.33203125" style="474" customWidth="1"/>
    <col min="11277" max="11277" width="12.21875" style="474" customWidth="1"/>
    <col min="11278" max="11278" width="15.109375" style="474" customWidth="1"/>
    <col min="11279" max="11279" width="17.109375" style="474" customWidth="1"/>
    <col min="11280" max="11280" width="17.21875" style="474" customWidth="1"/>
    <col min="11281" max="11281" width="15.21875" style="474" customWidth="1"/>
    <col min="11282" max="11282" width="16.33203125" style="474" customWidth="1"/>
    <col min="11283" max="11283" width="15" style="474" customWidth="1"/>
    <col min="11284" max="11285" width="15.21875" style="474" customWidth="1"/>
    <col min="11286" max="11286" width="16.77734375" style="474" customWidth="1"/>
    <col min="11287" max="11287" width="17.21875" style="474" customWidth="1"/>
    <col min="11288" max="11519" width="9.109375" style="474"/>
    <col min="11520" max="11520" width="6.21875" style="474" customWidth="1"/>
    <col min="11521" max="11521" width="34.77734375" style="474" customWidth="1"/>
    <col min="11522" max="11522" width="13.33203125" style="474" customWidth="1"/>
    <col min="11523" max="11523" width="11.109375" style="474" customWidth="1"/>
    <col min="11524" max="11525" width="16.88671875" style="474" customWidth="1"/>
    <col min="11526" max="11526" width="15.109375" style="474" customWidth="1"/>
    <col min="11527" max="11527" width="13.21875" style="474" customWidth="1"/>
    <col min="11528" max="11528" width="14.77734375" style="474" customWidth="1"/>
    <col min="11529" max="11529" width="15.88671875" style="474" customWidth="1"/>
    <col min="11530" max="11530" width="16.109375" style="474" customWidth="1"/>
    <col min="11531" max="11531" width="16" style="474" customWidth="1"/>
    <col min="11532" max="11532" width="9.33203125" style="474" customWidth="1"/>
    <col min="11533" max="11533" width="12.21875" style="474" customWidth="1"/>
    <col min="11534" max="11534" width="15.109375" style="474" customWidth="1"/>
    <col min="11535" max="11535" width="17.109375" style="474" customWidth="1"/>
    <col min="11536" max="11536" width="17.21875" style="474" customWidth="1"/>
    <col min="11537" max="11537" width="15.21875" style="474" customWidth="1"/>
    <col min="11538" max="11538" width="16.33203125" style="474" customWidth="1"/>
    <col min="11539" max="11539" width="15" style="474" customWidth="1"/>
    <col min="11540" max="11541" width="15.21875" style="474" customWidth="1"/>
    <col min="11542" max="11542" width="16.77734375" style="474" customWidth="1"/>
    <col min="11543" max="11543" width="17.21875" style="474" customWidth="1"/>
    <col min="11544" max="11775" width="9.109375" style="474"/>
    <col min="11776" max="11776" width="6.21875" style="474" customWidth="1"/>
    <col min="11777" max="11777" width="34.77734375" style="474" customWidth="1"/>
    <col min="11778" max="11778" width="13.33203125" style="474" customWidth="1"/>
    <col min="11779" max="11779" width="11.109375" style="474" customWidth="1"/>
    <col min="11780" max="11781" width="16.88671875" style="474" customWidth="1"/>
    <col min="11782" max="11782" width="15.109375" style="474" customWidth="1"/>
    <col min="11783" max="11783" width="13.21875" style="474" customWidth="1"/>
    <col min="11784" max="11784" width="14.77734375" style="474" customWidth="1"/>
    <col min="11785" max="11785" width="15.88671875" style="474" customWidth="1"/>
    <col min="11786" max="11786" width="16.109375" style="474" customWidth="1"/>
    <col min="11787" max="11787" width="16" style="474" customWidth="1"/>
    <col min="11788" max="11788" width="9.33203125" style="474" customWidth="1"/>
    <col min="11789" max="11789" width="12.21875" style="474" customWidth="1"/>
    <col min="11790" max="11790" width="15.109375" style="474" customWidth="1"/>
    <col min="11791" max="11791" width="17.109375" style="474" customWidth="1"/>
    <col min="11792" max="11792" width="17.21875" style="474" customWidth="1"/>
    <col min="11793" max="11793" width="15.21875" style="474" customWidth="1"/>
    <col min="11794" max="11794" width="16.33203125" style="474" customWidth="1"/>
    <col min="11795" max="11795" width="15" style="474" customWidth="1"/>
    <col min="11796" max="11797" width="15.21875" style="474" customWidth="1"/>
    <col min="11798" max="11798" width="16.77734375" style="474" customWidth="1"/>
    <col min="11799" max="11799" width="17.21875" style="474" customWidth="1"/>
    <col min="11800" max="12031" width="9.109375" style="474"/>
    <col min="12032" max="12032" width="6.21875" style="474" customWidth="1"/>
    <col min="12033" max="12033" width="34.77734375" style="474" customWidth="1"/>
    <col min="12034" max="12034" width="13.33203125" style="474" customWidth="1"/>
    <col min="12035" max="12035" width="11.109375" style="474" customWidth="1"/>
    <col min="12036" max="12037" width="16.88671875" style="474" customWidth="1"/>
    <col min="12038" max="12038" width="15.109375" style="474" customWidth="1"/>
    <col min="12039" max="12039" width="13.21875" style="474" customWidth="1"/>
    <col min="12040" max="12040" width="14.77734375" style="474" customWidth="1"/>
    <col min="12041" max="12041" width="15.88671875" style="474" customWidth="1"/>
    <col min="12042" max="12042" width="16.109375" style="474" customWidth="1"/>
    <col min="12043" max="12043" width="16" style="474" customWidth="1"/>
    <col min="12044" max="12044" width="9.33203125" style="474" customWidth="1"/>
    <col min="12045" max="12045" width="12.21875" style="474" customWidth="1"/>
    <col min="12046" max="12046" width="15.109375" style="474" customWidth="1"/>
    <col min="12047" max="12047" width="17.109375" style="474" customWidth="1"/>
    <col min="12048" max="12048" width="17.21875" style="474" customWidth="1"/>
    <col min="12049" max="12049" width="15.21875" style="474" customWidth="1"/>
    <col min="12050" max="12050" width="16.33203125" style="474" customWidth="1"/>
    <col min="12051" max="12051" width="15" style="474" customWidth="1"/>
    <col min="12052" max="12053" width="15.21875" style="474" customWidth="1"/>
    <col min="12054" max="12054" width="16.77734375" style="474" customWidth="1"/>
    <col min="12055" max="12055" width="17.21875" style="474" customWidth="1"/>
    <col min="12056" max="12287" width="9.109375" style="474"/>
    <col min="12288" max="12288" width="6.21875" style="474" customWidth="1"/>
    <col min="12289" max="12289" width="34.77734375" style="474" customWidth="1"/>
    <col min="12290" max="12290" width="13.33203125" style="474" customWidth="1"/>
    <col min="12291" max="12291" width="11.109375" style="474" customWidth="1"/>
    <col min="12292" max="12293" width="16.88671875" style="474" customWidth="1"/>
    <col min="12294" max="12294" width="15.109375" style="474" customWidth="1"/>
    <col min="12295" max="12295" width="13.21875" style="474" customWidth="1"/>
    <col min="12296" max="12296" width="14.77734375" style="474" customWidth="1"/>
    <col min="12297" max="12297" width="15.88671875" style="474" customWidth="1"/>
    <col min="12298" max="12298" width="16.109375" style="474" customWidth="1"/>
    <col min="12299" max="12299" width="16" style="474" customWidth="1"/>
    <col min="12300" max="12300" width="9.33203125" style="474" customWidth="1"/>
    <col min="12301" max="12301" width="12.21875" style="474" customWidth="1"/>
    <col min="12302" max="12302" width="15.109375" style="474" customWidth="1"/>
    <col min="12303" max="12303" width="17.109375" style="474" customWidth="1"/>
    <col min="12304" max="12304" width="17.21875" style="474" customWidth="1"/>
    <col min="12305" max="12305" width="15.21875" style="474" customWidth="1"/>
    <col min="12306" max="12306" width="16.33203125" style="474" customWidth="1"/>
    <col min="12307" max="12307" width="15" style="474" customWidth="1"/>
    <col min="12308" max="12309" width="15.21875" style="474" customWidth="1"/>
    <col min="12310" max="12310" width="16.77734375" style="474" customWidth="1"/>
    <col min="12311" max="12311" width="17.21875" style="474" customWidth="1"/>
    <col min="12312" max="12543" width="9.109375" style="474"/>
    <col min="12544" max="12544" width="6.21875" style="474" customWidth="1"/>
    <col min="12545" max="12545" width="34.77734375" style="474" customWidth="1"/>
    <col min="12546" max="12546" width="13.33203125" style="474" customWidth="1"/>
    <col min="12547" max="12547" width="11.109375" style="474" customWidth="1"/>
    <col min="12548" max="12549" width="16.88671875" style="474" customWidth="1"/>
    <col min="12550" max="12550" width="15.109375" style="474" customWidth="1"/>
    <col min="12551" max="12551" width="13.21875" style="474" customWidth="1"/>
    <col min="12552" max="12552" width="14.77734375" style="474" customWidth="1"/>
    <col min="12553" max="12553" width="15.88671875" style="474" customWidth="1"/>
    <col min="12554" max="12554" width="16.109375" style="474" customWidth="1"/>
    <col min="12555" max="12555" width="16" style="474" customWidth="1"/>
    <col min="12556" max="12556" width="9.33203125" style="474" customWidth="1"/>
    <col min="12557" max="12557" width="12.21875" style="474" customWidth="1"/>
    <col min="12558" max="12558" width="15.109375" style="474" customWidth="1"/>
    <col min="12559" max="12559" width="17.109375" style="474" customWidth="1"/>
    <col min="12560" max="12560" width="17.21875" style="474" customWidth="1"/>
    <col min="12561" max="12561" width="15.21875" style="474" customWidth="1"/>
    <col min="12562" max="12562" width="16.33203125" style="474" customWidth="1"/>
    <col min="12563" max="12563" width="15" style="474" customWidth="1"/>
    <col min="12564" max="12565" width="15.21875" style="474" customWidth="1"/>
    <col min="12566" max="12566" width="16.77734375" style="474" customWidth="1"/>
    <col min="12567" max="12567" width="17.21875" style="474" customWidth="1"/>
    <col min="12568" max="12799" width="9.109375" style="474"/>
    <col min="12800" max="12800" width="6.21875" style="474" customWidth="1"/>
    <col min="12801" max="12801" width="34.77734375" style="474" customWidth="1"/>
    <col min="12802" max="12802" width="13.33203125" style="474" customWidth="1"/>
    <col min="12803" max="12803" width="11.109375" style="474" customWidth="1"/>
    <col min="12804" max="12805" width="16.88671875" style="474" customWidth="1"/>
    <col min="12806" max="12806" width="15.109375" style="474" customWidth="1"/>
    <col min="12807" max="12807" width="13.21875" style="474" customWidth="1"/>
    <col min="12808" max="12808" width="14.77734375" style="474" customWidth="1"/>
    <col min="12809" max="12809" width="15.88671875" style="474" customWidth="1"/>
    <col min="12810" max="12810" width="16.109375" style="474" customWidth="1"/>
    <col min="12811" max="12811" width="16" style="474" customWidth="1"/>
    <col min="12812" max="12812" width="9.33203125" style="474" customWidth="1"/>
    <col min="12813" max="12813" width="12.21875" style="474" customWidth="1"/>
    <col min="12814" max="12814" width="15.109375" style="474" customWidth="1"/>
    <col min="12815" max="12815" width="17.109375" style="474" customWidth="1"/>
    <col min="12816" max="12816" width="17.21875" style="474" customWidth="1"/>
    <col min="12817" max="12817" width="15.21875" style="474" customWidth="1"/>
    <col min="12818" max="12818" width="16.33203125" style="474" customWidth="1"/>
    <col min="12819" max="12819" width="15" style="474" customWidth="1"/>
    <col min="12820" max="12821" width="15.21875" style="474" customWidth="1"/>
    <col min="12822" max="12822" width="16.77734375" style="474" customWidth="1"/>
    <col min="12823" max="12823" width="17.21875" style="474" customWidth="1"/>
    <col min="12824" max="13055" width="9.109375" style="474"/>
    <col min="13056" max="13056" width="6.21875" style="474" customWidth="1"/>
    <col min="13057" max="13057" width="34.77734375" style="474" customWidth="1"/>
    <col min="13058" max="13058" width="13.33203125" style="474" customWidth="1"/>
    <col min="13059" max="13059" width="11.109375" style="474" customWidth="1"/>
    <col min="13060" max="13061" width="16.88671875" style="474" customWidth="1"/>
    <col min="13062" max="13062" width="15.109375" style="474" customWidth="1"/>
    <col min="13063" max="13063" width="13.21875" style="474" customWidth="1"/>
    <col min="13064" max="13064" width="14.77734375" style="474" customWidth="1"/>
    <col min="13065" max="13065" width="15.88671875" style="474" customWidth="1"/>
    <col min="13066" max="13066" width="16.109375" style="474" customWidth="1"/>
    <col min="13067" max="13067" width="16" style="474" customWidth="1"/>
    <col min="13068" max="13068" width="9.33203125" style="474" customWidth="1"/>
    <col min="13069" max="13069" width="12.21875" style="474" customWidth="1"/>
    <col min="13070" max="13070" width="15.109375" style="474" customWidth="1"/>
    <col min="13071" max="13071" width="17.109375" style="474" customWidth="1"/>
    <col min="13072" max="13072" width="17.21875" style="474" customWidth="1"/>
    <col min="13073" max="13073" width="15.21875" style="474" customWidth="1"/>
    <col min="13074" max="13074" width="16.33203125" style="474" customWidth="1"/>
    <col min="13075" max="13075" width="15" style="474" customWidth="1"/>
    <col min="13076" max="13077" width="15.21875" style="474" customWidth="1"/>
    <col min="13078" max="13078" width="16.77734375" style="474" customWidth="1"/>
    <col min="13079" max="13079" width="17.21875" style="474" customWidth="1"/>
    <col min="13080" max="13311" width="9.109375" style="474"/>
    <col min="13312" max="13312" width="6.21875" style="474" customWidth="1"/>
    <col min="13313" max="13313" width="34.77734375" style="474" customWidth="1"/>
    <col min="13314" max="13314" width="13.33203125" style="474" customWidth="1"/>
    <col min="13315" max="13315" width="11.109375" style="474" customWidth="1"/>
    <col min="13316" max="13317" width="16.88671875" style="474" customWidth="1"/>
    <col min="13318" max="13318" width="15.109375" style="474" customWidth="1"/>
    <col min="13319" max="13319" width="13.21875" style="474" customWidth="1"/>
    <col min="13320" max="13320" width="14.77734375" style="474" customWidth="1"/>
    <col min="13321" max="13321" width="15.88671875" style="474" customWidth="1"/>
    <col min="13322" max="13322" width="16.109375" style="474" customWidth="1"/>
    <col min="13323" max="13323" width="16" style="474" customWidth="1"/>
    <col min="13324" max="13324" width="9.33203125" style="474" customWidth="1"/>
    <col min="13325" max="13325" width="12.21875" style="474" customWidth="1"/>
    <col min="13326" max="13326" width="15.109375" style="474" customWidth="1"/>
    <col min="13327" max="13327" width="17.109375" style="474" customWidth="1"/>
    <col min="13328" max="13328" width="17.21875" style="474" customWidth="1"/>
    <col min="13329" max="13329" width="15.21875" style="474" customWidth="1"/>
    <col min="13330" max="13330" width="16.33203125" style="474" customWidth="1"/>
    <col min="13331" max="13331" width="15" style="474" customWidth="1"/>
    <col min="13332" max="13333" width="15.21875" style="474" customWidth="1"/>
    <col min="13334" max="13334" width="16.77734375" style="474" customWidth="1"/>
    <col min="13335" max="13335" width="17.21875" style="474" customWidth="1"/>
    <col min="13336" max="13567" width="9.109375" style="474"/>
    <col min="13568" max="13568" width="6.21875" style="474" customWidth="1"/>
    <col min="13569" max="13569" width="34.77734375" style="474" customWidth="1"/>
    <col min="13570" max="13570" width="13.33203125" style="474" customWidth="1"/>
    <col min="13571" max="13571" width="11.109375" style="474" customWidth="1"/>
    <col min="13572" max="13573" width="16.88671875" style="474" customWidth="1"/>
    <col min="13574" max="13574" width="15.109375" style="474" customWidth="1"/>
    <col min="13575" max="13575" width="13.21875" style="474" customWidth="1"/>
    <col min="13576" max="13576" width="14.77734375" style="474" customWidth="1"/>
    <col min="13577" max="13577" width="15.88671875" style="474" customWidth="1"/>
    <col min="13578" max="13578" width="16.109375" style="474" customWidth="1"/>
    <col min="13579" max="13579" width="16" style="474" customWidth="1"/>
    <col min="13580" max="13580" width="9.33203125" style="474" customWidth="1"/>
    <col min="13581" max="13581" width="12.21875" style="474" customWidth="1"/>
    <col min="13582" max="13582" width="15.109375" style="474" customWidth="1"/>
    <col min="13583" max="13583" width="17.109375" style="474" customWidth="1"/>
    <col min="13584" max="13584" width="17.21875" style="474" customWidth="1"/>
    <col min="13585" max="13585" width="15.21875" style="474" customWidth="1"/>
    <col min="13586" max="13586" width="16.33203125" style="474" customWidth="1"/>
    <col min="13587" max="13587" width="15" style="474" customWidth="1"/>
    <col min="13588" max="13589" width="15.21875" style="474" customWidth="1"/>
    <col min="13590" max="13590" width="16.77734375" style="474" customWidth="1"/>
    <col min="13591" max="13591" width="17.21875" style="474" customWidth="1"/>
    <col min="13592" max="13823" width="9.109375" style="474"/>
    <col min="13824" max="13824" width="6.21875" style="474" customWidth="1"/>
    <col min="13825" max="13825" width="34.77734375" style="474" customWidth="1"/>
    <col min="13826" max="13826" width="13.33203125" style="474" customWidth="1"/>
    <col min="13827" max="13827" width="11.109375" style="474" customWidth="1"/>
    <col min="13828" max="13829" width="16.88671875" style="474" customWidth="1"/>
    <col min="13830" max="13830" width="15.109375" style="474" customWidth="1"/>
    <col min="13831" max="13831" width="13.21875" style="474" customWidth="1"/>
    <col min="13832" max="13832" width="14.77734375" style="474" customWidth="1"/>
    <col min="13833" max="13833" width="15.88671875" style="474" customWidth="1"/>
    <col min="13834" max="13834" width="16.109375" style="474" customWidth="1"/>
    <col min="13835" max="13835" width="16" style="474" customWidth="1"/>
    <col min="13836" max="13836" width="9.33203125" style="474" customWidth="1"/>
    <col min="13837" max="13837" width="12.21875" style="474" customWidth="1"/>
    <col min="13838" max="13838" width="15.109375" style="474" customWidth="1"/>
    <col min="13839" max="13839" width="17.109375" style="474" customWidth="1"/>
    <col min="13840" max="13840" width="17.21875" style="474" customWidth="1"/>
    <col min="13841" max="13841" width="15.21875" style="474" customWidth="1"/>
    <col min="13842" max="13842" width="16.33203125" style="474" customWidth="1"/>
    <col min="13843" max="13843" width="15" style="474" customWidth="1"/>
    <col min="13844" max="13845" width="15.21875" style="474" customWidth="1"/>
    <col min="13846" max="13846" width="16.77734375" style="474" customWidth="1"/>
    <col min="13847" max="13847" width="17.21875" style="474" customWidth="1"/>
    <col min="13848" max="14079" width="9.109375" style="474"/>
    <col min="14080" max="14080" width="6.21875" style="474" customWidth="1"/>
    <col min="14081" max="14081" width="34.77734375" style="474" customWidth="1"/>
    <col min="14082" max="14082" width="13.33203125" style="474" customWidth="1"/>
    <col min="14083" max="14083" width="11.109375" style="474" customWidth="1"/>
    <col min="14084" max="14085" width="16.88671875" style="474" customWidth="1"/>
    <col min="14086" max="14086" width="15.109375" style="474" customWidth="1"/>
    <col min="14087" max="14087" width="13.21875" style="474" customWidth="1"/>
    <col min="14088" max="14088" width="14.77734375" style="474" customWidth="1"/>
    <col min="14089" max="14089" width="15.88671875" style="474" customWidth="1"/>
    <col min="14090" max="14090" width="16.109375" style="474" customWidth="1"/>
    <col min="14091" max="14091" width="16" style="474" customWidth="1"/>
    <col min="14092" max="14092" width="9.33203125" style="474" customWidth="1"/>
    <col min="14093" max="14093" width="12.21875" style="474" customWidth="1"/>
    <col min="14094" max="14094" width="15.109375" style="474" customWidth="1"/>
    <col min="14095" max="14095" width="17.109375" style="474" customWidth="1"/>
    <col min="14096" max="14096" width="17.21875" style="474" customWidth="1"/>
    <col min="14097" max="14097" width="15.21875" style="474" customWidth="1"/>
    <col min="14098" max="14098" width="16.33203125" style="474" customWidth="1"/>
    <col min="14099" max="14099" width="15" style="474" customWidth="1"/>
    <col min="14100" max="14101" width="15.21875" style="474" customWidth="1"/>
    <col min="14102" max="14102" width="16.77734375" style="474" customWidth="1"/>
    <col min="14103" max="14103" width="17.21875" style="474" customWidth="1"/>
    <col min="14104" max="14335" width="9.109375" style="474"/>
    <col min="14336" max="14336" width="6.21875" style="474" customWidth="1"/>
    <col min="14337" max="14337" width="34.77734375" style="474" customWidth="1"/>
    <col min="14338" max="14338" width="13.33203125" style="474" customWidth="1"/>
    <col min="14339" max="14339" width="11.109375" style="474" customWidth="1"/>
    <col min="14340" max="14341" width="16.88671875" style="474" customWidth="1"/>
    <col min="14342" max="14342" width="15.109375" style="474" customWidth="1"/>
    <col min="14343" max="14343" width="13.21875" style="474" customWidth="1"/>
    <col min="14344" max="14344" width="14.77734375" style="474" customWidth="1"/>
    <col min="14345" max="14345" width="15.88671875" style="474" customWidth="1"/>
    <col min="14346" max="14346" width="16.109375" style="474" customWidth="1"/>
    <col min="14347" max="14347" width="16" style="474" customWidth="1"/>
    <col min="14348" max="14348" width="9.33203125" style="474" customWidth="1"/>
    <col min="14349" max="14349" width="12.21875" style="474" customWidth="1"/>
    <col min="14350" max="14350" width="15.109375" style="474" customWidth="1"/>
    <col min="14351" max="14351" width="17.109375" style="474" customWidth="1"/>
    <col min="14352" max="14352" width="17.21875" style="474" customWidth="1"/>
    <col min="14353" max="14353" width="15.21875" style="474" customWidth="1"/>
    <col min="14354" max="14354" width="16.33203125" style="474" customWidth="1"/>
    <col min="14355" max="14355" width="15" style="474" customWidth="1"/>
    <col min="14356" max="14357" width="15.21875" style="474" customWidth="1"/>
    <col min="14358" max="14358" width="16.77734375" style="474" customWidth="1"/>
    <col min="14359" max="14359" width="17.21875" style="474" customWidth="1"/>
    <col min="14360" max="14591" width="9.109375" style="474"/>
    <col min="14592" max="14592" width="6.21875" style="474" customWidth="1"/>
    <col min="14593" max="14593" width="34.77734375" style="474" customWidth="1"/>
    <col min="14594" max="14594" width="13.33203125" style="474" customWidth="1"/>
    <col min="14595" max="14595" width="11.109375" style="474" customWidth="1"/>
    <col min="14596" max="14597" width="16.88671875" style="474" customWidth="1"/>
    <col min="14598" max="14598" width="15.109375" style="474" customWidth="1"/>
    <col min="14599" max="14599" width="13.21875" style="474" customWidth="1"/>
    <col min="14600" max="14600" width="14.77734375" style="474" customWidth="1"/>
    <col min="14601" max="14601" width="15.88671875" style="474" customWidth="1"/>
    <col min="14602" max="14602" width="16.109375" style="474" customWidth="1"/>
    <col min="14603" max="14603" width="16" style="474" customWidth="1"/>
    <col min="14604" max="14604" width="9.33203125" style="474" customWidth="1"/>
    <col min="14605" max="14605" width="12.21875" style="474" customWidth="1"/>
    <col min="14606" max="14606" width="15.109375" style="474" customWidth="1"/>
    <col min="14607" max="14607" width="17.109375" style="474" customWidth="1"/>
    <col min="14608" max="14608" width="17.21875" style="474" customWidth="1"/>
    <col min="14609" max="14609" width="15.21875" style="474" customWidth="1"/>
    <col min="14610" max="14610" width="16.33203125" style="474" customWidth="1"/>
    <col min="14611" max="14611" width="15" style="474" customWidth="1"/>
    <col min="14612" max="14613" width="15.21875" style="474" customWidth="1"/>
    <col min="14614" max="14614" width="16.77734375" style="474" customWidth="1"/>
    <col min="14615" max="14615" width="17.21875" style="474" customWidth="1"/>
    <col min="14616" max="14847" width="9.109375" style="474"/>
    <col min="14848" max="14848" width="6.21875" style="474" customWidth="1"/>
    <col min="14849" max="14849" width="34.77734375" style="474" customWidth="1"/>
    <col min="14850" max="14850" width="13.33203125" style="474" customWidth="1"/>
    <col min="14851" max="14851" width="11.109375" style="474" customWidth="1"/>
    <col min="14852" max="14853" width="16.88671875" style="474" customWidth="1"/>
    <col min="14854" max="14854" width="15.109375" style="474" customWidth="1"/>
    <col min="14855" max="14855" width="13.21875" style="474" customWidth="1"/>
    <col min="14856" max="14856" width="14.77734375" style="474" customWidth="1"/>
    <col min="14857" max="14857" width="15.88671875" style="474" customWidth="1"/>
    <col min="14858" max="14858" width="16.109375" style="474" customWidth="1"/>
    <col min="14859" max="14859" width="16" style="474" customWidth="1"/>
    <col min="14860" max="14860" width="9.33203125" style="474" customWidth="1"/>
    <col min="14861" max="14861" width="12.21875" style="474" customWidth="1"/>
    <col min="14862" max="14862" width="15.109375" style="474" customWidth="1"/>
    <col min="14863" max="14863" width="17.109375" style="474" customWidth="1"/>
    <col min="14864" max="14864" width="17.21875" style="474" customWidth="1"/>
    <col min="14865" max="14865" width="15.21875" style="474" customWidth="1"/>
    <col min="14866" max="14866" width="16.33203125" style="474" customWidth="1"/>
    <col min="14867" max="14867" width="15" style="474" customWidth="1"/>
    <col min="14868" max="14869" width="15.21875" style="474" customWidth="1"/>
    <col min="14870" max="14870" width="16.77734375" style="474" customWidth="1"/>
    <col min="14871" max="14871" width="17.21875" style="474" customWidth="1"/>
    <col min="14872" max="15103" width="9.109375" style="474"/>
    <col min="15104" max="15104" width="6.21875" style="474" customWidth="1"/>
    <col min="15105" max="15105" width="34.77734375" style="474" customWidth="1"/>
    <col min="15106" max="15106" width="13.33203125" style="474" customWidth="1"/>
    <col min="15107" max="15107" width="11.109375" style="474" customWidth="1"/>
    <col min="15108" max="15109" width="16.88671875" style="474" customWidth="1"/>
    <col min="15110" max="15110" width="15.109375" style="474" customWidth="1"/>
    <col min="15111" max="15111" width="13.21875" style="474" customWidth="1"/>
    <col min="15112" max="15112" width="14.77734375" style="474" customWidth="1"/>
    <col min="15113" max="15113" width="15.88671875" style="474" customWidth="1"/>
    <col min="15114" max="15114" width="16.109375" style="474" customWidth="1"/>
    <col min="15115" max="15115" width="16" style="474" customWidth="1"/>
    <col min="15116" max="15116" width="9.33203125" style="474" customWidth="1"/>
    <col min="15117" max="15117" width="12.21875" style="474" customWidth="1"/>
    <col min="15118" max="15118" width="15.109375" style="474" customWidth="1"/>
    <col min="15119" max="15119" width="17.109375" style="474" customWidth="1"/>
    <col min="15120" max="15120" width="17.21875" style="474" customWidth="1"/>
    <col min="15121" max="15121" width="15.21875" style="474" customWidth="1"/>
    <col min="15122" max="15122" width="16.33203125" style="474" customWidth="1"/>
    <col min="15123" max="15123" width="15" style="474" customWidth="1"/>
    <col min="15124" max="15125" width="15.21875" style="474" customWidth="1"/>
    <col min="15126" max="15126" width="16.77734375" style="474" customWidth="1"/>
    <col min="15127" max="15127" width="17.21875" style="474" customWidth="1"/>
    <col min="15128" max="15359" width="9.109375" style="474"/>
    <col min="15360" max="15360" width="6.21875" style="474" customWidth="1"/>
    <col min="15361" max="15361" width="34.77734375" style="474" customWidth="1"/>
    <col min="15362" max="15362" width="13.33203125" style="474" customWidth="1"/>
    <col min="15363" max="15363" width="11.109375" style="474" customWidth="1"/>
    <col min="15364" max="15365" width="16.88671875" style="474" customWidth="1"/>
    <col min="15366" max="15366" width="15.109375" style="474" customWidth="1"/>
    <col min="15367" max="15367" width="13.21875" style="474" customWidth="1"/>
    <col min="15368" max="15368" width="14.77734375" style="474" customWidth="1"/>
    <col min="15369" max="15369" width="15.88671875" style="474" customWidth="1"/>
    <col min="15370" max="15370" width="16.109375" style="474" customWidth="1"/>
    <col min="15371" max="15371" width="16" style="474" customWidth="1"/>
    <col min="15372" max="15372" width="9.33203125" style="474" customWidth="1"/>
    <col min="15373" max="15373" width="12.21875" style="474" customWidth="1"/>
    <col min="15374" max="15374" width="15.109375" style="474" customWidth="1"/>
    <col min="15375" max="15375" width="17.109375" style="474" customWidth="1"/>
    <col min="15376" max="15376" width="17.21875" style="474" customWidth="1"/>
    <col min="15377" max="15377" width="15.21875" style="474" customWidth="1"/>
    <col min="15378" max="15378" width="16.33203125" style="474" customWidth="1"/>
    <col min="15379" max="15379" width="15" style="474" customWidth="1"/>
    <col min="15380" max="15381" width="15.21875" style="474" customWidth="1"/>
    <col min="15382" max="15382" width="16.77734375" style="474" customWidth="1"/>
    <col min="15383" max="15383" width="17.21875" style="474" customWidth="1"/>
    <col min="15384" max="15615" width="9.109375" style="474"/>
    <col min="15616" max="15616" width="6.21875" style="474" customWidth="1"/>
    <col min="15617" max="15617" width="34.77734375" style="474" customWidth="1"/>
    <col min="15618" max="15618" width="13.33203125" style="474" customWidth="1"/>
    <col min="15619" max="15619" width="11.109375" style="474" customWidth="1"/>
    <col min="15620" max="15621" width="16.88671875" style="474" customWidth="1"/>
    <col min="15622" max="15622" width="15.109375" style="474" customWidth="1"/>
    <col min="15623" max="15623" width="13.21875" style="474" customWidth="1"/>
    <col min="15624" max="15624" width="14.77734375" style="474" customWidth="1"/>
    <col min="15625" max="15625" width="15.88671875" style="474" customWidth="1"/>
    <col min="15626" max="15626" width="16.109375" style="474" customWidth="1"/>
    <col min="15627" max="15627" width="16" style="474" customWidth="1"/>
    <col min="15628" max="15628" width="9.33203125" style="474" customWidth="1"/>
    <col min="15629" max="15629" width="12.21875" style="474" customWidth="1"/>
    <col min="15630" max="15630" width="15.109375" style="474" customWidth="1"/>
    <col min="15631" max="15631" width="17.109375" style="474" customWidth="1"/>
    <col min="15632" max="15632" width="17.21875" style="474" customWidth="1"/>
    <col min="15633" max="15633" width="15.21875" style="474" customWidth="1"/>
    <col min="15634" max="15634" width="16.33203125" style="474" customWidth="1"/>
    <col min="15635" max="15635" width="15" style="474" customWidth="1"/>
    <col min="15636" max="15637" width="15.21875" style="474" customWidth="1"/>
    <col min="15638" max="15638" width="16.77734375" style="474" customWidth="1"/>
    <col min="15639" max="15639" width="17.21875" style="474" customWidth="1"/>
    <col min="15640" max="15871" width="9.109375" style="474"/>
    <col min="15872" max="15872" width="6.21875" style="474" customWidth="1"/>
    <col min="15873" max="15873" width="34.77734375" style="474" customWidth="1"/>
    <col min="15874" max="15874" width="13.33203125" style="474" customWidth="1"/>
    <col min="15875" max="15875" width="11.109375" style="474" customWidth="1"/>
    <col min="15876" max="15877" width="16.88671875" style="474" customWidth="1"/>
    <col min="15878" max="15878" width="15.109375" style="474" customWidth="1"/>
    <col min="15879" max="15879" width="13.21875" style="474" customWidth="1"/>
    <col min="15880" max="15880" width="14.77734375" style="474" customWidth="1"/>
    <col min="15881" max="15881" width="15.88671875" style="474" customWidth="1"/>
    <col min="15882" max="15882" width="16.109375" style="474" customWidth="1"/>
    <col min="15883" max="15883" width="16" style="474" customWidth="1"/>
    <col min="15884" max="15884" width="9.33203125" style="474" customWidth="1"/>
    <col min="15885" max="15885" width="12.21875" style="474" customWidth="1"/>
    <col min="15886" max="15886" width="15.109375" style="474" customWidth="1"/>
    <col min="15887" max="15887" width="17.109375" style="474" customWidth="1"/>
    <col min="15888" max="15888" width="17.21875" style="474" customWidth="1"/>
    <col min="15889" max="15889" width="15.21875" style="474" customWidth="1"/>
    <col min="15890" max="15890" width="16.33203125" style="474" customWidth="1"/>
    <col min="15891" max="15891" width="15" style="474" customWidth="1"/>
    <col min="15892" max="15893" width="15.21875" style="474" customWidth="1"/>
    <col min="15894" max="15894" width="16.77734375" style="474" customWidth="1"/>
    <col min="15895" max="15895" width="17.21875" style="474" customWidth="1"/>
    <col min="15896" max="16127" width="9.109375" style="474"/>
    <col min="16128" max="16128" width="6.21875" style="474" customWidth="1"/>
    <col min="16129" max="16129" width="34.77734375" style="474" customWidth="1"/>
    <col min="16130" max="16130" width="13.33203125" style="474" customWidth="1"/>
    <col min="16131" max="16131" width="11.109375" style="474" customWidth="1"/>
    <col min="16132" max="16133" width="16.88671875" style="474" customWidth="1"/>
    <col min="16134" max="16134" width="15.109375" style="474" customWidth="1"/>
    <col min="16135" max="16135" width="13.21875" style="474" customWidth="1"/>
    <col min="16136" max="16136" width="14.77734375" style="474" customWidth="1"/>
    <col min="16137" max="16137" width="15.88671875" style="474" customWidth="1"/>
    <col min="16138" max="16138" width="16.109375" style="474" customWidth="1"/>
    <col min="16139" max="16139" width="16" style="474" customWidth="1"/>
    <col min="16140" max="16140" width="9.33203125" style="474" customWidth="1"/>
    <col min="16141" max="16141" width="12.21875" style="474" customWidth="1"/>
    <col min="16142" max="16142" width="15.109375" style="474" customWidth="1"/>
    <col min="16143" max="16143" width="17.109375" style="474" customWidth="1"/>
    <col min="16144" max="16144" width="17.21875" style="474" customWidth="1"/>
    <col min="16145" max="16145" width="15.21875" style="474" customWidth="1"/>
    <col min="16146" max="16146" width="16.33203125" style="474" customWidth="1"/>
    <col min="16147" max="16147" width="15" style="474" customWidth="1"/>
    <col min="16148" max="16149" width="15.21875" style="474" customWidth="1"/>
    <col min="16150" max="16150" width="16.77734375" style="474" customWidth="1"/>
    <col min="16151" max="16151" width="17.21875" style="474" customWidth="1"/>
    <col min="16152" max="16384" width="9.109375" style="474"/>
  </cols>
  <sheetData>
    <row r="2" spans="1:26" ht="15.6">
      <c r="A2" s="856" t="s">
        <v>450</v>
      </c>
      <c r="B2" s="856"/>
      <c r="C2" s="856"/>
      <c r="D2" s="856"/>
      <c r="E2" s="856"/>
      <c r="F2" s="856"/>
      <c r="G2" s="856"/>
      <c r="H2" s="856"/>
      <c r="I2" s="856"/>
      <c r="J2" s="856"/>
      <c r="K2" s="856"/>
      <c r="L2" s="856"/>
      <c r="M2" s="856"/>
      <c r="N2" s="856"/>
      <c r="O2" s="856"/>
      <c r="P2" s="856"/>
      <c r="Q2" s="856"/>
      <c r="R2" s="856"/>
      <c r="S2" s="856"/>
      <c r="T2" s="856"/>
      <c r="U2" s="856"/>
      <c r="V2" s="856"/>
      <c r="W2" s="856"/>
      <c r="X2" s="856"/>
    </row>
    <row r="3" spans="1:26" s="475" customFormat="1" ht="15.6">
      <c r="A3" s="857" t="s">
        <v>451</v>
      </c>
      <c r="B3" s="857"/>
      <c r="C3" s="857"/>
      <c r="D3" s="857"/>
      <c r="E3" s="857"/>
      <c r="F3" s="857"/>
      <c r="G3" s="857"/>
      <c r="H3" s="857"/>
      <c r="I3" s="857"/>
      <c r="J3" s="857"/>
      <c r="K3" s="857"/>
      <c r="L3" s="857"/>
      <c r="M3" s="857"/>
      <c r="N3" s="857"/>
      <c r="O3" s="857"/>
      <c r="P3" s="857"/>
      <c r="Q3" s="857"/>
      <c r="R3" s="857"/>
      <c r="S3" s="857"/>
      <c r="T3" s="857"/>
      <c r="U3" s="857"/>
      <c r="V3" s="857"/>
      <c r="W3" s="857"/>
      <c r="X3" s="857"/>
    </row>
    <row r="4" spans="1:26" ht="11.25" customHeight="1">
      <c r="A4" s="476"/>
    </row>
    <row r="5" spans="1:26" ht="15.75" customHeight="1">
      <c r="A5" s="858" t="s">
        <v>589</v>
      </c>
      <c r="B5" s="858"/>
      <c r="C5" s="858"/>
      <c r="D5" s="858"/>
      <c r="E5" s="858"/>
      <c r="F5" s="858"/>
      <c r="G5" s="858"/>
    </row>
    <row r="6" spans="1:26" ht="9" customHeight="1"/>
    <row r="7" spans="1:26" ht="18.75" customHeight="1">
      <c r="A7" s="858" t="s">
        <v>590</v>
      </c>
      <c r="B7" s="858"/>
      <c r="C7" s="858"/>
      <c r="D7" s="858"/>
      <c r="E7" s="858"/>
      <c r="F7" s="858"/>
      <c r="G7" s="858"/>
      <c r="H7" s="858"/>
      <c r="I7" s="858"/>
      <c r="J7" s="858"/>
      <c r="K7" s="858"/>
      <c r="L7" s="858"/>
      <c r="M7" s="858"/>
      <c r="N7" s="858"/>
      <c r="O7" s="858"/>
      <c r="P7" s="858"/>
      <c r="Q7" s="858"/>
      <c r="R7" s="858"/>
      <c r="S7" s="858"/>
      <c r="T7" s="858"/>
      <c r="U7" s="858"/>
      <c r="V7" s="858"/>
      <c r="W7" s="858"/>
      <c r="X7" s="858"/>
    </row>
    <row r="8" spans="1:26">
      <c r="A8" s="476"/>
    </row>
    <row r="9" spans="1:26">
      <c r="A9" s="850" t="s">
        <v>454</v>
      </c>
      <c r="B9" s="850"/>
      <c r="C9" s="850"/>
      <c r="D9" s="850"/>
      <c r="E9" s="850"/>
      <c r="F9" s="850"/>
      <c r="G9" s="850"/>
      <c r="H9" s="850"/>
      <c r="I9" s="850"/>
      <c r="J9" s="850"/>
      <c r="K9" s="850"/>
      <c r="L9" s="850"/>
      <c r="M9" s="850"/>
      <c r="N9" s="850"/>
      <c r="O9" s="850"/>
      <c r="P9" s="850"/>
      <c r="Q9" s="850"/>
      <c r="R9" s="850"/>
      <c r="S9" s="850"/>
      <c r="T9" s="850"/>
      <c r="U9" s="850"/>
      <c r="V9" s="850"/>
      <c r="W9" s="850"/>
      <c r="X9" s="850"/>
    </row>
    <row r="10" spans="1:26" ht="38.25" customHeight="1">
      <c r="A10" s="854" t="s">
        <v>16</v>
      </c>
      <c r="B10" s="854" t="s">
        <v>62</v>
      </c>
      <c r="C10" s="854" t="s">
        <v>455</v>
      </c>
      <c r="D10" s="854" t="s">
        <v>456</v>
      </c>
      <c r="E10" s="855" t="s">
        <v>3</v>
      </c>
      <c r="F10" s="855" t="s">
        <v>457</v>
      </c>
      <c r="G10" s="855"/>
      <c r="H10" s="855" t="s">
        <v>458</v>
      </c>
      <c r="I10" s="855" t="s">
        <v>459</v>
      </c>
      <c r="J10" s="854" t="s">
        <v>460</v>
      </c>
      <c r="K10" s="854"/>
      <c r="L10" s="854"/>
      <c r="M10" s="854"/>
      <c r="N10" s="854"/>
      <c r="O10" s="854"/>
      <c r="P10" s="854" t="s">
        <v>461</v>
      </c>
      <c r="Q10" s="854"/>
      <c r="R10" s="854"/>
      <c r="S10" s="854"/>
      <c r="T10" s="854"/>
      <c r="U10" s="854"/>
      <c r="V10" s="854" t="s">
        <v>462</v>
      </c>
      <c r="W10" s="854" t="s">
        <v>463</v>
      </c>
      <c r="X10" s="854" t="s">
        <v>591</v>
      </c>
    </row>
    <row r="11" spans="1:26" ht="45" customHeight="1">
      <c r="A11" s="854"/>
      <c r="B11" s="854"/>
      <c r="C11" s="854"/>
      <c r="D11" s="854"/>
      <c r="E11" s="855"/>
      <c r="F11" s="855"/>
      <c r="G11" s="855"/>
      <c r="H11" s="855"/>
      <c r="I11" s="855"/>
      <c r="J11" s="854" t="s">
        <v>465</v>
      </c>
      <c r="K11" s="854" t="s">
        <v>466</v>
      </c>
      <c r="L11" s="854"/>
      <c r="M11" s="854"/>
      <c r="N11" s="859" t="s">
        <v>467</v>
      </c>
      <c r="O11" s="854" t="s">
        <v>468</v>
      </c>
      <c r="P11" s="854" t="s">
        <v>469</v>
      </c>
      <c r="Q11" s="854" t="s">
        <v>466</v>
      </c>
      <c r="R11" s="854"/>
      <c r="S11" s="854"/>
      <c r="T11" s="859" t="s">
        <v>470</v>
      </c>
      <c r="U11" s="854" t="s">
        <v>468</v>
      </c>
      <c r="V11" s="854"/>
      <c r="W11" s="854"/>
      <c r="X11" s="854"/>
    </row>
    <row r="12" spans="1:26" ht="85.5" customHeight="1">
      <c r="A12" s="854"/>
      <c r="B12" s="854"/>
      <c r="C12" s="854"/>
      <c r="D12" s="854"/>
      <c r="E12" s="855"/>
      <c r="F12" s="485" t="s">
        <v>28</v>
      </c>
      <c r="G12" s="485" t="s">
        <v>471</v>
      </c>
      <c r="H12" s="855"/>
      <c r="I12" s="855"/>
      <c r="J12" s="854"/>
      <c r="K12" s="484" t="s">
        <v>472</v>
      </c>
      <c r="L12" s="484" t="s">
        <v>63</v>
      </c>
      <c r="M12" s="484" t="s">
        <v>473</v>
      </c>
      <c r="N12" s="860"/>
      <c r="O12" s="854"/>
      <c r="P12" s="854"/>
      <c r="Q12" s="484" t="s">
        <v>28</v>
      </c>
      <c r="R12" s="484" t="s">
        <v>63</v>
      </c>
      <c r="S12" s="484" t="s">
        <v>473</v>
      </c>
      <c r="T12" s="860"/>
      <c r="U12" s="854"/>
      <c r="V12" s="854"/>
      <c r="W12" s="854"/>
      <c r="X12" s="854"/>
    </row>
    <row r="13" spans="1:26" ht="41.25" customHeight="1">
      <c r="A13" s="484">
        <v>1</v>
      </c>
      <c r="B13" s="484">
        <v>2</v>
      </c>
      <c r="C13" s="484">
        <v>3</v>
      </c>
      <c r="D13" s="484">
        <v>4</v>
      </c>
      <c r="E13" s="484">
        <v>5</v>
      </c>
      <c r="F13" s="484">
        <v>6</v>
      </c>
      <c r="G13" s="484">
        <v>7</v>
      </c>
      <c r="H13" s="484">
        <v>8</v>
      </c>
      <c r="I13" s="484">
        <v>9</v>
      </c>
      <c r="J13" s="484">
        <v>10</v>
      </c>
      <c r="K13" s="484" t="s">
        <v>474</v>
      </c>
      <c r="L13" s="484">
        <v>12</v>
      </c>
      <c r="M13" s="484">
        <v>13</v>
      </c>
      <c r="N13" s="484">
        <v>14</v>
      </c>
      <c r="O13" s="484" t="s">
        <v>475</v>
      </c>
      <c r="P13" s="484">
        <v>16</v>
      </c>
      <c r="Q13" s="484" t="s">
        <v>476</v>
      </c>
      <c r="R13" s="484">
        <v>18</v>
      </c>
      <c r="S13" s="484">
        <v>19</v>
      </c>
      <c r="T13" s="484">
        <v>20</v>
      </c>
      <c r="U13" s="484" t="s">
        <v>477</v>
      </c>
      <c r="V13" s="484" t="s">
        <v>478</v>
      </c>
      <c r="W13" s="484" t="s">
        <v>479</v>
      </c>
      <c r="X13" s="484" t="s">
        <v>480</v>
      </c>
    </row>
    <row r="14" spans="1:26" s="487" customFormat="1" ht="30.75" customHeight="1">
      <c r="A14" s="484"/>
      <c r="B14" s="484" t="s">
        <v>76</v>
      </c>
      <c r="C14" s="484"/>
      <c r="D14" s="484"/>
      <c r="E14" s="485">
        <v>575067</v>
      </c>
      <c r="F14" s="485">
        <v>27188</v>
      </c>
      <c r="G14" s="485">
        <v>0</v>
      </c>
      <c r="H14" s="485">
        <v>0</v>
      </c>
      <c r="I14" s="485">
        <v>0</v>
      </c>
      <c r="J14" s="485">
        <v>0</v>
      </c>
      <c r="K14" s="485">
        <v>0</v>
      </c>
      <c r="L14" s="485">
        <v>0</v>
      </c>
      <c r="M14" s="485">
        <v>0</v>
      </c>
      <c r="N14" s="485">
        <v>0</v>
      </c>
      <c r="O14" s="485">
        <v>0</v>
      </c>
      <c r="P14" s="485">
        <v>206173.31400000001</v>
      </c>
      <c r="Q14" s="485">
        <v>196893.73</v>
      </c>
      <c r="R14" s="485">
        <v>113412.549505</v>
      </c>
      <c r="S14" s="485">
        <v>83481.180494999993</v>
      </c>
      <c r="T14" s="485">
        <v>8670.6610000000001</v>
      </c>
      <c r="U14" s="485">
        <v>608.923</v>
      </c>
      <c r="V14" s="485">
        <v>113412.549505</v>
      </c>
      <c r="W14" s="485">
        <v>83481.180494999993</v>
      </c>
      <c r="X14" s="485">
        <v>224081.73</v>
      </c>
      <c r="Y14" s="498">
        <f t="shared" ref="Y14:Y46" si="0">+X14-Q14</f>
        <v>27188</v>
      </c>
      <c r="Z14" s="499">
        <f>+Y14-F14</f>
        <v>0</v>
      </c>
    </row>
    <row r="15" spans="1:26" s="492" customFormat="1" ht="30.75" customHeight="1">
      <c r="A15" s="488"/>
      <c r="B15" s="489" t="s">
        <v>481</v>
      </c>
      <c r="C15" s="488"/>
      <c r="D15" s="488"/>
      <c r="E15" s="485">
        <v>575067</v>
      </c>
      <c r="F15" s="485">
        <v>27188</v>
      </c>
      <c r="G15" s="485">
        <v>0</v>
      </c>
      <c r="H15" s="485">
        <v>0</v>
      </c>
      <c r="I15" s="485">
        <v>0</v>
      </c>
      <c r="J15" s="485">
        <v>0</v>
      </c>
      <c r="K15" s="485">
        <v>0</v>
      </c>
      <c r="L15" s="485">
        <v>0</v>
      </c>
      <c r="M15" s="485">
        <v>0</v>
      </c>
      <c r="N15" s="485">
        <v>0</v>
      </c>
      <c r="O15" s="485">
        <v>0</v>
      </c>
      <c r="P15" s="485">
        <v>206173.31400000001</v>
      </c>
      <c r="Q15" s="485">
        <v>196893.73</v>
      </c>
      <c r="R15" s="485">
        <v>113412.549505</v>
      </c>
      <c r="S15" s="485">
        <v>83481.180494999993</v>
      </c>
      <c r="T15" s="485">
        <v>8670.6610000000001</v>
      </c>
      <c r="U15" s="485">
        <v>608.923</v>
      </c>
      <c r="V15" s="485">
        <v>113412.549505</v>
      </c>
      <c r="W15" s="485">
        <v>83481.180494999993</v>
      </c>
      <c r="X15" s="485">
        <v>224081.73</v>
      </c>
      <c r="Y15" s="498">
        <f t="shared" si="0"/>
        <v>27188</v>
      </c>
      <c r="Z15" s="499">
        <f t="shared" ref="Z15:Z46" si="1">+Y15-F15</f>
        <v>0</v>
      </c>
    </row>
    <row r="16" spans="1:26" s="494" customFormat="1" ht="30" customHeight="1">
      <c r="A16" s="493"/>
      <c r="B16" s="489" t="s">
        <v>482</v>
      </c>
      <c r="C16" s="493"/>
      <c r="D16" s="493"/>
      <c r="E16" s="485">
        <v>0</v>
      </c>
      <c r="F16" s="485">
        <v>0</v>
      </c>
      <c r="G16" s="485">
        <v>0</v>
      </c>
      <c r="H16" s="485">
        <v>0</v>
      </c>
      <c r="I16" s="485">
        <v>0</v>
      </c>
      <c r="J16" s="485">
        <v>0</v>
      </c>
      <c r="K16" s="485">
        <v>0</v>
      </c>
      <c r="L16" s="485">
        <v>0</v>
      </c>
      <c r="M16" s="485">
        <v>0</v>
      </c>
      <c r="N16" s="485">
        <v>0</v>
      </c>
      <c r="O16" s="485">
        <v>0</v>
      </c>
      <c r="P16" s="485">
        <v>0</v>
      </c>
      <c r="Q16" s="485">
        <v>0</v>
      </c>
      <c r="R16" s="485">
        <v>0</v>
      </c>
      <c r="S16" s="485">
        <v>0</v>
      </c>
      <c r="T16" s="485">
        <v>0</v>
      </c>
      <c r="U16" s="485">
        <v>0</v>
      </c>
      <c r="V16" s="485">
        <v>0</v>
      </c>
      <c r="W16" s="485">
        <v>0</v>
      </c>
      <c r="X16" s="485">
        <v>0</v>
      </c>
      <c r="Y16" s="498">
        <f t="shared" si="0"/>
        <v>0</v>
      </c>
      <c r="Z16" s="499">
        <f t="shared" si="1"/>
        <v>0</v>
      </c>
    </row>
    <row r="17" spans="1:26" s="500" customFormat="1" ht="23.25" customHeight="1">
      <c r="A17" s="497"/>
      <c r="B17" s="495" t="s">
        <v>483</v>
      </c>
      <c r="C17" s="497"/>
      <c r="D17" s="497"/>
      <c r="E17" s="485">
        <v>0</v>
      </c>
      <c r="F17" s="485">
        <v>0</v>
      </c>
      <c r="G17" s="485">
        <v>0</v>
      </c>
      <c r="H17" s="485">
        <v>0</v>
      </c>
      <c r="I17" s="485">
        <v>0</v>
      </c>
      <c r="J17" s="485">
        <v>0</v>
      </c>
      <c r="K17" s="485">
        <v>0</v>
      </c>
      <c r="L17" s="485">
        <v>0</v>
      </c>
      <c r="M17" s="485">
        <v>0</v>
      </c>
      <c r="N17" s="485">
        <v>0</v>
      </c>
      <c r="O17" s="485">
        <v>0</v>
      </c>
      <c r="P17" s="485">
        <v>0</v>
      </c>
      <c r="Q17" s="485">
        <v>0</v>
      </c>
      <c r="R17" s="485">
        <v>0</v>
      </c>
      <c r="S17" s="485">
        <v>0</v>
      </c>
      <c r="T17" s="485">
        <v>0</v>
      </c>
      <c r="U17" s="485">
        <v>0</v>
      </c>
      <c r="V17" s="485">
        <v>0</v>
      </c>
      <c r="W17" s="485">
        <v>0</v>
      </c>
      <c r="X17" s="485">
        <v>0</v>
      </c>
      <c r="Y17" s="498">
        <f t="shared" si="0"/>
        <v>0</v>
      </c>
      <c r="Z17" s="499">
        <f t="shared" si="1"/>
        <v>0</v>
      </c>
    </row>
    <row r="18" spans="1:26" s="500" customFormat="1" ht="32.25" customHeight="1">
      <c r="A18" s="497"/>
      <c r="B18" s="495" t="s">
        <v>484</v>
      </c>
      <c r="C18" s="497"/>
      <c r="D18" s="497"/>
      <c r="E18" s="485">
        <v>0</v>
      </c>
      <c r="F18" s="485">
        <v>0</v>
      </c>
      <c r="G18" s="485">
        <v>0</v>
      </c>
      <c r="H18" s="485">
        <v>0</v>
      </c>
      <c r="I18" s="485">
        <v>0</v>
      </c>
      <c r="J18" s="485">
        <v>0</v>
      </c>
      <c r="K18" s="485">
        <v>0</v>
      </c>
      <c r="L18" s="485">
        <v>0</v>
      </c>
      <c r="M18" s="485">
        <v>0</v>
      </c>
      <c r="N18" s="485">
        <v>0</v>
      </c>
      <c r="O18" s="485">
        <v>0</v>
      </c>
      <c r="P18" s="485">
        <v>0</v>
      </c>
      <c r="Q18" s="485">
        <v>0</v>
      </c>
      <c r="R18" s="485">
        <v>0</v>
      </c>
      <c r="S18" s="485">
        <v>0</v>
      </c>
      <c r="T18" s="485">
        <v>0</v>
      </c>
      <c r="U18" s="485">
        <v>0</v>
      </c>
      <c r="V18" s="485">
        <v>0</v>
      </c>
      <c r="W18" s="485">
        <v>0</v>
      </c>
      <c r="X18" s="485">
        <v>0</v>
      </c>
      <c r="Y18" s="498">
        <f t="shared" si="0"/>
        <v>0</v>
      </c>
      <c r="Z18" s="499">
        <f t="shared" si="1"/>
        <v>0</v>
      </c>
    </row>
    <row r="19" spans="1:26" s="500" customFormat="1" ht="24" customHeight="1">
      <c r="A19" s="484" t="s">
        <v>485</v>
      </c>
      <c r="B19" s="496" t="s">
        <v>592</v>
      </c>
      <c r="C19" s="497"/>
      <c r="D19" s="497"/>
      <c r="E19" s="485">
        <v>575067</v>
      </c>
      <c r="F19" s="485">
        <v>27188</v>
      </c>
      <c r="G19" s="485">
        <v>0</v>
      </c>
      <c r="H19" s="485">
        <v>0</v>
      </c>
      <c r="I19" s="485">
        <v>0</v>
      </c>
      <c r="J19" s="485">
        <v>0</v>
      </c>
      <c r="K19" s="485">
        <v>0</v>
      </c>
      <c r="L19" s="485">
        <v>0</v>
      </c>
      <c r="M19" s="485">
        <v>0</v>
      </c>
      <c r="N19" s="485">
        <v>0</v>
      </c>
      <c r="O19" s="485">
        <v>0</v>
      </c>
      <c r="P19" s="485">
        <v>206173.31400000001</v>
      </c>
      <c r="Q19" s="485">
        <v>196893.73</v>
      </c>
      <c r="R19" s="485">
        <v>113412.549505</v>
      </c>
      <c r="S19" s="485">
        <v>83481.180494999993</v>
      </c>
      <c r="T19" s="485">
        <v>8670.6610000000001</v>
      </c>
      <c r="U19" s="485">
        <v>608.923</v>
      </c>
      <c r="V19" s="485">
        <v>113412.549505</v>
      </c>
      <c r="W19" s="485">
        <v>83481.180494999993</v>
      </c>
      <c r="X19" s="485">
        <v>224081.73</v>
      </c>
      <c r="Y19" s="498"/>
      <c r="Z19" s="499"/>
    </row>
    <row r="20" spans="1:26" s="500" customFormat="1" ht="30" customHeight="1">
      <c r="A20" s="484" t="s">
        <v>487</v>
      </c>
      <c r="B20" s="501" t="s">
        <v>555</v>
      </c>
      <c r="C20" s="497"/>
      <c r="D20" s="497"/>
      <c r="E20" s="485">
        <v>190274</v>
      </c>
      <c r="F20" s="485">
        <v>6850</v>
      </c>
      <c r="G20" s="485">
        <v>0</v>
      </c>
      <c r="H20" s="485">
        <v>0</v>
      </c>
      <c r="I20" s="485">
        <v>0</v>
      </c>
      <c r="J20" s="485">
        <v>0</v>
      </c>
      <c r="K20" s="485">
        <v>0</v>
      </c>
      <c r="L20" s="485">
        <v>0</v>
      </c>
      <c r="M20" s="485">
        <v>0</v>
      </c>
      <c r="N20" s="485">
        <v>0</v>
      </c>
      <c r="O20" s="485">
        <v>0</v>
      </c>
      <c r="P20" s="485">
        <v>64839</v>
      </c>
      <c r="Q20" s="485">
        <v>59965.156000000003</v>
      </c>
      <c r="R20" s="485">
        <v>50606.017</v>
      </c>
      <c r="S20" s="485">
        <v>9359.1389999999992</v>
      </c>
      <c r="T20" s="485">
        <v>4844.7240000000002</v>
      </c>
      <c r="U20" s="485">
        <v>29.12</v>
      </c>
      <c r="V20" s="485">
        <v>50606.017</v>
      </c>
      <c r="W20" s="485">
        <v>9359.1389999999992</v>
      </c>
      <c r="X20" s="485">
        <v>66815.156000000003</v>
      </c>
      <c r="Y20" s="485">
        <f t="shared" ref="Y20" si="2">SUM(Y21:Y46)/2</f>
        <v>6850</v>
      </c>
      <c r="Z20" s="499">
        <f>+Q20+F20</f>
        <v>66815.156000000003</v>
      </c>
    </row>
    <row r="21" spans="1:26" s="500" customFormat="1" ht="31.5" customHeight="1">
      <c r="A21" s="484" t="s">
        <v>36</v>
      </c>
      <c r="B21" s="501" t="s">
        <v>593</v>
      </c>
      <c r="C21" s="497"/>
      <c r="D21" s="497"/>
      <c r="E21" s="485">
        <v>56650</v>
      </c>
      <c r="F21" s="485">
        <v>3000</v>
      </c>
      <c r="G21" s="485">
        <v>0</v>
      </c>
      <c r="H21" s="485">
        <v>0</v>
      </c>
      <c r="I21" s="485">
        <v>0</v>
      </c>
      <c r="J21" s="485">
        <v>0</v>
      </c>
      <c r="K21" s="485">
        <v>0</v>
      </c>
      <c r="L21" s="485">
        <v>0</v>
      </c>
      <c r="M21" s="485">
        <v>0</v>
      </c>
      <c r="N21" s="485">
        <v>0</v>
      </c>
      <c r="O21" s="485">
        <v>0</v>
      </c>
      <c r="P21" s="485">
        <v>14697</v>
      </c>
      <c r="Q21" s="485">
        <v>14667.88</v>
      </c>
      <c r="R21" s="485">
        <v>14667.88</v>
      </c>
      <c r="S21" s="485">
        <v>0</v>
      </c>
      <c r="T21" s="485">
        <v>0</v>
      </c>
      <c r="U21" s="485">
        <v>29.12</v>
      </c>
      <c r="V21" s="485">
        <v>14667.88</v>
      </c>
      <c r="W21" s="485">
        <v>0</v>
      </c>
      <c r="X21" s="485">
        <v>17667.88</v>
      </c>
      <c r="Y21" s="485">
        <f t="shared" ref="Y21" si="3">SUM(Y22:Y30)</f>
        <v>3000</v>
      </c>
      <c r="Z21" s="499">
        <f t="shared" si="1"/>
        <v>0</v>
      </c>
    </row>
    <row r="22" spans="1:26" s="500" customFormat="1" ht="63.75" customHeight="1">
      <c r="A22" s="497">
        <v>1</v>
      </c>
      <c r="B22" s="506" t="s">
        <v>556</v>
      </c>
      <c r="C22" s="497" t="s">
        <v>489</v>
      </c>
      <c r="D22" s="497"/>
      <c r="E22" s="485">
        <v>4995</v>
      </c>
      <c r="F22" s="485">
        <v>0</v>
      </c>
      <c r="G22" s="485">
        <v>0</v>
      </c>
      <c r="H22" s="485">
        <v>0</v>
      </c>
      <c r="I22" s="485">
        <v>0</v>
      </c>
      <c r="J22" s="485">
        <v>0</v>
      </c>
      <c r="K22" s="485">
        <v>0</v>
      </c>
      <c r="L22" s="485">
        <v>0</v>
      </c>
      <c r="M22" s="485">
        <v>0</v>
      </c>
      <c r="N22" s="485">
        <v>0</v>
      </c>
      <c r="O22" s="485">
        <v>0</v>
      </c>
      <c r="P22" s="485">
        <v>2900</v>
      </c>
      <c r="Q22" s="485">
        <v>2900</v>
      </c>
      <c r="R22" s="485">
        <v>2900</v>
      </c>
      <c r="S22" s="485">
        <v>0</v>
      </c>
      <c r="T22" s="485">
        <v>0</v>
      </c>
      <c r="U22" s="485">
        <v>0</v>
      </c>
      <c r="V22" s="485">
        <v>2900</v>
      </c>
      <c r="W22" s="485">
        <v>0</v>
      </c>
      <c r="X22" s="485">
        <v>2900</v>
      </c>
      <c r="Y22" s="498">
        <f t="shared" si="0"/>
        <v>0</v>
      </c>
      <c r="Z22" s="499">
        <f t="shared" si="1"/>
        <v>0</v>
      </c>
    </row>
    <row r="23" spans="1:26" s="500" customFormat="1" ht="73.5" customHeight="1">
      <c r="A23" s="497">
        <v>2</v>
      </c>
      <c r="B23" s="505" t="s">
        <v>594</v>
      </c>
      <c r="C23" s="497" t="s">
        <v>489</v>
      </c>
      <c r="D23" s="497"/>
      <c r="E23" s="485">
        <v>10000</v>
      </c>
      <c r="F23" s="485">
        <v>0</v>
      </c>
      <c r="G23" s="485">
        <v>0</v>
      </c>
      <c r="H23" s="485">
        <v>0</v>
      </c>
      <c r="I23" s="485">
        <v>0</v>
      </c>
      <c r="J23" s="485">
        <v>0</v>
      </c>
      <c r="K23" s="485">
        <v>0</v>
      </c>
      <c r="L23" s="485">
        <v>0</v>
      </c>
      <c r="M23" s="485">
        <v>0</v>
      </c>
      <c r="N23" s="485">
        <v>0</v>
      </c>
      <c r="O23" s="485">
        <v>0</v>
      </c>
      <c r="P23" s="485">
        <v>200</v>
      </c>
      <c r="Q23" s="485">
        <v>200</v>
      </c>
      <c r="R23" s="485">
        <v>200</v>
      </c>
      <c r="S23" s="485">
        <v>0</v>
      </c>
      <c r="T23" s="485">
        <v>0</v>
      </c>
      <c r="U23" s="485">
        <v>0</v>
      </c>
      <c r="V23" s="485">
        <v>200</v>
      </c>
      <c r="W23" s="485">
        <v>0</v>
      </c>
      <c r="X23" s="485">
        <v>200</v>
      </c>
      <c r="Y23" s="498">
        <f t="shared" si="0"/>
        <v>0</v>
      </c>
      <c r="Z23" s="499">
        <f t="shared" si="1"/>
        <v>0</v>
      </c>
    </row>
    <row r="24" spans="1:26" s="500" customFormat="1" ht="52.5" customHeight="1">
      <c r="A24" s="497">
        <v>3</v>
      </c>
      <c r="B24" s="505" t="s">
        <v>595</v>
      </c>
      <c r="C24" s="497" t="s">
        <v>489</v>
      </c>
      <c r="D24" s="497"/>
      <c r="E24" s="485">
        <v>580</v>
      </c>
      <c r="F24" s="485">
        <v>0</v>
      </c>
      <c r="G24" s="485">
        <v>0</v>
      </c>
      <c r="H24" s="485">
        <v>0</v>
      </c>
      <c r="I24" s="485">
        <v>0</v>
      </c>
      <c r="J24" s="485">
        <v>0</v>
      </c>
      <c r="K24" s="485">
        <v>0</v>
      </c>
      <c r="L24" s="485">
        <v>0</v>
      </c>
      <c r="M24" s="485">
        <v>0</v>
      </c>
      <c r="N24" s="485">
        <v>0</v>
      </c>
      <c r="O24" s="485">
        <v>0</v>
      </c>
      <c r="P24" s="485">
        <v>200</v>
      </c>
      <c r="Q24" s="485">
        <v>200</v>
      </c>
      <c r="R24" s="485">
        <v>200</v>
      </c>
      <c r="S24" s="485">
        <v>0</v>
      </c>
      <c r="T24" s="485">
        <v>0</v>
      </c>
      <c r="U24" s="485">
        <v>0</v>
      </c>
      <c r="V24" s="485">
        <v>200</v>
      </c>
      <c r="W24" s="485">
        <v>0</v>
      </c>
      <c r="X24" s="485">
        <v>200</v>
      </c>
      <c r="Y24" s="498">
        <f t="shared" si="0"/>
        <v>0</v>
      </c>
      <c r="Z24" s="499">
        <f t="shared" si="1"/>
        <v>0</v>
      </c>
    </row>
    <row r="25" spans="1:26" s="500" customFormat="1" ht="52.8">
      <c r="A25" s="497">
        <v>4</v>
      </c>
      <c r="B25" s="506" t="s">
        <v>558</v>
      </c>
      <c r="C25" s="497" t="s">
        <v>489</v>
      </c>
      <c r="D25" s="497"/>
      <c r="E25" s="485">
        <v>4550</v>
      </c>
      <c r="F25" s="485">
        <v>0</v>
      </c>
      <c r="G25" s="485">
        <v>0</v>
      </c>
      <c r="H25" s="485">
        <v>0</v>
      </c>
      <c r="I25" s="485">
        <v>0</v>
      </c>
      <c r="J25" s="485">
        <v>0</v>
      </c>
      <c r="K25" s="485">
        <v>0</v>
      </c>
      <c r="L25" s="485">
        <v>0</v>
      </c>
      <c r="M25" s="485">
        <v>0</v>
      </c>
      <c r="N25" s="485">
        <v>0</v>
      </c>
      <c r="O25" s="485">
        <v>0</v>
      </c>
      <c r="P25" s="485">
        <v>3000</v>
      </c>
      <c r="Q25" s="485">
        <v>3000</v>
      </c>
      <c r="R25" s="485">
        <v>3000</v>
      </c>
      <c r="S25" s="485">
        <v>0</v>
      </c>
      <c r="T25" s="485">
        <v>0</v>
      </c>
      <c r="U25" s="485">
        <v>0</v>
      </c>
      <c r="V25" s="485">
        <v>3000</v>
      </c>
      <c r="W25" s="485">
        <v>0</v>
      </c>
      <c r="X25" s="485">
        <v>3000</v>
      </c>
      <c r="Y25" s="498">
        <f t="shared" si="0"/>
        <v>0</v>
      </c>
      <c r="Z25" s="499">
        <f t="shared" si="1"/>
        <v>0</v>
      </c>
    </row>
    <row r="26" spans="1:26" s="500" customFormat="1" ht="40.5" customHeight="1">
      <c r="A26" s="497">
        <v>5</v>
      </c>
      <c r="B26" s="506" t="s">
        <v>559</v>
      </c>
      <c r="C26" s="497" t="s">
        <v>489</v>
      </c>
      <c r="D26" s="497"/>
      <c r="E26" s="485">
        <v>4995</v>
      </c>
      <c r="F26" s="485">
        <v>0</v>
      </c>
      <c r="G26" s="485">
        <v>0</v>
      </c>
      <c r="H26" s="485">
        <v>0</v>
      </c>
      <c r="I26" s="485">
        <v>0</v>
      </c>
      <c r="J26" s="485">
        <v>0</v>
      </c>
      <c r="K26" s="485">
        <v>0</v>
      </c>
      <c r="L26" s="485">
        <v>0</v>
      </c>
      <c r="M26" s="485">
        <v>0</v>
      </c>
      <c r="N26" s="485">
        <v>0</v>
      </c>
      <c r="O26" s="485">
        <v>0</v>
      </c>
      <c r="P26" s="485">
        <v>2745</v>
      </c>
      <c r="Q26" s="485">
        <v>2745</v>
      </c>
      <c r="R26" s="485">
        <v>2745</v>
      </c>
      <c r="S26" s="485">
        <v>0</v>
      </c>
      <c r="T26" s="485">
        <v>0</v>
      </c>
      <c r="U26" s="485">
        <v>0</v>
      </c>
      <c r="V26" s="485">
        <v>2745</v>
      </c>
      <c r="W26" s="485">
        <v>0</v>
      </c>
      <c r="X26" s="485">
        <v>2745</v>
      </c>
      <c r="Y26" s="498">
        <f t="shared" si="0"/>
        <v>0</v>
      </c>
      <c r="Z26" s="499">
        <f t="shared" si="1"/>
        <v>0</v>
      </c>
    </row>
    <row r="27" spans="1:26" s="500" customFormat="1" ht="51" customHeight="1">
      <c r="A27" s="497">
        <v>6</v>
      </c>
      <c r="B27" s="506" t="s">
        <v>93</v>
      </c>
      <c r="C27" s="497" t="s">
        <v>489</v>
      </c>
      <c r="D27" s="497"/>
      <c r="E27" s="485">
        <v>14990</v>
      </c>
      <c r="F27" s="485">
        <v>0</v>
      </c>
      <c r="G27" s="485">
        <v>0</v>
      </c>
      <c r="H27" s="485">
        <v>0</v>
      </c>
      <c r="I27" s="485">
        <v>0</v>
      </c>
      <c r="J27" s="485">
        <v>0</v>
      </c>
      <c r="K27" s="485">
        <v>0</v>
      </c>
      <c r="L27" s="485">
        <v>0</v>
      </c>
      <c r="M27" s="485">
        <v>0</v>
      </c>
      <c r="N27" s="485">
        <v>0</v>
      </c>
      <c r="O27" s="485">
        <v>0</v>
      </c>
      <c r="P27" s="485">
        <v>3000</v>
      </c>
      <c r="Q27" s="485">
        <v>3000</v>
      </c>
      <c r="R27" s="485">
        <v>3000</v>
      </c>
      <c r="S27" s="485">
        <v>0</v>
      </c>
      <c r="T27" s="485">
        <v>0</v>
      </c>
      <c r="U27" s="485">
        <v>0</v>
      </c>
      <c r="V27" s="485">
        <v>3000</v>
      </c>
      <c r="W27" s="485">
        <v>0</v>
      </c>
      <c r="X27" s="485">
        <v>3000</v>
      </c>
      <c r="Y27" s="498">
        <f t="shared" si="0"/>
        <v>0</v>
      </c>
      <c r="Z27" s="499">
        <f t="shared" si="1"/>
        <v>0</v>
      </c>
    </row>
    <row r="28" spans="1:26" s="500" customFormat="1" ht="47.25" customHeight="1">
      <c r="A28" s="497">
        <v>7</v>
      </c>
      <c r="B28" s="506" t="s">
        <v>596</v>
      </c>
      <c r="C28" s="497"/>
      <c r="D28" s="497"/>
      <c r="E28" s="485">
        <v>750</v>
      </c>
      <c r="F28" s="485">
        <v>0</v>
      </c>
      <c r="G28" s="485">
        <v>0</v>
      </c>
      <c r="H28" s="485">
        <v>0</v>
      </c>
      <c r="I28" s="485">
        <v>0</v>
      </c>
      <c r="J28" s="485">
        <v>0</v>
      </c>
      <c r="K28" s="485">
        <v>0</v>
      </c>
      <c r="L28" s="485">
        <v>0</v>
      </c>
      <c r="M28" s="485">
        <v>0</v>
      </c>
      <c r="N28" s="485">
        <v>0</v>
      </c>
      <c r="O28" s="485">
        <v>0</v>
      </c>
      <c r="P28" s="485">
        <v>750</v>
      </c>
      <c r="Q28" s="485">
        <v>723.25199999999995</v>
      </c>
      <c r="R28" s="485">
        <v>723.25199999999995</v>
      </c>
      <c r="S28" s="485">
        <v>0</v>
      </c>
      <c r="T28" s="485">
        <v>0</v>
      </c>
      <c r="U28" s="485">
        <v>26.748000000000001</v>
      </c>
      <c r="V28" s="485">
        <v>723.25199999999995</v>
      </c>
      <c r="W28" s="485">
        <v>0</v>
      </c>
      <c r="X28" s="485">
        <v>723.25199999999995</v>
      </c>
      <c r="Y28" s="498">
        <f t="shared" si="0"/>
        <v>0</v>
      </c>
      <c r="Z28" s="499">
        <f t="shared" si="1"/>
        <v>0</v>
      </c>
    </row>
    <row r="29" spans="1:26" s="500" customFormat="1" ht="32.25" customHeight="1">
      <c r="A29" s="497">
        <v>8</v>
      </c>
      <c r="B29" s="506" t="s">
        <v>597</v>
      </c>
      <c r="C29" s="497" t="s">
        <v>489</v>
      </c>
      <c r="D29" s="497"/>
      <c r="E29" s="485">
        <v>800</v>
      </c>
      <c r="F29" s="485">
        <v>0</v>
      </c>
      <c r="G29" s="485">
        <v>0</v>
      </c>
      <c r="H29" s="485">
        <v>0</v>
      </c>
      <c r="I29" s="485">
        <v>0</v>
      </c>
      <c r="J29" s="485">
        <v>0</v>
      </c>
      <c r="K29" s="485">
        <v>0</v>
      </c>
      <c r="L29" s="485">
        <v>0</v>
      </c>
      <c r="M29" s="485">
        <v>0</v>
      </c>
      <c r="N29" s="485">
        <v>0</v>
      </c>
      <c r="O29" s="485">
        <v>0</v>
      </c>
      <c r="P29" s="485">
        <v>800</v>
      </c>
      <c r="Q29" s="485">
        <v>797.62800000000004</v>
      </c>
      <c r="R29" s="485">
        <v>797.62800000000004</v>
      </c>
      <c r="S29" s="485">
        <v>0</v>
      </c>
      <c r="T29" s="485">
        <v>0</v>
      </c>
      <c r="U29" s="485">
        <v>2.3719999999999999</v>
      </c>
      <c r="V29" s="485">
        <v>797.62800000000004</v>
      </c>
      <c r="W29" s="485">
        <v>0</v>
      </c>
      <c r="X29" s="485">
        <v>797.62800000000004</v>
      </c>
      <c r="Y29" s="498">
        <f t="shared" si="0"/>
        <v>0</v>
      </c>
      <c r="Z29" s="499">
        <f t="shared" si="1"/>
        <v>0</v>
      </c>
    </row>
    <row r="30" spans="1:26" s="500" customFormat="1" ht="45" customHeight="1">
      <c r="A30" s="497">
        <v>9</v>
      </c>
      <c r="B30" s="505" t="s">
        <v>403</v>
      </c>
      <c r="C30" s="497" t="s">
        <v>489</v>
      </c>
      <c r="D30" s="497">
        <v>7890713</v>
      </c>
      <c r="E30" s="485">
        <v>14990</v>
      </c>
      <c r="F30" s="485">
        <v>3000</v>
      </c>
      <c r="G30" s="485">
        <v>0</v>
      </c>
      <c r="H30" s="485">
        <v>0</v>
      </c>
      <c r="I30" s="485">
        <v>0</v>
      </c>
      <c r="J30" s="485">
        <v>0</v>
      </c>
      <c r="K30" s="485">
        <v>0</v>
      </c>
      <c r="L30" s="485">
        <v>0</v>
      </c>
      <c r="M30" s="485">
        <v>0</v>
      </c>
      <c r="N30" s="485">
        <v>0</v>
      </c>
      <c r="O30" s="485">
        <v>0</v>
      </c>
      <c r="P30" s="485">
        <v>1102</v>
      </c>
      <c r="Q30" s="485">
        <v>1102</v>
      </c>
      <c r="R30" s="485">
        <v>1102</v>
      </c>
      <c r="S30" s="485">
        <v>0</v>
      </c>
      <c r="T30" s="485">
        <v>0</v>
      </c>
      <c r="U30" s="485">
        <v>0</v>
      </c>
      <c r="V30" s="485">
        <v>1102</v>
      </c>
      <c r="W30" s="485">
        <v>0</v>
      </c>
      <c r="X30" s="485">
        <v>4102</v>
      </c>
      <c r="Y30" s="498">
        <f t="shared" si="0"/>
        <v>3000</v>
      </c>
      <c r="Z30" s="499">
        <f t="shared" si="1"/>
        <v>0</v>
      </c>
    </row>
    <row r="31" spans="1:26" s="500" customFormat="1" ht="54.75" customHeight="1">
      <c r="A31" s="484" t="s">
        <v>43</v>
      </c>
      <c r="B31" s="508" t="s">
        <v>490</v>
      </c>
      <c r="C31" s="497"/>
      <c r="D31" s="497"/>
      <c r="E31" s="485">
        <v>77380</v>
      </c>
      <c r="F31" s="485">
        <v>3850</v>
      </c>
      <c r="G31" s="485">
        <v>0</v>
      </c>
      <c r="H31" s="485">
        <v>0</v>
      </c>
      <c r="I31" s="485">
        <v>0</v>
      </c>
      <c r="J31" s="485">
        <v>0</v>
      </c>
      <c r="K31" s="485">
        <v>0</v>
      </c>
      <c r="L31" s="485">
        <v>0</v>
      </c>
      <c r="M31" s="485">
        <v>0</v>
      </c>
      <c r="N31" s="485">
        <v>0</v>
      </c>
      <c r="O31" s="485">
        <v>0</v>
      </c>
      <c r="P31" s="485">
        <v>13898</v>
      </c>
      <c r="Q31" s="485">
        <v>13898</v>
      </c>
      <c r="R31" s="485">
        <v>10564.861000000001</v>
      </c>
      <c r="S31" s="485">
        <v>3333.1390000000001</v>
      </c>
      <c r="T31" s="485">
        <v>0</v>
      </c>
      <c r="U31" s="485">
        <v>0</v>
      </c>
      <c r="V31" s="485">
        <v>10564.861000000001</v>
      </c>
      <c r="W31" s="485">
        <v>3333.1390000000001</v>
      </c>
      <c r="X31" s="485">
        <v>17748</v>
      </c>
      <c r="Y31" s="485">
        <f t="shared" ref="Y31" si="4">SUM(Y32:Y35)</f>
        <v>3850</v>
      </c>
      <c r="Z31" s="499">
        <f t="shared" si="1"/>
        <v>0</v>
      </c>
    </row>
    <row r="32" spans="1:26" s="549" customFormat="1" ht="45" customHeight="1">
      <c r="A32" s="526">
        <v>1</v>
      </c>
      <c r="B32" s="527" t="s">
        <v>563</v>
      </c>
      <c r="C32" s="526" t="s">
        <v>489</v>
      </c>
      <c r="D32" s="526">
        <v>7910399</v>
      </c>
      <c r="E32" s="547">
        <v>14990</v>
      </c>
      <c r="F32" s="547">
        <v>3040</v>
      </c>
      <c r="G32" s="547">
        <v>0</v>
      </c>
      <c r="H32" s="547">
        <v>0</v>
      </c>
      <c r="I32" s="547">
        <v>0</v>
      </c>
      <c r="J32" s="547">
        <v>0</v>
      </c>
      <c r="K32" s="547">
        <v>0</v>
      </c>
      <c r="L32" s="547">
        <v>0</v>
      </c>
      <c r="M32" s="547">
        <v>0</v>
      </c>
      <c r="N32" s="547">
        <v>0</v>
      </c>
      <c r="O32" s="547">
        <v>0</v>
      </c>
      <c r="P32" s="547">
        <v>4149</v>
      </c>
      <c r="Q32" s="547">
        <v>4149</v>
      </c>
      <c r="R32" s="547">
        <v>4149</v>
      </c>
      <c r="S32" s="547">
        <v>0</v>
      </c>
      <c r="T32" s="547">
        <v>0</v>
      </c>
      <c r="U32" s="547">
        <v>0</v>
      </c>
      <c r="V32" s="547">
        <v>4149</v>
      </c>
      <c r="W32" s="547">
        <v>0</v>
      </c>
      <c r="X32" s="547">
        <v>7189</v>
      </c>
      <c r="Y32" s="548">
        <f t="shared" si="0"/>
        <v>3040</v>
      </c>
      <c r="Z32" s="646">
        <f t="shared" si="1"/>
        <v>0</v>
      </c>
    </row>
    <row r="33" spans="1:26" s="549" customFormat="1" ht="37.5" customHeight="1">
      <c r="A33" s="526">
        <v>1</v>
      </c>
      <c r="B33" s="527" t="s">
        <v>125</v>
      </c>
      <c r="C33" s="526" t="s">
        <v>489</v>
      </c>
      <c r="D33" s="526">
        <v>7925258</v>
      </c>
      <c r="E33" s="547">
        <v>25000</v>
      </c>
      <c r="F33" s="547">
        <v>400</v>
      </c>
      <c r="G33" s="547">
        <v>0</v>
      </c>
      <c r="H33" s="547">
        <v>0</v>
      </c>
      <c r="I33" s="547">
        <v>0</v>
      </c>
      <c r="J33" s="547">
        <v>0</v>
      </c>
      <c r="K33" s="547">
        <v>0</v>
      </c>
      <c r="L33" s="547">
        <v>0</v>
      </c>
      <c r="M33" s="547">
        <v>0</v>
      </c>
      <c r="N33" s="547">
        <v>0</v>
      </c>
      <c r="O33" s="547">
        <v>0</v>
      </c>
      <c r="P33" s="547">
        <v>5749</v>
      </c>
      <c r="Q33" s="547">
        <v>5749</v>
      </c>
      <c r="R33" s="547">
        <v>4365.8609999999999</v>
      </c>
      <c r="S33" s="547">
        <v>1383.1389999999999</v>
      </c>
      <c r="T33" s="547">
        <v>0</v>
      </c>
      <c r="U33" s="547">
        <v>0</v>
      </c>
      <c r="V33" s="547">
        <v>4365.8609999999999</v>
      </c>
      <c r="W33" s="547">
        <v>1383.1389999999999</v>
      </c>
      <c r="X33" s="547">
        <v>6149</v>
      </c>
      <c r="Y33" s="548">
        <f t="shared" si="0"/>
        <v>400</v>
      </c>
      <c r="Z33" s="646">
        <f t="shared" si="1"/>
        <v>0</v>
      </c>
    </row>
    <row r="34" spans="1:26" s="549" customFormat="1" ht="37.5" customHeight="1">
      <c r="A34" s="526">
        <v>2</v>
      </c>
      <c r="B34" s="527" t="s">
        <v>127</v>
      </c>
      <c r="C34" s="526" t="s">
        <v>489</v>
      </c>
      <c r="D34" s="526">
        <v>7925257</v>
      </c>
      <c r="E34" s="547">
        <v>14990</v>
      </c>
      <c r="F34" s="547">
        <v>410</v>
      </c>
      <c r="G34" s="547">
        <v>0</v>
      </c>
      <c r="H34" s="547">
        <v>0</v>
      </c>
      <c r="I34" s="547">
        <v>0</v>
      </c>
      <c r="J34" s="547">
        <v>0</v>
      </c>
      <c r="K34" s="547">
        <v>0</v>
      </c>
      <c r="L34" s="547">
        <v>0</v>
      </c>
      <c r="M34" s="547">
        <v>0</v>
      </c>
      <c r="N34" s="547">
        <v>0</v>
      </c>
      <c r="O34" s="547">
        <v>0</v>
      </c>
      <c r="P34" s="547">
        <v>3500</v>
      </c>
      <c r="Q34" s="547">
        <v>3500</v>
      </c>
      <c r="R34" s="547">
        <v>1550</v>
      </c>
      <c r="S34" s="547">
        <v>1950</v>
      </c>
      <c r="T34" s="547">
        <v>0</v>
      </c>
      <c r="U34" s="547">
        <v>0</v>
      </c>
      <c r="V34" s="547">
        <v>1550</v>
      </c>
      <c r="W34" s="547">
        <v>1950</v>
      </c>
      <c r="X34" s="547">
        <v>3910</v>
      </c>
      <c r="Y34" s="548">
        <f t="shared" si="0"/>
        <v>410</v>
      </c>
      <c r="Z34" s="646">
        <f t="shared" si="1"/>
        <v>0</v>
      </c>
    </row>
    <row r="35" spans="1:26" s="549" customFormat="1" ht="37.5" customHeight="1">
      <c r="A35" s="526">
        <v>3</v>
      </c>
      <c r="B35" s="527" t="s">
        <v>128</v>
      </c>
      <c r="C35" s="526" t="s">
        <v>489</v>
      </c>
      <c r="D35" s="531" t="s">
        <v>491</v>
      </c>
      <c r="E35" s="547">
        <v>22400</v>
      </c>
      <c r="F35" s="547">
        <v>0</v>
      </c>
      <c r="G35" s="547">
        <v>0</v>
      </c>
      <c r="H35" s="547">
        <v>0</v>
      </c>
      <c r="I35" s="547">
        <v>0</v>
      </c>
      <c r="J35" s="547">
        <v>0</v>
      </c>
      <c r="K35" s="547">
        <v>0</v>
      </c>
      <c r="L35" s="547">
        <v>0</v>
      </c>
      <c r="M35" s="547">
        <v>0</v>
      </c>
      <c r="N35" s="547">
        <v>0</v>
      </c>
      <c r="O35" s="547">
        <v>0</v>
      </c>
      <c r="P35" s="547">
        <v>500</v>
      </c>
      <c r="Q35" s="547">
        <v>500</v>
      </c>
      <c r="R35" s="547">
        <v>500</v>
      </c>
      <c r="S35" s="547">
        <v>0</v>
      </c>
      <c r="T35" s="547">
        <v>0</v>
      </c>
      <c r="U35" s="547">
        <v>0</v>
      </c>
      <c r="V35" s="547">
        <v>500</v>
      </c>
      <c r="W35" s="547">
        <v>0</v>
      </c>
      <c r="X35" s="547">
        <v>500</v>
      </c>
      <c r="Y35" s="548">
        <f t="shared" si="0"/>
        <v>0</v>
      </c>
      <c r="Z35" s="646">
        <f t="shared" si="1"/>
        <v>0</v>
      </c>
    </row>
    <row r="36" spans="1:26" s="487" customFormat="1" ht="49.5" customHeight="1">
      <c r="A36" s="484" t="s">
        <v>53</v>
      </c>
      <c r="B36" s="508" t="s">
        <v>493</v>
      </c>
      <c r="C36" s="484"/>
      <c r="D36" s="484"/>
      <c r="E36" s="485">
        <v>25000</v>
      </c>
      <c r="F36" s="485">
        <v>0</v>
      </c>
      <c r="G36" s="485">
        <v>0</v>
      </c>
      <c r="H36" s="485">
        <v>0</v>
      </c>
      <c r="I36" s="485">
        <v>0</v>
      </c>
      <c r="J36" s="485">
        <v>0</v>
      </c>
      <c r="K36" s="485">
        <v>0</v>
      </c>
      <c r="L36" s="485">
        <v>0</v>
      </c>
      <c r="M36" s="485">
        <v>0</v>
      </c>
      <c r="N36" s="485">
        <v>0</v>
      </c>
      <c r="O36" s="485">
        <v>0</v>
      </c>
      <c r="P36" s="485">
        <v>5000</v>
      </c>
      <c r="Q36" s="485">
        <v>5000</v>
      </c>
      <c r="R36" s="485">
        <v>0</v>
      </c>
      <c r="S36" s="485">
        <v>5000</v>
      </c>
      <c r="T36" s="485">
        <v>0</v>
      </c>
      <c r="U36" s="485">
        <v>0</v>
      </c>
      <c r="V36" s="485">
        <v>0</v>
      </c>
      <c r="W36" s="485">
        <v>5000</v>
      </c>
      <c r="X36" s="485">
        <v>5000</v>
      </c>
      <c r="Y36" s="498">
        <f t="shared" si="0"/>
        <v>0</v>
      </c>
      <c r="Z36" s="499">
        <f t="shared" si="1"/>
        <v>0</v>
      </c>
    </row>
    <row r="37" spans="1:26" s="549" customFormat="1" ht="50.25" customHeight="1">
      <c r="A37" s="526">
        <v>5</v>
      </c>
      <c r="B37" s="527" t="s">
        <v>598</v>
      </c>
      <c r="C37" s="526" t="s">
        <v>489</v>
      </c>
      <c r="D37" s="526">
        <v>7925258</v>
      </c>
      <c r="E37" s="547">
        <v>25000</v>
      </c>
      <c r="F37" s="547">
        <v>0</v>
      </c>
      <c r="G37" s="547">
        <v>0</v>
      </c>
      <c r="H37" s="547">
        <v>0</v>
      </c>
      <c r="I37" s="547">
        <v>0</v>
      </c>
      <c r="J37" s="547">
        <v>0</v>
      </c>
      <c r="K37" s="547">
        <v>0</v>
      </c>
      <c r="L37" s="547">
        <v>0</v>
      </c>
      <c r="M37" s="547">
        <v>0</v>
      </c>
      <c r="N37" s="547">
        <v>0</v>
      </c>
      <c r="O37" s="547">
        <v>0</v>
      </c>
      <c r="P37" s="547">
        <v>5000</v>
      </c>
      <c r="Q37" s="547">
        <v>5000</v>
      </c>
      <c r="R37" s="547">
        <v>0</v>
      </c>
      <c r="S37" s="547">
        <v>5000</v>
      </c>
      <c r="T37" s="547">
        <v>0</v>
      </c>
      <c r="U37" s="547">
        <v>0</v>
      </c>
      <c r="V37" s="547">
        <v>0</v>
      </c>
      <c r="W37" s="547">
        <v>5000</v>
      </c>
      <c r="X37" s="547">
        <v>5000</v>
      </c>
      <c r="Y37" s="548">
        <f t="shared" si="0"/>
        <v>0</v>
      </c>
      <c r="Z37" s="646">
        <f t="shared" si="1"/>
        <v>0</v>
      </c>
    </row>
    <row r="38" spans="1:26" s="500" customFormat="1" ht="33.75" customHeight="1">
      <c r="A38" s="484" t="s">
        <v>54</v>
      </c>
      <c r="B38" s="501" t="s">
        <v>214</v>
      </c>
      <c r="C38" s="497"/>
      <c r="D38" s="497"/>
      <c r="E38" s="485">
        <v>16254</v>
      </c>
      <c r="F38" s="485">
        <v>0</v>
      </c>
      <c r="G38" s="485">
        <v>0</v>
      </c>
      <c r="H38" s="485">
        <v>0</v>
      </c>
      <c r="I38" s="485">
        <v>0</v>
      </c>
      <c r="J38" s="485">
        <v>0</v>
      </c>
      <c r="K38" s="485">
        <v>0</v>
      </c>
      <c r="L38" s="485">
        <v>0</v>
      </c>
      <c r="M38" s="485">
        <v>0</v>
      </c>
      <c r="N38" s="485">
        <v>0</v>
      </c>
      <c r="O38" s="485">
        <v>0</v>
      </c>
      <c r="P38" s="485">
        <v>16254</v>
      </c>
      <c r="Q38" s="485">
        <v>15765.781000000001</v>
      </c>
      <c r="R38" s="485">
        <v>15765.781000000001</v>
      </c>
      <c r="S38" s="485">
        <v>0</v>
      </c>
      <c r="T38" s="485">
        <v>488.21899999999999</v>
      </c>
      <c r="U38" s="485">
        <v>0</v>
      </c>
      <c r="V38" s="485">
        <v>15765.781000000001</v>
      </c>
      <c r="W38" s="485">
        <v>0</v>
      </c>
      <c r="X38" s="485">
        <v>15765.781000000001</v>
      </c>
      <c r="Y38" s="498">
        <f t="shared" si="0"/>
        <v>0</v>
      </c>
      <c r="Z38" s="499">
        <f t="shared" si="1"/>
        <v>0</v>
      </c>
    </row>
    <row r="39" spans="1:26" s="500" customFormat="1" ht="34.5" customHeight="1">
      <c r="A39" s="511" t="s">
        <v>89</v>
      </c>
      <c r="B39" s="503" t="s">
        <v>568</v>
      </c>
      <c r="C39" s="497" t="s">
        <v>489</v>
      </c>
      <c r="D39" s="634" t="s">
        <v>569</v>
      </c>
      <c r="E39" s="485">
        <v>2500</v>
      </c>
      <c r="F39" s="485">
        <v>0</v>
      </c>
      <c r="G39" s="485">
        <v>0</v>
      </c>
      <c r="H39" s="485">
        <v>0</v>
      </c>
      <c r="I39" s="485">
        <v>0</v>
      </c>
      <c r="J39" s="485">
        <v>0</v>
      </c>
      <c r="K39" s="485">
        <v>0</v>
      </c>
      <c r="L39" s="485">
        <v>0</v>
      </c>
      <c r="M39" s="485">
        <v>0</v>
      </c>
      <c r="N39" s="485">
        <v>0</v>
      </c>
      <c r="O39" s="485">
        <v>0</v>
      </c>
      <c r="P39" s="485">
        <v>2500</v>
      </c>
      <c r="Q39" s="485">
        <v>2431.7890000000002</v>
      </c>
      <c r="R39" s="485">
        <v>2431.7890000000002</v>
      </c>
      <c r="S39" s="485">
        <v>0</v>
      </c>
      <c r="T39" s="485">
        <v>68.210999999999999</v>
      </c>
      <c r="U39" s="485">
        <v>0</v>
      </c>
      <c r="V39" s="485">
        <v>2431.7890000000002</v>
      </c>
      <c r="W39" s="485">
        <v>0</v>
      </c>
      <c r="X39" s="485">
        <v>2431.7890000000002</v>
      </c>
      <c r="Y39" s="498">
        <f t="shared" si="0"/>
        <v>0</v>
      </c>
      <c r="Z39" s="499">
        <f t="shared" si="1"/>
        <v>0</v>
      </c>
    </row>
    <row r="40" spans="1:26" s="500" customFormat="1" ht="36" customHeight="1">
      <c r="A40" s="511" t="s">
        <v>131</v>
      </c>
      <c r="B40" s="503" t="s">
        <v>570</v>
      </c>
      <c r="C40" s="497" t="s">
        <v>489</v>
      </c>
      <c r="D40" s="634" t="s">
        <v>571</v>
      </c>
      <c r="E40" s="485">
        <v>3500</v>
      </c>
      <c r="F40" s="485">
        <v>0</v>
      </c>
      <c r="G40" s="485">
        <v>0</v>
      </c>
      <c r="H40" s="485">
        <v>0</v>
      </c>
      <c r="I40" s="485">
        <v>0</v>
      </c>
      <c r="J40" s="485">
        <v>0</v>
      </c>
      <c r="K40" s="485">
        <v>0</v>
      </c>
      <c r="L40" s="485">
        <v>0</v>
      </c>
      <c r="M40" s="485">
        <v>0</v>
      </c>
      <c r="N40" s="485">
        <v>0</v>
      </c>
      <c r="O40" s="485">
        <v>0</v>
      </c>
      <c r="P40" s="485">
        <v>3500</v>
      </c>
      <c r="Q40" s="485">
        <v>3276.5549999999998</v>
      </c>
      <c r="R40" s="485">
        <v>3276.5549999999998</v>
      </c>
      <c r="S40" s="485">
        <v>0</v>
      </c>
      <c r="T40" s="485">
        <v>223.44499999999999</v>
      </c>
      <c r="U40" s="485">
        <v>0</v>
      </c>
      <c r="V40" s="485">
        <v>3276.5549999999998</v>
      </c>
      <c r="W40" s="485">
        <v>0</v>
      </c>
      <c r="X40" s="485">
        <v>3276.5549999999998</v>
      </c>
      <c r="Y40" s="498">
        <f t="shared" si="0"/>
        <v>0</v>
      </c>
      <c r="Z40" s="499">
        <f t="shared" si="1"/>
        <v>0</v>
      </c>
    </row>
    <row r="41" spans="1:26" s="500" customFormat="1" ht="44.25" customHeight="1">
      <c r="A41" s="511" t="s">
        <v>134</v>
      </c>
      <c r="B41" s="503" t="s">
        <v>572</v>
      </c>
      <c r="C41" s="497" t="s">
        <v>489</v>
      </c>
      <c r="D41" s="634" t="s">
        <v>573</v>
      </c>
      <c r="E41" s="485">
        <v>3000</v>
      </c>
      <c r="F41" s="485">
        <v>0</v>
      </c>
      <c r="G41" s="485">
        <v>0</v>
      </c>
      <c r="H41" s="485">
        <v>0</v>
      </c>
      <c r="I41" s="485">
        <v>0</v>
      </c>
      <c r="J41" s="485">
        <v>0</v>
      </c>
      <c r="K41" s="485">
        <v>0</v>
      </c>
      <c r="L41" s="485">
        <v>0</v>
      </c>
      <c r="M41" s="485">
        <v>0</v>
      </c>
      <c r="N41" s="485">
        <v>0</v>
      </c>
      <c r="O41" s="485">
        <v>0</v>
      </c>
      <c r="P41" s="485">
        <v>3000</v>
      </c>
      <c r="Q41" s="485">
        <v>2913.1460000000002</v>
      </c>
      <c r="R41" s="485">
        <v>2913.1460000000002</v>
      </c>
      <c r="S41" s="485">
        <v>0</v>
      </c>
      <c r="T41" s="485">
        <v>86.853999999999999</v>
      </c>
      <c r="U41" s="485">
        <v>0</v>
      </c>
      <c r="V41" s="485">
        <v>2913.1460000000002</v>
      </c>
      <c r="W41" s="485">
        <v>0</v>
      </c>
      <c r="X41" s="485">
        <v>2913.1460000000002</v>
      </c>
      <c r="Y41" s="498">
        <f t="shared" si="0"/>
        <v>0</v>
      </c>
      <c r="Z41" s="499">
        <f t="shared" si="1"/>
        <v>0</v>
      </c>
    </row>
    <row r="42" spans="1:26" s="500" customFormat="1" ht="33.75" customHeight="1">
      <c r="A42" s="511" t="s">
        <v>137</v>
      </c>
      <c r="B42" s="503" t="s">
        <v>574</v>
      </c>
      <c r="C42" s="497" t="s">
        <v>489</v>
      </c>
      <c r="D42" s="634" t="s">
        <v>575</v>
      </c>
      <c r="E42" s="485">
        <v>3751</v>
      </c>
      <c r="F42" s="485">
        <v>0</v>
      </c>
      <c r="G42" s="485">
        <v>0</v>
      </c>
      <c r="H42" s="485">
        <v>0</v>
      </c>
      <c r="I42" s="485">
        <v>0</v>
      </c>
      <c r="J42" s="485">
        <v>0</v>
      </c>
      <c r="K42" s="485">
        <v>0</v>
      </c>
      <c r="L42" s="485">
        <v>0</v>
      </c>
      <c r="M42" s="485">
        <v>0</v>
      </c>
      <c r="N42" s="485">
        <v>0</v>
      </c>
      <c r="O42" s="485">
        <v>0</v>
      </c>
      <c r="P42" s="485">
        <v>3751</v>
      </c>
      <c r="Q42" s="485">
        <v>3673.9639999999999</v>
      </c>
      <c r="R42" s="485">
        <v>3673.9639999999999</v>
      </c>
      <c r="S42" s="485">
        <v>0</v>
      </c>
      <c r="T42" s="485">
        <v>77.036000000000001</v>
      </c>
      <c r="U42" s="485">
        <v>0</v>
      </c>
      <c r="V42" s="485">
        <v>3673.9639999999999</v>
      </c>
      <c r="W42" s="485">
        <v>0</v>
      </c>
      <c r="X42" s="485">
        <v>3673.9639999999999</v>
      </c>
      <c r="Y42" s="498">
        <f t="shared" si="0"/>
        <v>0</v>
      </c>
      <c r="Z42" s="499">
        <f t="shared" si="1"/>
        <v>0</v>
      </c>
    </row>
    <row r="43" spans="1:26" s="500" customFormat="1" ht="34.5" customHeight="1">
      <c r="A43" s="511" t="s">
        <v>82</v>
      </c>
      <c r="B43" s="503" t="s">
        <v>576</v>
      </c>
      <c r="C43" s="497" t="s">
        <v>489</v>
      </c>
      <c r="D43" s="634" t="s">
        <v>577</v>
      </c>
      <c r="E43" s="485">
        <v>2203</v>
      </c>
      <c r="F43" s="485">
        <v>0</v>
      </c>
      <c r="G43" s="485">
        <v>0</v>
      </c>
      <c r="H43" s="485">
        <v>0</v>
      </c>
      <c r="I43" s="485">
        <v>0</v>
      </c>
      <c r="J43" s="485">
        <v>0</v>
      </c>
      <c r="K43" s="485">
        <v>0</v>
      </c>
      <c r="L43" s="485">
        <v>0</v>
      </c>
      <c r="M43" s="485">
        <v>0</v>
      </c>
      <c r="N43" s="485">
        <v>0</v>
      </c>
      <c r="O43" s="485">
        <v>0</v>
      </c>
      <c r="P43" s="485">
        <v>2203</v>
      </c>
      <c r="Q43" s="485">
        <v>2188.2800000000002</v>
      </c>
      <c r="R43" s="485">
        <v>2188.2800000000002</v>
      </c>
      <c r="S43" s="485">
        <v>0</v>
      </c>
      <c r="T43" s="485">
        <v>14.72</v>
      </c>
      <c r="U43" s="485">
        <v>0</v>
      </c>
      <c r="V43" s="485">
        <v>2188.2800000000002</v>
      </c>
      <c r="W43" s="485">
        <v>0</v>
      </c>
      <c r="X43" s="485">
        <v>2188.2800000000002</v>
      </c>
      <c r="Y43" s="498">
        <f t="shared" si="0"/>
        <v>0</v>
      </c>
      <c r="Z43" s="499">
        <f t="shared" si="1"/>
        <v>0</v>
      </c>
    </row>
    <row r="44" spans="1:26" s="500" customFormat="1" ht="33" customHeight="1">
      <c r="A44" s="511" t="s">
        <v>84</v>
      </c>
      <c r="B44" s="503" t="s">
        <v>578</v>
      </c>
      <c r="C44" s="497" t="s">
        <v>489</v>
      </c>
      <c r="D44" s="634" t="s">
        <v>579</v>
      </c>
      <c r="E44" s="485">
        <v>1300</v>
      </c>
      <c r="F44" s="485">
        <v>0</v>
      </c>
      <c r="G44" s="485">
        <v>0</v>
      </c>
      <c r="H44" s="485">
        <v>0</v>
      </c>
      <c r="I44" s="485">
        <v>0</v>
      </c>
      <c r="J44" s="485">
        <v>0</v>
      </c>
      <c r="K44" s="485">
        <v>0</v>
      </c>
      <c r="L44" s="485">
        <v>0</v>
      </c>
      <c r="M44" s="485">
        <v>0</v>
      </c>
      <c r="N44" s="485">
        <v>0</v>
      </c>
      <c r="O44" s="485">
        <v>0</v>
      </c>
      <c r="P44" s="485">
        <v>1300</v>
      </c>
      <c r="Q44" s="485">
        <v>1282.047</v>
      </c>
      <c r="R44" s="485">
        <v>1282.047</v>
      </c>
      <c r="S44" s="485">
        <v>0</v>
      </c>
      <c r="T44" s="485">
        <v>17.952999999999999</v>
      </c>
      <c r="U44" s="485">
        <v>0</v>
      </c>
      <c r="V44" s="485">
        <v>1282.047</v>
      </c>
      <c r="W44" s="485">
        <v>0</v>
      </c>
      <c r="X44" s="485">
        <v>1282.047</v>
      </c>
      <c r="Y44" s="498">
        <f t="shared" si="0"/>
        <v>0</v>
      </c>
      <c r="Z44" s="499">
        <f t="shared" si="1"/>
        <v>0</v>
      </c>
    </row>
    <row r="45" spans="1:26" s="500" customFormat="1" ht="52.5" customHeight="1">
      <c r="A45" s="484" t="s">
        <v>55</v>
      </c>
      <c r="B45" s="501" t="s">
        <v>139</v>
      </c>
      <c r="C45" s="497"/>
      <c r="D45" s="497"/>
      <c r="E45" s="485">
        <v>14990</v>
      </c>
      <c r="F45" s="485">
        <v>0</v>
      </c>
      <c r="G45" s="485">
        <v>0</v>
      </c>
      <c r="H45" s="485">
        <v>0</v>
      </c>
      <c r="I45" s="485">
        <v>0</v>
      </c>
      <c r="J45" s="485">
        <v>0</v>
      </c>
      <c r="K45" s="485">
        <v>0</v>
      </c>
      <c r="L45" s="485">
        <v>0</v>
      </c>
      <c r="M45" s="485">
        <v>0</v>
      </c>
      <c r="N45" s="485">
        <v>0</v>
      </c>
      <c r="O45" s="485">
        <v>0</v>
      </c>
      <c r="P45" s="485">
        <v>14990</v>
      </c>
      <c r="Q45" s="485">
        <v>10633.495000000001</v>
      </c>
      <c r="R45" s="485">
        <v>9607.4950000000008</v>
      </c>
      <c r="S45" s="485">
        <v>1026</v>
      </c>
      <c r="T45" s="485">
        <v>4356.5050000000001</v>
      </c>
      <c r="U45" s="485">
        <v>0</v>
      </c>
      <c r="V45" s="485">
        <v>9607.4950000000008</v>
      </c>
      <c r="W45" s="485">
        <v>1026</v>
      </c>
      <c r="X45" s="485">
        <v>10633.495000000001</v>
      </c>
      <c r="Y45" s="498">
        <f t="shared" si="0"/>
        <v>0</v>
      </c>
      <c r="Z45" s="499">
        <f t="shared" si="1"/>
        <v>0</v>
      </c>
    </row>
    <row r="46" spans="1:26" s="500" customFormat="1" ht="44.25" customHeight="1">
      <c r="A46" s="497">
        <v>1</v>
      </c>
      <c r="B46" s="503" t="s">
        <v>580</v>
      </c>
      <c r="C46" s="497" t="s">
        <v>489</v>
      </c>
      <c r="D46" s="635" t="s">
        <v>581</v>
      </c>
      <c r="E46" s="485">
        <v>14990</v>
      </c>
      <c r="F46" s="485">
        <v>0</v>
      </c>
      <c r="G46" s="485">
        <v>0</v>
      </c>
      <c r="H46" s="485">
        <v>0</v>
      </c>
      <c r="I46" s="485">
        <v>0</v>
      </c>
      <c r="J46" s="485">
        <v>0</v>
      </c>
      <c r="K46" s="485">
        <v>0</v>
      </c>
      <c r="L46" s="485">
        <v>0</v>
      </c>
      <c r="M46" s="485">
        <v>0</v>
      </c>
      <c r="N46" s="485">
        <v>0</v>
      </c>
      <c r="O46" s="485">
        <v>0</v>
      </c>
      <c r="P46" s="485">
        <v>14990</v>
      </c>
      <c r="Q46" s="485">
        <v>10633.495000000001</v>
      </c>
      <c r="R46" s="485">
        <v>9607.4950000000008</v>
      </c>
      <c r="S46" s="485">
        <v>1026</v>
      </c>
      <c r="T46" s="485">
        <v>4356.5050000000001</v>
      </c>
      <c r="U46" s="485">
        <v>0</v>
      </c>
      <c r="V46" s="485">
        <v>9607.4950000000008</v>
      </c>
      <c r="W46" s="485">
        <v>1026</v>
      </c>
      <c r="X46" s="485">
        <v>10633.495000000001</v>
      </c>
      <c r="Y46" s="498">
        <f t="shared" si="0"/>
        <v>0</v>
      </c>
      <c r="Z46" s="499">
        <f t="shared" si="1"/>
        <v>0</v>
      </c>
    </row>
    <row r="47" spans="1:26" ht="49.5" customHeight="1">
      <c r="A47" s="484" t="s">
        <v>509</v>
      </c>
      <c r="B47" s="501" t="s">
        <v>510</v>
      </c>
      <c r="C47" s="497"/>
      <c r="D47" s="497"/>
      <c r="E47" s="485">
        <v>384793</v>
      </c>
      <c r="F47" s="485">
        <v>20338</v>
      </c>
      <c r="G47" s="485">
        <v>0</v>
      </c>
      <c r="H47" s="485">
        <v>0</v>
      </c>
      <c r="I47" s="485">
        <v>0</v>
      </c>
      <c r="J47" s="485">
        <v>0</v>
      </c>
      <c r="K47" s="485">
        <v>0</v>
      </c>
      <c r="L47" s="485">
        <v>0</v>
      </c>
      <c r="M47" s="485">
        <v>0</v>
      </c>
      <c r="N47" s="485">
        <v>0</v>
      </c>
      <c r="O47" s="485">
        <v>0</v>
      </c>
      <c r="P47" s="485">
        <v>141334.31400000001</v>
      </c>
      <c r="Q47" s="485">
        <v>136928.57399999999</v>
      </c>
      <c r="R47" s="485">
        <v>62806.532505000003</v>
      </c>
      <c r="S47" s="485">
        <v>74122.041494999998</v>
      </c>
      <c r="T47" s="485">
        <v>3825.9369999999999</v>
      </c>
      <c r="U47" s="485">
        <v>579.803</v>
      </c>
      <c r="V47" s="485">
        <v>62806.532505000003</v>
      </c>
      <c r="W47" s="485">
        <v>74122.041494999998</v>
      </c>
      <c r="X47" s="485">
        <v>157266.57399999999</v>
      </c>
    </row>
    <row r="48" spans="1:26" ht="33" customHeight="1">
      <c r="A48" s="484" t="s">
        <v>36</v>
      </c>
      <c r="B48" s="521" t="s">
        <v>511</v>
      </c>
      <c r="C48" s="497"/>
      <c r="D48" s="497"/>
      <c r="E48" s="485">
        <v>183000</v>
      </c>
      <c r="F48" s="485">
        <v>5000</v>
      </c>
      <c r="G48" s="485">
        <v>0</v>
      </c>
      <c r="H48" s="485">
        <v>0</v>
      </c>
      <c r="I48" s="485">
        <v>0</v>
      </c>
      <c r="J48" s="485">
        <v>0</v>
      </c>
      <c r="K48" s="485">
        <v>0</v>
      </c>
      <c r="L48" s="485">
        <v>0</v>
      </c>
      <c r="M48" s="485">
        <v>0</v>
      </c>
      <c r="N48" s="485">
        <v>0</v>
      </c>
      <c r="O48" s="485">
        <v>0</v>
      </c>
      <c r="P48" s="485">
        <v>60000</v>
      </c>
      <c r="Q48" s="485">
        <v>60000</v>
      </c>
      <c r="R48" s="485">
        <v>20187.087505</v>
      </c>
      <c r="S48" s="485">
        <v>39812.912494999997</v>
      </c>
      <c r="T48" s="485">
        <v>0</v>
      </c>
      <c r="U48" s="485">
        <v>0</v>
      </c>
      <c r="V48" s="485">
        <v>20187.087505</v>
      </c>
      <c r="W48" s="485">
        <v>39812.912494999997</v>
      </c>
      <c r="X48" s="485">
        <v>65000</v>
      </c>
    </row>
    <row r="49" spans="1:29" s="529" customFormat="1" ht="45" customHeight="1">
      <c r="A49" s="526">
        <v>1</v>
      </c>
      <c r="B49" s="532" t="s">
        <v>512</v>
      </c>
      <c r="C49" s="526" t="s">
        <v>513</v>
      </c>
      <c r="D49" s="526">
        <v>7912008</v>
      </c>
      <c r="E49" s="547">
        <v>183000</v>
      </c>
      <c r="F49" s="547">
        <v>5000</v>
      </c>
      <c r="G49" s="547">
        <v>0</v>
      </c>
      <c r="H49" s="547">
        <v>0</v>
      </c>
      <c r="I49" s="547">
        <v>0</v>
      </c>
      <c r="J49" s="547">
        <v>0</v>
      </c>
      <c r="K49" s="547">
        <v>0</v>
      </c>
      <c r="L49" s="547">
        <v>0</v>
      </c>
      <c r="M49" s="547">
        <v>0</v>
      </c>
      <c r="N49" s="547">
        <v>0</v>
      </c>
      <c r="O49" s="547">
        <v>0</v>
      </c>
      <c r="P49" s="547">
        <v>60000</v>
      </c>
      <c r="Q49" s="547">
        <v>60000</v>
      </c>
      <c r="R49" s="547">
        <v>20187.087505</v>
      </c>
      <c r="S49" s="547">
        <v>39812.912494999997</v>
      </c>
      <c r="T49" s="547">
        <v>0</v>
      </c>
      <c r="U49" s="547">
        <v>0</v>
      </c>
      <c r="V49" s="547">
        <v>20187.087505</v>
      </c>
      <c r="W49" s="547">
        <v>39812.912494999997</v>
      </c>
      <c r="X49" s="547">
        <v>65000</v>
      </c>
    </row>
    <row r="50" spans="1:29" s="525" customFormat="1" ht="45" customHeight="1">
      <c r="A50" s="484" t="s">
        <v>43</v>
      </c>
      <c r="B50" s="636" t="s">
        <v>599</v>
      </c>
      <c r="C50" s="484"/>
      <c r="D50" s="484"/>
      <c r="E50" s="485">
        <v>9000</v>
      </c>
      <c r="F50" s="485">
        <v>4100</v>
      </c>
      <c r="G50" s="485">
        <v>0</v>
      </c>
      <c r="H50" s="485">
        <v>0</v>
      </c>
      <c r="I50" s="485">
        <v>0</v>
      </c>
      <c r="J50" s="485">
        <v>0</v>
      </c>
      <c r="K50" s="485">
        <v>0</v>
      </c>
      <c r="L50" s="485">
        <v>0</v>
      </c>
      <c r="M50" s="485">
        <v>0</v>
      </c>
      <c r="N50" s="485">
        <v>0</v>
      </c>
      <c r="O50" s="485">
        <v>0</v>
      </c>
      <c r="P50" s="485">
        <v>4900</v>
      </c>
      <c r="Q50" s="485">
        <v>4331.348</v>
      </c>
      <c r="R50" s="485">
        <v>4331.348</v>
      </c>
      <c r="S50" s="485">
        <v>0</v>
      </c>
      <c r="T50" s="485">
        <v>0</v>
      </c>
      <c r="U50" s="485">
        <v>568.65200000000004</v>
      </c>
      <c r="V50" s="485">
        <v>4331.348</v>
      </c>
      <c r="W50" s="485">
        <v>0</v>
      </c>
      <c r="X50" s="485">
        <v>8431.348</v>
      </c>
    </row>
    <row r="51" spans="1:29" ht="45" customHeight="1">
      <c r="A51" s="497">
        <v>2</v>
      </c>
      <c r="B51" s="637" t="s">
        <v>600</v>
      </c>
      <c r="C51" s="497" t="s">
        <v>513</v>
      </c>
      <c r="D51" s="497">
        <v>7910398</v>
      </c>
      <c r="E51" s="485">
        <v>2000</v>
      </c>
      <c r="F51" s="485">
        <v>900</v>
      </c>
      <c r="G51" s="485">
        <v>0</v>
      </c>
      <c r="H51" s="485">
        <v>0</v>
      </c>
      <c r="I51" s="485">
        <v>0</v>
      </c>
      <c r="J51" s="485">
        <v>0</v>
      </c>
      <c r="K51" s="485">
        <v>0</v>
      </c>
      <c r="L51" s="485">
        <v>0</v>
      </c>
      <c r="M51" s="485">
        <v>0</v>
      </c>
      <c r="N51" s="485">
        <v>0</v>
      </c>
      <c r="O51" s="485">
        <v>0</v>
      </c>
      <c r="P51" s="485">
        <v>1100</v>
      </c>
      <c r="Q51" s="485">
        <v>990.58799999999997</v>
      </c>
      <c r="R51" s="485">
        <v>990.58799999999997</v>
      </c>
      <c r="S51" s="485">
        <v>0</v>
      </c>
      <c r="T51" s="485">
        <v>0</v>
      </c>
      <c r="U51" s="485">
        <v>109.41200000000001</v>
      </c>
      <c r="V51" s="485">
        <v>990.58799999999997</v>
      </c>
      <c r="W51" s="485">
        <v>0</v>
      </c>
      <c r="X51" s="485">
        <v>1890.588</v>
      </c>
    </row>
    <row r="52" spans="1:29" ht="45" customHeight="1">
      <c r="A52" s="497">
        <v>3</v>
      </c>
      <c r="B52" s="637" t="s">
        <v>161</v>
      </c>
      <c r="C52" s="497" t="s">
        <v>513</v>
      </c>
      <c r="D52" s="497">
        <v>7910397</v>
      </c>
      <c r="E52" s="485">
        <v>7000</v>
      </c>
      <c r="F52" s="485">
        <v>3200</v>
      </c>
      <c r="G52" s="485">
        <v>0</v>
      </c>
      <c r="H52" s="485">
        <v>0</v>
      </c>
      <c r="I52" s="485">
        <v>0</v>
      </c>
      <c r="J52" s="485">
        <v>0</v>
      </c>
      <c r="K52" s="485">
        <v>0</v>
      </c>
      <c r="L52" s="485">
        <v>0</v>
      </c>
      <c r="M52" s="485">
        <v>0</v>
      </c>
      <c r="N52" s="485">
        <v>0</v>
      </c>
      <c r="O52" s="485">
        <v>0</v>
      </c>
      <c r="P52" s="485">
        <v>3800</v>
      </c>
      <c r="Q52" s="485">
        <v>3340.76</v>
      </c>
      <c r="R52" s="485">
        <v>3340.76</v>
      </c>
      <c r="S52" s="485">
        <v>0</v>
      </c>
      <c r="T52" s="485">
        <v>0</v>
      </c>
      <c r="U52" s="485">
        <v>459.24</v>
      </c>
      <c r="V52" s="485">
        <v>3340.76</v>
      </c>
      <c r="W52" s="485">
        <v>0</v>
      </c>
      <c r="X52" s="485">
        <v>6540.76</v>
      </c>
    </row>
    <row r="53" spans="1:29" s="525" customFormat="1" ht="45" customHeight="1">
      <c r="A53" s="484" t="s">
        <v>53</v>
      </c>
      <c r="B53" s="508" t="s">
        <v>42</v>
      </c>
      <c r="C53" s="484"/>
      <c r="D53" s="484"/>
      <c r="E53" s="485">
        <v>12600</v>
      </c>
      <c r="F53" s="485">
        <v>11238</v>
      </c>
      <c r="G53" s="485">
        <v>0</v>
      </c>
      <c r="H53" s="485">
        <v>0</v>
      </c>
      <c r="I53" s="485">
        <v>0</v>
      </c>
      <c r="J53" s="485">
        <v>0</v>
      </c>
      <c r="K53" s="485">
        <v>0</v>
      </c>
      <c r="L53" s="485">
        <v>0</v>
      </c>
      <c r="M53" s="485">
        <v>0</v>
      </c>
      <c r="N53" s="485">
        <v>0</v>
      </c>
      <c r="O53" s="485">
        <v>0</v>
      </c>
      <c r="P53" s="485">
        <v>880</v>
      </c>
      <c r="Q53" s="485">
        <v>868.84900000000005</v>
      </c>
      <c r="R53" s="485">
        <v>868.84900000000005</v>
      </c>
      <c r="S53" s="485">
        <v>0</v>
      </c>
      <c r="T53" s="485">
        <v>0</v>
      </c>
      <c r="U53" s="485">
        <v>11.151</v>
      </c>
      <c r="V53" s="485">
        <v>868.84900000000005</v>
      </c>
      <c r="W53" s="485">
        <v>0</v>
      </c>
      <c r="X53" s="485">
        <v>12106.849</v>
      </c>
    </row>
    <row r="54" spans="1:29" ht="43.5" customHeight="1">
      <c r="A54" s="497">
        <v>4</v>
      </c>
      <c r="B54" s="505" t="s">
        <v>601</v>
      </c>
      <c r="C54" s="497" t="s">
        <v>513</v>
      </c>
      <c r="D54" s="638">
        <v>7730877</v>
      </c>
      <c r="E54" s="485">
        <v>12600</v>
      </c>
      <c r="F54" s="485">
        <v>11238</v>
      </c>
      <c r="G54" s="485">
        <v>0</v>
      </c>
      <c r="H54" s="485">
        <v>0</v>
      </c>
      <c r="I54" s="485">
        <v>0</v>
      </c>
      <c r="J54" s="485">
        <v>0</v>
      </c>
      <c r="K54" s="485">
        <v>0</v>
      </c>
      <c r="L54" s="485">
        <v>0</v>
      </c>
      <c r="M54" s="485">
        <v>0</v>
      </c>
      <c r="N54" s="485">
        <v>0</v>
      </c>
      <c r="O54" s="485">
        <v>0</v>
      </c>
      <c r="P54" s="485">
        <v>880</v>
      </c>
      <c r="Q54" s="485">
        <v>868.84900000000005</v>
      </c>
      <c r="R54" s="485">
        <v>868.84900000000005</v>
      </c>
      <c r="S54" s="485">
        <v>0</v>
      </c>
      <c r="T54" s="485">
        <v>0</v>
      </c>
      <c r="U54" s="485">
        <v>11.151</v>
      </c>
      <c r="V54" s="485">
        <v>868.84900000000005</v>
      </c>
      <c r="W54" s="485">
        <v>0</v>
      </c>
      <c r="X54" s="485">
        <v>12106.849</v>
      </c>
    </row>
    <row r="55" spans="1:29" s="525" customFormat="1" ht="43.5" customHeight="1">
      <c r="A55" s="484" t="s">
        <v>54</v>
      </c>
      <c r="B55" s="501" t="s">
        <v>602</v>
      </c>
      <c r="C55" s="484"/>
      <c r="D55" s="484"/>
      <c r="E55" s="485">
        <v>4150</v>
      </c>
      <c r="F55" s="485">
        <v>0</v>
      </c>
      <c r="G55" s="485">
        <v>0</v>
      </c>
      <c r="H55" s="485">
        <v>0</v>
      </c>
      <c r="I55" s="485">
        <v>0</v>
      </c>
      <c r="J55" s="485">
        <v>0</v>
      </c>
      <c r="K55" s="485">
        <v>0</v>
      </c>
      <c r="L55" s="485">
        <v>0</v>
      </c>
      <c r="M55" s="485">
        <v>0</v>
      </c>
      <c r="N55" s="485">
        <v>0</v>
      </c>
      <c r="O55" s="485">
        <v>0</v>
      </c>
      <c r="P55" s="485">
        <v>38.314</v>
      </c>
      <c r="Q55" s="485">
        <v>38.314</v>
      </c>
      <c r="R55" s="485">
        <v>38.314</v>
      </c>
      <c r="S55" s="485">
        <v>0</v>
      </c>
      <c r="T55" s="485">
        <v>0</v>
      </c>
      <c r="U55" s="485">
        <v>0</v>
      </c>
      <c r="V55" s="485">
        <v>38.314</v>
      </c>
      <c r="W55" s="485">
        <v>0</v>
      </c>
      <c r="X55" s="485">
        <v>38.314</v>
      </c>
    </row>
    <row r="56" spans="1:29" ht="43.5" customHeight="1">
      <c r="A56" s="497">
        <v>5</v>
      </c>
      <c r="B56" s="505" t="s">
        <v>603</v>
      </c>
      <c r="C56" s="497" t="s">
        <v>513</v>
      </c>
      <c r="D56" s="639">
        <v>7662366</v>
      </c>
      <c r="E56" s="485">
        <v>1450</v>
      </c>
      <c r="F56" s="485">
        <v>0</v>
      </c>
      <c r="G56" s="485">
        <v>0</v>
      </c>
      <c r="H56" s="485">
        <v>0</v>
      </c>
      <c r="I56" s="485">
        <v>0</v>
      </c>
      <c r="J56" s="485">
        <v>0</v>
      </c>
      <c r="K56" s="485">
        <v>0</v>
      </c>
      <c r="L56" s="485">
        <v>0</v>
      </c>
      <c r="M56" s="485">
        <v>0</v>
      </c>
      <c r="N56" s="485">
        <v>0</v>
      </c>
      <c r="O56" s="485">
        <v>0</v>
      </c>
      <c r="P56" s="485">
        <v>13.696999999999999</v>
      </c>
      <c r="Q56" s="485">
        <v>13.696999999999999</v>
      </c>
      <c r="R56" s="485">
        <v>13.696999999999999</v>
      </c>
      <c r="S56" s="485">
        <v>0</v>
      </c>
      <c r="T56" s="485">
        <v>0</v>
      </c>
      <c r="U56" s="485">
        <v>0</v>
      </c>
      <c r="V56" s="485">
        <v>13.696999999999999</v>
      </c>
      <c r="W56" s="485">
        <v>0</v>
      </c>
      <c r="X56" s="485">
        <v>13.696999999999999</v>
      </c>
    </row>
    <row r="57" spans="1:29" ht="43.5" customHeight="1">
      <c r="A57" s="497">
        <v>6</v>
      </c>
      <c r="B57" s="505" t="s">
        <v>604</v>
      </c>
      <c r="C57" s="497" t="s">
        <v>513</v>
      </c>
      <c r="D57" s="640">
        <v>7662368</v>
      </c>
      <c r="E57" s="485">
        <v>2700</v>
      </c>
      <c r="F57" s="485">
        <v>0</v>
      </c>
      <c r="G57" s="485">
        <v>0</v>
      </c>
      <c r="H57" s="485">
        <v>0</v>
      </c>
      <c r="I57" s="485">
        <v>0</v>
      </c>
      <c r="J57" s="485">
        <v>0</v>
      </c>
      <c r="K57" s="485">
        <v>0</v>
      </c>
      <c r="L57" s="485">
        <v>0</v>
      </c>
      <c r="M57" s="485">
        <v>0</v>
      </c>
      <c r="N57" s="485">
        <v>0</v>
      </c>
      <c r="O57" s="485">
        <v>0</v>
      </c>
      <c r="P57" s="485">
        <v>24.617000000000001</v>
      </c>
      <c r="Q57" s="485">
        <v>24.617000000000001</v>
      </c>
      <c r="R57" s="485">
        <v>24.617000000000001</v>
      </c>
      <c r="S57" s="485">
        <v>0</v>
      </c>
      <c r="T57" s="485">
        <v>0</v>
      </c>
      <c r="U57" s="485">
        <v>0</v>
      </c>
      <c r="V57" s="485">
        <v>24.617000000000001</v>
      </c>
      <c r="W57" s="485">
        <v>0</v>
      </c>
      <c r="X57" s="485">
        <v>24.617000000000001</v>
      </c>
    </row>
    <row r="58" spans="1:29" s="525" customFormat="1" ht="55.5" customHeight="1">
      <c r="A58" s="484" t="s">
        <v>55</v>
      </c>
      <c r="B58" s="501" t="s">
        <v>139</v>
      </c>
      <c r="C58" s="484"/>
      <c r="D58" s="484"/>
      <c r="E58" s="485">
        <v>115000</v>
      </c>
      <c r="F58" s="485">
        <v>0</v>
      </c>
      <c r="G58" s="485">
        <v>0</v>
      </c>
      <c r="H58" s="485">
        <v>0</v>
      </c>
      <c r="I58" s="485">
        <v>0</v>
      </c>
      <c r="J58" s="485">
        <v>0</v>
      </c>
      <c r="K58" s="485">
        <v>0</v>
      </c>
      <c r="L58" s="485">
        <v>0</v>
      </c>
      <c r="M58" s="485">
        <v>0</v>
      </c>
      <c r="N58" s="485">
        <v>0</v>
      </c>
      <c r="O58" s="485">
        <v>0</v>
      </c>
      <c r="P58" s="485">
        <v>44021</v>
      </c>
      <c r="Q58" s="485">
        <v>40195.063000000002</v>
      </c>
      <c r="R58" s="485">
        <v>19604.596000000001</v>
      </c>
      <c r="S58" s="485">
        <v>20590.467000000001</v>
      </c>
      <c r="T58" s="485">
        <v>3825.9369999999999</v>
      </c>
      <c r="U58" s="485">
        <v>0</v>
      </c>
      <c r="V58" s="485">
        <v>19604.596000000001</v>
      </c>
      <c r="W58" s="485">
        <v>20590.467000000001</v>
      </c>
      <c r="X58" s="485">
        <v>40195.063000000002</v>
      </c>
    </row>
    <row r="59" spans="1:29" s="529" customFormat="1" ht="43.5" customHeight="1">
      <c r="A59" s="526">
        <v>7</v>
      </c>
      <c r="B59" s="649" t="s">
        <v>231</v>
      </c>
      <c r="C59" s="526" t="s">
        <v>513</v>
      </c>
      <c r="D59" s="530" t="s">
        <v>515</v>
      </c>
      <c r="E59" s="547">
        <v>30000</v>
      </c>
      <c r="F59" s="547">
        <v>0</v>
      </c>
      <c r="G59" s="547">
        <v>0</v>
      </c>
      <c r="H59" s="547">
        <v>0</v>
      </c>
      <c r="I59" s="547">
        <v>0</v>
      </c>
      <c r="J59" s="547">
        <v>0</v>
      </c>
      <c r="K59" s="547">
        <v>0</v>
      </c>
      <c r="L59" s="547">
        <v>0</v>
      </c>
      <c r="M59" s="547">
        <v>0</v>
      </c>
      <c r="N59" s="547">
        <v>0</v>
      </c>
      <c r="O59" s="547">
        <v>0</v>
      </c>
      <c r="P59" s="547">
        <v>2000</v>
      </c>
      <c r="Q59" s="547">
        <v>481.42099999999999</v>
      </c>
      <c r="R59" s="547">
        <v>481.42099999999999</v>
      </c>
      <c r="S59" s="547">
        <v>0</v>
      </c>
      <c r="T59" s="547">
        <v>1518.579</v>
      </c>
      <c r="U59" s="547">
        <v>0</v>
      </c>
      <c r="V59" s="547">
        <v>481.42099999999999</v>
      </c>
      <c r="W59" s="547">
        <v>0</v>
      </c>
      <c r="X59" s="547">
        <v>481.42099999999999</v>
      </c>
    </row>
    <row r="60" spans="1:29" s="529" customFormat="1" ht="43.5" customHeight="1">
      <c r="A60" s="526">
        <v>8</v>
      </c>
      <c r="B60" s="649" t="s">
        <v>121</v>
      </c>
      <c r="C60" s="526" t="s">
        <v>513</v>
      </c>
      <c r="D60" s="530" t="s">
        <v>516</v>
      </c>
      <c r="E60" s="547">
        <v>20000</v>
      </c>
      <c r="F60" s="547">
        <v>0</v>
      </c>
      <c r="G60" s="547">
        <v>0</v>
      </c>
      <c r="H60" s="547">
        <v>0</v>
      </c>
      <c r="I60" s="547">
        <v>0</v>
      </c>
      <c r="J60" s="547">
        <v>0</v>
      </c>
      <c r="K60" s="547">
        <v>0</v>
      </c>
      <c r="L60" s="547">
        <v>0</v>
      </c>
      <c r="M60" s="547">
        <v>0</v>
      </c>
      <c r="N60" s="547">
        <v>0</v>
      </c>
      <c r="O60" s="547">
        <v>0</v>
      </c>
      <c r="P60" s="547">
        <v>13021</v>
      </c>
      <c r="Q60" s="547">
        <v>11836.787</v>
      </c>
      <c r="R60" s="547">
        <v>6626.2470000000003</v>
      </c>
      <c r="S60" s="547">
        <v>5210.54</v>
      </c>
      <c r="T60" s="547">
        <v>1184.213</v>
      </c>
      <c r="U60" s="547">
        <v>0</v>
      </c>
      <c r="V60" s="547">
        <v>6626.2470000000003</v>
      </c>
      <c r="W60" s="547">
        <v>5210.54</v>
      </c>
      <c r="X60" s="547">
        <v>11836.787</v>
      </c>
    </row>
    <row r="61" spans="1:29" s="529" customFormat="1" ht="37.5" customHeight="1">
      <c r="A61" s="526">
        <v>9</v>
      </c>
      <c r="B61" s="649" t="s">
        <v>120</v>
      </c>
      <c r="C61" s="526" t="s">
        <v>513</v>
      </c>
      <c r="D61" s="530" t="s">
        <v>517</v>
      </c>
      <c r="E61" s="547">
        <v>30000</v>
      </c>
      <c r="F61" s="547">
        <v>0</v>
      </c>
      <c r="G61" s="547">
        <v>0</v>
      </c>
      <c r="H61" s="547">
        <v>0</v>
      </c>
      <c r="I61" s="547">
        <v>0</v>
      </c>
      <c r="J61" s="547">
        <v>0</v>
      </c>
      <c r="K61" s="547">
        <v>0</v>
      </c>
      <c r="L61" s="547">
        <v>0</v>
      </c>
      <c r="M61" s="547">
        <v>0</v>
      </c>
      <c r="N61" s="547">
        <v>0</v>
      </c>
      <c r="O61" s="547">
        <v>0</v>
      </c>
      <c r="P61" s="547">
        <v>14000</v>
      </c>
      <c r="Q61" s="547">
        <v>14000</v>
      </c>
      <c r="R61" s="547">
        <v>6822.665</v>
      </c>
      <c r="S61" s="547">
        <v>7177.335</v>
      </c>
      <c r="T61" s="547">
        <v>0</v>
      </c>
      <c r="U61" s="547">
        <v>0</v>
      </c>
      <c r="V61" s="547">
        <v>6822.665</v>
      </c>
      <c r="W61" s="547">
        <v>7177.335</v>
      </c>
      <c r="X61" s="547">
        <v>14000</v>
      </c>
    </row>
    <row r="62" spans="1:29" s="529" customFormat="1" ht="42" customHeight="1">
      <c r="A62" s="526">
        <v>10</v>
      </c>
      <c r="B62" s="649" t="s">
        <v>119</v>
      </c>
      <c r="C62" s="526" t="s">
        <v>513</v>
      </c>
      <c r="D62" s="530" t="s">
        <v>518</v>
      </c>
      <c r="E62" s="547">
        <v>35000</v>
      </c>
      <c r="F62" s="547">
        <v>0</v>
      </c>
      <c r="G62" s="547">
        <v>0</v>
      </c>
      <c r="H62" s="547">
        <v>0</v>
      </c>
      <c r="I62" s="547">
        <v>0</v>
      </c>
      <c r="J62" s="547">
        <v>0</v>
      </c>
      <c r="K62" s="547">
        <v>0</v>
      </c>
      <c r="L62" s="547">
        <v>0</v>
      </c>
      <c r="M62" s="547">
        <v>0</v>
      </c>
      <c r="N62" s="547">
        <v>0</v>
      </c>
      <c r="O62" s="547">
        <v>0</v>
      </c>
      <c r="P62" s="547">
        <v>15000</v>
      </c>
      <c r="Q62" s="547">
        <v>13876.855</v>
      </c>
      <c r="R62" s="547">
        <v>5674.2629999999999</v>
      </c>
      <c r="S62" s="547">
        <v>8202.5920000000006</v>
      </c>
      <c r="T62" s="547">
        <v>1123.145</v>
      </c>
      <c r="U62" s="547">
        <v>0</v>
      </c>
      <c r="V62" s="547">
        <v>5674.2629999999999</v>
      </c>
      <c r="W62" s="547">
        <v>8202.5920000000006</v>
      </c>
      <c r="X62" s="547">
        <v>13876.855</v>
      </c>
    </row>
    <row r="63" spans="1:29" s="525" customFormat="1" ht="55.5" customHeight="1">
      <c r="A63" s="484" t="s">
        <v>246</v>
      </c>
      <c r="B63" s="501" t="s">
        <v>519</v>
      </c>
      <c r="C63" s="484"/>
      <c r="D63" s="484"/>
      <c r="E63" s="485">
        <v>61043</v>
      </c>
      <c r="F63" s="485">
        <v>0</v>
      </c>
      <c r="G63" s="485">
        <v>0</v>
      </c>
      <c r="H63" s="485">
        <v>0</v>
      </c>
      <c r="I63" s="485">
        <v>0</v>
      </c>
      <c r="J63" s="485">
        <v>0</v>
      </c>
      <c r="K63" s="485">
        <v>0</v>
      </c>
      <c r="L63" s="485">
        <v>0</v>
      </c>
      <c r="M63" s="485">
        <v>0</v>
      </c>
      <c r="N63" s="485">
        <v>0</v>
      </c>
      <c r="O63" s="485">
        <v>0</v>
      </c>
      <c r="P63" s="485">
        <v>31495</v>
      </c>
      <c r="Q63" s="485">
        <v>31495</v>
      </c>
      <c r="R63" s="485">
        <v>17776.338</v>
      </c>
      <c r="S63" s="485">
        <v>13718.662</v>
      </c>
      <c r="T63" s="485">
        <v>0</v>
      </c>
      <c r="U63" s="485">
        <v>0</v>
      </c>
      <c r="V63" s="485">
        <v>17776.338</v>
      </c>
      <c r="W63" s="485">
        <v>13718.662</v>
      </c>
      <c r="X63" s="485">
        <v>31495</v>
      </c>
    </row>
    <row r="64" spans="1:29" s="529" customFormat="1" ht="43.5" customHeight="1">
      <c r="A64" s="526">
        <v>11</v>
      </c>
      <c r="B64" s="650" t="s">
        <v>605</v>
      </c>
      <c r="C64" s="526" t="s">
        <v>513</v>
      </c>
      <c r="D64" s="530" t="s">
        <v>520</v>
      </c>
      <c r="E64" s="547">
        <v>14990</v>
      </c>
      <c r="F64" s="547">
        <v>0</v>
      </c>
      <c r="G64" s="547">
        <v>0</v>
      </c>
      <c r="H64" s="547">
        <v>0</v>
      </c>
      <c r="I64" s="547">
        <v>0</v>
      </c>
      <c r="J64" s="547">
        <v>0</v>
      </c>
      <c r="K64" s="547">
        <v>0</v>
      </c>
      <c r="L64" s="547">
        <v>0</v>
      </c>
      <c r="M64" s="547">
        <v>0</v>
      </c>
      <c r="N64" s="547">
        <v>0</v>
      </c>
      <c r="O64" s="547">
        <v>0</v>
      </c>
      <c r="P64" s="547">
        <v>7495</v>
      </c>
      <c r="Q64" s="547">
        <v>7495</v>
      </c>
      <c r="R64" s="547">
        <v>3960</v>
      </c>
      <c r="S64" s="547">
        <v>3535</v>
      </c>
      <c r="T64" s="547">
        <v>0</v>
      </c>
      <c r="U64" s="547">
        <v>0</v>
      </c>
      <c r="V64" s="547">
        <v>3960</v>
      </c>
      <c r="W64" s="547">
        <v>3535</v>
      </c>
      <c r="X64" s="547">
        <v>7495</v>
      </c>
      <c r="AC64" s="651">
        <f>+Q50+R49</f>
        <v>24518.435505000001</v>
      </c>
    </row>
    <row r="65" spans="1:25" s="529" customFormat="1" ht="70.5" customHeight="1">
      <c r="A65" s="526">
        <v>12</v>
      </c>
      <c r="B65" s="652" t="s">
        <v>122</v>
      </c>
      <c r="C65" s="526" t="s">
        <v>513</v>
      </c>
      <c r="D65" s="530" t="s">
        <v>521</v>
      </c>
      <c r="E65" s="547">
        <v>20000</v>
      </c>
      <c r="F65" s="547">
        <v>0</v>
      </c>
      <c r="G65" s="547">
        <v>0</v>
      </c>
      <c r="H65" s="547">
        <v>0</v>
      </c>
      <c r="I65" s="547">
        <v>0</v>
      </c>
      <c r="J65" s="547">
        <v>0</v>
      </c>
      <c r="K65" s="547">
        <v>0</v>
      </c>
      <c r="L65" s="547">
        <v>0</v>
      </c>
      <c r="M65" s="547">
        <v>0</v>
      </c>
      <c r="N65" s="547">
        <v>0</v>
      </c>
      <c r="O65" s="547">
        <v>0</v>
      </c>
      <c r="P65" s="547">
        <v>10000</v>
      </c>
      <c r="Q65" s="547">
        <v>10000</v>
      </c>
      <c r="R65" s="547">
        <v>5079.6970000000001</v>
      </c>
      <c r="S65" s="547">
        <v>4920.3029999999999</v>
      </c>
      <c r="T65" s="547">
        <v>0</v>
      </c>
      <c r="U65" s="547">
        <v>0</v>
      </c>
      <c r="V65" s="547">
        <v>5079.6970000000001</v>
      </c>
      <c r="W65" s="547">
        <v>4920.3029999999999</v>
      </c>
      <c r="X65" s="547">
        <v>10000</v>
      </c>
    </row>
    <row r="66" spans="1:25" ht="49.5" customHeight="1">
      <c r="A66" s="497">
        <v>13</v>
      </c>
      <c r="B66" s="641" t="s">
        <v>415</v>
      </c>
      <c r="C66" s="497" t="s">
        <v>513</v>
      </c>
      <c r="D66" s="635" t="s">
        <v>523</v>
      </c>
      <c r="E66" s="485">
        <v>12853</v>
      </c>
      <c r="F66" s="485">
        <v>0</v>
      </c>
      <c r="G66" s="485">
        <v>0</v>
      </c>
      <c r="H66" s="485">
        <v>0</v>
      </c>
      <c r="I66" s="485">
        <v>0</v>
      </c>
      <c r="J66" s="485">
        <v>0</v>
      </c>
      <c r="K66" s="485">
        <v>0</v>
      </c>
      <c r="L66" s="485">
        <v>0</v>
      </c>
      <c r="M66" s="485">
        <v>0</v>
      </c>
      <c r="N66" s="485">
        <v>0</v>
      </c>
      <c r="O66" s="485">
        <v>0</v>
      </c>
      <c r="P66" s="485">
        <v>7000</v>
      </c>
      <c r="Q66" s="485">
        <v>7000</v>
      </c>
      <c r="R66" s="485">
        <v>4039.366</v>
      </c>
      <c r="S66" s="485">
        <v>2960.634</v>
      </c>
      <c r="T66" s="485">
        <v>0</v>
      </c>
      <c r="U66" s="485">
        <v>0</v>
      </c>
      <c r="V66" s="485">
        <v>4039.366</v>
      </c>
      <c r="W66" s="485">
        <v>2960.634</v>
      </c>
      <c r="X66" s="485">
        <v>7000</v>
      </c>
    </row>
    <row r="67" spans="1:25" ht="49.5" customHeight="1">
      <c r="A67" s="497">
        <v>14</v>
      </c>
      <c r="B67" s="641" t="s">
        <v>417</v>
      </c>
      <c r="C67" s="497" t="s">
        <v>513</v>
      </c>
      <c r="D67" s="635" t="s">
        <v>524</v>
      </c>
      <c r="E67" s="485">
        <v>13200</v>
      </c>
      <c r="F67" s="485">
        <v>0</v>
      </c>
      <c r="G67" s="485">
        <v>0</v>
      </c>
      <c r="H67" s="485">
        <v>0</v>
      </c>
      <c r="I67" s="485">
        <v>0</v>
      </c>
      <c r="J67" s="485">
        <v>0</v>
      </c>
      <c r="K67" s="485">
        <v>0</v>
      </c>
      <c r="L67" s="485">
        <v>0</v>
      </c>
      <c r="M67" s="485">
        <v>0</v>
      </c>
      <c r="N67" s="485">
        <v>0</v>
      </c>
      <c r="O67" s="485">
        <v>0</v>
      </c>
      <c r="P67" s="485">
        <v>7000</v>
      </c>
      <c r="Q67" s="485">
        <v>7000</v>
      </c>
      <c r="R67" s="485">
        <v>4697.2749999999996</v>
      </c>
      <c r="S67" s="485">
        <v>2302.7249999999999</v>
      </c>
      <c r="T67" s="485">
        <v>0</v>
      </c>
      <c r="U67" s="485">
        <v>0</v>
      </c>
      <c r="V67" s="485">
        <v>4697.2749999999996</v>
      </c>
      <c r="W67" s="485">
        <v>2302.7249999999999</v>
      </c>
      <c r="X67" s="485">
        <v>7000</v>
      </c>
    </row>
    <row r="69" spans="1:25" s="479" customFormat="1" ht="21" customHeight="1">
      <c r="A69" s="853"/>
      <c r="B69" s="853"/>
      <c r="C69" s="853"/>
      <c r="D69" s="853"/>
      <c r="E69" s="853"/>
      <c r="F69" s="853"/>
      <c r="G69" s="853"/>
      <c r="H69" s="853"/>
      <c r="I69" s="853"/>
      <c r="J69" s="853"/>
      <c r="P69" s="853" t="s">
        <v>606</v>
      </c>
      <c r="Q69" s="853"/>
      <c r="R69" s="853"/>
      <c r="S69" s="853"/>
      <c r="T69" s="853"/>
      <c r="U69" s="853"/>
      <c r="V69" s="853"/>
      <c r="W69" s="853"/>
      <c r="X69" s="853"/>
      <c r="Y69" s="853"/>
    </row>
    <row r="70" spans="1:25" s="479" customFormat="1" ht="21" customHeight="1">
      <c r="A70" s="849"/>
      <c r="B70" s="849"/>
      <c r="C70" s="849"/>
      <c r="D70" s="849"/>
      <c r="E70" s="849"/>
      <c r="F70" s="849"/>
      <c r="G70" s="849"/>
      <c r="H70" s="849"/>
      <c r="I70" s="849"/>
      <c r="J70" s="849"/>
      <c r="P70" s="849" t="s">
        <v>546</v>
      </c>
      <c r="Q70" s="849"/>
      <c r="R70" s="849"/>
      <c r="S70" s="849"/>
      <c r="T70" s="849"/>
      <c r="U70" s="849"/>
      <c r="V70" s="849"/>
      <c r="W70" s="849"/>
      <c r="X70" s="849"/>
      <c r="Y70" s="849"/>
    </row>
    <row r="71" spans="1:25" s="542" customFormat="1" ht="22.5" customHeight="1">
      <c r="A71" s="853"/>
      <c r="B71" s="853"/>
      <c r="C71" s="853"/>
      <c r="D71" s="853"/>
      <c r="E71" s="853"/>
      <c r="F71" s="853"/>
      <c r="G71" s="853"/>
      <c r="H71" s="853"/>
      <c r="I71" s="853"/>
      <c r="J71" s="853"/>
      <c r="P71" s="853" t="s">
        <v>547</v>
      </c>
      <c r="Q71" s="853"/>
      <c r="R71" s="853"/>
      <c r="S71" s="853"/>
      <c r="T71" s="853"/>
      <c r="U71" s="853"/>
      <c r="V71" s="853"/>
      <c r="W71" s="853"/>
      <c r="X71" s="853"/>
      <c r="Y71" s="853"/>
    </row>
    <row r="72" spans="1:25" s="479" customFormat="1" ht="17.25" customHeight="1">
      <c r="A72" s="849"/>
      <c r="B72" s="849"/>
      <c r="C72" s="849"/>
      <c r="D72" s="849"/>
      <c r="E72" s="849"/>
      <c r="F72" s="849"/>
      <c r="G72" s="849"/>
      <c r="H72" s="849"/>
      <c r="I72" s="849"/>
      <c r="J72" s="849"/>
      <c r="P72" s="849" t="s">
        <v>548</v>
      </c>
      <c r="Q72" s="849"/>
      <c r="R72" s="849"/>
      <c r="S72" s="849"/>
      <c r="T72" s="849"/>
      <c r="U72" s="849"/>
      <c r="V72" s="849"/>
      <c r="W72" s="849"/>
      <c r="X72" s="849"/>
      <c r="Y72" s="849"/>
    </row>
    <row r="73" spans="1:25" s="479" customFormat="1" ht="17.25" customHeight="1">
      <c r="D73" s="480"/>
      <c r="E73" s="478"/>
      <c r="F73" s="478"/>
      <c r="G73" s="478"/>
      <c r="H73" s="478"/>
      <c r="I73" s="478"/>
      <c r="S73" s="480"/>
      <c r="T73" s="478"/>
      <c r="U73" s="478"/>
      <c r="V73" s="478"/>
      <c r="W73" s="478"/>
      <c r="X73" s="478"/>
    </row>
    <row r="74" spans="1:25" s="479" customFormat="1" ht="17.25" customHeight="1">
      <c r="D74" s="480"/>
      <c r="E74" s="478"/>
      <c r="F74" s="478"/>
      <c r="G74" s="478"/>
      <c r="H74" s="478"/>
      <c r="I74" s="478"/>
      <c r="S74" s="480"/>
      <c r="T74" s="478"/>
      <c r="U74" s="478"/>
      <c r="V74" s="478"/>
      <c r="W74" s="478"/>
      <c r="X74" s="478"/>
    </row>
    <row r="75" spans="1:25" s="479" customFormat="1" ht="17.25" customHeight="1">
      <c r="D75" s="480"/>
      <c r="E75" s="478"/>
      <c r="F75" s="478"/>
      <c r="G75" s="478"/>
      <c r="H75" s="478"/>
      <c r="I75" s="478"/>
      <c r="S75" s="480"/>
      <c r="T75" s="478"/>
      <c r="U75" s="478"/>
      <c r="V75" s="478"/>
      <c r="W75" s="478"/>
      <c r="X75" s="478"/>
    </row>
    <row r="76" spans="1:25" s="479" customFormat="1" ht="17.25" customHeight="1">
      <c r="D76" s="480"/>
      <c r="E76" s="478"/>
      <c r="F76" s="478"/>
      <c r="G76" s="478"/>
      <c r="H76" s="478"/>
      <c r="I76" s="478"/>
      <c r="S76" s="480"/>
      <c r="T76" s="478"/>
      <c r="U76" s="478"/>
      <c r="V76" s="478"/>
      <c r="W76" s="478"/>
      <c r="X76" s="478"/>
    </row>
    <row r="77" spans="1:25" s="479" customFormat="1" ht="17.25" customHeight="1">
      <c r="D77" s="480"/>
      <c r="E77" s="478"/>
      <c r="F77" s="478"/>
      <c r="G77" s="478"/>
      <c r="H77" s="478"/>
      <c r="I77" s="478"/>
      <c r="S77" s="480"/>
      <c r="T77" s="478"/>
      <c r="U77" s="478"/>
      <c r="V77" s="478"/>
      <c r="W77" s="478"/>
      <c r="X77" s="478"/>
    </row>
    <row r="78" spans="1:25" s="479" customFormat="1" ht="17.25" customHeight="1">
      <c r="D78" s="480"/>
      <c r="E78" s="478"/>
      <c r="F78" s="478"/>
      <c r="G78" s="478"/>
      <c r="H78" s="478"/>
      <c r="I78" s="478"/>
      <c r="S78" s="480"/>
      <c r="T78" s="478"/>
      <c r="U78" s="478"/>
      <c r="V78" s="478"/>
      <c r="W78" s="478"/>
      <c r="X78" s="478"/>
    </row>
    <row r="79" spans="1:25" s="479" customFormat="1" ht="17.25" customHeight="1">
      <c r="D79" s="480"/>
      <c r="E79" s="478"/>
      <c r="F79" s="478"/>
      <c r="G79" s="478"/>
      <c r="H79" s="478"/>
      <c r="I79" s="478"/>
      <c r="S79" s="480"/>
      <c r="T79" s="478"/>
      <c r="U79" s="478"/>
      <c r="V79" s="478"/>
      <c r="W79" s="478"/>
      <c r="X79" s="478"/>
    </row>
    <row r="80" spans="1:25" s="479" customFormat="1" ht="17.25" customHeight="1">
      <c r="D80" s="480"/>
      <c r="E80" s="478"/>
      <c r="F80" s="478"/>
      <c r="G80" s="478"/>
      <c r="H80" s="478"/>
      <c r="I80" s="478"/>
      <c r="S80" s="480"/>
      <c r="T80" s="478"/>
      <c r="U80" s="478"/>
      <c r="V80" s="478"/>
      <c r="W80" s="478"/>
      <c r="X80" s="478"/>
    </row>
    <row r="81" spans="1:25" s="479" customFormat="1" ht="17.25" customHeight="1">
      <c r="D81" s="480"/>
      <c r="E81" s="478"/>
      <c r="F81" s="478"/>
      <c r="G81" s="478"/>
      <c r="H81" s="478"/>
      <c r="I81" s="478"/>
      <c r="S81" s="480"/>
      <c r="T81" s="478"/>
      <c r="U81" s="478"/>
      <c r="V81" s="478"/>
      <c r="W81" s="478"/>
      <c r="X81" s="478"/>
    </row>
    <row r="82" spans="1:25" s="479" customFormat="1" ht="17.25" customHeight="1">
      <c r="D82" s="480"/>
      <c r="E82" s="478"/>
      <c r="F82" s="478"/>
      <c r="G82" s="478"/>
      <c r="H82" s="478"/>
      <c r="I82" s="478"/>
      <c r="S82" s="480"/>
      <c r="T82" s="478"/>
      <c r="U82" s="478"/>
      <c r="V82" s="478"/>
      <c r="W82" s="478"/>
      <c r="X82" s="478"/>
    </row>
    <row r="83" spans="1:25" s="479" customFormat="1" ht="17.25" customHeight="1">
      <c r="D83" s="480"/>
      <c r="E83" s="478"/>
      <c r="F83" s="478"/>
      <c r="G83" s="478"/>
      <c r="H83" s="478"/>
      <c r="I83" s="478"/>
      <c r="S83" s="480"/>
      <c r="T83" s="478"/>
      <c r="U83" s="478"/>
      <c r="V83" s="478"/>
      <c r="W83" s="478"/>
      <c r="X83" s="478"/>
    </row>
    <row r="84" spans="1:25" s="479" customFormat="1" ht="17.25" customHeight="1">
      <c r="D84" s="480"/>
      <c r="E84" s="478"/>
      <c r="F84" s="478"/>
      <c r="G84" s="478"/>
      <c r="H84" s="478"/>
      <c r="I84" s="478"/>
      <c r="S84" s="480"/>
      <c r="T84" s="478"/>
      <c r="U84" s="478"/>
      <c r="V84" s="478"/>
      <c r="W84" s="478"/>
      <c r="X84" s="478"/>
    </row>
    <row r="85" spans="1:25" s="543" customFormat="1" ht="27.75" customHeight="1">
      <c r="A85" s="849"/>
      <c r="B85" s="849"/>
      <c r="C85" s="849"/>
      <c r="D85" s="849"/>
      <c r="E85" s="849"/>
      <c r="F85" s="849"/>
      <c r="G85" s="849"/>
      <c r="H85" s="849"/>
      <c r="I85" s="849"/>
      <c r="J85" s="849"/>
      <c r="P85" s="849" t="s">
        <v>549</v>
      </c>
      <c r="Q85" s="849"/>
      <c r="R85" s="849"/>
      <c r="S85" s="849"/>
      <c r="T85" s="849"/>
      <c r="U85" s="849"/>
      <c r="V85" s="849"/>
      <c r="W85" s="849"/>
      <c r="X85" s="849"/>
      <c r="Y85" s="849"/>
    </row>
  </sheetData>
  <mergeCells count="36">
    <mergeCell ref="A72:J72"/>
    <mergeCell ref="P72:Y72"/>
    <mergeCell ref="A85:J85"/>
    <mergeCell ref="P85:Y85"/>
    <mergeCell ref="A69:J69"/>
    <mergeCell ref="P69:Y69"/>
    <mergeCell ref="A70:J70"/>
    <mergeCell ref="P70:Y70"/>
    <mergeCell ref="A71:J71"/>
    <mergeCell ref="P71:Y71"/>
    <mergeCell ref="W10:W12"/>
    <mergeCell ref="X10:X12"/>
    <mergeCell ref="J11:J12"/>
    <mergeCell ref="K11:M11"/>
    <mergeCell ref="N11:N12"/>
    <mergeCell ref="O11:O12"/>
    <mergeCell ref="P11:P12"/>
    <mergeCell ref="Q11:S11"/>
    <mergeCell ref="T11:T12"/>
    <mergeCell ref="U11:U12"/>
    <mergeCell ref="V10:V12"/>
    <mergeCell ref="F10:G11"/>
    <mergeCell ref="H10:H12"/>
    <mergeCell ref="I10:I12"/>
    <mergeCell ref="J10:O10"/>
    <mergeCell ref="P10:U10"/>
    <mergeCell ref="A2:X2"/>
    <mergeCell ref="A3:X3"/>
    <mergeCell ref="A5:G5"/>
    <mergeCell ref="A7:X7"/>
    <mergeCell ref="A9:X9"/>
    <mergeCell ref="A10:A12"/>
    <mergeCell ref="B10:B12"/>
    <mergeCell ref="C10:C12"/>
    <mergeCell ref="D10:D12"/>
    <mergeCell ref="E10:E12"/>
  </mergeCells>
  <conditionalFormatting sqref="B26:B27 B29">
    <cfRule type="expression" dxfId="7" priority="1">
      <formula>$Q26="Đang thực hiện"</formula>
    </cfRule>
    <cfRule type="expression" dxfId="6" priority="2">
      <formula>$Q26="Đã hoàn thành"</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16"/>
  <sheetViews>
    <sheetView topLeftCell="A73" workbookViewId="0">
      <selection activeCell="G80" sqref="G80:H80"/>
    </sheetView>
  </sheetViews>
  <sheetFormatPr defaultRowHeight="13.8"/>
  <cols>
    <col min="1" max="1" width="6" style="163" customWidth="1"/>
    <col min="2" max="2" width="49.88671875" style="163" customWidth="1"/>
    <col min="3" max="3" width="14.77734375" style="164" customWidth="1"/>
    <col min="4" max="4" width="12.6640625" style="164" customWidth="1"/>
    <col min="5" max="5" width="15.77734375" style="165" customWidth="1"/>
    <col min="6" max="6" width="16" style="163" customWidth="1"/>
    <col min="7" max="8" width="16" style="470" customWidth="1"/>
    <col min="9" max="9" width="11.88671875" style="471" customWidth="1"/>
    <col min="10" max="10" width="13.33203125" style="471" customWidth="1"/>
    <col min="11" max="11" width="12.88671875" style="163" customWidth="1"/>
    <col min="12" max="12" width="15.33203125" style="472" customWidth="1"/>
    <col min="13" max="13" width="15" style="472" customWidth="1"/>
    <col min="14" max="14" width="15.109375" style="472" customWidth="1"/>
    <col min="15" max="15" width="12.88671875" style="472" customWidth="1"/>
    <col min="16" max="17" width="13" style="472" customWidth="1"/>
    <col min="18" max="18" width="14.88671875" style="472" customWidth="1"/>
    <col min="19" max="19" width="12.6640625" style="472" customWidth="1"/>
    <col min="20" max="20" width="12.88671875" style="166" customWidth="1"/>
    <col min="21" max="21" width="10.6640625" style="167" customWidth="1"/>
    <col min="22" max="22" width="26.33203125" style="473" customWidth="1"/>
    <col min="23" max="23" width="16.33203125" style="164" customWidth="1"/>
    <col min="24" max="24" width="13.88671875" style="163" customWidth="1"/>
    <col min="25" max="25" width="10.33203125" style="163" bestFit="1" customWidth="1"/>
    <col min="26" max="238" width="9.109375" style="163"/>
    <col min="239" max="239" width="6" style="163" customWidth="1"/>
    <col min="240" max="240" width="49.88671875" style="163" customWidth="1"/>
    <col min="241" max="241" width="12.6640625" style="163" customWidth="1"/>
    <col min="242" max="242" width="17.109375" style="163" customWidth="1"/>
    <col min="243" max="243" width="11.88671875" style="163" customWidth="1"/>
    <col min="244" max="245" width="0" style="163" hidden="1" customWidth="1"/>
    <col min="246" max="246" width="11.109375" style="163" customWidth="1"/>
    <col min="247" max="247" width="12.77734375" style="163" customWidth="1"/>
    <col min="248" max="248" width="14.77734375" style="163" customWidth="1"/>
    <col min="249" max="249" width="12.88671875" style="163" customWidth="1"/>
    <col min="250" max="250" width="11.6640625" style="163" customWidth="1"/>
    <col min="251" max="251" width="11.109375" style="163" customWidth="1"/>
    <col min="252" max="252" width="11.6640625" style="163" customWidth="1"/>
    <col min="253" max="253" width="0" style="163" hidden="1" customWidth="1"/>
    <col min="254" max="254" width="11.77734375" style="163" customWidth="1"/>
    <col min="255" max="256" width="0" style="163" hidden="1" customWidth="1"/>
    <col min="257" max="257" width="10" style="163" customWidth="1"/>
    <col min="258" max="260" width="0" style="163" hidden="1" customWidth="1"/>
    <col min="261" max="262" width="9.77734375" style="163" customWidth="1"/>
    <col min="263" max="263" width="10" style="163" customWidth="1"/>
    <col min="264" max="264" width="20.33203125" style="163" customWidth="1"/>
    <col min="265" max="268" width="0" style="163" hidden="1" customWidth="1"/>
    <col min="269" max="494" width="9.109375" style="163"/>
    <col min="495" max="495" width="6" style="163" customWidth="1"/>
    <col min="496" max="496" width="49.88671875" style="163" customWidth="1"/>
    <col min="497" max="497" width="12.6640625" style="163" customWidth="1"/>
    <col min="498" max="498" width="17.109375" style="163" customWidth="1"/>
    <col min="499" max="499" width="11.88671875" style="163" customWidth="1"/>
    <col min="500" max="501" width="0" style="163" hidden="1" customWidth="1"/>
    <col min="502" max="502" width="11.109375" style="163" customWidth="1"/>
    <col min="503" max="503" width="12.77734375" style="163" customWidth="1"/>
    <col min="504" max="504" width="14.77734375" style="163" customWidth="1"/>
    <col min="505" max="505" width="12.88671875" style="163" customWidth="1"/>
    <col min="506" max="506" width="11.6640625" style="163" customWidth="1"/>
    <col min="507" max="507" width="11.109375" style="163" customWidth="1"/>
    <col min="508" max="508" width="11.6640625" style="163" customWidth="1"/>
    <col min="509" max="509" width="0" style="163" hidden="1" customWidth="1"/>
    <col min="510" max="510" width="11.77734375" style="163" customWidth="1"/>
    <col min="511" max="512" width="0" style="163" hidden="1" customWidth="1"/>
    <col min="513" max="513" width="10" style="163" customWidth="1"/>
    <col min="514" max="516" width="0" style="163" hidden="1" customWidth="1"/>
    <col min="517" max="518" width="9.77734375" style="163" customWidth="1"/>
    <col min="519" max="519" width="10" style="163" customWidth="1"/>
    <col min="520" max="520" width="20.33203125" style="163" customWidth="1"/>
    <col min="521" max="524" width="0" style="163" hidden="1" customWidth="1"/>
    <col min="525" max="750" width="9.109375" style="163"/>
    <col min="751" max="751" width="6" style="163" customWidth="1"/>
    <col min="752" max="752" width="49.88671875" style="163" customWidth="1"/>
    <col min="753" max="753" width="12.6640625" style="163" customWidth="1"/>
    <col min="754" max="754" width="17.109375" style="163" customWidth="1"/>
    <col min="755" max="755" width="11.88671875" style="163" customWidth="1"/>
    <col min="756" max="757" width="0" style="163" hidden="1" customWidth="1"/>
    <col min="758" max="758" width="11.109375" style="163" customWidth="1"/>
    <col min="759" max="759" width="12.77734375" style="163" customWidth="1"/>
    <col min="760" max="760" width="14.77734375" style="163" customWidth="1"/>
    <col min="761" max="761" width="12.88671875" style="163" customWidth="1"/>
    <col min="762" max="762" width="11.6640625" style="163" customWidth="1"/>
    <col min="763" max="763" width="11.109375" style="163" customWidth="1"/>
    <col min="764" max="764" width="11.6640625" style="163" customWidth="1"/>
    <col min="765" max="765" width="0" style="163" hidden="1" customWidth="1"/>
    <col min="766" max="766" width="11.77734375" style="163" customWidth="1"/>
    <col min="767" max="768" width="0" style="163" hidden="1" customWidth="1"/>
    <col min="769" max="769" width="10" style="163" customWidth="1"/>
    <col min="770" max="772" width="0" style="163" hidden="1" customWidth="1"/>
    <col min="773" max="774" width="9.77734375" style="163" customWidth="1"/>
    <col min="775" max="775" width="10" style="163" customWidth="1"/>
    <col min="776" max="776" width="20.33203125" style="163" customWidth="1"/>
    <col min="777" max="780" width="0" style="163" hidden="1" customWidth="1"/>
    <col min="781" max="1006" width="9.109375" style="163"/>
    <col min="1007" max="1007" width="6" style="163" customWidth="1"/>
    <col min="1008" max="1008" width="49.88671875" style="163" customWidth="1"/>
    <col min="1009" max="1009" width="12.6640625" style="163" customWidth="1"/>
    <col min="1010" max="1010" width="17.109375" style="163" customWidth="1"/>
    <col min="1011" max="1011" width="11.88671875" style="163" customWidth="1"/>
    <col min="1012" max="1013" width="0" style="163" hidden="1" customWidth="1"/>
    <col min="1014" max="1014" width="11.109375" style="163" customWidth="1"/>
    <col min="1015" max="1015" width="12.77734375" style="163" customWidth="1"/>
    <col min="1016" max="1016" width="14.77734375" style="163" customWidth="1"/>
    <col min="1017" max="1017" width="12.88671875" style="163" customWidth="1"/>
    <col min="1018" max="1018" width="11.6640625" style="163" customWidth="1"/>
    <col min="1019" max="1019" width="11.109375" style="163" customWidth="1"/>
    <col min="1020" max="1020" width="11.6640625" style="163" customWidth="1"/>
    <col min="1021" max="1021" width="0" style="163" hidden="1" customWidth="1"/>
    <col min="1022" max="1022" width="11.77734375" style="163" customWidth="1"/>
    <col min="1023" max="1024" width="0" style="163" hidden="1" customWidth="1"/>
    <col min="1025" max="1025" width="10" style="163" customWidth="1"/>
    <col min="1026" max="1028" width="0" style="163" hidden="1" customWidth="1"/>
    <col min="1029" max="1030" width="9.77734375" style="163" customWidth="1"/>
    <col min="1031" max="1031" width="10" style="163" customWidth="1"/>
    <col min="1032" max="1032" width="20.33203125" style="163" customWidth="1"/>
    <col min="1033" max="1036" width="0" style="163" hidden="1" customWidth="1"/>
    <col min="1037" max="1262" width="9.109375" style="163"/>
    <col min="1263" max="1263" width="6" style="163" customWidth="1"/>
    <col min="1264" max="1264" width="49.88671875" style="163" customWidth="1"/>
    <col min="1265" max="1265" width="12.6640625" style="163" customWidth="1"/>
    <col min="1266" max="1266" width="17.109375" style="163" customWidth="1"/>
    <col min="1267" max="1267" width="11.88671875" style="163" customWidth="1"/>
    <col min="1268" max="1269" width="0" style="163" hidden="1" customWidth="1"/>
    <col min="1270" max="1270" width="11.109375" style="163" customWidth="1"/>
    <col min="1271" max="1271" width="12.77734375" style="163" customWidth="1"/>
    <col min="1272" max="1272" width="14.77734375" style="163" customWidth="1"/>
    <col min="1273" max="1273" width="12.88671875" style="163" customWidth="1"/>
    <col min="1274" max="1274" width="11.6640625" style="163" customWidth="1"/>
    <col min="1275" max="1275" width="11.109375" style="163" customWidth="1"/>
    <col min="1276" max="1276" width="11.6640625" style="163" customWidth="1"/>
    <col min="1277" max="1277" width="0" style="163" hidden="1" customWidth="1"/>
    <col min="1278" max="1278" width="11.77734375" style="163" customWidth="1"/>
    <col min="1279" max="1280" width="0" style="163" hidden="1" customWidth="1"/>
    <col min="1281" max="1281" width="10" style="163" customWidth="1"/>
    <col min="1282" max="1284" width="0" style="163" hidden="1" customWidth="1"/>
    <col min="1285" max="1286" width="9.77734375" style="163" customWidth="1"/>
    <col min="1287" max="1287" width="10" style="163" customWidth="1"/>
    <col min="1288" max="1288" width="20.33203125" style="163" customWidth="1"/>
    <col min="1289" max="1292" width="0" style="163" hidden="1" customWidth="1"/>
    <col min="1293" max="1518" width="9.109375" style="163"/>
    <col min="1519" max="1519" width="6" style="163" customWidth="1"/>
    <col min="1520" max="1520" width="49.88671875" style="163" customWidth="1"/>
    <col min="1521" max="1521" width="12.6640625" style="163" customWidth="1"/>
    <col min="1522" max="1522" width="17.109375" style="163" customWidth="1"/>
    <col min="1523" max="1523" width="11.88671875" style="163" customWidth="1"/>
    <col min="1524" max="1525" width="0" style="163" hidden="1" customWidth="1"/>
    <col min="1526" max="1526" width="11.109375" style="163" customWidth="1"/>
    <col min="1527" max="1527" width="12.77734375" style="163" customWidth="1"/>
    <col min="1528" max="1528" width="14.77734375" style="163" customWidth="1"/>
    <col min="1529" max="1529" width="12.88671875" style="163" customWidth="1"/>
    <col min="1530" max="1530" width="11.6640625" style="163" customWidth="1"/>
    <col min="1531" max="1531" width="11.109375" style="163" customWidth="1"/>
    <col min="1532" max="1532" width="11.6640625" style="163" customWidth="1"/>
    <col min="1533" max="1533" width="0" style="163" hidden="1" customWidth="1"/>
    <col min="1534" max="1534" width="11.77734375" style="163" customWidth="1"/>
    <col min="1535" max="1536" width="0" style="163" hidden="1" customWidth="1"/>
    <col min="1537" max="1537" width="10" style="163" customWidth="1"/>
    <col min="1538" max="1540" width="0" style="163" hidden="1" customWidth="1"/>
    <col min="1541" max="1542" width="9.77734375" style="163" customWidth="1"/>
    <col min="1543" max="1543" width="10" style="163" customWidth="1"/>
    <col min="1544" max="1544" width="20.33203125" style="163" customWidth="1"/>
    <col min="1545" max="1548" width="0" style="163" hidden="1" customWidth="1"/>
    <col min="1549" max="1774" width="9.109375" style="163"/>
    <col min="1775" max="1775" width="6" style="163" customWidth="1"/>
    <col min="1776" max="1776" width="49.88671875" style="163" customWidth="1"/>
    <col min="1777" max="1777" width="12.6640625" style="163" customWidth="1"/>
    <col min="1778" max="1778" width="17.109375" style="163" customWidth="1"/>
    <col min="1779" max="1779" width="11.88671875" style="163" customWidth="1"/>
    <col min="1780" max="1781" width="0" style="163" hidden="1" customWidth="1"/>
    <col min="1782" max="1782" width="11.109375" style="163" customWidth="1"/>
    <col min="1783" max="1783" width="12.77734375" style="163" customWidth="1"/>
    <col min="1784" max="1784" width="14.77734375" style="163" customWidth="1"/>
    <col min="1785" max="1785" width="12.88671875" style="163" customWidth="1"/>
    <col min="1786" max="1786" width="11.6640625" style="163" customWidth="1"/>
    <col min="1787" max="1787" width="11.109375" style="163" customWidth="1"/>
    <col min="1788" max="1788" width="11.6640625" style="163" customWidth="1"/>
    <col min="1789" max="1789" width="0" style="163" hidden="1" customWidth="1"/>
    <col min="1790" max="1790" width="11.77734375" style="163" customWidth="1"/>
    <col min="1791" max="1792" width="0" style="163" hidden="1" customWidth="1"/>
    <col min="1793" max="1793" width="10" style="163" customWidth="1"/>
    <col min="1794" max="1796" width="0" style="163" hidden="1" customWidth="1"/>
    <col min="1797" max="1798" width="9.77734375" style="163" customWidth="1"/>
    <col min="1799" max="1799" width="10" style="163" customWidth="1"/>
    <col min="1800" max="1800" width="20.33203125" style="163" customWidth="1"/>
    <col min="1801" max="1804" width="0" style="163" hidden="1" customWidth="1"/>
    <col min="1805" max="2030" width="9.109375" style="163"/>
    <col min="2031" max="2031" width="6" style="163" customWidth="1"/>
    <col min="2032" max="2032" width="49.88671875" style="163" customWidth="1"/>
    <col min="2033" max="2033" width="12.6640625" style="163" customWidth="1"/>
    <col min="2034" max="2034" width="17.109375" style="163" customWidth="1"/>
    <col min="2035" max="2035" width="11.88671875" style="163" customWidth="1"/>
    <col min="2036" max="2037" width="0" style="163" hidden="1" customWidth="1"/>
    <col min="2038" max="2038" width="11.109375" style="163" customWidth="1"/>
    <col min="2039" max="2039" width="12.77734375" style="163" customWidth="1"/>
    <col min="2040" max="2040" width="14.77734375" style="163" customWidth="1"/>
    <col min="2041" max="2041" width="12.88671875" style="163" customWidth="1"/>
    <col min="2042" max="2042" width="11.6640625" style="163" customWidth="1"/>
    <col min="2043" max="2043" width="11.109375" style="163" customWidth="1"/>
    <col min="2044" max="2044" width="11.6640625" style="163" customWidth="1"/>
    <col min="2045" max="2045" width="0" style="163" hidden="1" customWidth="1"/>
    <col min="2046" max="2046" width="11.77734375" style="163" customWidth="1"/>
    <col min="2047" max="2048" width="0" style="163" hidden="1" customWidth="1"/>
    <col min="2049" max="2049" width="10" style="163" customWidth="1"/>
    <col min="2050" max="2052" width="0" style="163" hidden="1" customWidth="1"/>
    <col min="2053" max="2054" width="9.77734375" style="163" customWidth="1"/>
    <col min="2055" max="2055" width="10" style="163" customWidth="1"/>
    <col min="2056" max="2056" width="20.33203125" style="163" customWidth="1"/>
    <col min="2057" max="2060" width="0" style="163" hidden="1" customWidth="1"/>
    <col min="2061" max="2286" width="9.109375" style="163"/>
    <col min="2287" max="2287" width="6" style="163" customWidth="1"/>
    <col min="2288" max="2288" width="49.88671875" style="163" customWidth="1"/>
    <col min="2289" max="2289" width="12.6640625" style="163" customWidth="1"/>
    <col min="2290" max="2290" width="17.109375" style="163" customWidth="1"/>
    <col min="2291" max="2291" width="11.88671875" style="163" customWidth="1"/>
    <col min="2292" max="2293" width="0" style="163" hidden="1" customWidth="1"/>
    <col min="2294" max="2294" width="11.109375" style="163" customWidth="1"/>
    <col min="2295" max="2295" width="12.77734375" style="163" customWidth="1"/>
    <col min="2296" max="2296" width="14.77734375" style="163" customWidth="1"/>
    <col min="2297" max="2297" width="12.88671875" style="163" customWidth="1"/>
    <col min="2298" max="2298" width="11.6640625" style="163" customWidth="1"/>
    <col min="2299" max="2299" width="11.109375" style="163" customWidth="1"/>
    <col min="2300" max="2300" width="11.6640625" style="163" customWidth="1"/>
    <col min="2301" max="2301" width="0" style="163" hidden="1" customWidth="1"/>
    <col min="2302" max="2302" width="11.77734375" style="163" customWidth="1"/>
    <col min="2303" max="2304" width="0" style="163" hidden="1" customWidth="1"/>
    <col min="2305" max="2305" width="10" style="163" customWidth="1"/>
    <col min="2306" max="2308" width="0" style="163" hidden="1" customWidth="1"/>
    <col min="2309" max="2310" width="9.77734375" style="163" customWidth="1"/>
    <col min="2311" max="2311" width="10" style="163" customWidth="1"/>
    <col min="2312" max="2312" width="20.33203125" style="163" customWidth="1"/>
    <col min="2313" max="2316" width="0" style="163" hidden="1" customWidth="1"/>
    <col min="2317" max="2542" width="9.109375" style="163"/>
    <col min="2543" max="2543" width="6" style="163" customWidth="1"/>
    <col min="2544" max="2544" width="49.88671875" style="163" customWidth="1"/>
    <col min="2545" max="2545" width="12.6640625" style="163" customWidth="1"/>
    <col min="2546" max="2546" width="17.109375" style="163" customWidth="1"/>
    <col min="2547" max="2547" width="11.88671875" style="163" customWidth="1"/>
    <col min="2548" max="2549" width="0" style="163" hidden="1" customWidth="1"/>
    <col min="2550" max="2550" width="11.109375" style="163" customWidth="1"/>
    <col min="2551" max="2551" width="12.77734375" style="163" customWidth="1"/>
    <col min="2552" max="2552" width="14.77734375" style="163" customWidth="1"/>
    <col min="2553" max="2553" width="12.88671875" style="163" customWidth="1"/>
    <col min="2554" max="2554" width="11.6640625" style="163" customWidth="1"/>
    <col min="2555" max="2555" width="11.109375" style="163" customWidth="1"/>
    <col min="2556" max="2556" width="11.6640625" style="163" customWidth="1"/>
    <col min="2557" max="2557" width="0" style="163" hidden="1" customWidth="1"/>
    <col min="2558" max="2558" width="11.77734375" style="163" customWidth="1"/>
    <col min="2559" max="2560" width="0" style="163" hidden="1" customWidth="1"/>
    <col min="2561" max="2561" width="10" style="163" customWidth="1"/>
    <col min="2562" max="2564" width="0" style="163" hidden="1" customWidth="1"/>
    <col min="2565" max="2566" width="9.77734375" style="163" customWidth="1"/>
    <col min="2567" max="2567" width="10" style="163" customWidth="1"/>
    <col min="2568" max="2568" width="20.33203125" style="163" customWidth="1"/>
    <col min="2569" max="2572" width="0" style="163" hidden="1" customWidth="1"/>
    <col min="2573" max="2798" width="9.109375" style="163"/>
    <col min="2799" max="2799" width="6" style="163" customWidth="1"/>
    <col min="2800" max="2800" width="49.88671875" style="163" customWidth="1"/>
    <col min="2801" max="2801" width="12.6640625" style="163" customWidth="1"/>
    <col min="2802" max="2802" width="17.109375" style="163" customWidth="1"/>
    <col min="2803" max="2803" width="11.88671875" style="163" customWidth="1"/>
    <col min="2804" max="2805" width="0" style="163" hidden="1" customWidth="1"/>
    <col min="2806" max="2806" width="11.109375" style="163" customWidth="1"/>
    <col min="2807" max="2807" width="12.77734375" style="163" customWidth="1"/>
    <col min="2808" max="2808" width="14.77734375" style="163" customWidth="1"/>
    <col min="2809" max="2809" width="12.88671875" style="163" customWidth="1"/>
    <col min="2810" max="2810" width="11.6640625" style="163" customWidth="1"/>
    <col min="2811" max="2811" width="11.109375" style="163" customWidth="1"/>
    <col min="2812" max="2812" width="11.6640625" style="163" customWidth="1"/>
    <col min="2813" max="2813" width="0" style="163" hidden="1" customWidth="1"/>
    <col min="2814" max="2814" width="11.77734375" style="163" customWidth="1"/>
    <col min="2815" max="2816" width="0" style="163" hidden="1" customWidth="1"/>
    <col min="2817" max="2817" width="10" style="163" customWidth="1"/>
    <col min="2818" max="2820" width="0" style="163" hidden="1" customWidth="1"/>
    <col min="2821" max="2822" width="9.77734375" style="163" customWidth="1"/>
    <col min="2823" max="2823" width="10" style="163" customWidth="1"/>
    <col min="2824" max="2824" width="20.33203125" style="163" customWidth="1"/>
    <col min="2825" max="2828" width="0" style="163" hidden="1" customWidth="1"/>
    <col min="2829" max="3054" width="9.109375" style="163"/>
    <col min="3055" max="3055" width="6" style="163" customWidth="1"/>
    <col min="3056" max="3056" width="49.88671875" style="163" customWidth="1"/>
    <col min="3057" max="3057" width="12.6640625" style="163" customWidth="1"/>
    <col min="3058" max="3058" width="17.109375" style="163" customWidth="1"/>
    <col min="3059" max="3059" width="11.88671875" style="163" customWidth="1"/>
    <col min="3060" max="3061" width="0" style="163" hidden="1" customWidth="1"/>
    <col min="3062" max="3062" width="11.109375" style="163" customWidth="1"/>
    <col min="3063" max="3063" width="12.77734375" style="163" customWidth="1"/>
    <col min="3064" max="3064" width="14.77734375" style="163" customWidth="1"/>
    <col min="3065" max="3065" width="12.88671875" style="163" customWidth="1"/>
    <col min="3066" max="3066" width="11.6640625" style="163" customWidth="1"/>
    <col min="3067" max="3067" width="11.109375" style="163" customWidth="1"/>
    <col min="3068" max="3068" width="11.6640625" style="163" customWidth="1"/>
    <col min="3069" max="3069" width="0" style="163" hidden="1" customWidth="1"/>
    <col min="3070" max="3070" width="11.77734375" style="163" customWidth="1"/>
    <col min="3071" max="3072" width="0" style="163" hidden="1" customWidth="1"/>
    <col min="3073" max="3073" width="10" style="163" customWidth="1"/>
    <col min="3074" max="3076" width="0" style="163" hidden="1" customWidth="1"/>
    <col min="3077" max="3078" width="9.77734375" style="163" customWidth="1"/>
    <col min="3079" max="3079" width="10" style="163" customWidth="1"/>
    <col min="3080" max="3080" width="20.33203125" style="163" customWidth="1"/>
    <col min="3081" max="3084" width="0" style="163" hidden="1" customWidth="1"/>
    <col min="3085" max="3310" width="9.109375" style="163"/>
    <col min="3311" max="3311" width="6" style="163" customWidth="1"/>
    <col min="3312" max="3312" width="49.88671875" style="163" customWidth="1"/>
    <col min="3313" max="3313" width="12.6640625" style="163" customWidth="1"/>
    <col min="3314" max="3314" width="17.109375" style="163" customWidth="1"/>
    <col min="3315" max="3315" width="11.88671875" style="163" customWidth="1"/>
    <col min="3316" max="3317" width="0" style="163" hidden="1" customWidth="1"/>
    <col min="3318" max="3318" width="11.109375" style="163" customWidth="1"/>
    <col min="3319" max="3319" width="12.77734375" style="163" customWidth="1"/>
    <col min="3320" max="3320" width="14.77734375" style="163" customWidth="1"/>
    <col min="3321" max="3321" width="12.88671875" style="163" customWidth="1"/>
    <col min="3322" max="3322" width="11.6640625" style="163" customWidth="1"/>
    <col min="3323" max="3323" width="11.109375" style="163" customWidth="1"/>
    <col min="3324" max="3324" width="11.6640625" style="163" customWidth="1"/>
    <col min="3325" max="3325" width="0" style="163" hidden="1" customWidth="1"/>
    <col min="3326" max="3326" width="11.77734375" style="163" customWidth="1"/>
    <col min="3327" max="3328" width="0" style="163" hidden="1" customWidth="1"/>
    <col min="3329" max="3329" width="10" style="163" customWidth="1"/>
    <col min="3330" max="3332" width="0" style="163" hidden="1" customWidth="1"/>
    <col min="3333" max="3334" width="9.77734375" style="163" customWidth="1"/>
    <col min="3335" max="3335" width="10" style="163" customWidth="1"/>
    <col min="3336" max="3336" width="20.33203125" style="163" customWidth="1"/>
    <col min="3337" max="3340" width="0" style="163" hidden="1" customWidth="1"/>
    <col min="3341" max="3566" width="9.109375" style="163"/>
    <col min="3567" max="3567" width="6" style="163" customWidth="1"/>
    <col min="3568" max="3568" width="49.88671875" style="163" customWidth="1"/>
    <col min="3569" max="3569" width="12.6640625" style="163" customWidth="1"/>
    <col min="3570" max="3570" width="17.109375" style="163" customWidth="1"/>
    <col min="3571" max="3571" width="11.88671875" style="163" customWidth="1"/>
    <col min="3572" max="3573" width="0" style="163" hidden="1" customWidth="1"/>
    <col min="3574" max="3574" width="11.109375" style="163" customWidth="1"/>
    <col min="3575" max="3575" width="12.77734375" style="163" customWidth="1"/>
    <col min="3576" max="3576" width="14.77734375" style="163" customWidth="1"/>
    <col min="3577" max="3577" width="12.88671875" style="163" customWidth="1"/>
    <col min="3578" max="3578" width="11.6640625" style="163" customWidth="1"/>
    <col min="3579" max="3579" width="11.109375" style="163" customWidth="1"/>
    <col min="3580" max="3580" width="11.6640625" style="163" customWidth="1"/>
    <col min="3581" max="3581" width="0" style="163" hidden="1" customWidth="1"/>
    <col min="3582" max="3582" width="11.77734375" style="163" customWidth="1"/>
    <col min="3583" max="3584" width="0" style="163" hidden="1" customWidth="1"/>
    <col min="3585" max="3585" width="10" style="163" customWidth="1"/>
    <col min="3586" max="3588" width="0" style="163" hidden="1" customWidth="1"/>
    <col min="3589" max="3590" width="9.77734375" style="163" customWidth="1"/>
    <col min="3591" max="3591" width="10" style="163" customWidth="1"/>
    <col min="3592" max="3592" width="20.33203125" style="163" customWidth="1"/>
    <col min="3593" max="3596" width="0" style="163" hidden="1" customWidth="1"/>
    <col min="3597" max="3822" width="9.109375" style="163"/>
    <col min="3823" max="3823" width="6" style="163" customWidth="1"/>
    <col min="3824" max="3824" width="49.88671875" style="163" customWidth="1"/>
    <col min="3825" max="3825" width="12.6640625" style="163" customWidth="1"/>
    <col min="3826" max="3826" width="17.109375" style="163" customWidth="1"/>
    <col min="3827" max="3827" width="11.88671875" style="163" customWidth="1"/>
    <col min="3828" max="3829" width="0" style="163" hidden="1" customWidth="1"/>
    <col min="3830" max="3830" width="11.109375" style="163" customWidth="1"/>
    <col min="3831" max="3831" width="12.77734375" style="163" customWidth="1"/>
    <col min="3832" max="3832" width="14.77734375" style="163" customWidth="1"/>
    <col min="3833" max="3833" width="12.88671875" style="163" customWidth="1"/>
    <col min="3834" max="3834" width="11.6640625" style="163" customWidth="1"/>
    <col min="3835" max="3835" width="11.109375" style="163" customWidth="1"/>
    <col min="3836" max="3836" width="11.6640625" style="163" customWidth="1"/>
    <col min="3837" max="3837" width="0" style="163" hidden="1" customWidth="1"/>
    <col min="3838" max="3838" width="11.77734375" style="163" customWidth="1"/>
    <col min="3839" max="3840" width="0" style="163" hidden="1" customWidth="1"/>
    <col min="3841" max="3841" width="10" style="163" customWidth="1"/>
    <col min="3842" max="3844" width="0" style="163" hidden="1" customWidth="1"/>
    <col min="3845" max="3846" width="9.77734375" style="163" customWidth="1"/>
    <col min="3847" max="3847" width="10" style="163" customWidth="1"/>
    <col min="3848" max="3848" width="20.33203125" style="163" customWidth="1"/>
    <col min="3849" max="3852" width="0" style="163" hidden="1" customWidth="1"/>
    <col min="3853" max="4078" width="9.109375" style="163"/>
    <col min="4079" max="4079" width="6" style="163" customWidth="1"/>
    <col min="4080" max="4080" width="49.88671875" style="163" customWidth="1"/>
    <col min="4081" max="4081" width="12.6640625" style="163" customWidth="1"/>
    <col min="4082" max="4082" width="17.109375" style="163" customWidth="1"/>
    <col min="4083" max="4083" width="11.88671875" style="163" customWidth="1"/>
    <col min="4084" max="4085" width="0" style="163" hidden="1" customWidth="1"/>
    <col min="4086" max="4086" width="11.109375" style="163" customWidth="1"/>
    <col min="4087" max="4087" width="12.77734375" style="163" customWidth="1"/>
    <col min="4088" max="4088" width="14.77734375" style="163" customWidth="1"/>
    <col min="4089" max="4089" width="12.88671875" style="163" customWidth="1"/>
    <col min="4090" max="4090" width="11.6640625" style="163" customWidth="1"/>
    <col min="4091" max="4091" width="11.109375" style="163" customWidth="1"/>
    <col min="4092" max="4092" width="11.6640625" style="163" customWidth="1"/>
    <col min="4093" max="4093" width="0" style="163" hidden="1" customWidth="1"/>
    <col min="4094" max="4094" width="11.77734375" style="163" customWidth="1"/>
    <col min="4095" max="4096" width="0" style="163" hidden="1" customWidth="1"/>
    <col min="4097" max="4097" width="10" style="163" customWidth="1"/>
    <col min="4098" max="4100" width="0" style="163" hidden="1" customWidth="1"/>
    <col min="4101" max="4102" width="9.77734375" style="163" customWidth="1"/>
    <col min="4103" max="4103" width="10" style="163" customWidth="1"/>
    <col min="4104" max="4104" width="20.33203125" style="163" customWidth="1"/>
    <col min="4105" max="4108" width="0" style="163" hidden="1" customWidth="1"/>
    <col min="4109" max="4334" width="9.109375" style="163"/>
    <col min="4335" max="4335" width="6" style="163" customWidth="1"/>
    <col min="4336" max="4336" width="49.88671875" style="163" customWidth="1"/>
    <col min="4337" max="4337" width="12.6640625" style="163" customWidth="1"/>
    <col min="4338" max="4338" width="17.109375" style="163" customWidth="1"/>
    <col min="4339" max="4339" width="11.88671875" style="163" customWidth="1"/>
    <col min="4340" max="4341" width="0" style="163" hidden="1" customWidth="1"/>
    <col min="4342" max="4342" width="11.109375" style="163" customWidth="1"/>
    <col min="4343" max="4343" width="12.77734375" style="163" customWidth="1"/>
    <col min="4344" max="4344" width="14.77734375" style="163" customWidth="1"/>
    <col min="4345" max="4345" width="12.88671875" style="163" customWidth="1"/>
    <col min="4346" max="4346" width="11.6640625" style="163" customWidth="1"/>
    <col min="4347" max="4347" width="11.109375" style="163" customWidth="1"/>
    <col min="4348" max="4348" width="11.6640625" style="163" customWidth="1"/>
    <col min="4349" max="4349" width="0" style="163" hidden="1" customWidth="1"/>
    <col min="4350" max="4350" width="11.77734375" style="163" customWidth="1"/>
    <col min="4351" max="4352" width="0" style="163" hidden="1" customWidth="1"/>
    <col min="4353" max="4353" width="10" style="163" customWidth="1"/>
    <col min="4354" max="4356" width="0" style="163" hidden="1" customWidth="1"/>
    <col min="4357" max="4358" width="9.77734375" style="163" customWidth="1"/>
    <col min="4359" max="4359" width="10" style="163" customWidth="1"/>
    <col min="4360" max="4360" width="20.33203125" style="163" customWidth="1"/>
    <col min="4361" max="4364" width="0" style="163" hidden="1" customWidth="1"/>
    <col min="4365" max="4590" width="9.109375" style="163"/>
    <col min="4591" max="4591" width="6" style="163" customWidth="1"/>
    <col min="4592" max="4592" width="49.88671875" style="163" customWidth="1"/>
    <col min="4593" max="4593" width="12.6640625" style="163" customWidth="1"/>
    <col min="4594" max="4594" width="17.109375" style="163" customWidth="1"/>
    <col min="4595" max="4595" width="11.88671875" style="163" customWidth="1"/>
    <col min="4596" max="4597" width="0" style="163" hidden="1" customWidth="1"/>
    <col min="4598" max="4598" width="11.109375" style="163" customWidth="1"/>
    <col min="4599" max="4599" width="12.77734375" style="163" customWidth="1"/>
    <col min="4600" max="4600" width="14.77734375" style="163" customWidth="1"/>
    <col min="4601" max="4601" width="12.88671875" style="163" customWidth="1"/>
    <col min="4602" max="4602" width="11.6640625" style="163" customWidth="1"/>
    <col min="4603" max="4603" width="11.109375" style="163" customWidth="1"/>
    <col min="4604" max="4604" width="11.6640625" style="163" customWidth="1"/>
    <col min="4605" max="4605" width="0" style="163" hidden="1" customWidth="1"/>
    <col min="4606" max="4606" width="11.77734375" style="163" customWidth="1"/>
    <col min="4607" max="4608" width="0" style="163" hidden="1" customWidth="1"/>
    <col min="4609" max="4609" width="10" style="163" customWidth="1"/>
    <col min="4610" max="4612" width="0" style="163" hidden="1" customWidth="1"/>
    <col min="4613" max="4614" width="9.77734375" style="163" customWidth="1"/>
    <col min="4615" max="4615" width="10" style="163" customWidth="1"/>
    <col min="4616" max="4616" width="20.33203125" style="163" customWidth="1"/>
    <col min="4617" max="4620" width="0" style="163" hidden="1" customWidth="1"/>
    <col min="4621" max="4846" width="9.109375" style="163"/>
    <col min="4847" max="4847" width="6" style="163" customWidth="1"/>
    <col min="4848" max="4848" width="49.88671875" style="163" customWidth="1"/>
    <col min="4849" max="4849" width="12.6640625" style="163" customWidth="1"/>
    <col min="4850" max="4850" width="17.109375" style="163" customWidth="1"/>
    <col min="4851" max="4851" width="11.88671875" style="163" customWidth="1"/>
    <col min="4852" max="4853" width="0" style="163" hidden="1" customWidth="1"/>
    <col min="4854" max="4854" width="11.109375" style="163" customWidth="1"/>
    <col min="4855" max="4855" width="12.77734375" style="163" customWidth="1"/>
    <col min="4856" max="4856" width="14.77734375" style="163" customWidth="1"/>
    <col min="4857" max="4857" width="12.88671875" style="163" customWidth="1"/>
    <col min="4858" max="4858" width="11.6640625" style="163" customWidth="1"/>
    <col min="4859" max="4859" width="11.109375" style="163" customWidth="1"/>
    <col min="4860" max="4860" width="11.6640625" style="163" customWidth="1"/>
    <col min="4861" max="4861" width="0" style="163" hidden="1" customWidth="1"/>
    <col min="4862" max="4862" width="11.77734375" style="163" customWidth="1"/>
    <col min="4863" max="4864" width="0" style="163" hidden="1" customWidth="1"/>
    <col min="4865" max="4865" width="10" style="163" customWidth="1"/>
    <col min="4866" max="4868" width="0" style="163" hidden="1" customWidth="1"/>
    <col min="4869" max="4870" width="9.77734375" style="163" customWidth="1"/>
    <col min="4871" max="4871" width="10" style="163" customWidth="1"/>
    <col min="4872" max="4872" width="20.33203125" style="163" customWidth="1"/>
    <col min="4873" max="4876" width="0" style="163" hidden="1" customWidth="1"/>
    <col min="4877" max="5102" width="9.109375" style="163"/>
    <col min="5103" max="5103" width="6" style="163" customWidth="1"/>
    <col min="5104" max="5104" width="49.88671875" style="163" customWidth="1"/>
    <col min="5105" max="5105" width="12.6640625" style="163" customWidth="1"/>
    <col min="5106" max="5106" width="17.109375" style="163" customWidth="1"/>
    <col min="5107" max="5107" width="11.88671875" style="163" customWidth="1"/>
    <col min="5108" max="5109" width="0" style="163" hidden="1" customWidth="1"/>
    <col min="5110" max="5110" width="11.109375" style="163" customWidth="1"/>
    <col min="5111" max="5111" width="12.77734375" style="163" customWidth="1"/>
    <col min="5112" max="5112" width="14.77734375" style="163" customWidth="1"/>
    <col min="5113" max="5113" width="12.88671875" style="163" customWidth="1"/>
    <col min="5114" max="5114" width="11.6640625" style="163" customWidth="1"/>
    <col min="5115" max="5115" width="11.109375" style="163" customWidth="1"/>
    <col min="5116" max="5116" width="11.6640625" style="163" customWidth="1"/>
    <col min="5117" max="5117" width="0" style="163" hidden="1" customWidth="1"/>
    <col min="5118" max="5118" width="11.77734375" style="163" customWidth="1"/>
    <col min="5119" max="5120" width="0" style="163" hidden="1" customWidth="1"/>
    <col min="5121" max="5121" width="10" style="163" customWidth="1"/>
    <col min="5122" max="5124" width="0" style="163" hidden="1" customWidth="1"/>
    <col min="5125" max="5126" width="9.77734375" style="163" customWidth="1"/>
    <col min="5127" max="5127" width="10" style="163" customWidth="1"/>
    <col min="5128" max="5128" width="20.33203125" style="163" customWidth="1"/>
    <col min="5129" max="5132" width="0" style="163" hidden="1" customWidth="1"/>
    <col min="5133" max="5358" width="9.109375" style="163"/>
    <col min="5359" max="5359" width="6" style="163" customWidth="1"/>
    <col min="5360" max="5360" width="49.88671875" style="163" customWidth="1"/>
    <col min="5361" max="5361" width="12.6640625" style="163" customWidth="1"/>
    <col min="5362" max="5362" width="17.109375" style="163" customWidth="1"/>
    <col min="5363" max="5363" width="11.88671875" style="163" customWidth="1"/>
    <col min="5364" max="5365" width="0" style="163" hidden="1" customWidth="1"/>
    <col min="5366" max="5366" width="11.109375" style="163" customWidth="1"/>
    <col min="5367" max="5367" width="12.77734375" style="163" customWidth="1"/>
    <col min="5368" max="5368" width="14.77734375" style="163" customWidth="1"/>
    <col min="5369" max="5369" width="12.88671875" style="163" customWidth="1"/>
    <col min="5370" max="5370" width="11.6640625" style="163" customWidth="1"/>
    <col min="5371" max="5371" width="11.109375" style="163" customWidth="1"/>
    <col min="5372" max="5372" width="11.6640625" style="163" customWidth="1"/>
    <col min="5373" max="5373" width="0" style="163" hidden="1" customWidth="1"/>
    <col min="5374" max="5374" width="11.77734375" style="163" customWidth="1"/>
    <col min="5375" max="5376" width="0" style="163" hidden="1" customWidth="1"/>
    <col min="5377" max="5377" width="10" style="163" customWidth="1"/>
    <col min="5378" max="5380" width="0" style="163" hidden="1" customWidth="1"/>
    <col min="5381" max="5382" width="9.77734375" style="163" customWidth="1"/>
    <col min="5383" max="5383" width="10" style="163" customWidth="1"/>
    <col min="5384" max="5384" width="20.33203125" style="163" customWidth="1"/>
    <col min="5385" max="5388" width="0" style="163" hidden="1" customWidth="1"/>
    <col min="5389" max="5614" width="9.109375" style="163"/>
    <col min="5615" max="5615" width="6" style="163" customWidth="1"/>
    <col min="5616" max="5616" width="49.88671875" style="163" customWidth="1"/>
    <col min="5617" max="5617" width="12.6640625" style="163" customWidth="1"/>
    <col min="5618" max="5618" width="17.109375" style="163" customWidth="1"/>
    <col min="5619" max="5619" width="11.88671875" style="163" customWidth="1"/>
    <col min="5620" max="5621" width="0" style="163" hidden="1" customWidth="1"/>
    <col min="5622" max="5622" width="11.109375" style="163" customWidth="1"/>
    <col min="5623" max="5623" width="12.77734375" style="163" customWidth="1"/>
    <col min="5624" max="5624" width="14.77734375" style="163" customWidth="1"/>
    <col min="5625" max="5625" width="12.88671875" style="163" customWidth="1"/>
    <col min="5626" max="5626" width="11.6640625" style="163" customWidth="1"/>
    <col min="5627" max="5627" width="11.109375" style="163" customWidth="1"/>
    <col min="5628" max="5628" width="11.6640625" style="163" customWidth="1"/>
    <col min="5629" max="5629" width="0" style="163" hidden="1" customWidth="1"/>
    <col min="5630" max="5630" width="11.77734375" style="163" customWidth="1"/>
    <col min="5631" max="5632" width="0" style="163" hidden="1" customWidth="1"/>
    <col min="5633" max="5633" width="10" style="163" customWidth="1"/>
    <col min="5634" max="5636" width="0" style="163" hidden="1" customWidth="1"/>
    <col min="5637" max="5638" width="9.77734375" style="163" customWidth="1"/>
    <col min="5639" max="5639" width="10" style="163" customWidth="1"/>
    <col min="5640" max="5640" width="20.33203125" style="163" customWidth="1"/>
    <col min="5641" max="5644" width="0" style="163" hidden="1" customWidth="1"/>
    <col min="5645" max="5870" width="9.109375" style="163"/>
    <col min="5871" max="5871" width="6" style="163" customWidth="1"/>
    <col min="5872" max="5872" width="49.88671875" style="163" customWidth="1"/>
    <col min="5873" max="5873" width="12.6640625" style="163" customWidth="1"/>
    <col min="5874" max="5874" width="17.109375" style="163" customWidth="1"/>
    <col min="5875" max="5875" width="11.88671875" style="163" customWidth="1"/>
    <col min="5876" max="5877" width="0" style="163" hidden="1" customWidth="1"/>
    <col min="5878" max="5878" width="11.109375" style="163" customWidth="1"/>
    <col min="5879" max="5879" width="12.77734375" style="163" customWidth="1"/>
    <col min="5880" max="5880" width="14.77734375" style="163" customWidth="1"/>
    <col min="5881" max="5881" width="12.88671875" style="163" customWidth="1"/>
    <col min="5882" max="5882" width="11.6640625" style="163" customWidth="1"/>
    <col min="5883" max="5883" width="11.109375" style="163" customWidth="1"/>
    <col min="5884" max="5884" width="11.6640625" style="163" customWidth="1"/>
    <col min="5885" max="5885" width="0" style="163" hidden="1" customWidth="1"/>
    <col min="5886" max="5886" width="11.77734375" style="163" customWidth="1"/>
    <col min="5887" max="5888" width="0" style="163" hidden="1" customWidth="1"/>
    <col min="5889" max="5889" width="10" style="163" customWidth="1"/>
    <col min="5890" max="5892" width="0" style="163" hidden="1" customWidth="1"/>
    <col min="5893" max="5894" width="9.77734375" style="163" customWidth="1"/>
    <col min="5895" max="5895" width="10" style="163" customWidth="1"/>
    <col min="5896" max="5896" width="20.33203125" style="163" customWidth="1"/>
    <col min="5897" max="5900" width="0" style="163" hidden="1" customWidth="1"/>
    <col min="5901" max="6126" width="9.109375" style="163"/>
    <col min="6127" max="6127" width="6" style="163" customWidth="1"/>
    <col min="6128" max="6128" width="49.88671875" style="163" customWidth="1"/>
    <col min="6129" max="6129" width="12.6640625" style="163" customWidth="1"/>
    <col min="6130" max="6130" width="17.109375" style="163" customWidth="1"/>
    <col min="6131" max="6131" width="11.88671875" style="163" customWidth="1"/>
    <col min="6132" max="6133" width="0" style="163" hidden="1" customWidth="1"/>
    <col min="6134" max="6134" width="11.109375" style="163" customWidth="1"/>
    <col min="6135" max="6135" width="12.77734375" style="163" customWidth="1"/>
    <col min="6136" max="6136" width="14.77734375" style="163" customWidth="1"/>
    <col min="6137" max="6137" width="12.88671875" style="163" customWidth="1"/>
    <col min="6138" max="6138" width="11.6640625" style="163" customWidth="1"/>
    <col min="6139" max="6139" width="11.109375" style="163" customWidth="1"/>
    <col min="6140" max="6140" width="11.6640625" style="163" customWidth="1"/>
    <col min="6141" max="6141" width="0" style="163" hidden="1" customWidth="1"/>
    <col min="6142" max="6142" width="11.77734375" style="163" customWidth="1"/>
    <col min="6143" max="6144" width="0" style="163" hidden="1" customWidth="1"/>
    <col min="6145" max="6145" width="10" style="163" customWidth="1"/>
    <col min="6146" max="6148" width="0" style="163" hidden="1" customWidth="1"/>
    <col min="6149" max="6150" width="9.77734375" style="163" customWidth="1"/>
    <col min="6151" max="6151" width="10" style="163" customWidth="1"/>
    <col min="6152" max="6152" width="20.33203125" style="163" customWidth="1"/>
    <col min="6153" max="6156" width="0" style="163" hidden="1" customWidth="1"/>
    <col min="6157" max="6382" width="9.109375" style="163"/>
    <col min="6383" max="6383" width="6" style="163" customWidth="1"/>
    <col min="6384" max="6384" width="49.88671875" style="163" customWidth="1"/>
    <col min="6385" max="6385" width="12.6640625" style="163" customWidth="1"/>
    <col min="6386" max="6386" width="17.109375" style="163" customWidth="1"/>
    <col min="6387" max="6387" width="11.88671875" style="163" customWidth="1"/>
    <col min="6388" max="6389" width="0" style="163" hidden="1" customWidth="1"/>
    <col min="6390" max="6390" width="11.109375" style="163" customWidth="1"/>
    <col min="6391" max="6391" width="12.77734375" style="163" customWidth="1"/>
    <col min="6392" max="6392" width="14.77734375" style="163" customWidth="1"/>
    <col min="6393" max="6393" width="12.88671875" style="163" customWidth="1"/>
    <col min="6394" max="6394" width="11.6640625" style="163" customWidth="1"/>
    <col min="6395" max="6395" width="11.109375" style="163" customWidth="1"/>
    <col min="6396" max="6396" width="11.6640625" style="163" customWidth="1"/>
    <col min="6397" max="6397" width="0" style="163" hidden="1" customWidth="1"/>
    <col min="6398" max="6398" width="11.77734375" style="163" customWidth="1"/>
    <col min="6399" max="6400" width="0" style="163" hidden="1" customWidth="1"/>
    <col min="6401" max="6401" width="10" style="163" customWidth="1"/>
    <col min="6402" max="6404" width="0" style="163" hidden="1" customWidth="1"/>
    <col min="6405" max="6406" width="9.77734375" style="163" customWidth="1"/>
    <col min="6407" max="6407" width="10" style="163" customWidth="1"/>
    <col min="6408" max="6408" width="20.33203125" style="163" customWidth="1"/>
    <col min="6409" max="6412" width="0" style="163" hidden="1" customWidth="1"/>
    <col min="6413" max="6638" width="9.109375" style="163"/>
    <col min="6639" max="6639" width="6" style="163" customWidth="1"/>
    <col min="6640" max="6640" width="49.88671875" style="163" customWidth="1"/>
    <col min="6641" max="6641" width="12.6640625" style="163" customWidth="1"/>
    <col min="6642" max="6642" width="17.109375" style="163" customWidth="1"/>
    <col min="6643" max="6643" width="11.88671875" style="163" customWidth="1"/>
    <col min="6644" max="6645" width="0" style="163" hidden="1" customWidth="1"/>
    <col min="6646" max="6646" width="11.109375" style="163" customWidth="1"/>
    <col min="6647" max="6647" width="12.77734375" style="163" customWidth="1"/>
    <col min="6648" max="6648" width="14.77734375" style="163" customWidth="1"/>
    <col min="6649" max="6649" width="12.88671875" style="163" customWidth="1"/>
    <col min="6650" max="6650" width="11.6640625" style="163" customWidth="1"/>
    <col min="6651" max="6651" width="11.109375" style="163" customWidth="1"/>
    <col min="6652" max="6652" width="11.6640625" style="163" customWidth="1"/>
    <col min="6653" max="6653" width="0" style="163" hidden="1" customWidth="1"/>
    <col min="6654" max="6654" width="11.77734375" style="163" customWidth="1"/>
    <col min="6655" max="6656" width="0" style="163" hidden="1" customWidth="1"/>
    <col min="6657" max="6657" width="10" style="163" customWidth="1"/>
    <col min="6658" max="6660" width="0" style="163" hidden="1" customWidth="1"/>
    <col min="6661" max="6662" width="9.77734375" style="163" customWidth="1"/>
    <col min="6663" max="6663" width="10" style="163" customWidth="1"/>
    <col min="6664" max="6664" width="20.33203125" style="163" customWidth="1"/>
    <col min="6665" max="6668" width="0" style="163" hidden="1" customWidth="1"/>
    <col min="6669" max="6894" width="9.109375" style="163"/>
    <col min="6895" max="6895" width="6" style="163" customWidth="1"/>
    <col min="6896" max="6896" width="49.88671875" style="163" customWidth="1"/>
    <col min="6897" max="6897" width="12.6640625" style="163" customWidth="1"/>
    <col min="6898" max="6898" width="17.109375" style="163" customWidth="1"/>
    <col min="6899" max="6899" width="11.88671875" style="163" customWidth="1"/>
    <col min="6900" max="6901" width="0" style="163" hidden="1" customWidth="1"/>
    <col min="6902" max="6902" width="11.109375" style="163" customWidth="1"/>
    <col min="6903" max="6903" width="12.77734375" style="163" customWidth="1"/>
    <col min="6904" max="6904" width="14.77734375" style="163" customWidth="1"/>
    <col min="6905" max="6905" width="12.88671875" style="163" customWidth="1"/>
    <col min="6906" max="6906" width="11.6640625" style="163" customWidth="1"/>
    <col min="6907" max="6907" width="11.109375" style="163" customWidth="1"/>
    <col min="6908" max="6908" width="11.6640625" style="163" customWidth="1"/>
    <col min="6909" max="6909" width="0" style="163" hidden="1" customWidth="1"/>
    <col min="6910" max="6910" width="11.77734375" style="163" customWidth="1"/>
    <col min="6911" max="6912" width="0" style="163" hidden="1" customWidth="1"/>
    <col min="6913" max="6913" width="10" style="163" customWidth="1"/>
    <col min="6914" max="6916" width="0" style="163" hidden="1" customWidth="1"/>
    <col min="6917" max="6918" width="9.77734375" style="163" customWidth="1"/>
    <col min="6919" max="6919" width="10" style="163" customWidth="1"/>
    <col min="6920" max="6920" width="20.33203125" style="163" customWidth="1"/>
    <col min="6921" max="6924" width="0" style="163" hidden="1" customWidth="1"/>
    <col min="6925" max="7150" width="9.109375" style="163"/>
    <col min="7151" max="7151" width="6" style="163" customWidth="1"/>
    <col min="7152" max="7152" width="49.88671875" style="163" customWidth="1"/>
    <col min="7153" max="7153" width="12.6640625" style="163" customWidth="1"/>
    <col min="7154" max="7154" width="17.109375" style="163" customWidth="1"/>
    <col min="7155" max="7155" width="11.88671875" style="163" customWidth="1"/>
    <col min="7156" max="7157" width="0" style="163" hidden="1" customWidth="1"/>
    <col min="7158" max="7158" width="11.109375" style="163" customWidth="1"/>
    <col min="7159" max="7159" width="12.77734375" style="163" customWidth="1"/>
    <col min="7160" max="7160" width="14.77734375" style="163" customWidth="1"/>
    <col min="7161" max="7161" width="12.88671875" style="163" customWidth="1"/>
    <col min="7162" max="7162" width="11.6640625" style="163" customWidth="1"/>
    <col min="7163" max="7163" width="11.109375" style="163" customWidth="1"/>
    <col min="7164" max="7164" width="11.6640625" style="163" customWidth="1"/>
    <col min="7165" max="7165" width="0" style="163" hidden="1" customWidth="1"/>
    <col min="7166" max="7166" width="11.77734375" style="163" customWidth="1"/>
    <col min="7167" max="7168" width="0" style="163" hidden="1" customWidth="1"/>
    <col min="7169" max="7169" width="10" style="163" customWidth="1"/>
    <col min="7170" max="7172" width="0" style="163" hidden="1" customWidth="1"/>
    <col min="7173" max="7174" width="9.77734375" style="163" customWidth="1"/>
    <col min="7175" max="7175" width="10" style="163" customWidth="1"/>
    <col min="7176" max="7176" width="20.33203125" style="163" customWidth="1"/>
    <col min="7177" max="7180" width="0" style="163" hidden="1" customWidth="1"/>
    <col min="7181" max="7406" width="9.109375" style="163"/>
    <col min="7407" max="7407" width="6" style="163" customWidth="1"/>
    <col min="7408" max="7408" width="49.88671875" style="163" customWidth="1"/>
    <col min="7409" max="7409" width="12.6640625" style="163" customWidth="1"/>
    <col min="7410" max="7410" width="17.109375" style="163" customWidth="1"/>
    <col min="7411" max="7411" width="11.88671875" style="163" customWidth="1"/>
    <col min="7412" max="7413" width="0" style="163" hidden="1" customWidth="1"/>
    <col min="7414" max="7414" width="11.109375" style="163" customWidth="1"/>
    <col min="7415" max="7415" width="12.77734375" style="163" customWidth="1"/>
    <col min="7416" max="7416" width="14.77734375" style="163" customWidth="1"/>
    <col min="7417" max="7417" width="12.88671875" style="163" customWidth="1"/>
    <col min="7418" max="7418" width="11.6640625" style="163" customWidth="1"/>
    <col min="7419" max="7419" width="11.109375" style="163" customWidth="1"/>
    <col min="7420" max="7420" width="11.6640625" style="163" customWidth="1"/>
    <col min="7421" max="7421" width="0" style="163" hidden="1" customWidth="1"/>
    <col min="7422" max="7422" width="11.77734375" style="163" customWidth="1"/>
    <col min="7423" max="7424" width="0" style="163" hidden="1" customWidth="1"/>
    <col min="7425" max="7425" width="10" style="163" customWidth="1"/>
    <col min="7426" max="7428" width="0" style="163" hidden="1" customWidth="1"/>
    <col min="7429" max="7430" width="9.77734375" style="163" customWidth="1"/>
    <col min="7431" max="7431" width="10" style="163" customWidth="1"/>
    <col min="7432" max="7432" width="20.33203125" style="163" customWidth="1"/>
    <col min="7433" max="7436" width="0" style="163" hidden="1" customWidth="1"/>
    <col min="7437" max="7662" width="9.109375" style="163"/>
    <col min="7663" max="7663" width="6" style="163" customWidth="1"/>
    <col min="7664" max="7664" width="49.88671875" style="163" customWidth="1"/>
    <col min="7665" max="7665" width="12.6640625" style="163" customWidth="1"/>
    <col min="7666" max="7666" width="17.109375" style="163" customWidth="1"/>
    <col min="7667" max="7667" width="11.88671875" style="163" customWidth="1"/>
    <col min="7668" max="7669" width="0" style="163" hidden="1" customWidth="1"/>
    <col min="7670" max="7670" width="11.109375" style="163" customWidth="1"/>
    <col min="7671" max="7671" width="12.77734375" style="163" customWidth="1"/>
    <col min="7672" max="7672" width="14.77734375" style="163" customWidth="1"/>
    <col min="7673" max="7673" width="12.88671875" style="163" customWidth="1"/>
    <col min="7674" max="7674" width="11.6640625" style="163" customWidth="1"/>
    <col min="7675" max="7675" width="11.109375" style="163" customWidth="1"/>
    <col min="7676" max="7676" width="11.6640625" style="163" customWidth="1"/>
    <col min="7677" max="7677" width="0" style="163" hidden="1" customWidth="1"/>
    <col min="7678" max="7678" width="11.77734375" style="163" customWidth="1"/>
    <col min="7679" max="7680" width="0" style="163" hidden="1" customWidth="1"/>
    <col min="7681" max="7681" width="10" style="163" customWidth="1"/>
    <col min="7682" max="7684" width="0" style="163" hidden="1" customWidth="1"/>
    <col min="7685" max="7686" width="9.77734375" style="163" customWidth="1"/>
    <col min="7687" max="7687" width="10" style="163" customWidth="1"/>
    <col min="7688" max="7688" width="20.33203125" style="163" customWidth="1"/>
    <col min="7689" max="7692" width="0" style="163" hidden="1" customWidth="1"/>
    <col min="7693" max="7918" width="9.109375" style="163"/>
    <col min="7919" max="7919" width="6" style="163" customWidth="1"/>
    <col min="7920" max="7920" width="49.88671875" style="163" customWidth="1"/>
    <col min="7921" max="7921" width="12.6640625" style="163" customWidth="1"/>
    <col min="7922" max="7922" width="17.109375" style="163" customWidth="1"/>
    <col min="7923" max="7923" width="11.88671875" style="163" customWidth="1"/>
    <col min="7924" max="7925" width="0" style="163" hidden="1" customWidth="1"/>
    <col min="7926" max="7926" width="11.109375" style="163" customWidth="1"/>
    <col min="7927" max="7927" width="12.77734375" style="163" customWidth="1"/>
    <col min="7928" max="7928" width="14.77734375" style="163" customWidth="1"/>
    <col min="7929" max="7929" width="12.88671875" style="163" customWidth="1"/>
    <col min="7930" max="7930" width="11.6640625" style="163" customWidth="1"/>
    <col min="7931" max="7931" width="11.109375" style="163" customWidth="1"/>
    <col min="7932" max="7932" width="11.6640625" style="163" customWidth="1"/>
    <col min="7933" max="7933" width="0" style="163" hidden="1" customWidth="1"/>
    <col min="7934" max="7934" width="11.77734375" style="163" customWidth="1"/>
    <col min="7935" max="7936" width="0" style="163" hidden="1" customWidth="1"/>
    <col min="7937" max="7937" width="10" style="163" customWidth="1"/>
    <col min="7938" max="7940" width="0" style="163" hidden="1" customWidth="1"/>
    <col min="7941" max="7942" width="9.77734375" style="163" customWidth="1"/>
    <col min="7943" max="7943" width="10" style="163" customWidth="1"/>
    <col min="7944" max="7944" width="20.33203125" style="163" customWidth="1"/>
    <col min="7945" max="7948" width="0" style="163" hidden="1" customWidth="1"/>
    <col min="7949" max="8174" width="9.109375" style="163"/>
    <col min="8175" max="8175" width="6" style="163" customWidth="1"/>
    <col min="8176" max="8176" width="49.88671875" style="163" customWidth="1"/>
    <col min="8177" max="8177" width="12.6640625" style="163" customWidth="1"/>
    <col min="8178" max="8178" width="17.109375" style="163" customWidth="1"/>
    <col min="8179" max="8179" width="11.88671875" style="163" customWidth="1"/>
    <col min="8180" max="8181" width="0" style="163" hidden="1" customWidth="1"/>
    <col min="8182" max="8182" width="11.109375" style="163" customWidth="1"/>
    <col min="8183" max="8183" width="12.77734375" style="163" customWidth="1"/>
    <col min="8184" max="8184" width="14.77734375" style="163" customWidth="1"/>
    <col min="8185" max="8185" width="12.88671875" style="163" customWidth="1"/>
    <col min="8186" max="8186" width="11.6640625" style="163" customWidth="1"/>
    <col min="8187" max="8187" width="11.109375" style="163" customWidth="1"/>
    <col min="8188" max="8188" width="11.6640625" style="163" customWidth="1"/>
    <col min="8189" max="8189" width="0" style="163" hidden="1" customWidth="1"/>
    <col min="8190" max="8190" width="11.77734375" style="163" customWidth="1"/>
    <col min="8191" max="8192" width="0" style="163" hidden="1" customWidth="1"/>
    <col min="8193" max="8193" width="10" style="163" customWidth="1"/>
    <col min="8194" max="8196" width="0" style="163" hidden="1" customWidth="1"/>
    <col min="8197" max="8198" width="9.77734375" style="163" customWidth="1"/>
    <col min="8199" max="8199" width="10" style="163" customWidth="1"/>
    <col min="8200" max="8200" width="20.33203125" style="163" customWidth="1"/>
    <col min="8201" max="8204" width="0" style="163" hidden="1" customWidth="1"/>
    <col min="8205" max="8430" width="9.109375" style="163"/>
    <col min="8431" max="8431" width="6" style="163" customWidth="1"/>
    <col min="8432" max="8432" width="49.88671875" style="163" customWidth="1"/>
    <col min="8433" max="8433" width="12.6640625" style="163" customWidth="1"/>
    <col min="8434" max="8434" width="17.109375" style="163" customWidth="1"/>
    <col min="8435" max="8435" width="11.88671875" style="163" customWidth="1"/>
    <col min="8436" max="8437" width="0" style="163" hidden="1" customWidth="1"/>
    <col min="8438" max="8438" width="11.109375" style="163" customWidth="1"/>
    <col min="8439" max="8439" width="12.77734375" style="163" customWidth="1"/>
    <col min="8440" max="8440" width="14.77734375" style="163" customWidth="1"/>
    <col min="8441" max="8441" width="12.88671875" style="163" customWidth="1"/>
    <col min="8442" max="8442" width="11.6640625" style="163" customWidth="1"/>
    <col min="8443" max="8443" width="11.109375" style="163" customWidth="1"/>
    <col min="8444" max="8444" width="11.6640625" style="163" customWidth="1"/>
    <col min="8445" max="8445" width="0" style="163" hidden="1" customWidth="1"/>
    <col min="8446" max="8446" width="11.77734375" style="163" customWidth="1"/>
    <col min="8447" max="8448" width="0" style="163" hidden="1" customWidth="1"/>
    <col min="8449" max="8449" width="10" style="163" customWidth="1"/>
    <col min="8450" max="8452" width="0" style="163" hidden="1" customWidth="1"/>
    <col min="8453" max="8454" width="9.77734375" style="163" customWidth="1"/>
    <col min="8455" max="8455" width="10" style="163" customWidth="1"/>
    <col min="8456" max="8456" width="20.33203125" style="163" customWidth="1"/>
    <col min="8457" max="8460" width="0" style="163" hidden="1" customWidth="1"/>
    <col min="8461" max="8686" width="9.109375" style="163"/>
    <col min="8687" max="8687" width="6" style="163" customWidth="1"/>
    <col min="8688" max="8688" width="49.88671875" style="163" customWidth="1"/>
    <col min="8689" max="8689" width="12.6640625" style="163" customWidth="1"/>
    <col min="8690" max="8690" width="17.109375" style="163" customWidth="1"/>
    <col min="8691" max="8691" width="11.88671875" style="163" customWidth="1"/>
    <col min="8692" max="8693" width="0" style="163" hidden="1" customWidth="1"/>
    <col min="8694" max="8694" width="11.109375" style="163" customWidth="1"/>
    <col min="8695" max="8695" width="12.77734375" style="163" customWidth="1"/>
    <col min="8696" max="8696" width="14.77734375" style="163" customWidth="1"/>
    <col min="8697" max="8697" width="12.88671875" style="163" customWidth="1"/>
    <col min="8698" max="8698" width="11.6640625" style="163" customWidth="1"/>
    <col min="8699" max="8699" width="11.109375" style="163" customWidth="1"/>
    <col min="8700" max="8700" width="11.6640625" style="163" customWidth="1"/>
    <col min="8701" max="8701" width="0" style="163" hidden="1" customWidth="1"/>
    <col min="8702" max="8702" width="11.77734375" style="163" customWidth="1"/>
    <col min="8703" max="8704" width="0" style="163" hidden="1" customWidth="1"/>
    <col min="8705" max="8705" width="10" style="163" customWidth="1"/>
    <col min="8706" max="8708" width="0" style="163" hidden="1" customWidth="1"/>
    <col min="8709" max="8710" width="9.77734375" style="163" customWidth="1"/>
    <col min="8711" max="8711" width="10" style="163" customWidth="1"/>
    <col min="8712" max="8712" width="20.33203125" style="163" customWidth="1"/>
    <col min="8713" max="8716" width="0" style="163" hidden="1" customWidth="1"/>
    <col min="8717" max="8942" width="9.109375" style="163"/>
    <col min="8943" max="8943" width="6" style="163" customWidth="1"/>
    <col min="8944" max="8944" width="49.88671875" style="163" customWidth="1"/>
    <col min="8945" max="8945" width="12.6640625" style="163" customWidth="1"/>
    <col min="8946" max="8946" width="17.109375" style="163" customWidth="1"/>
    <col min="8947" max="8947" width="11.88671875" style="163" customWidth="1"/>
    <col min="8948" max="8949" width="0" style="163" hidden="1" customWidth="1"/>
    <col min="8950" max="8950" width="11.109375" style="163" customWidth="1"/>
    <col min="8951" max="8951" width="12.77734375" style="163" customWidth="1"/>
    <col min="8952" max="8952" width="14.77734375" style="163" customWidth="1"/>
    <col min="8953" max="8953" width="12.88671875" style="163" customWidth="1"/>
    <col min="8954" max="8954" width="11.6640625" style="163" customWidth="1"/>
    <col min="8955" max="8955" width="11.109375" style="163" customWidth="1"/>
    <col min="8956" max="8956" width="11.6640625" style="163" customWidth="1"/>
    <col min="8957" max="8957" width="0" style="163" hidden="1" customWidth="1"/>
    <col min="8958" max="8958" width="11.77734375" style="163" customWidth="1"/>
    <col min="8959" max="8960" width="0" style="163" hidden="1" customWidth="1"/>
    <col min="8961" max="8961" width="10" style="163" customWidth="1"/>
    <col min="8962" max="8964" width="0" style="163" hidden="1" customWidth="1"/>
    <col min="8965" max="8966" width="9.77734375" style="163" customWidth="1"/>
    <col min="8967" max="8967" width="10" style="163" customWidth="1"/>
    <col min="8968" max="8968" width="20.33203125" style="163" customWidth="1"/>
    <col min="8969" max="8972" width="0" style="163" hidden="1" customWidth="1"/>
    <col min="8973" max="9198" width="9.109375" style="163"/>
    <col min="9199" max="9199" width="6" style="163" customWidth="1"/>
    <col min="9200" max="9200" width="49.88671875" style="163" customWidth="1"/>
    <col min="9201" max="9201" width="12.6640625" style="163" customWidth="1"/>
    <col min="9202" max="9202" width="17.109375" style="163" customWidth="1"/>
    <col min="9203" max="9203" width="11.88671875" style="163" customWidth="1"/>
    <col min="9204" max="9205" width="0" style="163" hidden="1" customWidth="1"/>
    <col min="9206" max="9206" width="11.109375" style="163" customWidth="1"/>
    <col min="9207" max="9207" width="12.77734375" style="163" customWidth="1"/>
    <col min="9208" max="9208" width="14.77734375" style="163" customWidth="1"/>
    <col min="9209" max="9209" width="12.88671875" style="163" customWidth="1"/>
    <col min="9210" max="9210" width="11.6640625" style="163" customWidth="1"/>
    <col min="9211" max="9211" width="11.109375" style="163" customWidth="1"/>
    <col min="9212" max="9212" width="11.6640625" style="163" customWidth="1"/>
    <col min="9213" max="9213" width="0" style="163" hidden="1" customWidth="1"/>
    <col min="9214" max="9214" width="11.77734375" style="163" customWidth="1"/>
    <col min="9215" max="9216" width="0" style="163" hidden="1" customWidth="1"/>
    <col min="9217" max="9217" width="10" style="163" customWidth="1"/>
    <col min="9218" max="9220" width="0" style="163" hidden="1" customWidth="1"/>
    <col min="9221" max="9222" width="9.77734375" style="163" customWidth="1"/>
    <col min="9223" max="9223" width="10" style="163" customWidth="1"/>
    <col min="9224" max="9224" width="20.33203125" style="163" customWidth="1"/>
    <col min="9225" max="9228" width="0" style="163" hidden="1" customWidth="1"/>
    <col min="9229" max="9454" width="9.109375" style="163"/>
    <col min="9455" max="9455" width="6" style="163" customWidth="1"/>
    <col min="9456" max="9456" width="49.88671875" style="163" customWidth="1"/>
    <col min="9457" max="9457" width="12.6640625" style="163" customWidth="1"/>
    <col min="9458" max="9458" width="17.109375" style="163" customWidth="1"/>
    <col min="9459" max="9459" width="11.88671875" style="163" customWidth="1"/>
    <col min="9460" max="9461" width="0" style="163" hidden="1" customWidth="1"/>
    <col min="9462" max="9462" width="11.109375" style="163" customWidth="1"/>
    <col min="9463" max="9463" width="12.77734375" style="163" customWidth="1"/>
    <col min="9464" max="9464" width="14.77734375" style="163" customWidth="1"/>
    <col min="9465" max="9465" width="12.88671875" style="163" customWidth="1"/>
    <col min="9466" max="9466" width="11.6640625" style="163" customWidth="1"/>
    <col min="9467" max="9467" width="11.109375" style="163" customWidth="1"/>
    <col min="9468" max="9468" width="11.6640625" style="163" customWidth="1"/>
    <col min="9469" max="9469" width="0" style="163" hidden="1" customWidth="1"/>
    <col min="9470" max="9470" width="11.77734375" style="163" customWidth="1"/>
    <col min="9471" max="9472" width="0" style="163" hidden="1" customWidth="1"/>
    <col min="9473" max="9473" width="10" style="163" customWidth="1"/>
    <col min="9474" max="9476" width="0" style="163" hidden="1" customWidth="1"/>
    <col min="9477" max="9478" width="9.77734375" style="163" customWidth="1"/>
    <col min="9479" max="9479" width="10" style="163" customWidth="1"/>
    <col min="9480" max="9480" width="20.33203125" style="163" customWidth="1"/>
    <col min="9481" max="9484" width="0" style="163" hidden="1" customWidth="1"/>
    <col min="9485" max="9710" width="9.109375" style="163"/>
    <col min="9711" max="9711" width="6" style="163" customWidth="1"/>
    <col min="9712" max="9712" width="49.88671875" style="163" customWidth="1"/>
    <col min="9713" max="9713" width="12.6640625" style="163" customWidth="1"/>
    <col min="9714" max="9714" width="17.109375" style="163" customWidth="1"/>
    <col min="9715" max="9715" width="11.88671875" style="163" customWidth="1"/>
    <col min="9716" max="9717" width="0" style="163" hidden="1" customWidth="1"/>
    <col min="9718" max="9718" width="11.109375" style="163" customWidth="1"/>
    <col min="9719" max="9719" width="12.77734375" style="163" customWidth="1"/>
    <col min="9720" max="9720" width="14.77734375" style="163" customWidth="1"/>
    <col min="9721" max="9721" width="12.88671875" style="163" customWidth="1"/>
    <col min="9722" max="9722" width="11.6640625" style="163" customWidth="1"/>
    <col min="9723" max="9723" width="11.109375" style="163" customWidth="1"/>
    <col min="9724" max="9724" width="11.6640625" style="163" customWidth="1"/>
    <col min="9725" max="9725" width="0" style="163" hidden="1" customWidth="1"/>
    <col min="9726" max="9726" width="11.77734375" style="163" customWidth="1"/>
    <col min="9727" max="9728" width="0" style="163" hidden="1" customWidth="1"/>
    <col min="9729" max="9729" width="10" style="163" customWidth="1"/>
    <col min="9730" max="9732" width="0" style="163" hidden="1" customWidth="1"/>
    <col min="9733" max="9734" width="9.77734375" style="163" customWidth="1"/>
    <col min="9735" max="9735" width="10" style="163" customWidth="1"/>
    <col min="9736" max="9736" width="20.33203125" style="163" customWidth="1"/>
    <col min="9737" max="9740" width="0" style="163" hidden="1" customWidth="1"/>
    <col min="9741" max="9966" width="9.109375" style="163"/>
    <col min="9967" max="9967" width="6" style="163" customWidth="1"/>
    <col min="9968" max="9968" width="49.88671875" style="163" customWidth="1"/>
    <col min="9969" max="9969" width="12.6640625" style="163" customWidth="1"/>
    <col min="9970" max="9970" width="17.109375" style="163" customWidth="1"/>
    <col min="9971" max="9971" width="11.88671875" style="163" customWidth="1"/>
    <col min="9972" max="9973" width="0" style="163" hidden="1" customWidth="1"/>
    <col min="9974" max="9974" width="11.109375" style="163" customWidth="1"/>
    <col min="9975" max="9975" width="12.77734375" style="163" customWidth="1"/>
    <col min="9976" max="9976" width="14.77734375" style="163" customWidth="1"/>
    <col min="9977" max="9977" width="12.88671875" style="163" customWidth="1"/>
    <col min="9978" max="9978" width="11.6640625" style="163" customWidth="1"/>
    <col min="9979" max="9979" width="11.109375" style="163" customWidth="1"/>
    <col min="9980" max="9980" width="11.6640625" style="163" customWidth="1"/>
    <col min="9981" max="9981" width="0" style="163" hidden="1" customWidth="1"/>
    <col min="9982" max="9982" width="11.77734375" style="163" customWidth="1"/>
    <col min="9983" max="9984" width="0" style="163" hidden="1" customWidth="1"/>
    <col min="9985" max="9985" width="10" style="163" customWidth="1"/>
    <col min="9986" max="9988" width="0" style="163" hidden="1" customWidth="1"/>
    <col min="9989" max="9990" width="9.77734375" style="163" customWidth="1"/>
    <col min="9991" max="9991" width="10" style="163" customWidth="1"/>
    <col min="9992" max="9992" width="20.33203125" style="163" customWidth="1"/>
    <col min="9993" max="9996" width="0" style="163" hidden="1" customWidth="1"/>
    <col min="9997" max="10222" width="9.109375" style="163"/>
    <col min="10223" max="10223" width="6" style="163" customWidth="1"/>
    <col min="10224" max="10224" width="49.88671875" style="163" customWidth="1"/>
    <col min="10225" max="10225" width="12.6640625" style="163" customWidth="1"/>
    <col min="10226" max="10226" width="17.109375" style="163" customWidth="1"/>
    <col min="10227" max="10227" width="11.88671875" style="163" customWidth="1"/>
    <col min="10228" max="10229" width="0" style="163" hidden="1" customWidth="1"/>
    <col min="10230" max="10230" width="11.109375" style="163" customWidth="1"/>
    <col min="10231" max="10231" width="12.77734375" style="163" customWidth="1"/>
    <col min="10232" max="10232" width="14.77734375" style="163" customWidth="1"/>
    <col min="10233" max="10233" width="12.88671875" style="163" customWidth="1"/>
    <col min="10234" max="10234" width="11.6640625" style="163" customWidth="1"/>
    <col min="10235" max="10235" width="11.109375" style="163" customWidth="1"/>
    <col min="10236" max="10236" width="11.6640625" style="163" customWidth="1"/>
    <col min="10237" max="10237" width="0" style="163" hidden="1" customWidth="1"/>
    <col min="10238" max="10238" width="11.77734375" style="163" customWidth="1"/>
    <col min="10239" max="10240" width="0" style="163" hidden="1" customWidth="1"/>
    <col min="10241" max="10241" width="10" style="163" customWidth="1"/>
    <col min="10242" max="10244" width="0" style="163" hidden="1" customWidth="1"/>
    <col min="10245" max="10246" width="9.77734375" style="163" customWidth="1"/>
    <col min="10247" max="10247" width="10" style="163" customWidth="1"/>
    <col min="10248" max="10248" width="20.33203125" style="163" customWidth="1"/>
    <col min="10249" max="10252" width="0" style="163" hidden="1" customWidth="1"/>
    <col min="10253" max="10478" width="9.109375" style="163"/>
    <col min="10479" max="10479" width="6" style="163" customWidth="1"/>
    <col min="10480" max="10480" width="49.88671875" style="163" customWidth="1"/>
    <col min="10481" max="10481" width="12.6640625" style="163" customWidth="1"/>
    <col min="10482" max="10482" width="17.109375" style="163" customWidth="1"/>
    <col min="10483" max="10483" width="11.88671875" style="163" customWidth="1"/>
    <col min="10484" max="10485" width="0" style="163" hidden="1" customWidth="1"/>
    <col min="10486" max="10486" width="11.109375" style="163" customWidth="1"/>
    <col min="10487" max="10487" width="12.77734375" style="163" customWidth="1"/>
    <col min="10488" max="10488" width="14.77734375" style="163" customWidth="1"/>
    <col min="10489" max="10489" width="12.88671875" style="163" customWidth="1"/>
    <col min="10490" max="10490" width="11.6640625" style="163" customWidth="1"/>
    <col min="10491" max="10491" width="11.109375" style="163" customWidth="1"/>
    <col min="10492" max="10492" width="11.6640625" style="163" customWidth="1"/>
    <col min="10493" max="10493" width="0" style="163" hidden="1" customWidth="1"/>
    <col min="10494" max="10494" width="11.77734375" style="163" customWidth="1"/>
    <col min="10495" max="10496" width="0" style="163" hidden="1" customWidth="1"/>
    <col min="10497" max="10497" width="10" style="163" customWidth="1"/>
    <col min="10498" max="10500" width="0" style="163" hidden="1" customWidth="1"/>
    <col min="10501" max="10502" width="9.77734375" style="163" customWidth="1"/>
    <col min="10503" max="10503" width="10" style="163" customWidth="1"/>
    <col min="10504" max="10504" width="20.33203125" style="163" customWidth="1"/>
    <col min="10505" max="10508" width="0" style="163" hidden="1" customWidth="1"/>
    <col min="10509" max="10734" width="9.109375" style="163"/>
    <col min="10735" max="10735" width="6" style="163" customWidth="1"/>
    <col min="10736" max="10736" width="49.88671875" style="163" customWidth="1"/>
    <col min="10737" max="10737" width="12.6640625" style="163" customWidth="1"/>
    <col min="10738" max="10738" width="17.109375" style="163" customWidth="1"/>
    <col min="10739" max="10739" width="11.88671875" style="163" customWidth="1"/>
    <col min="10740" max="10741" width="0" style="163" hidden="1" customWidth="1"/>
    <col min="10742" max="10742" width="11.109375" style="163" customWidth="1"/>
    <col min="10743" max="10743" width="12.77734375" style="163" customWidth="1"/>
    <col min="10744" max="10744" width="14.77734375" style="163" customWidth="1"/>
    <col min="10745" max="10745" width="12.88671875" style="163" customWidth="1"/>
    <col min="10746" max="10746" width="11.6640625" style="163" customWidth="1"/>
    <col min="10747" max="10747" width="11.109375" style="163" customWidth="1"/>
    <col min="10748" max="10748" width="11.6640625" style="163" customWidth="1"/>
    <col min="10749" max="10749" width="0" style="163" hidden="1" customWidth="1"/>
    <col min="10750" max="10750" width="11.77734375" style="163" customWidth="1"/>
    <col min="10751" max="10752" width="0" style="163" hidden="1" customWidth="1"/>
    <col min="10753" max="10753" width="10" style="163" customWidth="1"/>
    <col min="10754" max="10756" width="0" style="163" hidden="1" customWidth="1"/>
    <col min="10757" max="10758" width="9.77734375" style="163" customWidth="1"/>
    <col min="10759" max="10759" width="10" style="163" customWidth="1"/>
    <col min="10760" max="10760" width="20.33203125" style="163" customWidth="1"/>
    <col min="10761" max="10764" width="0" style="163" hidden="1" customWidth="1"/>
    <col min="10765" max="10990" width="9.109375" style="163"/>
    <col min="10991" max="10991" width="6" style="163" customWidth="1"/>
    <col min="10992" max="10992" width="49.88671875" style="163" customWidth="1"/>
    <col min="10993" max="10993" width="12.6640625" style="163" customWidth="1"/>
    <col min="10994" max="10994" width="17.109375" style="163" customWidth="1"/>
    <col min="10995" max="10995" width="11.88671875" style="163" customWidth="1"/>
    <col min="10996" max="10997" width="0" style="163" hidden="1" customWidth="1"/>
    <col min="10998" max="10998" width="11.109375" style="163" customWidth="1"/>
    <col min="10999" max="10999" width="12.77734375" style="163" customWidth="1"/>
    <col min="11000" max="11000" width="14.77734375" style="163" customWidth="1"/>
    <col min="11001" max="11001" width="12.88671875" style="163" customWidth="1"/>
    <col min="11002" max="11002" width="11.6640625" style="163" customWidth="1"/>
    <col min="11003" max="11003" width="11.109375" style="163" customWidth="1"/>
    <col min="11004" max="11004" width="11.6640625" style="163" customWidth="1"/>
    <col min="11005" max="11005" width="0" style="163" hidden="1" customWidth="1"/>
    <col min="11006" max="11006" width="11.77734375" style="163" customWidth="1"/>
    <col min="11007" max="11008" width="0" style="163" hidden="1" customWidth="1"/>
    <col min="11009" max="11009" width="10" style="163" customWidth="1"/>
    <col min="11010" max="11012" width="0" style="163" hidden="1" customWidth="1"/>
    <col min="11013" max="11014" width="9.77734375" style="163" customWidth="1"/>
    <col min="11015" max="11015" width="10" style="163" customWidth="1"/>
    <col min="11016" max="11016" width="20.33203125" style="163" customWidth="1"/>
    <col min="11017" max="11020" width="0" style="163" hidden="1" customWidth="1"/>
    <col min="11021" max="11246" width="9.109375" style="163"/>
    <col min="11247" max="11247" width="6" style="163" customWidth="1"/>
    <col min="11248" max="11248" width="49.88671875" style="163" customWidth="1"/>
    <col min="11249" max="11249" width="12.6640625" style="163" customWidth="1"/>
    <col min="11250" max="11250" width="17.109375" style="163" customWidth="1"/>
    <col min="11251" max="11251" width="11.88671875" style="163" customWidth="1"/>
    <col min="11252" max="11253" width="0" style="163" hidden="1" customWidth="1"/>
    <col min="11254" max="11254" width="11.109375" style="163" customWidth="1"/>
    <col min="11255" max="11255" width="12.77734375" style="163" customWidth="1"/>
    <col min="11256" max="11256" width="14.77734375" style="163" customWidth="1"/>
    <col min="11257" max="11257" width="12.88671875" style="163" customWidth="1"/>
    <col min="11258" max="11258" width="11.6640625" style="163" customWidth="1"/>
    <col min="11259" max="11259" width="11.109375" style="163" customWidth="1"/>
    <col min="11260" max="11260" width="11.6640625" style="163" customWidth="1"/>
    <col min="11261" max="11261" width="0" style="163" hidden="1" customWidth="1"/>
    <col min="11262" max="11262" width="11.77734375" style="163" customWidth="1"/>
    <col min="11263" max="11264" width="0" style="163" hidden="1" customWidth="1"/>
    <col min="11265" max="11265" width="10" style="163" customWidth="1"/>
    <col min="11266" max="11268" width="0" style="163" hidden="1" customWidth="1"/>
    <col min="11269" max="11270" width="9.77734375" style="163" customWidth="1"/>
    <col min="11271" max="11271" width="10" style="163" customWidth="1"/>
    <col min="11272" max="11272" width="20.33203125" style="163" customWidth="1"/>
    <col min="11273" max="11276" width="0" style="163" hidden="1" customWidth="1"/>
    <col min="11277" max="11502" width="9.109375" style="163"/>
    <col min="11503" max="11503" width="6" style="163" customWidth="1"/>
    <col min="11504" max="11504" width="49.88671875" style="163" customWidth="1"/>
    <col min="11505" max="11505" width="12.6640625" style="163" customWidth="1"/>
    <col min="11506" max="11506" width="17.109375" style="163" customWidth="1"/>
    <col min="11507" max="11507" width="11.88671875" style="163" customWidth="1"/>
    <col min="11508" max="11509" width="0" style="163" hidden="1" customWidth="1"/>
    <col min="11510" max="11510" width="11.109375" style="163" customWidth="1"/>
    <col min="11511" max="11511" width="12.77734375" style="163" customWidth="1"/>
    <col min="11512" max="11512" width="14.77734375" style="163" customWidth="1"/>
    <col min="11513" max="11513" width="12.88671875" style="163" customWidth="1"/>
    <col min="11514" max="11514" width="11.6640625" style="163" customWidth="1"/>
    <col min="11515" max="11515" width="11.109375" style="163" customWidth="1"/>
    <col min="11516" max="11516" width="11.6640625" style="163" customWidth="1"/>
    <col min="11517" max="11517" width="0" style="163" hidden="1" customWidth="1"/>
    <col min="11518" max="11518" width="11.77734375" style="163" customWidth="1"/>
    <col min="11519" max="11520" width="0" style="163" hidden="1" customWidth="1"/>
    <col min="11521" max="11521" width="10" style="163" customWidth="1"/>
    <col min="11522" max="11524" width="0" style="163" hidden="1" customWidth="1"/>
    <col min="11525" max="11526" width="9.77734375" style="163" customWidth="1"/>
    <col min="11527" max="11527" width="10" style="163" customWidth="1"/>
    <col min="11528" max="11528" width="20.33203125" style="163" customWidth="1"/>
    <col min="11529" max="11532" width="0" style="163" hidden="1" customWidth="1"/>
    <col min="11533" max="11758" width="9.109375" style="163"/>
    <col min="11759" max="11759" width="6" style="163" customWidth="1"/>
    <col min="11760" max="11760" width="49.88671875" style="163" customWidth="1"/>
    <col min="11761" max="11761" width="12.6640625" style="163" customWidth="1"/>
    <col min="11762" max="11762" width="17.109375" style="163" customWidth="1"/>
    <col min="11763" max="11763" width="11.88671875" style="163" customWidth="1"/>
    <col min="11764" max="11765" width="0" style="163" hidden="1" customWidth="1"/>
    <col min="11766" max="11766" width="11.109375" style="163" customWidth="1"/>
    <col min="11767" max="11767" width="12.77734375" style="163" customWidth="1"/>
    <col min="11768" max="11768" width="14.77734375" style="163" customWidth="1"/>
    <col min="11769" max="11769" width="12.88671875" style="163" customWidth="1"/>
    <col min="11770" max="11770" width="11.6640625" style="163" customWidth="1"/>
    <col min="11771" max="11771" width="11.109375" style="163" customWidth="1"/>
    <col min="11772" max="11772" width="11.6640625" style="163" customWidth="1"/>
    <col min="11773" max="11773" width="0" style="163" hidden="1" customWidth="1"/>
    <col min="11774" max="11774" width="11.77734375" style="163" customWidth="1"/>
    <col min="11775" max="11776" width="0" style="163" hidden="1" customWidth="1"/>
    <col min="11777" max="11777" width="10" style="163" customWidth="1"/>
    <col min="11778" max="11780" width="0" style="163" hidden="1" customWidth="1"/>
    <col min="11781" max="11782" width="9.77734375" style="163" customWidth="1"/>
    <col min="11783" max="11783" width="10" style="163" customWidth="1"/>
    <col min="11784" max="11784" width="20.33203125" style="163" customWidth="1"/>
    <col min="11785" max="11788" width="0" style="163" hidden="1" customWidth="1"/>
    <col min="11789" max="12014" width="9.109375" style="163"/>
    <col min="12015" max="12015" width="6" style="163" customWidth="1"/>
    <col min="12016" max="12016" width="49.88671875" style="163" customWidth="1"/>
    <col min="12017" max="12017" width="12.6640625" style="163" customWidth="1"/>
    <col min="12018" max="12018" width="17.109375" style="163" customWidth="1"/>
    <col min="12019" max="12019" width="11.88671875" style="163" customWidth="1"/>
    <col min="12020" max="12021" width="0" style="163" hidden="1" customWidth="1"/>
    <col min="12022" max="12022" width="11.109375" style="163" customWidth="1"/>
    <col min="12023" max="12023" width="12.77734375" style="163" customWidth="1"/>
    <col min="12024" max="12024" width="14.77734375" style="163" customWidth="1"/>
    <col min="12025" max="12025" width="12.88671875" style="163" customWidth="1"/>
    <col min="12026" max="12026" width="11.6640625" style="163" customWidth="1"/>
    <col min="12027" max="12027" width="11.109375" style="163" customWidth="1"/>
    <col min="12028" max="12028" width="11.6640625" style="163" customWidth="1"/>
    <col min="12029" max="12029" width="0" style="163" hidden="1" customWidth="1"/>
    <col min="12030" max="12030" width="11.77734375" style="163" customWidth="1"/>
    <col min="12031" max="12032" width="0" style="163" hidden="1" customWidth="1"/>
    <col min="12033" max="12033" width="10" style="163" customWidth="1"/>
    <col min="12034" max="12036" width="0" style="163" hidden="1" customWidth="1"/>
    <col min="12037" max="12038" width="9.77734375" style="163" customWidth="1"/>
    <col min="12039" max="12039" width="10" style="163" customWidth="1"/>
    <col min="12040" max="12040" width="20.33203125" style="163" customWidth="1"/>
    <col min="12041" max="12044" width="0" style="163" hidden="1" customWidth="1"/>
    <col min="12045" max="12270" width="9.109375" style="163"/>
    <col min="12271" max="12271" width="6" style="163" customWidth="1"/>
    <col min="12272" max="12272" width="49.88671875" style="163" customWidth="1"/>
    <col min="12273" max="12273" width="12.6640625" style="163" customWidth="1"/>
    <col min="12274" max="12274" width="17.109375" style="163" customWidth="1"/>
    <col min="12275" max="12275" width="11.88671875" style="163" customWidth="1"/>
    <col min="12276" max="12277" width="0" style="163" hidden="1" customWidth="1"/>
    <col min="12278" max="12278" width="11.109375" style="163" customWidth="1"/>
    <col min="12279" max="12279" width="12.77734375" style="163" customWidth="1"/>
    <col min="12280" max="12280" width="14.77734375" style="163" customWidth="1"/>
    <col min="12281" max="12281" width="12.88671875" style="163" customWidth="1"/>
    <col min="12282" max="12282" width="11.6640625" style="163" customWidth="1"/>
    <col min="12283" max="12283" width="11.109375" style="163" customWidth="1"/>
    <col min="12284" max="12284" width="11.6640625" style="163" customWidth="1"/>
    <col min="12285" max="12285" width="0" style="163" hidden="1" customWidth="1"/>
    <col min="12286" max="12286" width="11.77734375" style="163" customWidth="1"/>
    <col min="12287" max="12288" width="0" style="163" hidden="1" customWidth="1"/>
    <col min="12289" max="12289" width="10" style="163" customWidth="1"/>
    <col min="12290" max="12292" width="0" style="163" hidden="1" customWidth="1"/>
    <col min="12293" max="12294" width="9.77734375" style="163" customWidth="1"/>
    <col min="12295" max="12295" width="10" style="163" customWidth="1"/>
    <col min="12296" max="12296" width="20.33203125" style="163" customWidth="1"/>
    <col min="12297" max="12300" width="0" style="163" hidden="1" customWidth="1"/>
    <col min="12301" max="12526" width="9.109375" style="163"/>
    <col min="12527" max="12527" width="6" style="163" customWidth="1"/>
    <col min="12528" max="12528" width="49.88671875" style="163" customWidth="1"/>
    <col min="12529" max="12529" width="12.6640625" style="163" customWidth="1"/>
    <col min="12530" max="12530" width="17.109375" style="163" customWidth="1"/>
    <col min="12531" max="12531" width="11.88671875" style="163" customWidth="1"/>
    <col min="12532" max="12533" width="0" style="163" hidden="1" customWidth="1"/>
    <col min="12534" max="12534" width="11.109375" style="163" customWidth="1"/>
    <col min="12535" max="12535" width="12.77734375" style="163" customWidth="1"/>
    <col min="12536" max="12536" width="14.77734375" style="163" customWidth="1"/>
    <col min="12537" max="12537" width="12.88671875" style="163" customWidth="1"/>
    <col min="12538" max="12538" width="11.6640625" style="163" customWidth="1"/>
    <col min="12539" max="12539" width="11.109375" style="163" customWidth="1"/>
    <col min="12540" max="12540" width="11.6640625" style="163" customWidth="1"/>
    <col min="12541" max="12541" width="0" style="163" hidden="1" customWidth="1"/>
    <col min="12542" max="12542" width="11.77734375" style="163" customWidth="1"/>
    <col min="12543" max="12544" width="0" style="163" hidden="1" customWidth="1"/>
    <col min="12545" max="12545" width="10" style="163" customWidth="1"/>
    <col min="12546" max="12548" width="0" style="163" hidden="1" customWidth="1"/>
    <col min="12549" max="12550" width="9.77734375" style="163" customWidth="1"/>
    <col min="12551" max="12551" width="10" style="163" customWidth="1"/>
    <col min="12552" max="12552" width="20.33203125" style="163" customWidth="1"/>
    <col min="12553" max="12556" width="0" style="163" hidden="1" customWidth="1"/>
    <col min="12557" max="12782" width="9.109375" style="163"/>
    <col min="12783" max="12783" width="6" style="163" customWidth="1"/>
    <col min="12784" max="12784" width="49.88671875" style="163" customWidth="1"/>
    <col min="12785" max="12785" width="12.6640625" style="163" customWidth="1"/>
    <col min="12786" max="12786" width="17.109375" style="163" customWidth="1"/>
    <col min="12787" max="12787" width="11.88671875" style="163" customWidth="1"/>
    <col min="12788" max="12789" width="0" style="163" hidden="1" customWidth="1"/>
    <col min="12790" max="12790" width="11.109375" style="163" customWidth="1"/>
    <col min="12791" max="12791" width="12.77734375" style="163" customWidth="1"/>
    <col min="12792" max="12792" width="14.77734375" style="163" customWidth="1"/>
    <col min="12793" max="12793" width="12.88671875" style="163" customWidth="1"/>
    <col min="12794" max="12794" width="11.6640625" style="163" customWidth="1"/>
    <col min="12795" max="12795" width="11.109375" style="163" customWidth="1"/>
    <col min="12796" max="12796" width="11.6640625" style="163" customWidth="1"/>
    <col min="12797" max="12797" width="0" style="163" hidden="1" customWidth="1"/>
    <col min="12798" max="12798" width="11.77734375" style="163" customWidth="1"/>
    <col min="12799" max="12800" width="0" style="163" hidden="1" customWidth="1"/>
    <col min="12801" max="12801" width="10" style="163" customWidth="1"/>
    <col min="12802" max="12804" width="0" style="163" hidden="1" customWidth="1"/>
    <col min="12805" max="12806" width="9.77734375" style="163" customWidth="1"/>
    <col min="12807" max="12807" width="10" style="163" customWidth="1"/>
    <col min="12808" max="12808" width="20.33203125" style="163" customWidth="1"/>
    <col min="12809" max="12812" width="0" style="163" hidden="1" customWidth="1"/>
    <col min="12813" max="13038" width="9.109375" style="163"/>
    <col min="13039" max="13039" width="6" style="163" customWidth="1"/>
    <col min="13040" max="13040" width="49.88671875" style="163" customWidth="1"/>
    <col min="13041" max="13041" width="12.6640625" style="163" customWidth="1"/>
    <col min="13042" max="13042" width="17.109375" style="163" customWidth="1"/>
    <col min="13043" max="13043" width="11.88671875" style="163" customWidth="1"/>
    <col min="13044" max="13045" width="0" style="163" hidden="1" customWidth="1"/>
    <col min="13046" max="13046" width="11.109375" style="163" customWidth="1"/>
    <col min="13047" max="13047" width="12.77734375" style="163" customWidth="1"/>
    <col min="13048" max="13048" width="14.77734375" style="163" customWidth="1"/>
    <col min="13049" max="13049" width="12.88671875" style="163" customWidth="1"/>
    <col min="13050" max="13050" width="11.6640625" style="163" customWidth="1"/>
    <col min="13051" max="13051" width="11.109375" style="163" customWidth="1"/>
    <col min="13052" max="13052" width="11.6640625" style="163" customWidth="1"/>
    <col min="13053" max="13053" width="0" style="163" hidden="1" customWidth="1"/>
    <col min="13054" max="13054" width="11.77734375" style="163" customWidth="1"/>
    <col min="13055" max="13056" width="0" style="163" hidden="1" customWidth="1"/>
    <col min="13057" max="13057" width="10" style="163" customWidth="1"/>
    <col min="13058" max="13060" width="0" style="163" hidden="1" customWidth="1"/>
    <col min="13061" max="13062" width="9.77734375" style="163" customWidth="1"/>
    <col min="13063" max="13063" width="10" style="163" customWidth="1"/>
    <col min="13064" max="13064" width="20.33203125" style="163" customWidth="1"/>
    <col min="13065" max="13068" width="0" style="163" hidden="1" customWidth="1"/>
    <col min="13069" max="13294" width="9.109375" style="163"/>
    <col min="13295" max="13295" width="6" style="163" customWidth="1"/>
    <col min="13296" max="13296" width="49.88671875" style="163" customWidth="1"/>
    <col min="13297" max="13297" width="12.6640625" style="163" customWidth="1"/>
    <col min="13298" max="13298" width="17.109375" style="163" customWidth="1"/>
    <col min="13299" max="13299" width="11.88671875" style="163" customWidth="1"/>
    <col min="13300" max="13301" width="0" style="163" hidden="1" customWidth="1"/>
    <col min="13302" max="13302" width="11.109375" style="163" customWidth="1"/>
    <col min="13303" max="13303" width="12.77734375" style="163" customWidth="1"/>
    <col min="13304" max="13304" width="14.77734375" style="163" customWidth="1"/>
    <col min="13305" max="13305" width="12.88671875" style="163" customWidth="1"/>
    <col min="13306" max="13306" width="11.6640625" style="163" customWidth="1"/>
    <col min="13307" max="13307" width="11.109375" style="163" customWidth="1"/>
    <col min="13308" max="13308" width="11.6640625" style="163" customWidth="1"/>
    <col min="13309" max="13309" width="0" style="163" hidden="1" customWidth="1"/>
    <col min="13310" max="13310" width="11.77734375" style="163" customWidth="1"/>
    <col min="13311" max="13312" width="0" style="163" hidden="1" customWidth="1"/>
    <col min="13313" max="13313" width="10" style="163" customWidth="1"/>
    <col min="13314" max="13316" width="0" style="163" hidden="1" customWidth="1"/>
    <col min="13317" max="13318" width="9.77734375" style="163" customWidth="1"/>
    <col min="13319" max="13319" width="10" style="163" customWidth="1"/>
    <col min="13320" max="13320" width="20.33203125" style="163" customWidth="1"/>
    <col min="13321" max="13324" width="0" style="163" hidden="1" customWidth="1"/>
    <col min="13325" max="13550" width="9.109375" style="163"/>
    <col min="13551" max="13551" width="6" style="163" customWidth="1"/>
    <col min="13552" max="13552" width="49.88671875" style="163" customWidth="1"/>
    <col min="13553" max="13553" width="12.6640625" style="163" customWidth="1"/>
    <col min="13554" max="13554" width="17.109375" style="163" customWidth="1"/>
    <col min="13555" max="13555" width="11.88671875" style="163" customWidth="1"/>
    <col min="13556" max="13557" width="0" style="163" hidden="1" customWidth="1"/>
    <col min="13558" max="13558" width="11.109375" style="163" customWidth="1"/>
    <col min="13559" max="13559" width="12.77734375" style="163" customWidth="1"/>
    <col min="13560" max="13560" width="14.77734375" style="163" customWidth="1"/>
    <col min="13561" max="13561" width="12.88671875" style="163" customWidth="1"/>
    <col min="13562" max="13562" width="11.6640625" style="163" customWidth="1"/>
    <col min="13563" max="13563" width="11.109375" style="163" customWidth="1"/>
    <col min="13564" max="13564" width="11.6640625" style="163" customWidth="1"/>
    <col min="13565" max="13565" width="0" style="163" hidden="1" customWidth="1"/>
    <col min="13566" max="13566" width="11.77734375" style="163" customWidth="1"/>
    <col min="13567" max="13568" width="0" style="163" hidden="1" customWidth="1"/>
    <col min="13569" max="13569" width="10" style="163" customWidth="1"/>
    <col min="13570" max="13572" width="0" style="163" hidden="1" customWidth="1"/>
    <col min="13573" max="13574" width="9.77734375" style="163" customWidth="1"/>
    <col min="13575" max="13575" width="10" style="163" customWidth="1"/>
    <col min="13576" max="13576" width="20.33203125" style="163" customWidth="1"/>
    <col min="13577" max="13580" width="0" style="163" hidden="1" customWidth="1"/>
    <col min="13581" max="13806" width="9.109375" style="163"/>
    <col min="13807" max="13807" width="6" style="163" customWidth="1"/>
    <col min="13808" max="13808" width="49.88671875" style="163" customWidth="1"/>
    <col min="13809" max="13809" width="12.6640625" style="163" customWidth="1"/>
    <col min="13810" max="13810" width="17.109375" style="163" customWidth="1"/>
    <col min="13811" max="13811" width="11.88671875" style="163" customWidth="1"/>
    <col min="13812" max="13813" width="0" style="163" hidden="1" customWidth="1"/>
    <col min="13814" max="13814" width="11.109375" style="163" customWidth="1"/>
    <col min="13815" max="13815" width="12.77734375" style="163" customWidth="1"/>
    <col min="13816" max="13816" width="14.77734375" style="163" customWidth="1"/>
    <col min="13817" max="13817" width="12.88671875" style="163" customWidth="1"/>
    <col min="13818" max="13818" width="11.6640625" style="163" customWidth="1"/>
    <col min="13819" max="13819" width="11.109375" style="163" customWidth="1"/>
    <col min="13820" max="13820" width="11.6640625" style="163" customWidth="1"/>
    <col min="13821" max="13821" width="0" style="163" hidden="1" customWidth="1"/>
    <col min="13822" max="13822" width="11.77734375" style="163" customWidth="1"/>
    <col min="13823" max="13824" width="0" style="163" hidden="1" customWidth="1"/>
    <col min="13825" max="13825" width="10" style="163" customWidth="1"/>
    <col min="13826" max="13828" width="0" style="163" hidden="1" customWidth="1"/>
    <col min="13829" max="13830" width="9.77734375" style="163" customWidth="1"/>
    <col min="13831" max="13831" width="10" style="163" customWidth="1"/>
    <col min="13832" max="13832" width="20.33203125" style="163" customWidth="1"/>
    <col min="13833" max="13836" width="0" style="163" hidden="1" customWidth="1"/>
    <col min="13837" max="14062" width="9.109375" style="163"/>
    <col min="14063" max="14063" width="6" style="163" customWidth="1"/>
    <col min="14064" max="14064" width="49.88671875" style="163" customWidth="1"/>
    <col min="14065" max="14065" width="12.6640625" style="163" customWidth="1"/>
    <col min="14066" max="14066" width="17.109375" style="163" customWidth="1"/>
    <col min="14067" max="14067" width="11.88671875" style="163" customWidth="1"/>
    <col min="14068" max="14069" width="0" style="163" hidden="1" customWidth="1"/>
    <col min="14070" max="14070" width="11.109375" style="163" customWidth="1"/>
    <col min="14071" max="14071" width="12.77734375" style="163" customWidth="1"/>
    <col min="14072" max="14072" width="14.77734375" style="163" customWidth="1"/>
    <col min="14073" max="14073" width="12.88671875" style="163" customWidth="1"/>
    <col min="14074" max="14074" width="11.6640625" style="163" customWidth="1"/>
    <col min="14075" max="14075" width="11.109375" style="163" customWidth="1"/>
    <col min="14076" max="14076" width="11.6640625" style="163" customWidth="1"/>
    <col min="14077" max="14077" width="0" style="163" hidden="1" customWidth="1"/>
    <col min="14078" max="14078" width="11.77734375" style="163" customWidth="1"/>
    <col min="14079" max="14080" width="0" style="163" hidden="1" customWidth="1"/>
    <col min="14081" max="14081" width="10" style="163" customWidth="1"/>
    <col min="14082" max="14084" width="0" style="163" hidden="1" customWidth="1"/>
    <col min="14085" max="14086" width="9.77734375" style="163" customWidth="1"/>
    <col min="14087" max="14087" width="10" style="163" customWidth="1"/>
    <col min="14088" max="14088" width="20.33203125" style="163" customWidth="1"/>
    <col min="14089" max="14092" width="0" style="163" hidden="1" customWidth="1"/>
    <col min="14093" max="14318" width="9.109375" style="163"/>
    <col min="14319" max="14319" width="6" style="163" customWidth="1"/>
    <col min="14320" max="14320" width="49.88671875" style="163" customWidth="1"/>
    <col min="14321" max="14321" width="12.6640625" style="163" customWidth="1"/>
    <col min="14322" max="14322" width="17.109375" style="163" customWidth="1"/>
    <col min="14323" max="14323" width="11.88671875" style="163" customWidth="1"/>
    <col min="14324" max="14325" width="0" style="163" hidden="1" customWidth="1"/>
    <col min="14326" max="14326" width="11.109375" style="163" customWidth="1"/>
    <col min="14327" max="14327" width="12.77734375" style="163" customWidth="1"/>
    <col min="14328" max="14328" width="14.77734375" style="163" customWidth="1"/>
    <col min="14329" max="14329" width="12.88671875" style="163" customWidth="1"/>
    <col min="14330" max="14330" width="11.6640625" style="163" customWidth="1"/>
    <col min="14331" max="14331" width="11.109375" style="163" customWidth="1"/>
    <col min="14332" max="14332" width="11.6640625" style="163" customWidth="1"/>
    <col min="14333" max="14333" width="0" style="163" hidden="1" customWidth="1"/>
    <col min="14334" max="14334" width="11.77734375" style="163" customWidth="1"/>
    <col min="14335" max="14336" width="0" style="163" hidden="1" customWidth="1"/>
    <col min="14337" max="14337" width="10" style="163" customWidth="1"/>
    <col min="14338" max="14340" width="0" style="163" hidden="1" customWidth="1"/>
    <col min="14341" max="14342" width="9.77734375" style="163" customWidth="1"/>
    <col min="14343" max="14343" width="10" style="163" customWidth="1"/>
    <col min="14344" max="14344" width="20.33203125" style="163" customWidth="1"/>
    <col min="14345" max="14348" width="0" style="163" hidden="1" customWidth="1"/>
    <col min="14349" max="14574" width="9.109375" style="163"/>
    <col min="14575" max="14575" width="6" style="163" customWidth="1"/>
    <col min="14576" max="14576" width="49.88671875" style="163" customWidth="1"/>
    <col min="14577" max="14577" width="12.6640625" style="163" customWidth="1"/>
    <col min="14578" max="14578" width="17.109375" style="163" customWidth="1"/>
    <col min="14579" max="14579" width="11.88671875" style="163" customWidth="1"/>
    <col min="14580" max="14581" width="0" style="163" hidden="1" customWidth="1"/>
    <col min="14582" max="14582" width="11.109375" style="163" customWidth="1"/>
    <col min="14583" max="14583" width="12.77734375" style="163" customWidth="1"/>
    <col min="14584" max="14584" width="14.77734375" style="163" customWidth="1"/>
    <col min="14585" max="14585" width="12.88671875" style="163" customWidth="1"/>
    <col min="14586" max="14586" width="11.6640625" style="163" customWidth="1"/>
    <col min="14587" max="14587" width="11.109375" style="163" customWidth="1"/>
    <col min="14588" max="14588" width="11.6640625" style="163" customWidth="1"/>
    <col min="14589" max="14589" width="0" style="163" hidden="1" customWidth="1"/>
    <col min="14590" max="14590" width="11.77734375" style="163" customWidth="1"/>
    <col min="14591" max="14592" width="0" style="163" hidden="1" customWidth="1"/>
    <col min="14593" max="14593" width="10" style="163" customWidth="1"/>
    <col min="14594" max="14596" width="0" style="163" hidden="1" customWidth="1"/>
    <col min="14597" max="14598" width="9.77734375" style="163" customWidth="1"/>
    <col min="14599" max="14599" width="10" style="163" customWidth="1"/>
    <col min="14600" max="14600" width="20.33203125" style="163" customWidth="1"/>
    <col min="14601" max="14604" width="0" style="163" hidden="1" customWidth="1"/>
    <col min="14605" max="14830" width="9.109375" style="163"/>
    <col min="14831" max="14831" width="6" style="163" customWidth="1"/>
    <col min="14832" max="14832" width="49.88671875" style="163" customWidth="1"/>
    <col min="14833" max="14833" width="12.6640625" style="163" customWidth="1"/>
    <col min="14834" max="14834" width="17.109375" style="163" customWidth="1"/>
    <col min="14835" max="14835" width="11.88671875" style="163" customWidth="1"/>
    <col min="14836" max="14837" width="0" style="163" hidden="1" customWidth="1"/>
    <col min="14838" max="14838" width="11.109375" style="163" customWidth="1"/>
    <col min="14839" max="14839" width="12.77734375" style="163" customWidth="1"/>
    <col min="14840" max="14840" width="14.77734375" style="163" customWidth="1"/>
    <col min="14841" max="14841" width="12.88671875" style="163" customWidth="1"/>
    <col min="14842" max="14842" width="11.6640625" style="163" customWidth="1"/>
    <col min="14843" max="14843" width="11.109375" style="163" customWidth="1"/>
    <col min="14844" max="14844" width="11.6640625" style="163" customWidth="1"/>
    <col min="14845" max="14845" width="0" style="163" hidden="1" customWidth="1"/>
    <col min="14846" max="14846" width="11.77734375" style="163" customWidth="1"/>
    <col min="14847" max="14848" width="0" style="163" hidden="1" customWidth="1"/>
    <col min="14849" max="14849" width="10" style="163" customWidth="1"/>
    <col min="14850" max="14852" width="0" style="163" hidden="1" customWidth="1"/>
    <col min="14853" max="14854" width="9.77734375" style="163" customWidth="1"/>
    <col min="14855" max="14855" width="10" style="163" customWidth="1"/>
    <col min="14856" max="14856" width="20.33203125" style="163" customWidth="1"/>
    <col min="14857" max="14860" width="0" style="163" hidden="1" customWidth="1"/>
    <col min="14861" max="15086" width="9.109375" style="163"/>
    <col min="15087" max="15087" width="6" style="163" customWidth="1"/>
    <col min="15088" max="15088" width="49.88671875" style="163" customWidth="1"/>
    <col min="15089" max="15089" width="12.6640625" style="163" customWidth="1"/>
    <col min="15090" max="15090" width="17.109375" style="163" customWidth="1"/>
    <col min="15091" max="15091" width="11.88671875" style="163" customWidth="1"/>
    <col min="15092" max="15093" width="0" style="163" hidden="1" customWidth="1"/>
    <col min="15094" max="15094" width="11.109375" style="163" customWidth="1"/>
    <col min="15095" max="15095" width="12.77734375" style="163" customWidth="1"/>
    <col min="15096" max="15096" width="14.77734375" style="163" customWidth="1"/>
    <col min="15097" max="15097" width="12.88671875" style="163" customWidth="1"/>
    <col min="15098" max="15098" width="11.6640625" style="163" customWidth="1"/>
    <col min="15099" max="15099" width="11.109375" style="163" customWidth="1"/>
    <col min="15100" max="15100" width="11.6640625" style="163" customWidth="1"/>
    <col min="15101" max="15101" width="0" style="163" hidden="1" customWidth="1"/>
    <col min="15102" max="15102" width="11.77734375" style="163" customWidth="1"/>
    <col min="15103" max="15104" width="0" style="163" hidden="1" customWidth="1"/>
    <col min="15105" max="15105" width="10" style="163" customWidth="1"/>
    <col min="15106" max="15108" width="0" style="163" hidden="1" customWidth="1"/>
    <col min="15109" max="15110" width="9.77734375" style="163" customWidth="1"/>
    <col min="15111" max="15111" width="10" style="163" customWidth="1"/>
    <col min="15112" max="15112" width="20.33203125" style="163" customWidth="1"/>
    <col min="15113" max="15116" width="0" style="163" hidden="1" customWidth="1"/>
    <col min="15117" max="15342" width="9.109375" style="163"/>
    <col min="15343" max="15343" width="6" style="163" customWidth="1"/>
    <col min="15344" max="15344" width="49.88671875" style="163" customWidth="1"/>
    <col min="15345" max="15345" width="12.6640625" style="163" customWidth="1"/>
    <col min="15346" max="15346" width="17.109375" style="163" customWidth="1"/>
    <col min="15347" max="15347" width="11.88671875" style="163" customWidth="1"/>
    <col min="15348" max="15349" width="0" style="163" hidden="1" customWidth="1"/>
    <col min="15350" max="15350" width="11.109375" style="163" customWidth="1"/>
    <col min="15351" max="15351" width="12.77734375" style="163" customWidth="1"/>
    <col min="15352" max="15352" width="14.77734375" style="163" customWidth="1"/>
    <col min="15353" max="15353" width="12.88671875" style="163" customWidth="1"/>
    <col min="15354" max="15354" width="11.6640625" style="163" customWidth="1"/>
    <col min="15355" max="15355" width="11.109375" style="163" customWidth="1"/>
    <col min="15356" max="15356" width="11.6640625" style="163" customWidth="1"/>
    <col min="15357" max="15357" width="0" style="163" hidden="1" customWidth="1"/>
    <col min="15358" max="15358" width="11.77734375" style="163" customWidth="1"/>
    <col min="15359" max="15360" width="0" style="163" hidden="1" customWidth="1"/>
    <col min="15361" max="15361" width="10" style="163" customWidth="1"/>
    <col min="15362" max="15364" width="0" style="163" hidden="1" customWidth="1"/>
    <col min="15365" max="15366" width="9.77734375" style="163" customWidth="1"/>
    <col min="15367" max="15367" width="10" style="163" customWidth="1"/>
    <col min="15368" max="15368" width="20.33203125" style="163" customWidth="1"/>
    <col min="15369" max="15372" width="0" style="163" hidden="1" customWidth="1"/>
    <col min="15373" max="15598" width="9.109375" style="163"/>
    <col min="15599" max="15599" width="6" style="163" customWidth="1"/>
    <col min="15600" max="15600" width="49.88671875" style="163" customWidth="1"/>
    <col min="15601" max="15601" width="12.6640625" style="163" customWidth="1"/>
    <col min="15602" max="15602" width="17.109375" style="163" customWidth="1"/>
    <col min="15603" max="15603" width="11.88671875" style="163" customWidth="1"/>
    <col min="15604" max="15605" width="0" style="163" hidden="1" customWidth="1"/>
    <col min="15606" max="15606" width="11.109375" style="163" customWidth="1"/>
    <col min="15607" max="15607" width="12.77734375" style="163" customWidth="1"/>
    <col min="15608" max="15608" width="14.77734375" style="163" customWidth="1"/>
    <col min="15609" max="15609" width="12.88671875" style="163" customWidth="1"/>
    <col min="15610" max="15610" width="11.6640625" style="163" customWidth="1"/>
    <col min="15611" max="15611" width="11.109375" style="163" customWidth="1"/>
    <col min="15612" max="15612" width="11.6640625" style="163" customWidth="1"/>
    <col min="15613" max="15613" width="0" style="163" hidden="1" customWidth="1"/>
    <col min="15614" max="15614" width="11.77734375" style="163" customWidth="1"/>
    <col min="15615" max="15616" width="0" style="163" hidden="1" customWidth="1"/>
    <col min="15617" max="15617" width="10" style="163" customWidth="1"/>
    <col min="15618" max="15620" width="0" style="163" hidden="1" customWidth="1"/>
    <col min="15621" max="15622" width="9.77734375" style="163" customWidth="1"/>
    <col min="15623" max="15623" width="10" style="163" customWidth="1"/>
    <col min="15624" max="15624" width="20.33203125" style="163" customWidth="1"/>
    <col min="15625" max="15628" width="0" style="163" hidden="1" customWidth="1"/>
    <col min="15629" max="15854" width="9.109375" style="163"/>
    <col min="15855" max="15855" width="6" style="163" customWidth="1"/>
    <col min="15856" max="15856" width="49.88671875" style="163" customWidth="1"/>
    <col min="15857" max="15857" width="12.6640625" style="163" customWidth="1"/>
    <col min="15858" max="15858" width="17.109375" style="163" customWidth="1"/>
    <col min="15859" max="15859" width="11.88671875" style="163" customWidth="1"/>
    <col min="15860" max="15861" width="0" style="163" hidden="1" customWidth="1"/>
    <col min="15862" max="15862" width="11.109375" style="163" customWidth="1"/>
    <col min="15863" max="15863" width="12.77734375" style="163" customWidth="1"/>
    <col min="15864" max="15864" width="14.77734375" style="163" customWidth="1"/>
    <col min="15865" max="15865" width="12.88671875" style="163" customWidth="1"/>
    <col min="15866" max="15866" width="11.6640625" style="163" customWidth="1"/>
    <col min="15867" max="15867" width="11.109375" style="163" customWidth="1"/>
    <col min="15868" max="15868" width="11.6640625" style="163" customWidth="1"/>
    <col min="15869" max="15869" width="0" style="163" hidden="1" customWidth="1"/>
    <col min="15870" max="15870" width="11.77734375" style="163" customWidth="1"/>
    <col min="15871" max="15872" width="0" style="163" hidden="1" customWidth="1"/>
    <col min="15873" max="15873" width="10" style="163" customWidth="1"/>
    <col min="15874" max="15876" width="0" style="163" hidden="1" customWidth="1"/>
    <col min="15877" max="15878" width="9.77734375" style="163" customWidth="1"/>
    <col min="15879" max="15879" width="10" style="163" customWidth="1"/>
    <col min="15880" max="15880" width="20.33203125" style="163" customWidth="1"/>
    <col min="15881" max="15884" width="0" style="163" hidden="1" customWidth="1"/>
    <col min="15885" max="16110" width="9.109375" style="163"/>
    <col min="16111" max="16111" width="6" style="163" customWidth="1"/>
    <col min="16112" max="16112" width="49.88671875" style="163" customWidth="1"/>
    <col min="16113" max="16113" width="12.6640625" style="163" customWidth="1"/>
    <col min="16114" max="16114" width="17.109375" style="163" customWidth="1"/>
    <col min="16115" max="16115" width="11.88671875" style="163" customWidth="1"/>
    <col min="16116" max="16117" width="0" style="163" hidden="1" customWidth="1"/>
    <col min="16118" max="16118" width="11.109375" style="163" customWidth="1"/>
    <col min="16119" max="16119" width="12.77734375" style="163" customWidth="1"/>
    <col min="16120" max="16120" width="14.77734375" style="163" customWidth="1"/>
    <col min="16121" max="16121" width="12.88671875" style="163" customWidth="1"/>
    <col min="16122" max="16122" width="11.6640625" style="163" customWidth="1"/>
    <col min="16123" max="16123" width="11.109375" style="163" customWidth="1"/>
    <col min="16124" max="16124" width="11.6640625" style="163" customWidth="1"/>
    <col min="16125" max="16125" width="0" style="163" hidden="1" customWidth="1"/>
    <col min="16126" max="16126" width="11.77734375" style="163" customWidth="1"/>
    <col min="16127" max="16128" width="0" style="163" hidden="1" customWidth="1"/>
    <col min="16129" max="16129" width="10" style="163" customWidth="1"/>
    <col min="16130" max="16132" width="0" style="163" hidden="1" customWidth="1"/>
    <col min="16133" max="16134" width="9.77734375" style="163" customWidth="1"/>
    <col min="16135" max="16135" width="10" style="163" customWidth="1"/>
    <col min="16136" max="16136" width="20.33203125" style="163" customWidth="1"/>
    <col min="16137" max="16140" width="0" style="163" hidden="1" customWidth="1"/>
    <col min="16141" max="16384" width="9.109375" style="163"/>
  </cols>
  <sheetData>
    <row r="2" spans="1:25" s="168" customFormat="1" ht="25.5" customHeight="1">
      <c r="A2" s="823" t="s">
        <v>378</v>
      </c>
      <c r="B2" s="823"/>
      <c r="C2" s="823"/>
      <c r="D2" s="823"/>
      <c r="E2" s="823"/>
      <c r="F2" s="823"/>
      <c r="G2" s="823"/>
      <c r="H2" s="823"/>
      <c r="I2" s="823"/>
      <c r="J2" s="823"/>
      <c r="K2" s="823"/>
      <c r="L2" s="823"/>
      <c r="M2" s="823"/>
      <c r="N2" s="823"/>
      <c r="O2" s="823"/>
      <c r="P2" s="823"/>
      <c r="Q2" s="823"/>
      <c r="R2" s="823"/>
      <c r="S2" s="823"/>
      <c r="T2" s="823"/>
      <c r="U2" s="823"/>
      <c r="V2" s="823"/>
      <c r="W2" s="823"/>
    </row>
    <row r="3" spans="1:25" ht="12.75" customHeight="1">
      <c r="A3" s="169"/>
      <c r="B3" s="169"/>
      <c r="C3" s="170"/>
      <c r="D3" s="171"/>
      <c r="E3" s="170"/>
      <c r="F3" s="169"/>
      <c r="G3" s="343"/>
      <c r="H3" s="343"/>
      <c r="I3" s="344"/>
      <c r="J3" s="344"/>
      <c r="K3" s="169"/>
      <c r="L3" s="345"/>
      <c r="M3" s="345"/>
      <c r="N3" s="345"/>
      <c r="O3" s="345"/>
      <c r="P3" s="824" t="s">
        <v>163</v>
      </c>
      <c r="Q3" s="824"/>
      <c r="R3" s="824"/>
      <c r="S3" s="824"/>
      <c r="T3" s="824"/>
      <c r="U3" s="824"/>
      <c r="V3" s="824"/>
      <c r="W3" s="824"/>
    </row>
    <row r="4" spans="1:25" ht="27" customHeight="1">
      <c r="A4" s="825" t="s">
        <v>16</v>
      </c>
      <c r="B4" s="828" t="s">
        <v>67</v>
      </c>
      <c r="C4" s="828" t="s">
        <v>164</v>
      </c>
      <c r="D4" s="831" t="s">
        <v>165</v>
      </c>
      <c r="E4" s="831" t="s">
        <v>166</v>
      </c>
      <c r="F4" s="831" t="s">
        <v>167</v>
      </c>
      <c r="G4" s="861" t="s">
        <v>379</v>
      </c>
      <c r="H4" s="861" t="s">
        <v>380</v>
      </c>
      <c r="I4" s="864" t="s">
        <v>381</v>
      </c>
      <c r="J4" s="864" t="s">
        <v>382</v>
      </c>
      <c r="K4" s="831" t="s">
        <v>383</v>
      </c>
      <c r="L4" s="867" t="s">
        <v>384</v>
      </c>
      <c r="M4" s="868"/>
      <c r="N4" s="868"/>
      <c r="O4" s="869"/>
      <c r="P4" s="867" t="s">
        <v>385</v>
      </c>
      <c r="Q4" s="868"/>
      <c r="R4" s="868"/>
      <c r="S4" s="869"/>
      <c r="T4" s="817" t="s">
        <v>386</v>
      </c>
      <c r="U4" s="834" t="s">
        <v>387</v>
      </c>
      <c r="V4" s="817" t="s">
        <v>388</v>
      </c>
      <c r="W4" s="828" t="s">
        <v>32</v>
      </c>
    </row>
    <row r="5" spans="1:25" ht="12.75" customHeight="1">
      <c r="A5" s="826"/>
      <c r="B5" s="829"/>
      <c r="C5" s="829"/>
      <c r="D5" s="832"/>
      <c r="E5" s="832"/>
      <c r="F5" s="832"/>
      <c r="G5" s="862"/>
      <c r="H5" s="862"/>
      <c r="I5" s="865"/>
      <c r="J5" s="865"/>
      <c r="K5" s="832"/>
      <c r="L5" s="870" t="s">
        <v>28</v>
      </c>
      <c r="M5" s="870" t="s">
        <v>389</v>
      </c>
      <c r="N5" s="870" t="s">
        <v>390</v>
      </c>
      <c r="O5" s="870" t="s">
        <v>391</v>
      </c>
      <c r="P5" s="870" t="s">
        <v>28</v>
      </c>
      <c r="Q5" s="870" t="s">
        <v>392</v>
      </c>
      <c r="R5" s="870" t="s">
        <v>393</v>
      </c>
      <c r="S5" s="870" t="s">
        <v>394</v>
      </c>
      <c r="T5" s="818"/>
      <c r="U5" s="835"/>
      <c r="V5" s="818"/>
      <c r="W5" s="829"/>
    </row>
    <row r="6" spans="1:25" s="173" customFormat="1" ht="12.75" customHeight="1">
      <c r="A6" s="826"/>
      <c r="B6" s="829"/>
      <c r="C6" s="829"/>
      <c r="D6" s="832"/>
      <c r="E6" s="832"/>
      <c r="F6" s="832"/>
      <c r="G6" s="862"/>
      <c r="H6" s="862"/>
      <c r="I6" s="865"/>
      <c r="J6" s="865"/>
      <c r="K6" s="832"/>
      <c r="L6" s="871"/>
      <c r="M6" s="871"/>
      <c r="N6" s="871"/>
      <c r="O6" s="871"/>
      <c r="P6" s="871"/>
      <c r="Q6" s="871"/>
      <c r="R6" s="871"/>
      <c r="S6" s="871"/>
      <c r="T6" s="818"/>
      <c r="U6" s="835"/>
      <c r="V6" s="818"/>
      <c r="W6" s="829"/>
    </row>
    <row r="7" spans="1:25" ht="62.25" customHeight="1">
      <c r="A7" s="827"/>
      <c r="B7" s="830"/>
      <c r="C7" s="830"/>
      <c r="D7" s="833"/>
      <c r="E7" s="833"/>
      <c r="F7" s="833"/>
      <c r="G7" s="863"/>
      <c r="H7" s="863"/>
      <c r="I7" s="866"/>
      <c r="J7" s="866"/>
      <c r="K7" s="833"/>
      <c r="L7" s="872"/>
      <c r="M7" s="872"/>
      <c r="N7" s="872"/>
      <c r="O7" s="872"/>
      <c r="P7" s="872"/>
      <c r="Q7" s="872"/>
      <c r="R7" s="872"/>
      <c r="S7" s="872"/>
      <c r="T7" s="819"/>
      <c r="U7" s="836"/>
      <c r="V7" s="819"/>
      <c r="W7" s="830"/>
    </row>
    <row r="8" spans="1:25" s="229" customFormat="1" ht="62.25" customHeight="1">
      <c r="A8" s="348"/>
      <c r="B8" s="349"/>
      <c r="C8" s="349"/>
      <c r="D8" s="350"/>
      <c r="E8" s="350"/>
      <c r="F8" s="350"/>
      <c r="G8" s="346"/>
      <c r="H8" s="346"/>
      <c r="I8" s="347"/>
      <c r="J8" s="347"/>
      <c r="K8" s="350"/>
      <c r="L8" s="351" t="e">
        <f>+#REF!+#REF!</f>
        <v>#REF!</v>
      </c>
      <c r="M8" s="351"/>
      <c r="N8" s="352" t="e">
        <f>+L8/1000000</f>
        <v>#REF!</v>
      </c>
      <c r="O8" s="351"/>
      <c r="P8" s="351" t="e">
        <f>+#REF!/1000000</f>
        <v>#REF!</v>
      </c>
      <c r="Q8" s="351"/>
      <c r="R8" s="351" t="e">
        <f>+P8-P9</f>
        <v>#REF!</v>
      </c>
      <c r="S8" s="351"/>
      <c r="T8" s="353"/>
      <c r="U8" s="354"/>
      <c r="V8" s="353">
        <f>+L9-L113</f>
        <v>260516.93253400002</v>
      </c>
      <c r="W8" s="355">
        <f>+P9/V8*100</f>
        <v>125.13902064400312</v>
      </c>
    </row>
    <row r="9" spans="1:25" s="177" customFormat="1" ht="28.5" customHeight="1">
      <c r="A9" s="174" t="s">
        <v>37</v>
      </c>
      <c r="B9" s="175" t="s">
        <v>177</v>
      </c>
      <c r="C9" s="174"/>
      <c r="D9" s="174"/>
      <c r="E9" s="174"/>
      <c r="F9" s="174">
        <f>SUM(F10:F112)/2</f>
        <v>1032868.6000000001</v>
      </c>
      <c r="G9" s="174">
        <f t="shared" ref="G9:T9" si="0">SUM(G10:G112)/2</f>
        <v>793104.574517</v>
      </c>
      <c r="H9" s="174">
        <f t="shared" si="0"/>
        <v>768806.90796784614</v>
      </c>
      <c r="I9" s="174">
        <f t="shared" si="0"/>
        <v>2441</v>
      </c>
      <c r="J9" s="174">
        <f t="shared" si="0"/>
        <v>124311.22200000001</v>
      </c>
      <c r="K9" s="174">
        <f t="shared" si="0"/>
        <v>793104.574517</v>
      </c>
      <c r="L9" s="174">
        <f t="shared" si="0"/>
        <v>345117.93253400002</v>
      </c>
      <c r="M9" s="174">
        <f t="shared" si="0"/>
        <v>2258</v>
      </c>
      <c r="N9" s="174">
        <f t="shared" si="0"/>
        <v>23602.437957000006</v>
      </c>
      <c r="O9" s="174">
        <f t="shared" si="0"/>
        <v>319257.49457700003</v>
      </c>
      <c r="P9" s="174">
        <f t="shared" si="0"/>
        <v>326008.33798484597</v>
      </c>
      <c r="Q9" s="174">
        <f t="shared" si="0"/>
        <v>2258</v>
      </c>
      <c r="R9" s="174">
        <f t="shared" si="0"/>
        <v>22802.836957000003</v>
      </c>
      <c r="S9" s="174">
        <f t="shared" si="0"/>
        <v>300947.50102784607</v>
      </c>
      <c r="T9" s="174">
        <f t="shared" si="0"/>
        <v>768806.90796784614</v>
      </c>
      <c r="U9" s="176">
        <f t="shared" ref="U9:U26" si="1">+P9/L9</f>
        <v>0.94462879859981941</v>
      </c>
      <c r="V9" s="63"/>
      <c r="W9" s="174"/>
    </row>
    <row r="10" spans="1:25" s="181" customFormat="1" ht="39.75" customHeight="1">
      <c r="A10" s="131" t="s">
        <v>43</v>
      </c>
      <c r="B10" s="125" t="s">
        <v>142</v>
      </c>
      <c r="C10" s="258"/>
      <c r="D10" s="258"/>
      <c r="E10" s="179"/>
      <c r="F10" s="22">
        <f>+F11</f>
        <v>2204</v>
      </c>
      <c r="G10" s="356">
        <f t="shared" ref="G10:T10" si="2">+G11</f>
        <v>2204</v>
      </c>
      <c r="H10" s="357">
        <f t="shared" ref="H10:H73" si="3">+T10</f>
        <v>1983.647925</v>
      </c>
      <c r="I10" s="358">
        <f t="shared" si="2"/>
        <v>159</v>
      </c>
      <c r="J10" s="358">
        <f t="shared" si="2"/>
        <v>0</v>
      </c>
      <c r="K10" s="22">
        <f t="shared" si="2"/>
        <v>2204</v>
      </c>
      <c r="L10" s="174">
        <f t="shared" si="2"/>
        <v>2204</v>
      </c>
      <c r="M10" s="174"/>
      <c r="N10" s="174">
        <f t="shared" si="2"/>
        <v>0</v>
      </c>
      <c r="O10" s="174">
        <f t="shared" si="2"/>
        <v>2204</v>
      </c>
      <c r="P10" s="174">
        <f t="shared" si="2"/>
        <v>1983.647925</v>
      </c>
      <c r="Q10" s="174"/>
      <c r="R10" s="174">
        <f t="shared" si="2"/>
        <v>0</v>
      </c>
      <c r="S10" s="174">
        <f t="shared" si="2"/>
        <v>1983.647925</v>
      </c>
      <c r="T10" s="174">
        <f t="shared" si="2"/>
        <v>1983.647925</v>
      </c>
      <c r="U10" s="176">
        <f t="shared" si="1"/>
        <v>0.90002174455535389</v>
      </c>
      <c r="V10" s="359"/>
      <c r="W10" s="174"/>
    </row>
    <row r="11" spans="1:25" ht="48.75" customHeight="1">
      <c r="A11" s="259">
        <v>1</v>
      </c>
      <c r="B11" s="260" t="s">
        <v>143</v>
      </c>
      <c r="C11" s="261"/>
      <c r="D11" s="261">
        <v>2024</v>
      </c>
      <c r="E11" s="263" t="s">
        <v>395</v>
      </c>
      <c r="F11" s="182">
        <v>2204</v>
      </c>
      <c r="G11" s="357">
        <f t="shared" ref="G11" si="4">+K11</f>
        <v>2204</v>
      </c>
      <c r="H11" s="357">
        <f t="shared" si="3"/>
        <v>1983.647925</v>
      </c>
      <c r="I11" s="360">
        <v>159</v>
      </c>
      <c r="J11" s="360"/>
      <c r="K11" s="35">
        <f>+L11</f>
        <v>2204</v>
      </c>
      <c r="L11" s="295">
        <f>SUM(N11:O11)</f>
        <v>2204</v>
      </c>
      <c r="M11" s="295"/>
      <c r="N11" s="295"/>
      <c r="O11" s="295">
        <v>2204</v>
      </c>
      <c r="P11" s="295">
        <f t="shared" ref="P11" si="5">SUM(R11:S11)</f>
        <v>1983.647925</v>
      </c>
      <c r="Q11" s="295"/>
      <c r="R11" s="295"/>
      <c r="S11" s="295">
        <v>1983.647925</v>
      </c>
      <c r="T11" s="183">
        <f>+S11</f>
        <v>1983.647925</v>
      </c>
      <c r="U11" s="185">
        <f t="shared" si="1"/>
        <v>0.90002174455535389</v>
      </c>
      <c r="V11" s="361" t="s">
        <v>396</v>
      </c>
      <c r="W11" s="183"/>
      <c r="Y11" s="362">
        <f>+SUM(X12:X112)/2</f>
        <v>3569.4142948136632</v>
      </c>
    </row>
    <row r="12" spans="1:25" s="308" customFormat="1" ht="28.5" customHeight="1">
      <c r="A12" s="363" t="s">
        <v>53</v>
      </c>
      <c r="B12" s="364" t="s">
        <v>109</v>
      </c>
      <c r="C12" s="363"/>
      <c r="D12" s="305">
        <v>0</v>
      </c>
      <c r="E12" s="365"/>
      <c r="F12" s="306">
        <f t="shared" ref="F12:T12" si="6">SUM(F13:F19)</f>
        <v>59759</v>
      </c>
      <c r="G12" s="306">
        <f t="shared" si="6"/>
        <v>38685.800999999999</v>
      </c>
      <c r="H12" s="306">
        <f t="shared" si="6"/>
        <v>38518.300000000003</v>
      </c>
      <c r="I12" s="306">
        <f t="shared" si="6"/>
        <v>0</v>
      </c>
      <c r="J12" s="306">
        <f t="shared" si="6"/>
        <v>20814.022000000001</v>
      </c>
      <c r="K12" s="306">
        <f t="shared" si="6"/>
        <v>38685.800999999999</v>
      </c>
      <c r="L12" s="306">
        <f t="shared" si="6"/>
        <v>19103.823</v>
      </c>
      <c r="M12" s="306">
        <f t="shared" si="6"/>
        <v>0</v>
      </c>
      <c r="N12" s="306">
        <f t="shared" si="6"/>
        <v>0</v>
      </c>
      <c r="O12" s="306">
        <f t="shared" si="6"/>
        <v>19103.823</v>
      </c>
      <c r="P12" s="306">
        <f t="shared" si="6"/>
        <v>18936.322</v>
      </c>
      <c r="Q12" s="306">
        <f t="shared" si="6"/>
        <v>0</v>
      </c>
      <c r="R12" s="306">
        <f t="shared" si="6"/>
        <v>0</v>
      </c>
      <c r="S12" s="306">
        <f t="shared" si="6"/>
        <v>18936.322</v>
      </c>
      <c r="T12" s="306">
        <f t="shared" si="6"/>
        <v>38518.300000000003</v>
      </c>
      <c r="U12" s="307">
        <f t="shared" si="1"/>
        <v>0.99123206909946771</v>
      </c>
      <c r="V12" s="366"/>
      <c r="W12" s="367"/>
      <c r="X12" s="368">
        <f>+'[27]Uoc TT'!O9-P12</f>
        <v>0</v>
      </c>
      <c r="Y12" s="369">
        <f>+Y11/L9</f>
        <v>1.0342592946722682E-2</v>
      </c>
    </row>
    <row r="13" spans="1:25" s="229" customFormat="1" ht="33.6">
      <c r="A13" s="370">
        <v>1</v>
      </c>
      <c r="B13" s="371" t="s">
        <v>110</v>
      </c>
      <c r="C13" s="372"/>
      <c r="D13" s="373">
        <v>2023</v>
      </c>
      <c r="E13" s="372" t="s">
        <v>397</v>
      </c>
      <c r="F13" s="374">
        <v>5000</v>
      </c>
      <c r="G13" s="89">
        <f t="shared" ref="G13:G19" si="7">+K13</f>
        <v>3786</v>
      </c>
      <c r="H13" s="89">
        <f t="shared" ref="H13:H19" si="8">+T13</f>
        <v>3786</v>
      </c>
      <c r="I13" s="27"/>
      <c r="J13" s="27">
        <v>1196</v>
      </c>
      <c r="K13" s="120">
        <f>1086+L13</f>
        <v>3786</v>
      </c>
      <c r="L13" s="89">
        <f>SUM(N13:O13)</f>
        <v>2700</v>
      </c>
      <c r="M13" s="89"/>
      <c r="N13" s="89"/>
      <c r="O13" s="89">
        <v>2700</v>
      </c>
      <c r="P13" s="89">
        <f t="shared" ref="P13:P18" si="9">SUM(R13:S13)</f>
        <v>2700</v>
      </c>
      <c r="Q13" s="89"/>
      <c r="R13" s="89"/>
      <c r="S13" s="89">
        <v>2700</v>
      </c>
      <c r="T13" s="89">
        <f>1086+P13</f>
        <v>3786</v>
      </c>
      <c r="U13" s="227">
        <f t="shared" si="1"/>
        <v>1</v>
      </c>
      <c r="V13" s="366" t="s">
        <v>398</v>
      </c>
      <c r="W13" s="228"/>
      <c r="X13" s="368">
        <f>+'[27]Uoc TT'!O10-P13</f>
        <v>0</v>
      </c>
    </row>
    <row r="14" spans="1:25" s="229" customFormat="1" ht="33.6">
      <c r="A14" s="375">
        <v>2</v>
      </c>
      <c r="B14" s="371" t="s">
        <v>178</v>
      </c>
      <c r="C14" s="372"/>
      <c r="D14" s="373">
        <v>2023</v>
      </c>
      <c r="E14" s="372" t="s">
        <v>179</v>
      </c>
      <c r="F14" s="374">
        <v>14000</v>
      </c>
      <c r="G14" s="89">
        <f t="shared" si="7"/>
        <v>3733.9780000000001</v>
      </c>
      <c r="H14" s="89">
        <f t="shared" si="8"/>
        <v>3733.9780000000001</v>
      </c>
      <c r="I14" s="27"/>
      <c r="J14" s="27">
        <f>+F14-G14</f>
        <v>10266.022000000001</v>
      </c>
      <c r="K14" s="120">
        <v>3733.9780000000001</v>
      </c>
      <c r="L14" s="89">
        <f t="shared" ref="L14:L19" si="10">SUM(N14:O14)</f>
        <v>2000</v>
      </c>
      <c r="M14" s="89"/>
      <c r="N14" s="89"/>
      <c r="O14" s="202">
        <v>2000</v>
      </c>
      <c r="P14" s="89">
        <f t="shared" si="9"/>
        <v>2000</v>
      </c>
      <c r="Q14" s="89"/>
      <c r="R14" s="89"/>
      <c r="S14" s="89">
        <v>2000</v>
      </c>
      <c r="T14" s="89">
        <f>1733.978+P14</f>
        <v>3733.9780000000001</v>
      </c>
      <c r="U14" s="227">
        <f t="shared" si="1"/>
        <v>1</v>
      </c>
      <c r="V14" s="366" t="s">
        <v>399</v>
      </c>
      <c r="W14" s="228"/>
      <c r="X14" s="368">
        <f>+'[27]Uoc TT'!O11-P14</f>
        <v>0</v>
      </c>
    </row>
    <row r="15" spans="1:25" s="229" customFormat="1" ht="33.6">
      <c r="A15" s="370">
        <v>3</v>
      </c>
      <c r="B15" s="371" t="s">
        <v>180</v>
      </c>
      <c r="C15" s="372"/>
      <c r="D15" s="373">
        <v>2023</v>
      </c>
      <c r="E15" s="372" t="s">
        <v>181</v>
      </c>
      <c r="F15" s="374">
        <v>8769</v>
      </c>
      <c r="G15" s="89">
        <f t="shared" si="7"/>
        <v>2480</v>
      </c>
      <c r="H15" s="89">
        <f t="shared" si="8"/>
        <v>2480</v>
      </c>
      <c r="I15" s="27"/>
      <c r="J15" s="27">
        <v>6289</v>
      </c>
      <c r="K15" s="120">
        <f>1480+L15</f>
        <v>2480</v>
      </c>
      <c r="L15" s="89">
        <f t="shared" si="10"/>
        <v>1000</v>
      </c>
      <c r="M15" s="89"/>
      <c r="N15" s="89"/>
      <c r="O15" s="202">
        <v>1000</v>
      </c>
      <c r="P15" s="89">
        <f t="shared" si="9"/>
        <v>1000</v>
      </c>
      <c r="Q15" s="89"/>
      <c r="R15" s="89"/>
      <c r="S15" s="376">
        <v>1000</v>
      </c>
      <c r="T15" s="89">
        <f>1480+S15</f>
        <v>2480</v>
      </c>
      <c r="U15" s="227">
        <f t="shared" si="1"/>
        <v>1</v>
      </c>
      <c r="V15" s="366" t="s">
        <v>399</v>
      </c>
      <c r="W15" s="228"/>
      <c r="X15" s="368">
        <f>+'[27]Uoc TT'!O12-P15</f>
        <v>0</v>
      </c>
    </row>
    <row r="16" spans="1:25" s="229" customFormat="1" ht="40.5" customHeight="1">
      <c r="A16" s="375">
        <v>4</v>
      </c>
      <c r="B16" s="371" t="s">
        <v>182</v>
      </c>
      <c r="C16" s="372"/>
      <c r="D16" s="373">
        <v>2023</v>
      </c>
      <c r="E16" s="372" t="s">
        <v>183</v>
      </c>
      <c r="F16" s="377">
        <v>7000</v>
      </c>
      <c r="G16" s="89">
        <f t="shared" si="7"/>
        <v>5680</v>
      </c>
      <c r="H16" s="89">
        <f t="shared" si="8"/>
        <v>5680</v>
      </c>
      <c r="I16" s="27"/>
      <c r="J16" s="27">
        <v>1163</v>
      </c>
      <c r="K16" s="120">
        <f>1180+L16</f>
        <v>5680</v>
      </c>
      <c r="L16" s="89">
        <f t="shared" si="10"/>
        <v>4500</v>
      </c>
      <c r="M16" s="89"/>
      <c r="N16" s="89"/>
      <c r="O16" s="202">
        <v>4500</v>
      </c>
      <c r="P16" s="89">
        <f t="shared" si="9"/>
        <v>4500</v>
      </c>
      <c r="Q16" s="89"/>
      <c r="R16" s="89"/>
      <c r="S16" s="89">
        <v>4500</v>
      </c>
      <c r="T16" s="89">
        <f>1180+P16</f>
        <v>5680</v>
      </c>
      <c r="U16" s="227">
        <f t="shared" si="1"/>
        <v>1</v>
      </c>
      <c r="V16" s="366" t="str">
        <f>V13</f>
        <v xml:space="preserve">Đã bàn giao công trình đưa vào sử dụng </v>
      </c>
      <c r="W16" s="228"/>
      <c r="X16" s="368">
        <f>+'[27]Uoc TT'!O13-P16</f>
        <v>0</v>
      </c>
    </row>
    <row r="17" spans="1:24" s="229" customFormat="1" ht="40.5" customHeight="1">
      <c r="A17" s="370">
        <v>5</v>
      </c>
      <c r="B17" s="371" t="s">
        <v>112</v>
      </c>
      <c r="C17" s="372"/>
      <c r="D17" s="373">
        <v>2024</v>
      </c>
      <c r="E17" s="372" t="s">
        <v>400</v>
      </c>
      <c r="F17" s="27">
        <v>4000</v>
      </c>
      <c r="G17" s="89">
        <f t="shared" si="7"/>
        <v>4000</v>
      </c>
      <c r="H17" s="89">
        <f t="shared" si="8"/>
        <v>3832.4989999999998</v>
      </c>
      <c r="I17" s="27">
        <v>0</v>
      </c>
      <c r="J17" s="27">
        <f>+F17-G17</f>
        <v>0</v>
      </c>
      <c r="K17" s="120">
        <f>+L17</f>
        <v>4000</v>
      </c>
      <c r="L17" s="89">
        <f>SUM(N17:O17)</f>
        <v>4000</v>
      </c>
      <c r="M17" s="89"/>
      <c r="N17" s="89"/>
      <c r="O17" s="202">
        <v>4000</v>
      </c>
      <c r="P17" s="89">
        <f t="shared" si="9"/>
        <v>3832.4989999999998</v>
      </c>
      <c r="Q17" s="89"/>
      <c r="R17" s="89"/>
      <c r="S17" s="89">
        <v>3832.4989999999998</v>
      </c>
      <c r="T17" s="89">
        <f>+S17</f>
        <v>3832.4989999999998</v>
      </c>
      <c r="U17" s="227">
        <f t="shared" si="1"/>
        <v>0.95812474999999997</v>
      </c>
      <c r="V17" s="361" t="s">
        <v>401</v>
      </c>
      <c r="W17" s="228"/>
      <c r="X17" s="368">
        <f>+'[27]Uoc TT'!O14-P17</f>
        <v>0</v>
      </c>
    </row>
    <row r="18" spans="1:24" s="229" customFormat="1" ht="33.75" customHeight="1">
      <c r="A18" s="375">
        <v>6</v>
      </c>
      <c r="B18" s="371" t="s">
        <v>402</v>
      </c>
      <c r="C18" s="372"/>
      <c r="D18" s="373">
        <v>2024</v>
      </c>
      <c r="E18" s="372" t="s">
        <v>185</v>
      </c>
      <c r="F18" s="27">
        <v>6000</v>
      </c>
      <c r="G18" s="89">
        <f t="shared" si="7"/>
        <v>4100</v>
      </c>
      <c r="H18" s="89">
        <f t="shared" si="8"/>
        <v>4100</v>
      </c>
      <c r="I18" s="27"/>
      <c r="J18" s="27">
        <v>1900</v>
      </c>
      <c r="K18" s="120">
        <v>4100</v>
      </c>
      <c r="L18" s="89">
        <f t="shared" si="10"/>
        <v>4100</v>
      </c>
      <c r="M18" s="89"/>
      <c r="N18" s="89"/>
      <c r="O18" s="202">
        <v>4100</v>
      </c>
      <c r="P18" s="89">
        <f t="shared" si="9"/>
        <v>4100</v>
      </c>
      <c r="Q18" s="89"/>
      <c r="R18" s="89"/>
      <c r="S18" s="89">
        <v>4100</v>
      </c>
      <c r="T18" s="89">
        <f>+S18</f>
        <v>4100</v>
      </c>
      <c r="U18" s="227">
        <f t="shared" si="1"/>
        <v>1</v>
      </c>
      <c r="V18" s="366">
        <v>0.3</v>
      </c>
      <c r="W18" s="228"/>
      <c r="X18" s="368">
        <f>+'[27]Uoc TT'!O15-P18</f>
        <v>0</v>
      </c>
    </row>
    <row r="19" spans="1:24" s="229" customFormat="1" ht="39" customHeight="1">
      <c r="A19" s="370">
        <v>7</v>
      </c>
      <c r="B19" s="25" t="s">
        <v>403</v>
      </c>
      <c r="C19" s="28"/>
      <c r="D19" s="378" t="s">
        <v>404</v>
      </c>
      <c r="E19" s="375" t="s">
        <v>405</v>
      </c>
      <c r="F19" s="27">
        <v>14990</v>
      </c>
      <c r="G19" s="89">
        <f t="shared" si="7"/>
        <v>14905.823</v>
      </c>
      <c r="H19" s="89">
        <f t="shared" si="8"/>
        <v>14905.823</v>
      </c>
      <c r="I19" s="27"/>
      <c r="J19" s="27"/>
      <c r="K19" s="89">
        <f>14102+L19</f>
        <v>14905.823</v>
      </c>
      <c r="L19" s="89">
        <f t="shared" si="10"/>
        <v>803.82299999999998</v>
      </c>
      <c r="M19" s="89"/>
      <c r="N19" s="89"/>
      <c r="O19" s="89">
        <v>803.82299999999998</v>
      </c>
      <c r="P19" s="89">
        <f>+O19</f>
        <v>803.82299999999998</v>
      </c>
      <c r="Q19" s="89"/>
      <c r="R19" s="89"/>
      <c r="S19" s="89">
        <v>803.82299999999998</v>
      </c>
      <c r="T19" s="89">
        <f>14102+P19</f>
        <v>14905.823</v>
      </c>
      <c r="U19" s="227">
        <f t="shared" si="1"/>
        <v>1</v>
      </c>
      <c r="V19" s="366" t="s">
        <v>398</v>
      </c>
      <c r="W19" s="228"/>
      <c r="X19" s="368">
        <f>+'[27]Uoc TT'!O16-P19</f>
        <v>0</v>
      </c>
    </row>
    <row r="20" spans="1:24" s="308" customFormat="1" ht="39" customHeight="1">
      <c r="A20" s="379" t="s">
        <v>53</v>
      </c>
      <c r="B20" s="304" t="s">
        <v>406</v>
      </c>
      <c r="C20" s="90"/>
      <c r="D20" s="380"/>
      <c r="E20" s="363"/>
      <c r="F20" s="381">
        <f>SUM(F21:F22)</f>
        <v>21990</v>
      </c>
      <c r="G20" s="381">
        <f t="shared" ref="G20:V20" si="11">SUM(G21:G22)</f>
        <v>3398.6715770000001</v>
      </c>
      <c r="H20" s="381">
        <f t="shared" si="11"/>
        <v>3393.087</v>
      </c>
      <c r="I20" s="381">
        <f t="shared" si="11"/>
        <v>0</v>
      </c>
      <c r="J20" s="381">
        <f t="shared" si="11"/>
        <v>0</v>
      </c>
      <c r="K20" s="306">
        <f t="shared" si="11"/>
        <v>3398.6715770000001</v>
      </c>
      <c r="L20" s="306">
        <f t="shared" si="11"/>
        <v>3398.6715770000001</v>
      </c>
      <c r="M20" s="306">
        <f t="shared" si="11"/>
        <v>0</v>
      </c>
      <c r="N20" s="306">
        <f t="shared" si="11"/>
        <v>0</v>
      </c>
      <c r="O20" s="306">
        <f t="shared" si="11"/>
        <v>3398.6715770000001</v>
      </c>
      <c r="P20" s="381">
        <f t="shared" si="11"/>
        <v>3393.087</v>
      </c>
      <c r="Q20" s="381">
        <f t="shared" si="11"/>
        <v>0</v>
      </c>
      <c r="R20" s="381">
        <f t="shared" si="11"/>
        <v>0</v>
      </c>
      <c r="S20" s="381">
        <f t="shared" si="11"/>
        <v>3393.087</v>
      </c>
      <c r="T20" s="381">
        <f>SUM(T21:T22)</f>
        <v>3393.087</v>
      </c>
      <c r="U20" s="227">
        <f t="shared" si="1"/>
        <v>0.99835683534773034</v>
      </c>
      <c r="V20" s="381">
        <f t="shared" si="11"/>
        <v>0</v>
      </c>
      <c r="W20" s="367"/>
      <c r="X20" s="368">
        <f>+'[27]Uoc TT'!O17-P20</f>
        <v>0.58300000000008367</v>
      </c>
    </row>
    <row r="21" spans="1:24" s="229" customFormat="1" ht="40.5" customHeight="1">
      <c r="A21" s="375">
        <v>4</v>
      </c>
      <c r="B21" s="371" t="s">
        <v>110</v>
      </c>
      <c r="C21" s="372"/>
      <c r="D21" s="373">
        <v>2023</v>
      </c>
      <c r="E21" s="372" t="s">
        <v>183</v>
      </c>
      <c r="F21" s="377">
        <v>7000</v>
      </c>
      <c r="G21" s="89">
        <f t="shared" ref="G21" si="12">+K21</f>
        <v>1116</v>
      </c>
      <c r="H21" s="89">
        <f>+T21</f>
        <v>1110.4169999999999</v>
      </c>
      <c r="I21" s="27"/>
      <c r="J21" s="27"/>
      <c r="K21" s="89">
        <f>+L21</f>
        <v>1116</v>
      </c>
      <c r="L21" s="89">
        <f t="shared" ref="L21" si="13">SUM(N21:O21)</f>
        <v>1116</v>
      </c>
      <c r="M21" s="89"/>
      <c r="N21" s="89"/>
      <c r="O21" s="202">
        <v>1116</v>
      </c>
      <c r="P21" s="89">
        <f t="shared" ref="P21" si="14">SUM(R21:S21)</f>
        <v>1110.4169999999999</v>
      </c>
      <c r="Q21" s="89"/>
      <c r="R21" s="89"/>
      <c r="S21" s="89">
        <v>1110.4169999999999</v>
      </c>
      <c r="T21" s="89">
        <v>1110.4169999999999</v>
      </c>
      <c r="U21" s="227">
        <f t="shared" si="1"/>
        <v>0.99499731182795692</v>
      </c>
      <c r="V21" s="366" t="str">
        <f>V19</f>
        <v xml:space="preserve">Đã bàn giao công trình đưa vào sử dụng </v>
      </c>
      <c r="W21" s="228"/>
      <c r="X21" s="368">
        <f>+'[27]Uoc TT'!O18-P21</f>
        <v>0.58300000000008367</v>
      </c>
    </row>
    <row r="22" spans="1:24" s="229" customFormat="1" ht="45" customHeight="1">
      <c r="A22" s="375">
        <v>8</v>
      </c>
      <c r="B22" s="382" t="s">
        <v>93</v>
      </c>
      <c r="C22" s="383"/>
      <c r="D22" s="373" t="s">
        <v>212</v>
      </c>
      <c r="E22" s="384" t="s">
        <v>186</v>
      </c>
      <c r="F22" s="120">
        <v>14990</v>
      </c>
      <c r="G22" s="89">
        <f>+K22</f>
        <v>2282.6715770000001</v>
      </c>
      <c r="H22" s="89">
        <f>+T22</f>
        <v>2282.67</v>
      </c>
      <c r="I22" s="27"/>
      <c r="J22" s="27"/>
      <c r="K22" s="89">
        <f>+L22</f>
        <v>2282.6715770000001</v>
      </c>
      <c r="L22" s="89">
        <f>SUM(N22:O22)</f>
        <v>2282.6715770000001</v>
      </c>
      <c r="M22" s="89"/>
      <c r="N22" s="89"/>
      <c r="O22" s="89">
        <v>2282.6715770000001</v>
      </c>
      <c r="P22" s="89">
        <f>SUM(R22:S22)</f>
        <v>2282.67</v>
      </c>
      <c r="Q22" s="89"/>
      <c r="R22" s="89"/>
      <c r="S22" s="89">
        <v>2282.67</v>
      </c>
      <c r="T22" s="89">
        <f>+P22</f>
        <v>2282.67</v>
      </c>
      <c r="U22" s="227">
        <f t="shared" si="1"/>
        <v>0.9999993091428413</v>
      </c>
      <c r="V22" s="366" t="s">
        <v>398</v>
      </c>
      <c r="W22" s="228"/>
      <c r="X22" s="368">
        <f>+'[27]Uoc TT'!O19-P22</f>
        <v>0</v>
      </c>
    </row>
    <row r="23" spans="1:24" s="181" customFormat="1" ht="31.5" customHeight="1">
      <c r="A23" s="18" t="s">
        <v>53</v>
      </c>
      <c r="B23" s="19" t="s">
        <v>187</v>
      </c>
      <c r="C23" s="73"/>
      <c r="D23" s="178"/>
      <c r="E23" s="187">
        <v>0</v>
      </c>
      <c r="F23" s="188">
        <f t="shared" ref="F23:T23" si="15">SUM(F24:F35)</f>
        <v>113687</v>
      </c>
      <c r="G23" s="356">
        <f t="shared" si="15"/>
        <v>37319.801939999998</v>
      </c>
      <c r="H23" s="357">
        <f t="shared" si="3"/>
        <v>37299.745999999999</v>
      </c>
      <c r="I23" s="385">
        <f t="shared" si="15"/>
        <v>19</v>
      </c>
      <c r="J23" s="385">
        <f t="shared" si="15"/>
        <v>13500</v>
      </c>
      <c r="K23" s="188">
        <f t="shared" si="15"/>
        <v>37319.801939999998</v>
      </c>
      <c r="L23" s="286">
        <f t="shared" si="15"/>
        <v>16829</v>
      </c>
      <c r="M23" s="286"/>
      <c r="N23" s="286">
        <f t="shared" si="15"/>
        <v>0</v>
      </c>
      <c r="O23" s="286">
        <f t="shared" si="15"/>
        <v>16829</v>
      </c>
      <c r="P23" s="286">
        <f t="shared" si="15"/>
        <v>16808.944060000002</v>
      </c>
      <c r="Q23" s="286"/>
      <c r="R23" s="286">
        <f t="shared" si="15"/>
        <v>0</v>
      </c>
      <c r="S23" s="286">
        <f t="shared" si="15"/>
        <v>16808.944060000002</v>
      </c>
      <c r="T23" s="174">
        <f t="shared" si="15"/>
        <v>37299.745999999999</v>
      </c>
      <c r="U23" s="176">
        <f t="shared" si="1"/>
        <v>0.99880825123299077</v>
      </c>
      <c r="V23" s="366"/>
      <c r="W23" s="180"/>
      <c r="X23" s="368">
        <f>+'[27]Uoc TT'!O20-P23</f>
        <v>-0.89100000000325963</v>
      </c>
    </row>
    <row r="24" spans="1:24" ht="39" customHeight="1">
      <c r="A24" s="144">
        <v>2</v>
      </c>
      <c r="B24" s="32" t="s">
        <v>125</v>
      </c>
      <c r="C24" s="23"/>
      <c r="D24" s="192" t="s">
        <v>247</v>
      </c>
      <c r="E24" s="193" t="s">
        <v>407</v>
      </c>
      <c r="F24" s="35">
        <v>25000</v>
      </c>
      <c r="G24" s="357">
        <f t="shared" ref="G24:G78" si="16">+K24</f>
        <v>14464.801939999999</v>
      </c>
      <c r="H24" s="357">
        <f t="shared" si="3"/>
        <v>14447.186</v>
      </c>
      <c r="I24" s="386">
        <v>17</v>
      </c>
      <c r="J24" s="360"/>
      <c r="K24" s="35">
        <f>12378.80194+L24</f>
        <v>14464.801939999999</v>
      </c>
      <c r="L24" s="295">
        <f t="shared" ref="L24:L35" si="17">SUM(N24:O24)</f>
        <v>2086</v>
      </c>
      <c r="M24" s="295"/>
      <c r="N24" s="295"/>
      <c r="O24" s="296">
        <f>2851-765</f>
        <v>2086</v>
      </c>
      <c r="P24" s="295">
        <f>1927.83706+140.547</f>
        <v>2068.3840599999999</v>
      </c>
      <c r="Q24" s="295"/>
      <c r="R24" s="295"/>
      <c r="S24" s="295">
        <f>+P24</f>
        <v>2068.3840599999999</v>
      </c>
      <c r="T24" s="183">
        <f>12378.80194+S24</f>
        <v>14447.186</v>
      </c>
      <c r="U24" s="185">
        <f t="shared" si="1"/>
        <v>0.99155515819750717</v>
      </c>
      <c r="V24" s="366" t="str">
        <f>V22</f>
        <v xml:space="preserve">Đã bàn giao công trình đưa vào sử dụng </v>
      </c>
      <c r="W24" s="186" t="s">
        <v>408</v>
      </c>
      <c r="X24" s="368">
        <f>+'[27]Uoc TT'!O21-P24</f>
        <v>0</v>
      </c>
    </row>
    <row r="25" spans="1:24" ht="39" customHeight="1">
      <c r="A25" s="74">
        <v>3</v>
      </c>
      <c r="B25" s="32" t="s">
        <v>127</v>
      </c>
      <c r="C25" s="23"/>
      <c r="D25" s="192" t="s">
        <v>247</v>
      </c>
      <c r="E25" s="193" t="s">
        <v>409</v>
      </c>
      <c r="F25" s="35">
        <v>14990</v>
      </c>
      <c r="G25" s="357">
        <f t="shared" si="16"/>
        <v>9717</v>
      </c>
      <c r="H25" s="357">
        <f t="shared" si="3"/>
        <v>9714.56</v>
      </c>
      <c r="I25" s="386">
        <v>2</v>
      </c>
      <c r="J25" s="360"/>
      <c r="K25" s="35">
        <f>7612+L25</f>
        <v>9717</v>
      </c>
      <c r="L25" s="295">
        <f t="shared" si="17"/>
        <v>2105</v>
      </c>
      <c r="M25" s="295"/>
      <c r="N25" s="295"/>
      <c r="O25" s="296">
        <f>2378-273</f>
        <v>2105</v>
      </c>
      <c r="P25" s="295">
        <v>2102.56</v>
      </c>
      <c r="Q25" s="295"/>
      <c r="R25" s="295"/>
      <c r="S25" s="295">
        <f t="shared" ref="S25" si="18">+P25</f>
        <v>2102.56</v>
      </c>
      <c r="T25" s="183">
        <f>7612+S25</f>
        <v>9714.56</v>
      </c>
      <c r="U25" s="185">
        <f t="shared" si="1"/>
        <v>0.99884085510688836</v>
      </c>
      <c r="V25" s="387" t="s">
        <v>401</v>
      </c>
      <c r="W25" s="186" t="s">
        <v>408</v>
      </c>
      <c r="X25" s="368">
        <f>+'[27]Uoc TT'!O22-P25</f>
        <v>0</v>
      </c>
    </row>
    <row r="26" spans="1:24" ht="39" customHeight="1">
      <c r="A26" s="144">
        <v>4</v>
      </c>
      <c r="B26" s="32" t="s">
        <v>128</v>
      </c>
      <c r="C26" s="23"/>
      <c r="D26" s="192" t="s">
        <v>212</v>
      </c>
      <c r="E26" s="193" t="s">
        <v>213</v>
      </c>
      <c r="F26" s="35">
        <v>22400</v>
      </c>
      <c r="G26" s="357">
        <f t="shared" si="16"/>
        <v>2400</v>
      </c>
      <c r="H26" s="357">
        <f t="shared" si="3"/>
        <v>2400</v>
      </c>
      <c r="I26" s="360"/>
      <c r="J26" s="360"/>
      <c r="K26" s="35">
        <f>500+L26</f>
        <v>2400</v>
      </c>
      <c r="L26" s="295">
        <f t="shared" si="17"/>
        <v>1900</v>
      </c>
      <c r="M26" s="295"/>
      <c r="N26" s="295"/>
      <c r="O26" s="296">
        <v>1900</v>
      </c>
      <c r="P26" s="295">
        <f>1130.372+769.628</f>
        <v>1900</v>
      </c>
      <c r="Q26" s="295"/>
      <c r="R26" s="296"/>
      <c r="S26" s="295">
        <f>+P26</f>
        <v>1900</v>
      </c>
      <c r="T26" s="184">
        <f>500+P26</f>
        <v>2400</v>
      </c>
      <c r="U26" s="185">
        <f t="shared" si="1"/>
        <v>1</v>
      </c>
      <c r="V26" s="387" t="s">
        <v>401</v>
      </c>
      <c r="W26" s="186" t="s">
        <v>408</v>
      </c>
      <c r="X26" s="368">
        <f>+'[27]Uoc TT'!O23-P26</f>
        <v>0</v>
      </c>
    </row>
    <row r="27" spans="1:24" ht="41.25" customHeight="1">
      <c r="A27" s="189" t="s">
        <v>188</v>
      </c>
      <c r="B27" s="190" t="s">
        <v>189</v>
      </c>
      <c r="C27" s="191"/>
      <c r="D27" s="192"/>
      <c r="E27" s="193"/>
      <c r="F27" s="35"/>
      <c r="G27" s="356">
        <f t="shared" si="16"/>
        <v>0</v>
      </c>
      <c r="H27" s="357">
        <f t="shared" si="3"/>
        <v>0</v>
      </c>
      <c r="I27" s="360">
        <v>0</v>
      </c>
      <c r="J27" s="358">
        <v>0</v>
      </c>
      <c r="K27" s="35">
        <f>+L27</f>
        <v>0</v>
      </c>
      <c r="L27" s="295">
        <f t="shared" si="17"/>
        <v>0</v>
      </c>
      <c r="M27" s="295"/>
      <c r="N27" s="295"/>
      <c r="O27" s="296">
        <v>0</v>
      </c>
      <c r="P27" s="295">
        <f t="shared" ref="P27:P33" si="19">SUM(R27:S27)</f>
        <v>0</v>
      </c>
      <c r="Q27" s="295"/>
      <c r="R27" s="296"/>
      <c r="S27" s="295"/>
      <c r="T27" s="184"/>
      <c r="U27" s="185"/>
      <c r="V27" s="366"/>
      <c r="W27" s="186"/>
      <c r="X27" s="368">
        <f>+'[27]Uoc TT'!O24-P27</f>
        <v>0</v>
      </c>
    </row>
    <row r="28" spans="1:24" ht="44.25" customHeight="1">
      <c r="A28" s="194" t="s">
        <v>89</v>
      </c>
      <c r="B28" s="195" t="s">
        <v>190</v>
      </c>
      <c r="C28" s="193"/>
      <c r="D28" s="196" t="s">
        <v>191</v>
      </c>
      <c r="E28" s="193" t="s">
        <v>192</v>
      </c>
      <c r="F28" s="34">
        <v>25662</v>
      </c>
      <c r="G28" s="357">
        <f t="shared" si="16"/>
        <v>4000</v>
      </c>
      <c r="H28" s="357">
        <f t="shared" si="3"/>
        <v>4000</v>
      </c>
      <c r="I28" s="360"/>
      <c r="J28" s="360">
        <v>2440</v>
      </c>
      <c r="K28" s="35">
        <f t="shared" ref="K28:K35" si="20">+L28</f>
        <v>4000</v>
      </c>
      <c r="L28" s="295">
        <f t="shared" si="17"/>
        <v>4000</v>
      </c>
      <c r="M28" s="295"/>
      <c r="N28" s="295"/>
      <c r="O28" s="388">
        <v>4000</v>
      </c>
      <c r="P28" s="295">
        <f t="shared" si="19"/>
        <v>4000</v>
      </c>
      <c r="Q28" s="295"/>
      <c r="R28" s="296"/>
      <c r="S28" s="63">
        <f>+O28</f>
        <v>4000</v>
      </c>
      <c r="T28" s="184">
        <f>+S28</f>
        <v>4000</v>
      </c>
      <c r="U28" s="185">
        <f>+P28/L28</f>
        <v>1</v>
      </c>
      <c r="V28" s="361">
        <v>0.8</v>
      </c>
      <c r="W28" s="23" t="s">
        <v>193</v>
      </c>
      <c r="X28" s="368">
        <f>+'[27]Uoc TT'!O25-P28</f>
        <v>0</v>
      </c>
    </row>
    <row r="29" spans="1:24" ht="31.5" customHeight="1">
      <c r="A29" s="189" t="s">
        <v>78</v>
      </c>
      <c r="B29" s="190" t="s">
        <v>194</v>
      </c>
      <c r="C29" s="191"/>
      <c r="D29" s="192"/>
      <c r="E29" s="193"/>
      <c r="F29" s="35"/>
      <c r="G29" s="356">
        <f t="shared" si="16"/>
        <v>0</v>
      </c>
      <c r="H29" s="357">
        <f t="shared" si="3"/>
        <v>0</v>
      </c>
      <c r="I29" s="360">
        <v>0</v>
      </c>
      <c r="J29" s="358">
        <v>0</v>
      </c>
      <c r="K29" s="35">
        <f t="shared" si="20"/>
        <v>0</v>
      </c>
      <c r="L29" s="295">
        <f t="shared" si="17"/>
        <v>0</v>
      </c>
      <c r="M29" s="295"/>
      <c r="N29" s="295"/>
      <c r="O29" s="296">
        <v>0</v>
      </c>
      <c r="P29" s="295">
        <f t="shared" si="19"/>
        <v>0</v>
      </c>
      <c r="Q29" s="295"/>
      <c r="R29" s="296"/>
      <c r="S29" s="295"/>
      <c r="T29" s="184"/>
      <c r="U29" s="185"/>
      <c r="V29" s="366"/>
      <c r="W29" s="197"/>
      <c r="X29" s="368">
        <f>+'[27]Uoc TT'!O26-P29</f>
        <v>0</v>
      </c>
    </row>
    <row r="30" spans="1:24" ht="47.25" customHeight="1">
      <c r="A30" s="194" t="s">
        <v>89</v>
      </c>
      <c r="B30" s="198" t="s">
        <v>195</v>
      </c>
      <c r="C30" s="199"/>
      <c r="D30" s="192" t="s">
        <v>196</v>
      </c>
      <c r="E30" s="100" t="s">
        <v>197</v>
      </c>
      <c r="F30" s="35">
        <v>6860</v>
      </c>
      <c r="G30" s="356">
        <f t="shared" si="16"/>
        <v>5133</v>
      </c>
      <c r="H30" s="357">
        <f t="shared" si="3"/>
        <v>5133</v>
      </c>
      <c r="I30" s="360"/>
      <c r="J30" s="358">
        <v>2860</v>
      </c>
      <c r="K30" s="35">
        <f t="shared" si="20"/>
        <v>5133</v>
      </c>
      <c r="L30" s="63">
        <f t="shared" si="17"/>
        <v>5133</v>
      </c>
      <c r="M30" s="63"/>
      <c r="N30" s="295"/>
      <c r="O30" s="388">
        <v>5133</v>
      </c>
      <c r="P30" s="295">
        <f t="shared" si="19"/>
        <v>5133</v>
      </c>
      <c r="Q30" s="295"/>
      <c r="R30" s="296"/>
      <c r="S30" s="295">
        <f>+O30</f>
        <v>5133</v>
      </c>
      <c r="T30" s="184">
        <f>+S30</f>
        <v>5133</v>
      </c>
      <c r="U30" s="185">
        <f>+P30/L30</f>
        <v>1</v>
      </c>
      <c r="V30" s="366">
        <v>0.7</v>
      </c>
      <c r="W30" s="197"/>
      <c r="X30" s="368">
        <f>+'[27]Uoc TT'!O27-P30</f>
        <v>0</v>
      </c>
    </row>
    <row r="31" spans="1:24" ht="47.25" customHeight="1">
      <c r="A31" s="200">
        <v>2</v>
      </c>
      <c r="B31" s="61" t="s">
        <v>198</v>
      </c>
      <c r="C31" s="199"/>
      <c r="D31" s="192" t="s">
        <v>196</v>
      </c>
      <c r="E31" s="193"/>
      <c r="F31" s="35">
        <v>4000</v>
      </c>
      <c r="G31" s="356">
        <f t="shared" si="16"/>
        <v>1010</v>
      </c>
      <c r="H31" s="357">
        <f t="shared" si="3"/>
        <v>1010</v>
      </c>
      <c r="I31" s="360"/>
      <c r="J31" s="358">
        <v>1700</v>
      </c>
      <c r="K31" s="35">
        <f t="shared" si="20"/>
        <v>1010</v>
      </c>
      <c r="L31" s="63">
        <f t="shared" si="17"/>
        <v>1010</v>
      </c>
      <c r="M31" s="63"/>
      <c r="N31" s="295"/>
      <c r="O31" s="388">
        <v>1010</v>
      </c>
      <c r="P31" s="295">
        <f t="shared" si="19"/>
        <v>1010</v>
      </c>
      <c r="Q31" s="295"/>
      <c r="R31" s="296"/>
      <c r="S31" s="295">
        <f>+O31</f>
        <v>1010</v>
      </c>
      <c r="T31" s="184">
        <f>+S31</f>
        <v>1010</v>
      </c>
      <c r="U31" s="185">
        <f>+P31/L31</f>
        <v>1</v>
      </c>
      <c r="V31" s="366">
        <v>0</v>
      </c>
      <c r="W31" s="197"/>
      <c r="X31" s="368">
        <f>+'[27]Uoc TT'!O28-P31</f>
        <v>0</v>
      </c>
    </row>
    <row r="32" spans="1:24" ht="31.5" customHeight="1">
      <c r="A32" s="189" t="s">
        <v>78</v>
      </c>
      <c r="B32" s="190" t="s">
        <v>200</v>
      </c>
      <c r="C32" s="191"/>
      <c r="D32" s="192"/>
      <c r="E32" s="193"/>
      <c r="F32" s="35"/>
      <c r="G32" s="356">
        <f t="shared" si="16"/>
        <v>0</v>
      </c>
      <c r="H32" s="357">
        <f t="shared" si="3"/>
        <v>0</v>
      </c>
      <c r="I32" s="360">
        <v>0</v>
      </c>
      <c r="J32" s="358">
        <v>0</v>
      </c>
      <c r="K32" s="35">
        <f t="shared" si="20"/>
        <v>0</v>
      </c>
      <c r="L32" s="295">
        <f t="shared" si="17"/>
        <v>0</v>
      </c>
      <c r="M32" s="295"/>
      <c r="N32" s="295"/>
      <c r="O32" s="296">
        <v>0</v>
      </c>
      <c r="P32" s="295">
        <f t="shared" si="19"/>
        <v>0</v>
      </c>
      <c r="Q32" s="295"/>
      <c r="R32" s="296"/>
      <c r="S32" s="295"/>
      <c r="T32" s="184"/>
      <c r="U32" s="185"/>
      <c r="V32" s="366"/>
      <c r="W32" s="197"/>
      <c r="X32" s="368">
        <f>+'[27]Uoc TT'!O29-P32</f>
        <v>0</v>
      </c>
    </row>
    <row r="33" spans="1:24" ht="45" customHeight="1">
      <c r="A33" s="389">
        <v>1</v>
      </c>
      <c r="B33" s="198" t="s">
        <v>201</v>
      </c>
      <c r="C33" s="199" t="s">
        <v>202</v>
      </c>
      <c r="D33" s="192" t="s">
        <v>196</v>
      </c>
      <c r="E33" s="193" t="s">
        <v>203</v>
      </c>
      <c r="F33" s="35">
        <v>7000</v>
      </c>
      <c r="G33" s="357">
        <f t="shared" si="16"/>
        <v>295</v>
      </c>
      <c r="H33" s="357">
        <f t="shared" si="3"/>
        <v>295</v>
      </c>
      <c r="I33" s="360"/>
      <c r="J33" s="360">
        <v>6500</v>
      </c>
      <c r="K33" s="35">
        <f t="shared" si="20"/>
        <v>295</v>
      </c>
      <c r="L33" s="63">
        <f t="shared" si="17"/>
        <v>295</v>
      </c>
      <c r="M33" s="63"/>
      <c r="N33" s="295"/>
      <c r="O33" s="388">
        <v>295</v>
      </c>
      <c r="P33" s="295">
        <f t="shared" si="19"/>
        <v>295</v>
      </c>
      <c r="Q33" s="295"/>
      <c r="R33" s="296"/>
      <c r="S33" s="388">
        <v>295</v>
      </c>
      <c r="T33" s="184">
        <f>+S33</f>
        <v>295</v>
      </c>
      <c r="U33" s="185">
        <f t="shared" ref="U33:U96" si="21">+P33/L33</f>
        <v>1</v>
      </c>
      <c r="V33" s="366">
        <v>0</v>
      </c>
      <c r="W33" s="23" t="s">
        <v>193</v>
      </c>
      <c r="X33" s="368">
        <f>+'[27]Uoc TT'!O30-P33</f>
        <v>-0.89099999999996271</v>
      </c>
    </row>
    <row r="34" spans="1:24" ht="45" customHeight="1">
      <c r="A34" s="389"/>
      <c r="B34" s="198" t="s">
        <v>204</v>
      </c>
      <c r="C34" s="199"/>
      <c r="D34" s="192"/>
      <c r="E34" s="193"/>
      <c r="F34" s="35">
        <v>3500</v>
      </c>
      <c r="G34" s="357">
        <f t="shared" si="16"/>
        <v>130</v>
      </c>
      <c r="H34" s="357">
        <f t="shared" si="3"/>
        <v>130</v>
      </c>
      <c r="I34" s="360"/>
      <c r="J34" s="360"/>
      <c r="K34" s="35">
        <f t="shared" si="20"/>
        <v>130</v>
      </c>
      <c r="L34" s="63">
        <f t="shared" si="17"/>
        <v>130</v>
      </c>
      <c r="M34" s="63"/>
      <c r="N34" s="295"/>
      <c r="O34" s="388">
        <v>130</v>
      </c>
      <c r="P34" s="295">
        <f>SUM(Q34:S34)</f>
        <v>130</v>
      </c>
      <c r="Q34" s="295"/>
      <c r="R34" s="296"/>
      <c r="S34" s="388">
        <v>130</v>
      </c>
      <c r="T34" s="184">
        <f t="shared" ref="T34:T35" si="22">+S34</f>
        <v>130</v>
      </c>
      <c r="U34" s="185">
        <f t="shared" si="21"/>
        <v>1</v>
      </c>
      <c r="V34" s="366">
        <v>0</v>
      </c>
      <c r="W34" s="23"/>
      <c r="X34" s="368">
        <f>+'[27]Uoc TT'!O31-P34</f>
        <v>0</v>
      </c>
    </row>
    <row r="35" spans="1:24" ht="45" customHeight="1">
      <c r="A35" s="389"/>
      <c r="B35" s="198" t="s">
        <v>209</v>
      </c>
      <c r="C35" s="199"/>
      <c r="D35" s="192"/>
      <c r="E35" s="193"/>
      <c r="F35" s="35">
        <v>4275</v>
      </c>
      <c r="G35" s="357">
        <f t="shared" si="16"/>
        <v>170</v>
      </c>
      <c r="H35" s="357">
        <f t="shared" si="3"/>
        <v>170</v>
      </c>
      <c r="I35" s="360"/>
      <c r="J35" s="360"/>
      <c r="K35" s="35">
        <f t="shared" si="20"/>
        <v>170</v>
      </c>
      <c r="L35" s="63">
        <f t="shared" si="17"/>
        <v>170</v>
      </c>
      <c r="M35" s="63"/>
      <c r="N35" s="295"/>
      <c r="O35" s="388">
        <v>170</v>
      </c>
      <c r="P35" s="295">
        <f>SUM(Q35:S35)</f>
        <v>170</v>
      </c>
      <c r="Q35" s="295"/>
      <c r="R35" s="296"/>
      <c r="S35" s="388">
        <v>170</v>
      </c>
      <c r="T35" s="184">
        <f t="shared" si="22"/>
        <v>170</v>
      </c>
      <c r="U35" s="185">
        <f t="shared" si="21"/>
        <v>1</v>
      </c>
      <c r="V35" s="366">
        <v>0</v>
      </c>
      <c r="W35" s="23"/>
      <c r="X35" s="368">
        <f>+'[27]Uoc TT'!O32-P35</f>
        <v>0</v>
      </c>
    </row>
    <row r="36" spans="1:24" s="181" customFormat="1" ht="33.75" customHeight="1">
      <c r="A36" s="73" t="s">
        <v>54</v>
      </c>
      <c r="B36" s="19" t="s">
        <v>214</v>
      </c>
      <c r="C36" s="73"/>
      <c r="D36" s="203"/>
      <c r="E36" s="191"/>
      <c r="F36" s="22">
        <f>SUM(F37:F45)</f>
        <v>17770</v>
      </c>
      <c r="G36" s="356">
        <f t="shared" ref="G36:T36" si="23">SUM(G37:G45)</f>
        <v>8508</v>
      </c>
      <c r="H36" s="357">
        <f t="shared" si="3"/>
        <v>8506.6650000000009</v>
      </c>
      <c r="I36" s="358">
        <f t="shared" si="23"/>
        <v>0</v>
      </c>
      <c r="J36" s="358">
        <f t="shared" si="23"/>
        <v>8997</v>
      </c>
      <c r="K36" s="22">
        <f t="shared" si="23"/>
        <v>8508</v>
      </c>
      <c r="L36" s="286">
        <f t="shared" si="23"/>
        <v>8210.7780000000002</v>
      </c>
      <c r="M36" s="286">
        <f t="shared" si="23"/>
        <v>2258</v>
      </c>
      <c r="N36" s="286">
        <f t="shared" si="23"/>
        <v>1262.778</v>
      </c>
      <c r="O36" s="286">
        <f t="shared" si="23"/>
        <v>4690</v>
      </c>
      <c r="P36" s="286">
        <f t="shared" si="23"/>
        <v>8209.4429999999993</v>
      </c>
      <c r="Q36" s="286">
        <f t="shared" si="23"/>
        <v>2258</v>
      </c>
      <c r="R36" s="286">
        <f t="shared" si="23"/>
        <v>1262.778</v>
      </c>
      <c r="S36" s="286">
        <f t="shared" si="23"/>
        <v>4688.665</v>
      </c>
      <c r="T36" s="286">
        <f t="shared" si="23"/>
        <v>8506.6650000000009</v>
      </c>
      <c r="U36" s="176">
        <f t="shared" si="21"/>
        <v>0.99983740883019845</v>
      </c>
      <c r="V36" s="366"/>
      <c r="W36" s="180"/>
      <c r="X36" s="368">
        <f>+'[27]Uoc TT'!O33-P36</f>
        <v>0</v>
      </c>
    </row>
    <row r="37" spans="1:24" ht="45.75" customHeight="1">
      <c r="A37" s="204" t="s">
        <v>134</v>
      </c>
      <c r="B37" s="198" t="s">
        <v>90</v>
      </c>
      <c r="C37" s="199"/>
      <c r="D37" s="205" t="s">
        <v>243</v>
      </c>
      <c r="E37" s="206" t="s">
        <v>410</v>
      </c>
      <c r="F37" s="207">
        <v>2000</v>
      </c>
      <c r="G37" s="357">
        <f t="shared" si="16"/>
        <v>1912</v>
      </c>
      <c r="H37" s="357">
        <f t="shared" si="3"/>
        <v>1911.6320000000001</v>
      </c>
      <c r="I37" s="360"/>
      <c r="J37" s="360">
        <v>0</v>
      </c>
      <c r="K37" s="35">
        <v>1912</v>
      </c>
      <c r="L37" s="295">
        <f>SUM(M37:O37)</f>
        <v>1777.1869999999999</v>
      </c>
      <c r="M37" s="295"/>
      <c r="N37" s="296">
        <v>925.18700000000001</v>
      </c>
      <c r="O37" s="388">
        <v>852</v>
      </c>
      <c r="P37" s="295">
        <v>1776.819</v>
      </c>
      <c r="Q37" s="295"/>
      <c r="R37" s="295">
        <v>925.18700000000001</v>
      </c>
      <c r="S37" s="295">
        <f>+P37-R37</f>
        <v>851.63199999999995</v>
      </c>
      <c r="T37" s="183">
        <f>134.813+P37</f>
        <v>1911.6320000000001</v>
      </c>
      <c r="U37" s="185">
        <f t="shared" si="21"/>
        <v>0.99979293118844559</v>
      </c>
      <c r="V37" s="366" t="s">
        <v>398</v>
      </c>
      <c r="W37" s="146" t="s">
        <v>411</v>
      </c>
      <c r="X37" s="368">
        <f>+'[27]Uoc TT'!O34-P37</f>
        <v>0</v>
      </c>
    </row>
    <row r="38" spans="1:24" ht="45.75" customHeight="1">
      <c r="A38" s="204" t="s">
        <v>137</v>
      </c>
      <c r="B38" s="198" t="s">
        <v>148</v>
      </c>
      <c r="C38" s="199"/>
      <c r="D38" s="205" t="s">
        <v>243</v>
      </c>
      <c r="E38" s="206" t="s">
        <v>412</v>
      </c>
      <c r="F38" s="207">
        <v>2500</v>
      </c>
      <c r="G38" s="357">
        <f t="shared" si="16"/>
        <v>2401</v>
      </c>
      <c r="H38" s="357">
        <f t="shared" si="3"/>
        <v>2400.0329999999999</v>
      </c>
      <c r="I38" s="360"/>
      <c r="J38" s="360">
        <v>0</v>
      </c>
      <c r="K38" s="35">
        <v>2401</v>
      </c>
      <c r="L38" s="295">
        <f t="shared" ref="L38:L45" si="24">SUM(M38:O38)</f>
        <v>2238.5909999999999</v>
      </c>
      <c r="M38" s="295"/>
      <c r="N38" s="296">
        <v>337.59100000000001</v>
      </c>
      <c r="O38" s="388">
        <v>1901</v>
      </c>
      <c r="P38" s="183">
        <v>2237.6239999999998</v>
      </c>
      <c r="Q38" s="183"/>
      <c r="R38" s="183">
        <v>337.59100000000001</v>
      </c>
      <c r="S38" s="183">
        <f>+P38-R38</f>
        <v>1900.0329999999999</v>
      </c>
      <c r="T38" s="183">
        <f>162.409+P38</f>
        <v>2400.0329999999999</v>
      </c>
      <c r="U38" s="185">
        <f t="shared" si="21"/>
        <v>0.99956803185575205</v>
      </c>
      <c r="V38" s="366" t="str">
        <f>V37</f>
        <v xml:space="preserve">Đã bàn giao công trình đưa vào sử dụng </v>
      </c>
      <c r="W38" s="146" t="s">
        <v>411</v>
      </c>
      <c r="X38" s="368">
        <f>+'[27]Uoc TT'!O35-P38</f>
        <v>0</v>
      </c>
    </row>
    <row r="39" spans="1:24" ht="45.75" customHeight="1">
      <c r="A39" s="204" t="s">
        <v>78</v>
      </c>
      <c r="B39" s="190" t="s">
        <v>194</v>
      </c>
      <c r="C39" s="191"/>
      <c r="D39" s="205"/>
      <c r="E39" s="206"/>
      <c r="F39" s="207"/>
      <c r="G39" s="356">
        <f t="shared" si="16"/>
        <v>0</v>
      </c>
      <c r="H39" s="357">
        <f t="shared" si="3"/>
        <v>0</v>
      </c>
      <c r="I39" s="360">
        <v>0</v>
      </c>
      <c r="J39" s="358">
        <v>0</v>
      </c>
      <c r="K39" s="35"/>
      <c r="L39" s="295">
        <f t="shared" si="24"/>
        <v>0</v>
      </c>
      <c r="M39" s="295"/>
      <c r="N39" s="296"/>
      <c r="O39" s="390"/>
      <c r="P39" s="295">
        <f t="shared" ref="P39" si="25">SUM(R39:S39)</f>
        <v>0</v>
      </c>
      <c r="Q39" s="295"/>
      <c r="R39" s="295"/>
      <c r="S39" s="295"/>
      <c r="T39" s="183"/>
      <c r="U39" s="185" t="e">
        <f t="shared" si="21"/>
        <v>#DIV/0!</v>
      </c>
      <c r="V39" s="366"/>
      <c r="W39" s="146"/>
      <c r="X39" s="368">
        <f>+'[27]Uoc TT'!O36-P39</f>
        <v>0</v>
      </c>
    </row>
    <row r="40" spans="1:24" ht="45.75" customHeight="1">
      <c r="A40" s="391" t="s">
        <v>82</v>
      </c>
      <c r="B40" s="198" t="s">
        <v>149</v>
      </c>
      <c r="C40" s="199"/>
      <c r="D40" s="199" t="s">
        <v>196</v>
      </c>
      <c r="E40" s="209" t="s">
        <v>215</v>
      </c>
      <c r="F40" s="210">
        <v>2500</v>
      </c>
      <c r="G40" s="356">
        <f t="shared" si="16"/>
        <v>1937</v>
      </c>
      <c r="H40" s="357">
        <f t="shared" si="3"/>
        <v>1937</v>
      </c>
      <c r="I40" s="357"/>
      <c r="J40" s="357">
        <v>485</v>
      </c>
      <c r="K40" s="35">
        <f>+L40</f>
        <v>1937</v>
      </c>
      <c r="L40" s="295">
        <f t="shared" si="24"/>
        <v>1937</v>
      </c>
      <c r="M40" s="295"/>
      <c r="N40" s="296"/>
      <c r="O40" s="388">
        <v>1937</v>
      </c>
      <c r="P40" s="295">
        <f>SUM(Q40:S40)</f>
        <v>1937</v>
      </c>
      <c r="Q40" s="295"/>
      <c r="R40" s="295"/>
      <c r="S40" s="295">
        <f>1750+187</f>
        <v>1937</v>
      </c>
      <c r="T40" s="183">
        <f>+S40</f>
        <v>1937</v>
      </c>
      <c r="U40" s="185">
        <f t="shared" si="21"/>
        <v>1</v>
      </c>
      <c r="V40" s="361" t="s">
        <v>401</v>
      </c>
      <c r="W40" s="146"/>
      <c r="X40" s="368">
        <f>+'[27]Uoc TT'!O37-P40</f>
        <v>0</v>
      </c>
    </row>
    <row r="41" spans="1:24" s="181" customFormat="1" ht="45.75" customHeight="1">
      <c r="A41" s="211" t="s">
        <v>78</v>
      </c>
      <c r="B41" s="190" t="s">
        <v>217</v>
      </c>
      <c r="C41" s="191"/>
      <c r="D41" s="212"/>
      <c r="E41" s="213"/>
      <c r="F41" s="214"/>
      <c r="G41" s="356">
        <f t="shared" si="16"/>
        <v>0</v>
      </c>
      <c r="H41" s="357">
        <f t="shared" si="3"/>
        <v>0</v>
      </c>
      <c r="I41" s="358">
        <v>0</v>
      </c>
      <c r="J41" s="358">
        <v>0</v>
      </c>
      <c r="K41" s="35">
        <f t="shared" ref="K41:K45" si="26">+L41</f>
        <v>0</v>
      </c>
      <c r="L41" s="295">
        <f t="shared" si="24"/>
        <v>0</v>
      </c>
      <c r="M41" s="286"/>
      <c r="N41" s="324"/>
      <c r="O41" s="392"/>
      <c r="P41" s="295">
        <f t="shared" ref="P41:P45" si="27">SUM(Q41:S41)</f>
        <v>0</v>
      </c>
      <c r="Q41" s="286"/>
      <c r="R41" s="286"/>
      <c r="S41" s="286"/>
      <c r="T41" s="183">
        <f t="shared" ref="T41" si="28">+S41</f>
        <v>0</v>
      </c>
      <c r="U41" s="185" t="e">
        <f t="shared" si="21"/>
        <v>#DIV/0!</v>
      </c>
      <c r="V41" s="393"/>
      <c r="W41" s="22"/>
      <c r="X41" s="368">
        <f>+'[27]Uoc TT'!O38-P41</f>
        <v>0</v>
      </c>
    </row>
    <row r="42" spans="1:24" s="406" customFormat="1" ht="45.75" customHeight="1">
      <c r="A42" s="394" t="s">
        <v>89</v>
      </c>
      <c r="B42" s="395" t="s">
        <v>218</v>
      </c>
      <c r="C42" s="396"/>
      <c r="D42" s="397" t="s">
        <v>196</v>
      </c>
      <c r="E42" s="397" t="s">
        <v>219</v>
      </c>
      <c r="F42" s="398">
        <v>2430</v>
      </c>
      <c r="G42" s="357">
        <f t="shared" si="16"/>
        <v>730</v>
      </c>
      <c r="H42" s="357">
        <f t="shared" si="3"/>
        <v>730</v>
      </c>
      <c r="I42" s="360"/>
      <c r="J42" s="360">
        <f>+F42-G42</f>
        <v>1700</v>
      </c>
      <c r="K42" s="399">
        <f t="shared" si="26"/>
        <v>730</v>
      </c>
      <c r="L42" s="400">
        <f t="shared" si="24"/>
        <v>730</v>
      </c>
      <c r="M42" s="401">
        <v>730</v>
      </c>
      <c r="N42" s="388"/>
      <c r="O42" s="402"/>
      <c r="P42" s="400">
        <f t="shared" si="27"/>
        <v>730</v>
      </c>
      <c r="Q42" s="403">
        <v>730</v>
      </c>
      <c r="R42" s="403"/>
      <c r="S42" s="403"/>
      <c r="T42" s="400">
        <f>+P42</f>
        <v>730</v>
      </c>
      <c r="U42" s="404">
        <f t="shared" si="21"/>
        <v>1</v>
      </c>
      <c r="V42" s="366">
        <v>0</v>
      </c>
      <c r="W42" s="405"/>
      <c r="X42" s="368">
        <f>+'[27]Uoc TT'!O39-P42</f>
        <v>0</v>
      </c>
    </row>
    <row r="43" spans="1:24" s="406" customFormat="1" ht="45.75" customHeight="1">
      <c r="A43" s="394" t="s">
        <v>131</v>
      </c>
      <c r="B43" s="395" t="s">
        <v>220</v>
      </c>
      <c r="C43" s="396"/>
      <c r="D43" s="397" t="s">
        <v>196</v>
      </c>
      <c r="E43" s="397" t="s">
        <v>221</v>
      </c>
      <c r="F43" s="398">
        <v>5000</v>
      </c>
      <c r="G43" s="357">
        <f t="shared" si="16"/>
        <v>578</v>
      </c>
      <c r="H43" s="357">
        <f t="shared" si="3"/>
        <v>578</v>
      </c>
      <c r="I43" s="360"/>
      <c r="J43" s="360">
        <f t="shared" ref="J43:J45" si="29">+F43-G43</f>
        <v>4422</v>
      </c>
      <c r="K43" s="399">
        <f t="shared" si="26"/>
        <v>578</v>
      </c>
      <c r="L43" s="400">
        <f t="shared" si="24"/>
        <v>578</v>
      </c>
      <c r="M43" s="401">
        <v>578</v>
      </c>
      <c r="N43" s="388"/>
      <c r="O43" s="402"/>
      <c r="P43" s="400">
        <f t="shared" si="27"/>
        <v>578</v>
      </c>
      <c r="Q43" s="403">
        <v>578</v>
      </c>
      <c r="R43" s="403"/>
      <c r="S43" s="403"/>
      <c r="T43" s="400">
        <f t="shared" ref="T43:T45" si="30">+P43</f>
        <v>578</v>
      </c>
      <c r="U43" s="404">
        <f t="shared" si="21"/>
        <v>1</v>
      </c>
      <c r="V43" s="366">
        <v>0</v>
      </c>
      <c r="W43" s="405"/>
      <c r="X43" s="368">
        <f>+'[27]Uoc TT'!O40-P43</f>
        <v>0</v>
      </c>
    </row>
    <row r="44" spans="1:24" s="406" customFormat="1" ht="45.75" customHeight="1">
      <c r="A44" s="394" t="s">
        <v>134</v>
      </c>
      <c r="B44" s="395" t="s">
        <v>91</v>
      </c>
      <c r="C44" s="396"/>
      <c r="D44" s="397" t="s">
        <v>196</v>
      </c>
      <c r="E44" s="397" t="s">
        <v>222</v>
      </c>
      <c r="F44" s="398">
        <v>1000</v>
      </c>
      <c r="G44" s="357">
        <f t="shared" si="16"/>
        <v>300</v>
      </c>
      <c r="H44" s="357">
        <f t="shared" si="3"/>
        <v>300</v>
      </c>
      <c r="I44" s="360"/>
      <c r="J44" s="360">
        <f t="shared" si="29"/>
        <v>700</v>
      </c>
      <c r="K44" s="399">
        <f t="shared" si="26"/>
        <v>300</v>
      </c>
      <c r="L44" s="400">
        <f t="shared" si="24"/>
        <v>300</v>
      </c>
      <c r="M44" s="401">
        <v>300</v>
      </c>
      <c r="N44" s="388"/>
      <c r="O44" s="402"/>
      <c r="P44" s="400">
        <f t="shared" si="27"/>
        <v>300</v>
      </c>
      <c r="Q44" s="403">
        <v>300</v>
      </c>
      <c r="R44" s="403"/>
      <c r="S44" s="403"/>
      <c r="T44" s="400">
        <f t="shared" si="30"/>
        <v>300</v>
      </c>
      <c r="U44" s="404">
        <f t="shared" si="21"/>
        <v>1</v>
      </c>
      <c r="V44" s="366">
        <v>0</v>
      </c>
      <c r="W44" s="405"/>
      <c r="X44" s="368">
        <f>+'[27]Uoc TT'!O41-P44</f>
        <v>0</v>
      </c>
    </row>
    <row r="45" spans="1:24" s="406" customFormat="1" ht="45.75" customHeight="1">
      <c r="A45" s="394" t="s">
        <v>137</v>
      </c>
      <c r="B45" s="395" t="s">
        <v>155</v>
      </c>
      <c r="C45" s="407"/>
      <c r="D45" s="397" t="s">
        <v>196</v>
      </c>
      <c r="E45" s="397" t="s">
        <v>223</v>
      </c>
      <c r="F45" s="398">
        <v>2340</v>
      </c>
      <c r="G45" s="357">
        <f t="shared" si="16"/>
        <v>650</v>
      </c>
      <c r="H45" s="357">
        <f t="shared" si="3"/>
        <v>650</v>
      </c>
      <c r="I45" s="360"/>
      <c r="J45" s="360">
        <f t="shared" si="29"/>
        <v>1690</v>
      </c>
      <c r="K45" s="399">
        <f t="shared" si="26"/>
        <v>650</v>
      </c>
      <c r="L45" s="400">
        <f t="shared" si="24"/>
        <v>650</v>
      </c>
      <c r="M45" s="401">
        <v>650</v>
      </c>
      <c r="N45" s="388"/>
      <c r="O45" s="388"/>
      <c r="P45" s="400">
        <f t="shared" si="27"/>
        <v>650</v>
      </c>
      <c r="Q45" s="403">
        <v>650</v>
      </c>
      <c r="R45" s="403"/>
      <c r="S45" s="403"/>
      <c r="T45" s="400">
        <f t="shared" si="30"/>
        <v>650</v>
      </c>
      <c r="U45" s="404">
        <f t="shared" si="21"/>
        <v>1</v>
      </c>
      <c r="V45" s="366">
        <v>0</v>
      </c>
      <c r="W45" s="405"/>
      <c r="X45" s="368">
        <f>+'[27]Uoc TT'!O42-P45</f>
        <v>0</v>
      </c>
    </row>
    <row r="46" spans="1:24" s="181" customFormat="1" ht="33" customHeight="1">
      <c r="A46" s="73" t="s">
        <v>55</v>
      </c>
      <c r="B46" s="19" t="s">
        <v>139</v>
      </c>
      <c r="C46" s="73"/>
      <c r="D46" s="203"/>
      <c r="E46" s="191"/>
      <c r="F46" s="188">
        <f>SUM(F47:F54)</f>
        <v>163500</v>
      </c>
      <c r="G46" s="356">
        <f t="shared" ref="G46:T46" si="31">SUM(G47:G54)</f>
        <v>133438</v>
      </c>
      <c r="H46" s="357">
        <f t="shared" si="3"/>
        <v>125529.59142200001</v>
      </c>
      <c r="I46" s="385">
        <f t="shared" si="31"/>
        <v>296</v>
      </c>
      <c r="J46" s="385">
        <f t="shared" si="31"/>
        <v>26530</v>
      </c>
      <c r="K46" s="188">
        <f t="shared" si="31"/>
        <v>133438</v>
      </c>
      <c r="L46" s="286">
        <f t="shared" si="31"/>
        <v>51537.749177999998</v>
      </c>
      <c r="M46" s="286"/>
      <c r="N46" s="286">
        <f t="shared" si="31"/>
        <v>11340.749178</v>
      </c>
      <c r="O46" s="286">
        <f t="shared" si="31"/>
        <v>40197</v>
      </c>
      <c r="P46" s="286">
        <f t="shared" si="31"/>
        <v>43629.340599999996</v>
      </c>
      <c r="Q46" s="286"/>
      <c r="R46" s="286">
        <f t="shared" si="31"/>
        <v>11340.749178</v>
      </c>
      <c r="S46" s="286">
        <f>SUM(S47:S54)</f>
        <v>32288.591421999998</v>
      </c>
      <c r="T46" s="174">
        <f t="shared" si="31"/>
        <v>125529.59142200001</v>
      </c>
      <c r="U46" s="176">
        <f t="shared" si="21"/>
        <v>0.84655114543931465</v>
      </c>
      <c r="V46" s="366"/>
      <c r="W46" s="180"/>
      <c r="X46" s="368">
        <f>+'[27]Uoc TT'!O43-P46</f>
        <v>2651.7928477975802</v>
      </c>
    </row>
    <row r="47" spans="1:24" ht="37.5" customHeight="1">
      <c r="A47" s="23">
        <v>1</v>
      </c>
      <c r="B47" s="221" t="s">
        <v>231</v>
      </c>
      <c r="C47" s="222"/>
      <c r="D47" s="192" t="s">
        <v>232</v>
      </c>
      <c r="E47" s="193" t="s">
        <v>233</v>
      </c>
      <c r="F47" s="35">
        <v>30000</v>
      </c>
      <c r="G47" s="357">
        <f t="shared" si="16"/>
        <v>12510</v>
      </c>
      <c r="H47" s="357">
        <f t="shared" si="3"/>
        <v>9946.4916000000012</v>
      </c>
      <c r="I47" s="360"/>
      <c r="J47" s="360">
        <f>+F47-G47</f>
        <v>17490</v>
      </c>
      <c r="K47" s="35">
        <f>2000+5080+L47</f>
        <v>12510</v>
      </c>
      <c r="L47" s="295">
        <f t="shared" ref="L47:L54" si="32">SUM(N47:O47)</f>
        <v>5430</v>
      </c>
      <c r="M47" s="295"/>
      <c r="N47" s="295"/>
      <c r="O47" s="403">
        <v>5430</v>
      </c>
      <c r="P47" s="295">
        <f>+S47</f>
        <v>2866.4916000000003</v>
      </c>
      <c r="Q47" s="295"/>
      <c r="R47" s="295"/>
      <c r="S47" s="295">
        <f>2629.159+237.3326</f>
        <v>2866.4916000000003</v>
      </c>
      <c r="T47" s="183">
        <f>7080+P47</f>
        <v>9946.4916000000012</v>
      </c>
      <c r="U47" s="185">
        <f t="shared" si="21"/>
        <v>0.52789900552486191</v>
      </c>
      <c r="V47" s="366">
        <v>0.1</v>
      </c>
      <c r="W47" s="186"/>
      <c r="X47" s="368">
        <f>+'[27]Uoc TT'!O44-P47</f>
        <v>2563.5083999999997</v>
      </c>
    </row>
    <row r="48" spans="1:24" ht="39.75" customHeight="1">
      <c r="A48" s="100">
        <v>2</v>
      </c>
      <c r="B48" s="101" t="s">
        <v>121</v>
      </c>
      <c r="C48" s="408"/>
      <c r="D48" s="192" t="s">
        <v>232</v>
      </c>
      <c r="E48" s="193" t="s">
        <v>234</v>
      </c>
      <c r="F48" s="35">
        <v>20000</v>
      </c>
      <c r="G48" s="357">
        <f t="shared" si="16"/>
        <v>19613</v>
      </c>
      <c r="H48" s="357">
        <f t="shared" si="3"/>
        <v>19553.293000000001</v>
      </c>
      <c r="I48" s="360"/>
      <c r="J48" s="360"/>
      <c r="K48" s="35">
        <f>19001+L48</f>
        <v>19613</v>
      </c>
      <c r="L48" s="295">
        <f t="shared" si="32"/>
        <v>612</v>
      </c>
      <c r="M48" s="295"/>
      <c r="N48" s="295"/>
      <c r="O48" s="403">
        <v>612</v>
      </c>
      <c r="P48" s="295">
        <f>+S48</f>
        <v>552.29300000000001</v>
      </c>
      <c r="Q48" s="295"/>
      <c r="R48" s="295"/>
      <c r="S48" s="295">
        <f>480.349+71.944</f>
        <v>552.29300000000001</v>
      </c>
      <c r="T48" s="184">
        <f>19001+P48</f>
        <v>19553.293000000001</v>
      </c>
      <c r="U48" s="185">
        <f t="shared" si="21"/>
        <v>0.9024395424836601</v>
      </c>
      <c r="V48" s="366">
        <v>1</v>
      </c>
      <c r="W48" s="186"/>
      <c r="X48" s="368">
        <f>+'[27]Uoc TT'!O45-P48</f>
        <v>0</v>
      </c>
    </row>
    <row r="49" spans="1:24" ht="39.75" customHeight="1">
      <c r="A49" s="100">
        <v>3</v>
      </c>
      <c r="B49" s="101" t="s">
        <v>120</v>
      </c>
      <c r="C49" s="408"/>
      <c r="D49" s="192" t="s">
        <v>232</v>
      </c>
      <c r="E49" s="193" t="s">
        <v>235</v>
      </c>
      <c r="F49" s="35">
        <v>30000</v>
      </c>
      <c r="G49" s="357">
        <f t="shared" si="16"/>
        <v>29214</v>
      </c>
      <c r="H49" s="357">
        <f t="shared" si="3"/>
        <v>29130.912</v>
      </c>
      <c r="I49" s="360"/>
      <c r="J49" s="360"/>
      <c r="K49" s="35">
        <v>29214</v>
      </c>
      <c r="L49" s="295">
        <f t="shared" si="32"/>
        <v>5822.8720000000003</v>
      </c>
      <c r="M49" s="295"/>
      <c r="N49" s="295">
        <v>5608.8720000000003</v>
      </c>
      <c r="O49" s="403">
        <v>214</v>
      </c>
      <c r="P49" s="295">
        <f>+R49+S49</f>
        <v>5739.7840000000006</v>
      </c>
      <c r="Q49" s="295"/>
      <c r="R49" s="295">
        <v>5608.8720000000003</v>
      </c>
      <c r="S49" s="295">
        <f>31.706+99.206</f>
        <v>130.91200000000001</v>
      </c>
      <c r="T49" s="183">
        <f>23391.128+P49</f>
        <v>29130.912</v>
      </c>
      <c r="U49" s="185">
        <f t="shared" si="21"/>
        <v>0.98573075279690159</v>
      </c>
      <c r="V49" s="366">
        <v>1</v>
      </c>
      <c r="W49" s="186"/>
      <c r="X49" s="368">
        <f>+'[27]Uoc TT'!O46-P49</f>
        <v>0</v>
      </c>
    </row>
    <row r="50" spans="1:24" s="229" customFormat="1" ht="47.25" customHeight="1">
      <c r="A50" s="28">
        <v>4</v>
      </c>
      <c r="B50" s="223" t="s">
        <v>119</v>
      </c>
      <c r="C50" s="224"/>
      <c r="D50" s="225" t="s">
        <v>232</v>
      </c>
      <c r="E50" s="226" t="s">
        <v>236</v>
      </c>
      <c r="F50" s="120">
        <v>35000</v>
      </c>
      <c r="G50" s="409">
        <f t="shared" si="16"/>
        <v>32641</v>
      </c>
      <c r="H50" s="409">
        <f t="shared" si="3"/>
        <v>31976.657821999997</v>
      </c>
      <c r="I50" s="410">
        <v>296</v>
      </c>
      <c r="J50" s="411"/>
      <c r="K50" s="120">
        <v>32641</v>
      </c>
      <c r="L50" s="63">
        <f t="shared" si="32"/>
        <v>7803.9971779999996</v>
      </c>
      <c r="M50" s="63"/>
      <c r="N50" s="63">
        <v>2162.9971780000001</v>
      </c>
      <c r="O50" s="403">
        <v>5641</v>
      </c>
      <c r="P50" s="63">
        <v>7139.6549999999997</v>
      </c>
      <c r="Q50" s="89"/>
      <c r="R50" s="89">
        <v>2162.9971780000001</v>
      </c>
      <c r="S50" s="89">
        <f>+P50-R50</f>
        <v>4976.6578219999992</v>
      </c>
      <c r="T50" s="89">
        <f>24837.002822+P50</f>
        <v>31976.657821999997</v>
      </c>
      <c r="U50" s="227">
        <f t="shared" si="21"/>
        <v>0.9148715507134183</v>
      </c>
      <c r="V50" s="366">
        <v>1</v>
      </c>
      <c r="W50" s="228"/>
      <c r="X50" s="368">
        <f>+'[27]Uoc TT'!O47-P50</f>
        <v>88.284447797571374</v>
      </c>
    </row>
    <row r="51" spans="1:24" ht="45" customHeight="1">
      <c r="A51" s="23">
        <v>5</v>
      </c>
      <c r="B51" s="76" t="s">
        <v>237</v>
      </c>
      <c r="C51" s="205"/>
      <c r="D51" s="192" t="s">
        <v>191</v>
      </c>
      <c r="E51" s="23" t="s">
        <v>238</v>
      </c>
      <c r="F51" s="77">
        <v>18000</v>
      </c>
      <c r="G51" s="357">
        <f t="shared" si="16"/>
        <v>10500</v>
      </c>
      <c r="H51" s="357">
        <f t="shared" si="3"/>
        <v>10500</v>
      </c>
      <c r="I51" s="360"/>
      <c r="J51" s="412">
        <f>+F51-G51</f>
        <v>7500</v>
      </c>
      <c r="K51" s="35">
        <v>10500</v>
      </c>
      <c r="L51" s="295">
        <f t="shared" si="32"/>
        <v>8101.9</v>
      </c>
      <c r="M51" s="295"/>
      <c r="N51" s="295">
        <v>101.9</v>
      </c>
      <c r="O51" s="296">
        <v>8000</v>
      </c>
      <c r="P51" s="295">
        <f>+R51+S51</f>
        <v>8101.9</v>
      </c>
      <c r="Q51" s="295"/>
      <c r="R51" s="295">
        <v>101.9</v>
      </c>
      <c r="S51" s="295">
        <v>8000</v>
      </c>
      <c r="T51" s="183">
        <f>2398.1+P51</f>
        <v>10500</v>
      </c>
      <c r="U51" s="185">
        <f t="shared" si="21"/>
        <v>1</v>
      </c>
      <c r="V51" s="366">
        <v>0.15</v>
      </c>
      <c r="W51" s="186"/>
      <c r="X51" s="368">
        <f>+'[27]Uoc TT'!O48-P51</f>
        <v>0</v>
      </c>
    </row>
    <row r="52" spans="1:24" ht="55.5" customHeight="1">
      <c r="A52" s="23">
        <v>6</v>
      </c>
      <c r="B52" s="221" t="s">
        <v>239</v>
      </c>
      <c r="C52" s="222"/>
      <c r="D52" s="192" t="s">
        <v>191</v>
      </c>
      <c r="E52" s="230" t="s">
        <v>240</v>
      </c>
      <c r="F52" s="77">
        <v>8500</v>
      </c>
      <c r="G52" s="357">
        <f t="shared" si="16"/>
        <v>7600</v>
      </c>
      <c r="H52" s="357">
        <f t="shared" si="3"/>
        <v>6566.7960000000003</v>
      </c>
      <c r="I52" s="360"/>
      <c r="J52" s="412">
        <f t="shared" ref="J52:J53" si="33">+F52-G52</f>
        <v>900</v>
      </c>
      <c r="K52" s="35">
        <f>2600+L52</f>
        <v>7600</v>
      </c>
      <c r="L52" s="295">
        <f t="shared" si="32"/>
        <v>5000</v>
      </c>
      <c r="M52" s="295"/>
      <c r="N52" s="295"/>
      <c r="O52" s="296">
        <v>5000</v>
      </c>
      <c r="P52" s="295">
        <f>SUM(Q52:S52)</f>
        <v>3966.7959999999998</v>
      </c>
      <c r="Q52" s="295"/>
      <c r="R52" s="295"/>
      <c r="S52" s="295">
        <v>3966.7959999999998</v>
      </c>
      <c r="T52" s="183">
        <f>2600+P52</f>
        <v>6566.7960000000003</v>
      </c>
      <c r="U52" s="185">
        <f t="shared" si="21"/>
        <v>0.79335919999999993</v>
      </c>
      <c r="V52" s="366">
        <v>0.15</v>
      </c>
      <c r="W52" s="186"/>
      <c r="X52" s="368">
        <f>+'[27]Uoc TT'!O49-P52</f>
        <v>0</v>
      </c>
    </row>
    <row r="53" spans="1:24" ht="55.5" customHeight="1">
      <c r="A53" s="23">
        <v>7</v>
      </c>
      <c r="B53" s="76" t="s">
        <v>241</v>
      </c>
      <c r="C53" s="205"/>
      <c r="D53" s="192" t="s">
        <v>191</v>
      </c>
      <c r="E53" s="230" t="s">
        <v>242</v>
      </c>
      <c r="F53" s="77">
        <v>14000</v>
      </c>
      <c r="G53" s="357">
        <f t="shared" si="16"/>
        <v>13360</v>
      </c>
      <c r="H53" s="357">
        <f t="shared" si="3"/>
        <v>10006.077000000001</v>
      </c>
      <c r="I53" s="360"/>
      <c r="J53" s="412">
        <f t="shared" si="33"/>
        <v>640</v>
      </c>
      <c r="K53" s="35">
        <v>13360</v>
      </c>
      <c r="L53" s="295">
        <f t="shared" si="32"/>
        <v>12739.460999999999</v>
      </c>
      <c r="M53" s="295"/>
      <c r="N53" s="295">
        <v>3239.4609999999998</v>
      </c>
      <c r="O53" s="296">
        <v>9500</v>
      </c>
      <c r="P53" s="295">
        <f t="shared" ref="P53:P54" si="34">SUM(Q53:S53)</f>
        <v>9385.5380000000005</v>
      </c>
      <c r="Q53" s="295"/>
      <c r="R53" s="295">
        <v>3239.4609999999998</v>
      </c>
      <c r="S53" s="295">
        <v>6146.0770000000011</v>
      </c>
      <c r="T53" s="183">
        <f>620.539+P53</f>
        <v>10006.077000000001</v>
      </c>
      <c r="U53" s="185">
        <f t="shared" si="21"/>
        <v>0.73672959947049577</v>
      </c>
      <c r="V53" s="366">
        <v>0.7</v>
      </c>
      <c r="W53" s="186"/>
      <c r="X53" s="368">
        <f>+'[27]Uoc TT'!O50-P53</f>
        <v>0</v>
      </c>
    </row>
    <row r="54" spans="1:24" ht="55.5" customHeight="1">
      <c r="A54" s="23">
        <v>8</v>
      </c>
      <c r="B54" s="231" t="s">
        <v>140</v>
      </c>
      <c r="C54" s="205"/>
      <c r="D54" s="192" t="s">
        <v>243</v>
      </c>
      <c r="E54" s="230" t="s">
        <v>244</v>
      </c>
      <c r="F54" s="77">
        <v>8000</v>
      </c>
      <c r="G54" s="357">
        <f t="shared" si="16"/>
        <v>8000</v>
      </c>
      <c r="H54" s="357">
        <f t="shared" si="3"/>
        <v>7849.3639999999996</v>
      </c>
      <c r="I54" s="360"/>
      <c r="J54" s="412"/>
      <c r="K54" s="35">
        <f>7200+800</f>
        <v>8000</v>
      </c>
      <c r="L54" s="295">
        <f t="shared" si="32"/>
        <v>6027.5190000000002</v>
      </c>
      <c r="M54" s="295"/>
      <c r="N54" s="295">
        <v>227.51900000000001</v>
      </c>
      <c r="O54" s="413">
        <v>5800</v>
      </c>
      <c r="P54" s="295">
        <f t="shared" si="34"/>
        <v>5876.8829999999998</v>
      </c>
      <c r="Q54" s="295"/>
      <c r="R54" s="295">
        <v>227.51900000000001</v>
      </c>
      <c r="S54" s="295">
        <v>5649.3639999999996</v>
      </c>
      <c r="T54" s="183">
        <f>1972.481+P54</f>
        <v>7849.3639999999996</v>
      </c>
      <c r="U54" s="185">
        <f t="shared" si="21"/>
        <v>0.9750086229508359</v>
      </c>
      <c r="V54" s="366">
        <v>1</v>
      </c>
      <c r="W54" s="186"/>
      <c r="X54" s="368">
        <f>+'[27]Uoc TT'!O51-P54</f>
        <v>0</v>
      </c>
    </row>
    <row r="55" spans="1:24" s="181" customFormat="1" ht="28.5" customHeight="1">
      <c r="A55" s="18" t="s">
        <v>246</v>
      </c>
      <c r="B55" s="19" t="s">
        <v>211</v>
      </c>
      <c r="C55" s="73"/>
      <c r="D55" s="178"/>
      <c r="E55" s="187">
        <v>0</v>
      </c>
      <c r="F55" s="22">
        <f>SUM(F56:F58)</f>
        <v>62390</v>
      </c>
      <c r="G55" s="356">
        <f t="shared" ref="G55:T55" si="35">SUM(G56:G58)</f>
        <v>28000</v>
      </c>
      <c r="H55" s="357">
        <f t="shared" si="3"/>
        <v>25000</v>
      </c>
      <c r="I55" s="358">
        <f t="shared" si="35"/>
        <v>0</v>
      </c>
      <c r="J55" s="358">
        <f t="shared" si="35"/>
        <v>5092</v>
      </c>
      <c r="K55" s="22">
        <f t="shared" si="35"/>
        <v>28000</v>
      </c>
      <c r="L55" s="286">
        <f t="shared" si="35"/>
        <v>10000</v>
      </c>
      <c r="M55" s="286"/>
      <c r="N55" s="286">
        <f t="shared" si="35"/>
        <v>0</v>
      </c>
      <c r="O55" s="286">
        <f t="shared" si="35"/>
        <v>10000</v>
      </c>
      <c r="P55" s="286">
        <f t="shared" si="35"/>
        <v>10000</v>
      </c>
      <c r="Q55" s="286"/>
      <c r="R55" s="286">
        <f t="shared" si="35"/>
        <v>0</v>
      </c>
      <c r="S55" s="286">
        <f t="shared" si="35"/>
        <v>10000</v>
      </c>
      <c r="T55" s="174">
        <f t="shared" si="35"/>
        <v>25000</v>
      </c>
      <c r="U55" s="176">
        <f t="shared" si="21"/>
        <v>1</v>
      </c>
      <c r="V55" s="366"/>
      <c r="W55" s="180"/>
      <c r="X55" s="368">
        <f>+'[27]Uoc TT'!O52-P55</f>
        <v>0</v>
      </c>
    </row>
    <row r="56" spans="1:24" ht="32.25" customHeight="1">
      <c r="A56" s="144">
        <v>1</v>
      </c>
      <c r="B56" s="32" t="s">
        <v>125</v>
      </c>
      <c r="C56" s="23"/>
      <c r="D56" s="192" t="s">
        <v>247</v>
      </c>
      <c r="E56" s="193" t="s">
        <v>407</v>
      </c>
      <c r="F56" s="35">
        <v>25000</v>
      </c>
      <c r="G56" s="357">
        <f t="shared" si="16"/>
        <v>10000</v>
      </c>
      <c r="H56" s="357">
        <f t="shared" si="3"/>
        <v>10000</v>
      </c>
      <c r="I56" s="360"/>
      <c r="J56" s="360"/>
      <c r="K56" s="183">
        <f>9000+L56</f>
        <v>10000</v>
      </c>
      <c r="L56" s="295">
        <f>SUM(N56:O56)</f>
        <v>1000</v>
      </c>
      <c r="M56" s="295"/>
      <c r="N56" s="295"/>
      <c r="O56" s="295">
        <v>1000</v>
      </c>
      <c r="P56" s="295">
        <f>SUM(R56:S56)</f>
        <v>1000</v>
      </c>
      <c r="Q56" s="295"/>
      <c r="R56" s="295"/>
      <c r="S56" s="295">
        <v>1000</v>
      </c>
      <c r="T56" s="183">
        <v>10000</v>
      </c>
      <c r="U56" s="185">
        <f t="shared" si="21"/>
        <v>1</v>
      </c>
      <c r="V56" s="366" t="s">
        <v>398</v>
      </c>
      <c r="W56" s="186" t="s">
        <v>408</v>
      </c>
      <c r="X56" s="368">
        <f>+'[27]Uoc TT'!O53-P56</f>
        <v>0</v>
      </c>
    </row>
    <row r="57" spans="1:24" ht="44.25" customHeight="1">
      <c r="A57" s="74">
        <v>3</v>
      </c>
      <c r="B57" s="32" t="s">
        <v>127</v>
      </c>
      <c r="C57" s="23"/>
      <c r="D57" s="192" t="s">
        <v>247</v>
      </c>
      <c r="E57" s="193" t="s">
        <v>409</v>
      </c>
      <c r="F57" s="35">
        <v>14990</v>
      </c>
      <c r="G57" s="357">
        <f t="shared" si="16"/>
        <v>5000</v>
      </c>
      <c r="H57" s="357">
        <f t="shared" si="3"/>
        <v>5000</v>
      </c>
      <c r="I57" s="360"/>
      <c r="J57" s="360"/>
      <c r="K57" s="35">
        <f>4000+L57</f>
        <v>5000</v>
      </c>
      <c r="L57" s="295">
        <f>SUM(N57:O57)</f>
        <v>1000</v>
      </c>
      <c r="M57" s="295"/>
      <c r="N57" s="295"/>
      <c r="O57" s="295">
        <v>1000</v>
      </c>
      <c r="P57" s="295">
        <f>SUM(R57:S57)</f>
        <v>1000</v>
      </c>
      <c r="Q57" s="295"/>
      <c r="R57" s="295"/>
      <c r="S57" s="295">
        <v>1000</v>
      </c>
      <c r="T57" s="183">
        <v>5000</v>
      </c>
      <c r="U57" s="185">
        <f t="shared" si="21"/>
        <v>1</v>
      </c>
      <c r="V57" s="366">
        <v>1</v>
      </c>
      <c r="W57" s="186" t="s">
        <v>408</v>
      </c>
      <c r="X57" s="368">
        <f>+'[27]Uoc TT'!O54-P57</f>
        <v>0</v>
      </c>
    </row>
    <row r="58" spans="1:24" ht="43.5" customHeight="1">
      <c r="A58" s="144">
        <v>4</v>
      </c>
      <c r="B58" s="32" t="s">
        <v>128</v>
      </c>
      <c r="C58" s="23"/>
      <c r="D58" s="192" t="s">
        <v>212</v>
      </c>
      <c r="E58" s="193" t="s">
        <v>213</v>
      </c>
      <c r="F58" s="35">
        <v>22400</v>
      </c>
      <c r="G58" s="357">
        <f t="shared" si="16"/>
        <v>13000</v>
      </c>
      <c r="H58" s="357">
        <f t="shared" si="3"/>
        <v>10000</v>
      </c>
      <c r="I58" s="360"/>
      <c r="J58" s="414">
        <v>5092</v>
      </c>
      <c r="K58" s="35">
        <f>5000+L58</f>
        <v>13000</v>
      </c>
      <c r="L58" s="295">
        <f>SUM(N58:O58)</f>
        <v>8000</v>
      </c>
      <c r="M58" s="295"/>
      <c r="N58" s="295"/>
      <c r="O58" s="295">
        <f>5000+3000</f>
        <v>8000</v>
      </c>
      <c r="P58" s="295">
        <f>SUM(R58:S58)</f>
        <v>8000</v>
      </c>
      <c r="Q58" s="295"/>
      <c r="R58" s="296"/>
      <c r="S58" s="295">
        <f>5000+3000</f>
        <v>8000</v>
      </c>
      <c r="T58" s="184">
        <v>10000</v>
      </c>
      <c r="U58" s="185">
        <f t="shared" si="21"/>
        <v>1</v>
      </c>
      <c r="V58" s="366">
        <v>1</v>
      </c>
      <c r="W58" s="186" t="s">
        <v>413</v>
      </c>
      <c r="X58" s="368">
        <f>+'[27]Uoc TT'!O55-P58</f>
        <v>0</v>
      </c>
    </row>
    <row r="59" spans="1:24" s="181" customFormat="1" ht="35.25" customHeight="1">
      <c r="A59" s="18" t="s">
        <v>339</v>
      </c>
      <c r="B59" s="19" t="s">
        <v>340</v>
      </c>
      <c r="C59" s="73"/>
      <c r="D59" s="178"/>
      <c r="E59" s="187"/>
      <c r="F59" s="188">
        <f>SUM(F60)</f>
        <v>183000</v>
      </c>
      <c r="G59" s="385">
        <f t="shared" ref="G59:H59" si="36">SUM(G60)</f>
        <v>183000</v>
      </c>
      <c r="H59" s="385">
        <f t="shared" si="36"/>
        <v>177893.81640000001</v>
      </c>
      <c r="I59" s="360">
        <v>0</v>
      </c>
      <c r="J59" s="358">
        <v>0</v>
      </c>
      <c r="K59" s="188">
        <f t="shared" ref="K59:T59" si="37">SUM(K60)</f>
        <v>183000</v>
      </c>
      <c r="L59" s="286">
        <f t="shared" si="37"/>
        <v>48000</v>
      </c>
      <c r="M59" s="286"/>
      <c r="N59" s="286">
        <f t="shared" si="37"/>
        <v>0</v>
      </c>
      <c r="O59" s="286">
        <f t="shared" si="37"/>
        <v>48000</v>
      </c>
      <c r="P59" s="286">
        <f t="shared" si="37"/>
        <v>42893.816400000003</v>
      </c>
      <c r="Q59" s="286"/>
      <c r="R59" s="286">
        <f t="shared" si="37"/>
        <v>0</v>
      </c>
      <c r="S59" s="286">
        <f t="shared" si="37"/>
        <v>42893.816400000003</v>
      </c>
      <c r="T59" s="174">
        <f t="shared" si="37"/>
        <v>177893.81640000001</v>
      </c>
      <c r="U59" s="176">
        <f t="shared" si="21"/>
        <v>0.89362117500000005</v>
      </c>
      <c r="V59" s="366"/>
      <c r="W59" s="180"/>
      <c r="X59" s="368">
        <f>+'[27]Uoc TT'!O56-P59</f>
        <v>951.78444705608854</v>
      </c>
    </row>
    <row r="60" spans="1:24" s="229" customFormat="1" ht="45" customHeight="1">
      <c r="A60" s="87">
        <v>1</v>
      </c>
      <c r="B60" s="235" t="s">
        <v>341</v>
      </c>
      <c r="C60" s="226"/>
      <c r="D60" s="236" t="s">
        <v>342</v>
      </c>
      <c r="E60" s="226" t="s">
        <v>343</v>
      </c>
      <c r="F60" s="237">
        <v>183000</v>
      </c>
      <c r="G60" s="409">
        <f t="shared" si="16"/>
        <v>183000</v>
      </c>
      <c r="H60" s="409">
        <f t="shared" si="3"/>
        <v>177893.81640000001</v>
      </c>
      <c r="I60" s="411">
        <v>2392</v>
      </c>
      <c r="J60" s="411">
        <v>0</v>
      </c>
      <c r="K60" s="120">
        <f>135000+L60</f>
        <v>183000</v>
      </c>
      <c r="L60" s="63">
        <f>SUM(N60:O60)</f>
        <v>48000</v>
      </c>
      <c r="M60" s="63"/>
      <c r="N60" s="63"/>
      <c r="O60" s="63">
        <f>45326+2674</f>
        <v>48000</v>
      </c>
      <c r="P60" s="63">
        <f>SUM(R60:S60)</f>
        <v>42893.816400000003</v>
      </c>
      <c r="Q60" s="63"/>
      <c r="R60" s="63"/>
      <c r="S60" s="63">
        <v>42893.816400000003</v>
      </c>
      <c r="T60" s="89">
        <f>135000+P60</f>
        <v>177893.81640000001</v>
      </c>
      <c r="U60" s="227">
        <f t="shared" si="21"/>
        <v>0.89362117500000005</v>
      </c>
      <c r="V60" s="366">
        <v>0.97</v>
      </c>
      <c r="W60" s="228"/>
      <c r="X60" s="368">
        <f>+'[27]Uoc TT'!O57-P60</f>
        <v>951.78444705608854</v>
      </c>
    </row>
    <row r="61" spans="1:24" s="181" customFormat="1" ht="48.75" customHeight="1">
      <c r="A61" s="18" t="s">
        <v>344</v>
      </c>
      <c r="B61" s="19" t="s">
        <v>80</v>
      </c>
      <c r="C61" s="73"/>
      <c r="D61" s="178"/>
      <c r="E61" s="4"/>
      <c r="F61" s="233">
        <f>SUM(F62:F93)</f>
        <v>153435.6</v>
      </c>
      <c r="G61" s="415">
        <f t="shared" ref="G61:T61" si="38">SUM(G62:G93)</f>
        <v>133704</v>
      </c>
      <c r="H61" s="415">
        <f t="shared" si="38"/>
        <v>128319.47022084596</v>
      </c>
      <c r="I61" s="415">
        <f t="shared" si="38"/>
        <v>771</v>
      </c>
      <c r="J61" s="415">
        <f t="shared" si="38"/>
        <v>20867</v>
      </c>
      <c r="K61" s="233">
        <f t="shared" si="38"/>
        <v>133704</v>
      </c>
      <c r="L61" s="416">
        <f t="shared" si="38"/>
        <v>67928.910778999998</v>
      </c>
      <c r="M61" s="416"/>
      <c r="N61" s="416">
        <f t="shared" si="38"/>
        <v>10998.910779000002</v>
      </c>
      <c r="O61" s="416">
        <f t="shared" si="38"/>
        <v>56930</v>
      </c>
      <c r="P61" s="416">
        <f t="shared" si="38"/>
        <v>62346.242999845956</v>
      </c>
      <c r="Q61" s="416"/>
      <c r="R61" s="416">
        <f t="shared" si="38"/>
        <v>10199.309779000001</v>
      </c>
      <c r="S61" s="416">
        <f t="shared" si="38"/>
        <v>52146.933220845953</v>
      </c>
      <c r="T61" s="234">
        <f t="shared" si="38"/>
        <v>128319.47022084596</v>
      </c>
      <c r="U61" s="176">
        <f t="shared" si="21"/>
        <v>0.91781602685612462</v>
      </c>
      <c r="V61" s="366"/>
      <c r="W61" s="180"/>
      <c r="X61" s="368">
        <f>+'[27]Uoc TT'!O58-P61</f>
        <v>-37.472000039997511</v>
      </c>
    </row>
    <row r="62" spans="1:24" s="229" customFormat="1" ht="36.75" customHeight="1">
      <c r="A62" s="87">
        <v>1</v>
      </c>
      <c r="B62" s="235" t="s">
        <v>123</v>
      </c>
      <c r="C62" s="226"/>
      <c r="D62" s="236" t="s">
        <v>342</v>
      </c>
      <c r="E62" s="226" t="s">
        <v>414</v>
      </c>
      <c r="F62" s="237">
        <v>14990</v>
      </c>
      <c r="G62" s="357">
        <f t="shared" si="16"/>
        <v>14931</v>
      </c>
      <c r="H62" s="357">
        <f t="shared" si="3"/>
        <v>14705.849000000002</v>
      </c>
      <c r="I62" s="360"/>
      <c r="J62" s="360"/>
      <c r="K62" s="120">
        <v>14931</v>
      </c>
      <c r="L62" s="63">
        <f t="shared" ref="L62:L93" si="39">SUM(N62:O62)</f>
        <v>2746.8359999999998</v>
      </c>
      <c r="M62" s="63"/>
      <c r="N62" s="63">
        <v>2746.8359999999998</v>
      </c>
      <c r="O62" s="63"/>
      <c r="P62" s="89">
        <f t="shared" ref="P62:P93" si="40">SUM(R62:S62)</f>
        <v>2521.6850000000004</v>
      </c>
      <c r="Q62" s="89"/>
      <c r="R62" s="89">
        <f>2466.146+55.539</f>
        <v>2521.6850000000004</v>
      </c>
      <c r="S62" s="89"/>
      <c r="T62" s="89">
        <f>12184.164+P62</f>
        <v>14705.849000000002</v>
      </c>
      <c r="U62" s="227">
        <f t="shared" si="21"/>
        <v>0.91803260187357405</v>
      </c>
      <c r="V62" s="366">
        <v>1</v>
      </c>
      <c r="W62" s="228"/>
      <c r="X62" s="368">
        <f>+'[27]Uoc TT'!O59-P62</f>
        <v>0</v>
      </c>
    </row>
    <row r="63" spans="1:24" s="229" customFormat="1" ht="50.25" customHeight="1">
      <c r="A63" s="78">
        <v>2</v>
      </c>
      <c r="B63" s="112" t="s">
        <v>122</v>
      </c>
      <c r="C63" s="226"/>
      <c r="D63" s="236" t="s">
        <v>247</v>
      </c>
      <c r="E63" s="226" t="s">
        <v>248</v>
      </c>
      <c r="F63" s="237">
        <v>20000</v>
      </c>
      <c r="G63" s="357">
        <f t="shared" si="16"/>
        <v>19820</v>
      </c>
      <c r="H63" s="357">
        <f t="shared" si="3"/>
        <v>19308.773999999998</v>
      </c>
      <c r="I63" s="360"/>
      <c r="J63" s="360"/>
      <c r="K63" s="120">
        <v>19820</v>
      </c>
      <c r="L63" s="63">
        <f t="shared" si="39"/>
        <v>768.54300000000001</v>
      </c>
      <c r="M63" s="63"/>
      <c r="N63" s="63">
        <v>768.54300000000001</v>
      </c>
      <c r="O63" s="63"/>
      <c r="P63" s="89">
        <f t="shared" si="40"/>
        <v>257.31700000000001</v>
      </c>
      <c r="Q63" s="89"/>
      <c r="R63" s="89">
        <f>186.7+70.617</f>
        <v>257.31700000000001</v>
      </c>
      <c r="S63" s="89"/>
      <c r="T63" s="89">
        <f>19051.457+P63</f>
        <v>19308.773999999998</v>
      </c>
      <c r="U63" s="227">
        <f t="shared" si="21"/>
        <v>0.33481145492184561</v>
      </c>
      <c r="V63" s="366">
        <v>1</v>
      </c>
      <c r="W63" s="228"/>
      <c r="X63" s="368">
        <f>+'[27]Uoc TT'!O60-P63</f>
        <v>0</v>
      </c>
    </row>
    <row r="64" spans="1:24" ht="36.75" customHeight="1">
      <c r="A64" s="144">
        <v>3</v>
      </c>
      <c r="B64" s="32" t="s">
        <v>415</v>
      </c>
      <c r="C64" s="23"/>
      <c r="D64" s="196" t="s">
        <v>247</v>
      </c>
      <c r="E64" s="193" t="s">
        <v>416</v>
      </c>
      <c r="F64" s="34">
        <v>12853</v>
      </c>
      <c r="G64" s="357">
        <f t="shared" si="16"/>
        <v>12795</v>
      </c>
      <c r="H64" s="357">
        <f t="shared" si="3"/>
        <v>12700.122000000001</v>
      </c>
      <c r="I64" s="360">
        <v>56</v>
      </c>
      <c r="J64" s="360"/>
      <c r="K64" s="35">
        <v>12795</v>
      </c>
      <c r="L64" s="295">
        <f t="shared" si="39"/>
        <v>185.83600000000001</v>
      </c>
      <c r="M64" s="295"/>
      <c r="N64" s="295">
        <v>129.83600000000001</v>
      </c>
      <c r="O64" s="390">
        <v>56</v>
      </c>
      <c r="P64" s="183">
        <f t="shared" si="40"/>
        <v>90.957999999999998</v>
      </c>
      <c r="Q64" s="183"/>
      <c r="R64" s="183">
        <f>55.503+35.455</f>
        <v>90.957999999999998</v>
      </c>
      <c r="S64" s="183"/>
      <c r="T64" s="183">
        <f>12609.164+P64</f>
        <v>12700.122000000001</v>
      </c>
      <c r="U64" s="185">
        <f t="shared" si="21"/>
        <v>0.48945306614434231</v>
      </c>
      <c r="V64" s="366" t="s">
        <v>398</v>
      </c>
      <c r="W64" s="146" t="s">
        <v>411</v>
      </c>
      <c r="X64" s="368">
        <f>+'[27]Uoc TT'!O61-P64</f>
        <v>0</v>
      </c>
    </row>
    <row r="65" spans="1:24" ht="36.75" customHeight="1">
      <c r="A65" s="144">
        <v>4</v>
      </c>
      <c r="B65" s="32" t="s">
        <v>417</v>
      </c>
      <c r="C65" s="23"/>
      <c r="D65" s="196" t="s">
        <v>247</v>
      </c>
      <c r="E65" s="193" t="s">
        <v>418</v>
      </c>
      <c r="F65" s="34">
        <v>13200</v>
      </c>
      <c r="G65" s="357">
        <f t="shared" si="16"/>
        <v>13149</v>
      </c>
      <c r="H65" s="357">
        <f t="shared" si="3"/>
        <v>13068.654</v>
      </c>
      <c r="I65" s="360">
        <v>56</v>
      </c>
      <c r="J65" s="360"/>
      <c r="K65" s="35">
        <v>13149</v>
      </c>
      <c r="L65" s="295">
        <f t="shared" si="39"/>
        <v>171.5</v>
      </c>
      <c r="M65" s="295"/>
      <c r="N65" s="295">
        <v>115.5</v>
      </c>
      <c r="O65" s="390">
        <v>56</v>
      </c>
      <c r="P65" s="183">
        <f t="shared" si="40"/>
        <v>91.153999999999996</v>
      </c>
      <c r="Q65" s="183"/>
      <c r="R65" s="183">
        <f>55.87+35.284</f>
        <v>91.153999999999996</v>
      </c>
      <c r="S65" s="183"/>
      <c r="T65" s="183">
        <f>12977.5+P65</f>
        <v>13068.654</v>
      </c>
      <c r="U65" s="185">
        <f t="shared" si="21"/>
        <v>0.53151020408163263</v>
      </c>
      <c r="V65" s="366" t="s">
        <v>398</v>
      </c>
      <c r="W65" s="146" t="s">
        <v>411</v>
      </c>
      <c r="X65" s="368">
        <f>+'[27]Uoc TT'!O62-P65</f>
        <v>0</v>
      </c>
    </row>
    <row r="66" spans="1:24" ht="36.75" customHeight="1">
      <c r="A66" s="417">
        <v>5</v>
      </c>
      <c r="B66" s="195" t="s">
        <v>190</v>
      </c>
      <c r="C66" s="193"/>
      <c r="D66" s="196" t="s">
        <v>191</v>
      </c>
      <c r="E66" s="193" t="s">
        <v>192</v>
      </c>
      <c r="F66" s="34">
        <v>25662</v>
      </c>
      <c r="G66" s="357">
        <f t="shared" si="16"/>
        <v>10650</v>
      </c>
      <c r="H66" s="357">
        <f t="shared" si="3"/>
        <v>10650</v>
      </c>
      <c r="I66" s="360"/>
      <c r="J66" s="360">
        <v>9372</v>
      </c>
      <c r="K66" s="35">
        <f>650+O66</f>
        <v>10650</v>
      </c>
      <c r="L66" s="295">
        <f t="shared" si="39"/>
        <v>10282.624</v>
      </c>
      <c r="M66" s="295"/>
      <c r="N66" s="295">
        <v>282.62400000000002</v>
      </c>
      <c r="O66" s="390">
        <v>10000</v>
      </c>
      <c r="P66" s="183">
        <f>+R66+S66</f>
        <v>10282.624</v>
      </c>
      <c r="Q66" s="183"/>
      <c r="R66" s="183">
        <v>282.62400000000002</v>
      </c>
      <c r="S66" s="183">
        <f>+O66</f>
        <v>10000</v>
      </c>
      <c r="T66" s="183">
        <f>367.376+P66</f>
        <v>10650</v>
      </c>
      <c r="U66" s="185">
        <f t="shared" si="21"/>
        <v>1</v>
      </c>
      <c r="V66" s="366">
        <v>0.8</v>
      </c>
      <c r="W66" s="186"/>
      <c r="X66" s="368">
        <f>+'[27]Uoc TT'!O63-P66</f>
        <v>0</v>
      </c>
    </row>
    <row r="67" spans="1:24" ht="36.75" customHeight="1">
      <c r="A67" s="74">
        <v>8</v>
      </c>
      <c r="B67" s="418" t="s">
        <v>419</v>
      </c>
      <c r="C67" s="230"/>
      <c r="D67" s="205" t="s">
        <v>243</v>
      </c>
      <c r="E67" s="23" t="s">
        <v>420</v>
      </c>
      <c r="F67" s="419">
        <v>4000</v>
      </c>
      <c r="G67" s="357">
        <f t="shared" si="16"/>
        <v>3884</v>
      </c>
      <c r="H67" s="357">
        <f t="shared" si="3"/>
        <v>3881.7042208459588</v>
      </c>
      <c r="I67" s="412"/>
      <c r="J67" s="360">
        <v>0</v>
      </c>
      <c r="K67" s="35">
        <f>2996+O67</f>
        <v>3884</v>
      </c>
      <c r="L67" s="295">
        <f t="shared" si="39"/>
        <v>2056.6537790000002</v>
      </c>
      <c r="M67" s="295"/>
      <c r="N67" s="295">
        <v>1168.653779</v>
      </c>
      <c r="O67" s="403">
        <v>888</v>
      </c>
      <c r="P67" s="183">
        <v>2056.2199998459591</v>
      </c>
      <c r="Q67" s="183"/>
      <c r="R67" s="183">
        <v>1168.653779</v>
      </c>
      <c r="S67" s="183">
        <v>887.56622084595915</v>
      </c>
      <c r="T67" s="183">
        <f>1825.484221+P67</f>
        <v>3881.7042208459588</v>
      </c>
      <c r="U67" s="185">
        <f t="shared" si="21"/>
        <v>0.99978908498918473</v>
      </c>
      <c r="V67" s="366" t="str">
        <f>V65</f>
        <v xml:space="preserve">Đã bàn giao công trình đưa vào sử dụng </v>
      </c>
      <c r="W67" s="146" t="s">
        <v>411</v>
      </c>
      <c r="X67" s="368">
        <f>+'[27]Uoc TT'!O64-P67</f>
        <v>0</v>
      </c>
    </row>
    <row r="68" spans="1:24" ht="36.75" customHeight="1">
      <c r="A68" s="74">
        <v>9</v>
      </c>
      <c r="B68" s="32" t="s">
        <v>421</v>
      </c>
      <c r="C68" s="23"/>
      <c r="D68" s="205" t="s">
        <v>243</v>
      </c>
      <c r="E68" s="230" t="s">
        <v>422</v>
      </c>
      <c r="F68" s="240">
        <v>3823</v>
      </c>
      <c r="G68" s="357">
        <f t="shared" si="16"/>
        <v>3707</v>
      </c>
      <c r="H68" s="357">
        <f t="shared" si="3"/>
        <v>3706.35</v>
      </c>
      <c r="I68" s="412"/>
      <c r="J68" s="360">
        <v>0</v>
      </c>
      <c r="K68" s="35">
        <f>2110+O68</f>
        <v>3707</v>
      </c>
      <c r="L68" s="295">
        <f t="shared" si="39"/>
        <v>1597</v>
      </c>
      <c r="M68" s="295"/>
      <c r="N68" s="295"/>
      <c r="O68" s="403">
        <v>1597</v>
      </c>
      <c r="P68" s="183">
        <v>1596.35</v>
      </c>
      <c r="Q68" s="183"/>
      <c r="R68" s="183"/>
      <c r="S68" s="183">
        <v>1596.35</v>
      </c>
      <c r="T68" s="183">
        <f>2110+P68</f>
        <v>3706.35</v>
      </c>
      <c r="U68" s="185">
        <f t="shared" si="21"/>
        <v>0.99959298685034437</v>
      </c>
      <c r="V68" s="366" t="str">
        <f>V67</f>
        <v xml:space="preserve">Đã bàn giao công trình đưa vào sử dụng </v>
      </c>
      <c r="W68" s="146" t="s">
        <v>411</v>
      </c>
      <c r="X68" s="368">
        <f>+'[27]Uoc TT'!O65-P68</f>
        <v>0</v>
      </c>
    </row>
    <row r="69" spans="1:24" ht="36.75" customHeight="1">
      <c r="A69" s="74">
        <v>10</v>
      </c>
      <c r="B69" s="32" t="s">
        <v>423</v>
      </c>
      <c r="C69" s="23"/>
      <c r="D69" s="205" t="s">
        <v>243</v>
      </c>
      <c r="E69" s="230" t="s">
        <v>424</v>
      </c>
      <c r="F69" s="240">
        <v>4335</v>
      </c>
      <c r="G69" s="357">
        <f t="shared" si="16"/>
        <v>3974</v>
      </c>
      <c r="H69" s="357">
        <f t="shared" si="3"/>
        <v>4173.1309999999994</v>
      </c>
      <c r="I69" s="412"/>
      <c r="J69" s="360"/>
      <c r="K69" s="35">
        <f>2335+O69</f>
        <v>3974</v>
      </c>
      <c r="L69" s="295">
        <f t="shared" si="39"/>
        <v>2105.7139999999999</v>
      </c>
      <c r="M69" s="295"/>
      <c r="N69" s="295">
        <v>466.714</v>
      </c>
      <c r="O69" s="403">
        <v>1639</v>
      </c>
      <c r="P69" s="183">
        <v>2104.8449999999998</v>
      </c>
      <c r="Q69" s="183"/>
      <c r="R69" s="183">
        <v>466.714</v>
      </c>
      <c r="S69" s="183">
        <v>1638.1309999999999</v>
      </c>
      <c r="T69" s="183">
        <f>2068.286+P69</f>
        <v>4173.1309999999994</v>
      </c>
      <c r="U69" s="185">
        <f t="shared" si="21"/>
        <v>0.99958731337684026</v>
      </c>
      <c r="V69" s="366" t="str">
        <f t="shared" ref="V69" si="41">V67</f>
        <v xml:space="preserve">Đã bàn giao công trình đưa vào sử dụng </v>
      </c>
      <c r="W69" s="146" t="s">
        <v>411</v>
      </c>
      <c r="X69" s="368">
        <f>+'[27]Uoc TT'!O66-P69</f>
        <v>0</v>
      </c>
    </row>
    <row r="70" spans="1:24" ht="50.25" customHeight="1">
      <c r="A70" s="74">
        <v>11</v>
      </c>
      <c r="B70" s="32" t="s">
        <v>99</v>
      </c>
      <c r="C70" s="23"/>
      <c r="D70" s="205" t="s">
        <v>243</v>
      </c>
      <c r="E70" s="230" t="s">
        <v>425</v>
      </c>
      <c r="F70" s="240" t="s">
        <v>100</v>
      </c>
      <c r="G70" s="357">
        <f t="shared" si="16"/>
        <v>3641</v>
      </c>
      <c r="H70" s="357">
        <f t="shared" si="3"/>
        <v>3640.8020000000001</v>
      </c>
      <c r="I70" s="412"/>
      <c r="J70" s="360"/>
      <c r="K70" s="35">
        <f>3000+O70</f>
        <v>3641</v>
      </c>
      <c r="L70" s="295">
        <f t="shared" si="39"/>
        <v>2457.395</v>
      </c>
      <c r="M70" s="295"/>
      <c r="N70" s="295">
        <v>1816.395</v>
      </c>
      <c r="O70" s="403">
        <v>641</v>
      </c>
      <c r="P70" s="183">
        <v>2457.1970000000001</v>
      </c>
      <c r="Q70" s="183"/>
      <c r="R70" s="183">
        <v>1816.395</v>
      </c>
      <c r="S70" s="183">
        <v>640.80200000000013</v>
      </c>
      <c r="T70" s="183">
        <f>1183.605+P70</f>
        <v>3640.8020000000001</v>
      </c>
      <c r="U70" s="185">
        <f t="shared" si="21"/>
        <v>0.99991942687276569</v>
      </c>
      <c r="V70" s="366">
        <v>1</v>
      </c>
      <c r="W70" s="186"/>
      <c r="X70" s="368">
        <f>+'[27]Uoc TT'!O67-P70</f>
        <v>0</v>
      </c>
    </row>
    <row r="71" spans="1:24" ht="36.75" customHeight="1">
      <c r="A71" s="417">
        <v>12</v>
      </c>
      <c r="B71" s="32" t="s">
        <v>101</v>
      </c>
      <c r="C71" s="23"/>
      <c r="D71" s="205" t="s">
        <v>243</v>
      </c>
      <c r="E71" s="230" t="s">
        <v>426</v>
      </c>
      <c r="F71" s="240">
        <v>4320</v>
      </c>
      <c r="G71" s="357">
        <f t="shared" si="16"/>
        <v>4244</v>
      </c>
      <c r="H71" s="357">
        <f t="shared" si="3"/>
        <v>4137.7060000000001</v>
      </c>
      <c r="I71" s="360">
        <v>106</v>
      </c>
      <c r="J71" s="360"/>
      <c r="K71" s="35">
        <f>2500+O71</f>
        <v>4244</v>
      </c>
      <c r="L71" s="295">
        <f t="shared" si="39"/>
        <v>3952.297</v>
      </c>
      <c r="M71" s="295"/>
      <c r="N71" s="295">
        <v>2208.297</v>
      </c>
      <c r="O71" s="295">
        <v>1744</v>
      </c>
      <c r="P71" s="183">
        <v>3846.0030000000002</v>
      </c>
      <c r="Q71" s="183"/>
      <c r="R71" s="183">
        <v>2208.297</v>
      </c>
      <c r="S71" s="183">
        <v>1637.7060000000001</v>
      </c>
      <c r="T71" s="183">
        <f>291.703+P71</f>
        <v>4137.7060000000001</v>
      </c>
      <c r="U71" s="185">
        <f t="shared" si="21"/>
        <v>0.97310576608994726</v>
      </c>
      <c r="V71" s="366" t="s">
        <v>398</v>
      </c>
      <c r="W71" s="146" t="s">
        <v>411</v>
      </c>
      <c r="X71" s="368">
        <f>+'[27]Uoc TT'!O68-P71</f>
        <v>0</v>
      </c>
    </row>
    <row r="72" spans="1:24" ht="36.75" customHeight="1">
      <c r="A72" s="74">
        <v>13</v>
      </c>
      <c r="B72" s="32" t="s">
        <v>103</v>
      </c>
      <c r="C72" s="23"/>
      <c r="D72" s="205" t="s">
        <v>243</v>
      </c>
      <c r="E72" s="230" t="s">
        <v>427</v>
      </c>
      <c r="F72" s="240" t="s">
        <v>104</v>
      </c>
      <c r="G72" s="357">
        <f t="shared" si="16"/>
        <v>4477</v>
      </c>
      <c r="H72" s="357">
        <f t="shared" si="3"/>
        <v>4315.3980000000001</v>
      </c>
      <c r="I72" s="360">
        <v>161</v>
      </c>
      <c r="J72" s="360"/>
      <c r="K72" s="35">
        <f>2600+O72</f>
        <v>4477</v>
      </c>
      <c r="L72" s="295">
        <f t="shared" si="39"/>
        <v>3172.5119999999997</v>
      </c>
      <c r="M72" s="295"/>
      <c r="N72" s="295">
        <v>1295.5119999999999</v>
      </c>
      <c r="O72" s="295">
        <f>1877</f>
        <v>1877</v>
      </c>
      <c r="P72" s="183">
        <v>3010.91</v>
      </c>
      <c r="Q72" s="183"/>
      <c r="R72" s="183">
        <v>1295.5119999999999</v>
      </c>
      <c r="S72" s="183">
        <v>1715.3979999999999</v>
      </c>
      <c r="T72" s="183">
        <f>1304.488+P72</f>
        <v>4315.3980000000001</v>
      </c>
      <c r="U72" s="185">
        <f t="shared" si="21"/>
        <v>0.94906181599943518</v>
      </c>
      <c r="V72" s="366" t="s">
        <v>398</v>
      </c>
      <c r="W72" s="146" t="s">
        <v>411</v>
      </c>
      <c r="X72" s="368">
        <f>+'[27]Uoc TT'!O69-P72</f>
        <v>0</v>
      </c>
    </row>
    <row r="73" spans="1:24" ht="36.75" customHeight="1">
      <c r="A73" s="239">
        <v>1</v>
      </c>
      <c r="B73" s="198" t="s">
        <v>249</v>
      </c>
      <c r="C73" s="199"/>
      <c r="D73" s="205" t="s">
        <v>243</v>
      </c>
      <c r="E73" s="205" t="s">
        <v>250</v>
      </c>
      <c r="F73" s="205">
        <v>9373</v>
      </c>
      <c r="G73" s="357">
        <f t="shared" si="16"/>
        <v>3000</v>
      </c>
      <c r="H73" s="357">
        <f t="shared" si="3"/>
        <v>2717.0520000000001</v>
      </c>
      <c r="I73" s="360"/>
      <c r="J73" s="360">
        <v>6373</v>
      </c>
      <c r="K73" s="35">
        <v>3000</v>
      </c>
      <c r="L73" s="295">
        <f t="shared" si="39"/>
        <v>3000</v>
      </c>
      <c r="M73" s="295"/>
      <c r="N73" s="295"/>
      <c r="O73" s="390">
        <v>3000</v>
      </c>
      <c r="P73" s="183">
        <f t="shared" si="40"/>
        <v>2717.0520000000001</v>
      </c>
      <c r="Q73" s="183"/>
      <c r="R73" s="183"/>
      <c r="S73" s="183">
        <v>2717.0520000000001</v>
      </c>
      <c r="T73" s="183">
        <f>+P73</f>
        <v>2717.0520000000001</v>
      </c>
      <c r="U73" s="185">
        <f t="shared" si="21"/>
        <v>0.90568400000000004</v>
      </c>
      <c r="V73" s="366">
        <v>0</v>
      </c>
      <c r="W73" s="186"/>
      <c r="X73" s="368">
        <f>+'[27]Uoc TT'!O70-P73</f>
        <v>-0.29200000000037107</v>
      </c>
    </row>
    <row r="74" spans="1:24" ht="36.75" customHeight="1">
      <c r="A74" s="239">
        <v>2</v>
      </c>
      <c r="B74" s="198" t="s">
        <v>251</v>
      </c>
      <c r="C74" s="199"/>
      <c r="D74" s="205" t="s">
        <v>243</v>
      </c>
      <c r="E74" s="205" t="s">
        <v>252</v>
      </c>
      <c r="F74" s="205">
        <v>2335</v>
      </c>
      <c r="G74" s="357">
        <f t="shared" si="16"/>
        <v>2300</v>
      </c>
      <c r="H74" s="357">
        <f t="shared" ref="H74:H112" si="42">+T74</f>
        <v>1118.547</v>
      </c>
      <c r="I74" s="360"/>
      <c r="J74" s="360">
        <v>35</v>
      </c>
      <c r="K74" s="35">
        <v>2300</v>
      </c>
      <c r="L74" s="295">
        <f t="shared" si="39"/>
        <v>2300</v>
      </c>
      <c r="M74" s="295"/>
      <c r="N74" s="295"/>
      <c r="O74" s="390">
        <v>2300</v>
      </c>
      <c r="P74" s="183">
        <f t="shared" si="40"/>
        <v>1118.547</v>
      </c>
      <c r="Q74" s="183"/>
      <c r="R74" s="183"/>
      <c r="S74" s="420">
        <v>1118.547</v>
      </c>
      <c r="T74" s="183">
        <f t="shared" ref="T74:T76" si="43">+P74</f>
        <v>1118.547</v>
      </c>
      <c r="U74" s="185">
        <f t="shared" si="21"/>
        <v>0.48632478260869566</v>
      </c>
      <c r="V74" s="366">
        <v>0</v>
      </c>
      <c r="W74" s="186"/>
      <c r="X74" s="368">
        <f>+'[27]Uoc TT'!O71-P74</f>
        <v>-4.1929999999999836</v>
      </c>
    </row>
    <row r="75" spans="1:24" ht="36.75" customHeight="1">
      <c r="A75" s="239">
        <v>3</v>
      </c>
      <c r="B75" s="198" t="s">
        <v>253</v>
      </c>
      <c r="C75" s="199"/>
      <c r="D75" s="205" t="s">
        <v>243</v>
      </c>
      <c r="E75" s="205" t="s">
        <v>254</v>
      </c>
      <c r="F75" s="205">
        <v>1830</v>
      </c>
      <c r="G75" s="357">
        <f t="shared" si="16"/>
        <v>1800</v>
      </c>
      <c r="H75" s="357">
        <f t="shared" si="42"/>
        <v>922.56600000000003</v>
      </c>
      <c r="I75" s="360"/>
      <c r="J75" s="360">
        <v>30</v>
      </c>
      <c r="K75" s="35">
        <v>1800</v>
      </c>
      <c r="L75" s="295">
        <f t="shared" si="39"/>
        <v>1800</v>
      </c>
      <c r="M75" s="295"/>
      <c r="N75" s="295"/>
      <c r="O75" s="390">
        <v>1800</v>
      </c>
      <c r="P75" s="183">
        <f t="shared" si="40"/>
        <v>922.56600000000003</v>
      </c>
      <c r="Q75" s="183"/>
      <c r="R75" s="183"/>
      <c r="S75" s="420">
        <v>922.56600000000003</v>
      </c>
      <c r="T75" s="183">
        <f t="shared" si="43"/>
        <v>922.56600000000003</v>
      </c>
      <c r="U75" s="185">
        <f t="shared" si="21"/>
        <v>0.51253666666666664</v>
      </c>
      <c r="V75" s="366">
        <v>0</v>
      </c>
      <c r="W75" s="186"/>
      <c r="X75" s="368">
        <f>+'[27]Uoc TT'!O72-P75</f>
        <v>-1.9320000000000164</v>
      </c>
    </row>
    <row r="76" spans="1:24" ht="36.75" customHeight="1">
      <c r="A76" s="239">
        <v>4</v>
      </c>
      <c r="B76" s="198" t="s">
        <v>428</v>
      </c>
      <c r="C76" s="199"/>
      <c r="D76" s="205" t="s">
        <v>243</v>
      </c>
      <c r="E76" s="205" t="s">
        <v>256</v>
      </c>
      <c r="F76" s="205">
        <v>4060</v>
      </c>
      <c r="G76" s="357">
        <f t="shared" si="16"/>
        <v>2000</v>
      </c>
      <c r="H76" s="357">
        <f t="shared" si="42"/>
        <v>1855.117</v>
      </c>
      <c r="I76" s="360"/>
      <c r="J76" s="360">
        <v>2060</v>
      </c>
      <c r="K76" s="35">
        <v>2000</v>
      </c>
      <c r="L76" s="295">
        <f t="shared" si="39"/>
        <v>2000</v>
      </c>
      <c r="M76" s="295"/>
      <c r="N76" s="295"/>
      <c r="O76" s="390">
        <v>2000</v>
      </c>
      <c r="P76" s="183">
        <f t="shared" si="40"/>
        <v>1855.117</v>
      </c>
      <c r="Q76" s="183"/>
      <c r="R76" s="183"/>
      <c r="S76" s="420">
        <v>1855.117</v>
      </c>
      <c r="T76" s="183">
        <f t="shared" si="43"/>
        <v>1855.117</v>
      </c>
      <c r="U76" s="185">
        <f t="shared" si="21"/>
        <v>0.92755849999999995</v>
      </c>
      <c r="V76" s="366">
        <v>0</v>
      </c>
      <c r="W76" s="186"/>
      <c r="X76" s="368">
        <f>+'[27]Uoc TT'!O73-P76</f>
        <v>-30.738000000000056</v>
      </c>
    </row>
    <row r="77" spans="1:24" ht="36.75" customHeight="1">
      <c r="A77" s="239">
        <v>5</v>
      </c>
      <c r="B77" s="198" t="s">
        <v>257</v>
      </c>
      <c r="C77" s="199"/>
      <c r="D77" s="205" t="s">
        <v>243</v>
      </c>
      <c r="E77" s="205" t="s">
        <v>258</v>
      </c>
      <c r="F77" s="205">
        <v>2280</v>
      </c>
      <c r="G77" s="357">
        <f t="shared" si="16"/>
        <v>2200</v>
      </c>
      <c r="H77" s="357">
        <f t="shared" si="42"/>
        <v>953.4</v>
      </c>
      <c r="I77" s="360"/>
      <c r="J77" s="360">
        <v>80</v>
      </c>
      <c r="K77" s="35">
        <v>2200</v>
      </c>
      <c r="L77" s="295">
        <f t="shared" si="39"/>
        <v>2200</v>
      </c>
      <c r="M77" s="295"/>
      <c r="N77" s="295"/>
      <c r="O77" s="390">
        <v>2200</v>
      </c>
      <c r="P77" s="183">
        <f t="shared" si="40"/>
        <v>953.4</v>
      </c>
      <c r="Q77" s="183"/>
      <c r="R77" s="183"/>
      <c r="S77" s="420">
        <v>953.4</v>
      </c>
      <c r="T77" s="183">
        <f>+S77</f>
        <v>953.4</v>
      </c>
      <c r="U77" s="185">
        <f t="shared" si="21"/>
        <v>0.43336363636363634</v>
      </c>
      <c r="V77" s="366">
        <v>0</v>
      </c>
      <c r="W77" s="186"/>
      <c r="X77" s="368">
        <f>+'[27]Uoc TT'!O74-P77</f>
        <v>-0.31799999999998363</v>
      </c>
    </row>
    <row r="78" spans="1:24" ht="36.75" customHeight="1">
      <c r="A78" s="189" t="s">
        <v>259</v>
      </c>
      <c r="B78" s="190" t="s">
        <v>194</v>
      </c>
      <c r="C78" s="191"/>
      <c r="D78" s="205"/>
      <c r="E78" s="230"/>
      <c r="F78" s="240"/>
      <c r="G78" s="356">
        <f t="shared" si="16"/>
        <v>0</v>
      </c>
      <c r="H78" s="357">
        <f t="shared" si="42"/>
        <v>0</v>
      </c>
      <c r="I78" s="360">
        <v>0</v>
      </c>
      <c r="J78" s="358">
        <v>0</v>
      </c>
      <c r="K78" s="35"/>
      <c r="L78" s="295">
        <f t="shared" si="39"/>
        <v>0</v>
      </c>
      <c r="M78" s="295"/>
      <c r="N78" s="286"/>
      <c r="O78" s="390"/>
      <c r="P78" s="183">
        <f t="shared" si="40"/>
        <v>0</v>
      </c>
      <c r="Q78" s="183"/>
      <c r="R78" s="183"/>
      <c r="S78" s="183"/>
      <c r="T78" s="183"/>
      <c r="U78" s="185" t="e">
        <f t="shared" si="21"/>
        <v>#DIV/0!</v>
      </c>
      <c r="V78" s="366"/>
      <c r="W78" s="186"/>
      <c r="X78" s="368">
        <f>+'[27]Uoc TT'!O75-P78</f>
        <v>0</v>
      </c>
    </row>
    <row r="79" spans="1:24" s="229" customFormat="1" ht="42.75" customHeight="1">
      <c r="A79" s="241" t="s">
        <v>89</v>
      </c>
      <c r="B79" s="88" t="s">
        <v>107</v>
      </c>
      <c r="C79" s="242"/>
      <c r="D79" s="243" t="s">
        <v>196</v>
      </c>
      <c r="E79" s="243" t="s">
        <v>429</v>
      </c>
      <c r="F79" s="244">
        <v>2100</v>
      </c>
      <c r="G79" s="409">
        <f>+K79</f>
        <v>2100</v>
      </c>
      <c r="H79" s="409">
        <f t="shared" si="42"/>
        <v>1960.0219999999999</v>
      </c>
      <c r="I79" s="421">
        <v>139</v>
      </c>
      <c r="J79" s="411"/>
      <c r="K79" s="120">
        <f>+L79</f>
        <v>2100</v>
      </c>
      <c r="L79" s="63">
        <f t="shared" si="39"/>
        <v>2100</v>
      </c>
      <c r="M79" s="63"/>
      <c r="N79" s="63"/>
      <c r="O79" s="413">
        <v>2100</v>
      </c>
      <c r="P79" s="89">
        <f t="shared" si="40"/>
        <v>1960.0219999999999</v>
      </c>
      <c r="Q79" s="89"/>
      <c r="R79" s="89"/>
      <c r="S79" s="89">
        <v>1960.0219999999999</v>
      </c>
      <c r="T79" s="89">
        <f>+S79</f>
        <v>1960.0219999999999</v>
      </c>
      <c r="U79" s="227">
        <f t="shared" si="21"/>
        <v>0.93334380952380946</v>
      </c>
      <c r="V79" s="366" t="s">
        <v>398</v>
      </c>
      <c r="W79" s="228" t="s">
        <v>430</v>
      </c>
      <c r="X79" s="368">
        <f>+'[27]Uoc TT'!O76-P79</f>
        <v>0</v>
      </c>
    </row>
    <row r="80" spans="1:24" s="229" customFormat="1" ht="42.75" customHeight="1">
      <c r="A80" s="241" t="s">
        <v>131</v>
      </c>
      <c r="B80" s="88" t="s">
        <v>158</v>
      </c>
      <c r="C80" s="242"/>
      <c r="D80" s="243" t="s">
        <v>196</v>
      </c>
      <c r="E80" s="243" t="s">
        <v>431</v>
      </c>
      <c r="F80" s="244">
        <v>2300</v>
      </c>
      <c r="G80" s="409">
        <f t="shared" ref="G80:G93" si="44">+K80</f>
        <v>2300</v>
      </c>
      <c r="H80" s="409">
        <f t="shared" si="42"/>
        <v>2170.6179999999999</v>
      </c>
      <c r="I80" s="422">
        <v>68</v>
      </c>
      <c r="J80" s="411"/>
      <c r="K80" s="120">
        <f t="shared" ref="K80:K93" si="45">+L80</f>
        <v>2300</v>
      </c>
      <c r="L80" s="63">
        <f t="shared" si="39"/>
        <v>2300</v>
      </c>
      <c r="M80" s="63"/>
      <c r="N80" s="63"/>
      <c r="O80" s="413">
        <v>2300</v>
      </c>
      <c r="P80" s="89">
        <f t="shared" si="40"/>
        <v>2170.6179999999999</v>
      </c>
      <c r="Q80" s="89"/>
      <c r="R80" s="89"/>
      <c r="S80" s="89">
        <v>2170.6179999999999</v>
      </c>
      <c r="T80" s="89">
        <f t="shared" ref="T80:T93" si="46">+S80</f>
        <v>2170.6179999999999</v>
      </c>
      <c r="U80" s="227">
        <f t="shared" si="21"/>
        <v>0.94374695652173912</v>
      </c>
      <c r="V80" s="366">
        <v>1</v>
      </c>
      <c r="W80" s="146" t="s">
        <v>411</v>
      </c>
      <c r="X80" s="368">
        <f>+'[27]Uoc TT'!O77-P80</f>
        <v>0</v>
      </c>
    </row>
    <row r="81" spans="1:24" ht="42.75" customHeight="1">
      <c r="A81" s="194" t="s">
        <v>134</v>
      </c>
      <c r="B81" s="423" t="s">
        <v>98</v>
      </c>
      <c r="C81" s="247"/>
      <c r="D81" s="248" t="s">
        <v>196</v>
      </c>
      <c r="E81" s="248" t="s">
        <v>432</v>
      </c>
      <c r="F81" s="210">
        <v>560</v>
      </c>
      <c r="G81" s="357">
        <f t="shared" si="44"/>
        <v>560</v>
      </c>
      <c r="H81" s="357">
        <f t="shared" si="42"/>
        <v>495.90600000000001</v>
      </c>
      <c r="I81" s="412">
        <v>64</v>
      </c>
      <c r="J81" s="360"/>
      <c r="K81" s="35">
        <f t="shared" si="45"/>
        <v>560</v>
      </c>
      <c r="L81" s="295">
        <f t="shared" si="39"/>
        <v>560</v>
      </c>
      <c r="M81" s="295"/>
      <c r="N81" s="295"/>
      <c r="O81" s="413">
        <v>560</v>
      </c>
      <c r="P81" s="183">
        <f t="shared" si="40"/>
        <v>495.90600000000001</v>
      </c>
      <c r="Q81" s="183"/>
      <c r="R81" s="183"/>
      <c r="S81" s="89">
        <v>495.90600000000001</v>
      </c>
      <c r="T81" s="183">
        <f t="shared" si="46"/>
        <v>495.90600000000001</v>
      </c>
      <c r="U81" s="185">
        <f t="shared" si="21"/>
        <v>0.88554642857142862</v>
      </c>
      <c r="V81" s="366" t="s">
        <v>398</v>
      </c>
      <c r="W81" s="146" t="s">
        <v>411</v>
      </c>
      <c r="X81" s="368">
        <f>+'[27]Uoc TT'!O78-P81</f>
        <v>0</v>
      </c>
    </row>
    <row r="82" spans="1:24" ht="42.75" customHeight="1">
      <c r="A82" s="194" t="s">
        <v>137</v>
      </c>
      <c r="B82" s="423" t="s">
        <v>145</v>
      </c>
      <c r="C82" s="247"/>
      <c r="D82" s="248" t="s">
        <v>196</v>
      </c>
      <c r="E82" s="248" t="s">
        <v>433</v>
      </c>
      <c r="F82" s="210">
        <v>3500</v>
      </c>
      <c r="G82" s="357">
        <f t="shared" si="44"/>
        <v>3457</v>
      </c>
      <c r="H82" s="357">
        <f t="shared" si="42"/>
        <v>3402.1469999999999</v>
      </c>
      <c r="I82" s="360"/>
      <c r="J82" s="360"/>
      <c r="K82" s="35">
        <f t="shared" si="45"/>
        <v>3457</v>
      </c>
      <c r="L82" s="295">
        <f t="shared" si="39"/>
        <v>3457</v>
      </c>
      <c r="M82" s="295"/>
      <c r="N82" s="295"/>
      <c r="O82" s="413">
        <v>3457</v>
      </c>
      <c r="P82" s="183">
        <f t="shared" si="40"/>
        <v>3402.1469999999999</v>
      </c>
      <c r="Q82" s="183"/>
      <c r="R82" s="183"/>
      <c r="S82" s="89">
        <v>3402.1469999999999</v>
      </c>
      <c r="T82" s="183">
        <f t="shared" si="46"/>
        <v>3402.1469999999999</v>
      </c>
      <c r="U82" s="185">
        <f t="shared" si="21"/>
        <v>0.98413277408157362</v>
      </c>
      <c r="V82" s="366">
        <v>0.5</v>
      </c>
      <c r="W82" s="186"/>
      <c r="X82" s="368">
        <f>+'[27]Uoc TT'!O79-P82</f>
        <v>1.0000000002037268E-3</v>
      </c>
    </row>
    <row r="83" spans="1:24" ht="42.75" customHeight="1">
      <c r="A83" s="194" t="s">
        <v>82</v>
      </c>
      <c r="B83" s="423" t="s">
        <v>434</v>
      </c>
      <c r="C83" s="247"/>
      <c r="D83" s="248" t="s">
        <v>196</v>
      </c>
      <c r="E83" s="248" t="s">
        <v>435</v>
      </c>
      <c r="F83" s="210">
        <v>1700</v>
      </c>
      <c r="G83" s="357">
        <f t="shared" si="44"/>
        <v>1621</v>
      </c>
      <c r="H83" s="357">
        <f t="shared" si="42"/>
        <v>1620.7650000000001</v>
      </c>
      <c r="I83" s="412"/>
      <c r="J83" s="360"/>
      <c r="K83" s="35">
        <f t="shared" si="45"/>
        <v>1621</v>
      </c>
      <c r="L83" s="295">
        <f t="shared" si="39"/>
        <v>1621</v>
      </c>
      <c r="M83" s="295"/>
      <c r="N83" s="295"/>
      <c r="O83" s="413">
        <v>1621</v>
      </c>
      <c r="P83" s="183">
        <f>SUM(R83:S83)</f>
        <v>1620.7650000000001</v>
      </c>
      <c r="Q83" s="183"/>
      <c r="R83" s="183"/>
      <c r="S83" s="89">
        <v>1620.7650000000001</v>
      </c>
      <c r="T83" s="183">
        <f t="shared" si="46"/>
        <v>1620.7650000000001</v>
      </c>
      <c r="U83" s="185">
        <f t="shared" si="21"/>
        <v>0.99985502776064161</v>
      </c>
      <c r="V83" s="366" t="s">
        <v>398</v>
      </c>
      <c r="W83" s="146" t="s">
        <v>411</v>
      </c>
      <c r="X83" s="368">
        <f>+'[27]Uoc TT'!O80-P83</f>
        <v>0</v>
      </c>
    </row>
    <row r="84" spans="1:24" ht="42.75" customHeight="1">
      <c r="A84" s="194" t="s">
        <v>84</v>
      </c>
      <c r="B84" s="423" t="s">
        <v>144</v>
      </c>
      <c r="C84" s="247"/>
      <c r="D84" s="248" t="s">
        <v>196</v>
      </c>
      <c r="E84" s="248" t="s">
        <v>436</v>
      </c>
      <c r="F84" s="210">
        <v>1700</v>
      </c>
      <c r="G84" s="357">
        <f t="shared" si="44"/>
        <v>1695</v>
      </c>
      <c r="H84" s="357">
        <f t="shared" si="42"/>
        <v>1648.4490000000001</v>
      </c>
      <c r="I84" s="360"/>
      <c r="J84" s="360"/>
      <c r="K84" s="35">
        <f t="shared" si="45"/>
        <v>1695</v>
      </c>
      <c r="L84" s="295">
        <f t="shared" si="39"/>
        <v>1695</v>
      </c>
      <c r="M84" s="295"/>
      <c r="N84" s="295"/>
      <c r="O84" s="413">
        <v>1695</v>
      </c>
      <c r="P84" s="183">
        <f t="shared" si="40"/>
        <v>1648.4490000000001</v>
      </c>
      <c r="Q84" s="183"/>
      <c r="R84" s="183"/>
      <c r="S84" s="89">
        <v>1648.4490000000001</v>
      </c>
      <c r="T84" s="183">
        <f t="shared" si="46"/>
        <v>1648.4490000000001</v>
      </c>
      <c r="U84" s="185">
        <f t="shared" si="21"/>
        <v>0.97253628318584073</v>
      </c>
      <c r="V84" s="366">
        <v>1</v>
      </c>
      <c r="W84" s="186"/>
      <c r="X84" s="368">
        <f>+'[27]Uoc TT'!O81-P84</f>
        <v>0</v>
      </c>
    </row>
    <row r="85" spans="1:24" ht="42.75" customHeight="1">
      <c r="A85" s="194" t="s">
        <v>276</v>
      </c>
      <c r="B85" s="423" t="s">
        <v>147</v>
      </c>
      <c r="C85" s="247"/>
      <c r="D85" s="248" t="s">
        <v>196</v>
      </c>
      <c r="E85" s="248" t="s">
        <v>437</v>
      </c>
      <c r="F85" s="210">
        <v>2900</v>
      </c>
      <c r="G85" s="357">
        <f t="shared" si="44"/>
        <v>2880</v>
      </c>
      <c r="H85" s="357">
        <f t="shared" si="42"/>
        <v>2825.308</v>
      </c>
      <c r="I85" s="360"/>
      <c r="J85" s="360"/>
      <c r="K85" s="35">
        <f t="shared" si="45"/>
        <v>2880</v>
      </c>
      <c r="L85" s="295">
        <f t="shared" si="39"/>
        <v>2880</v>
      </c>
      <c r="M85" s="295"/>
      <c r="N85" s="295"/>
      <c r="O85" s="413">
        <v>2880</v>
      </c>
      <c r="P85" s="183">
        <f t="shared" si="40"/>
        <v>2825.308</v>
      </c>
      <c r="Q85" s="183"/>
      <c r="R85" s="183"/>
      <c r="S85" s="89">
        <v>2825.308</v>
      </c>
      <c r="T85" s="183">
        <f t="shared" si="46"/>
        <v>2825.308</v>
      </c>
      <c r="U85" s="185">
        <f t="shared" si="21"/>
        <v>0.98100972222222227</v>
      </c>
      <c r="V85" s="366">
        <v>0.8</v>
      </c>
      <c r="W85" s="186"/>
      <c r="X85" s="368">
        <f>+'[27]Uoc TT'!O82-P85</f>
        <v>0</v>
      </c>
    </row>
    <row r="86" spans="1:24" ht="42.75" customHeight="1">
      <c r="A86" s="194" t="s">
        <v>260</v>
      </c>
      <c r="B86" s="423" t="s">
        <v>106</v>
      </c>
      <c r="C86" s="247"/>
      <c r="D86" s="248" t="s">
        <v>196</v>
      </c>
      <c r="E86" s="248" t="s">
        <v>261</v>
      </c>
      <c r="F86" s="210">
        <v>2550</v>
      </c>
      <c r="G86" s="357">
        <f t="shared" si="44"/>
        <v>2058</v>
      </c>
      <c r="H86" s="357">
        <f t="shared" si="42"/>
        <v>2058</v>
      </c>
      <c r="I86" s="360"/>
      <c r="J86" s="360">
        <v>479</v>
      </c>
      <c r="K86" s="35">
        <f t="shared" si="45"/>
        <v>2058</v>
      </c>
      <c r="L86" s="295">
        <f t="shared" si="39"/>
        <v>2058</v>
      </c>
      <c r="M86" s="295"/>
      <c r="N86" s="295"/>
      <c r="O86" s="413">
        <v>2058</v>
      </c>
      <c r="P86" s="183">
        <f t="shared" si="40"/>
        <v>2058</v>
      </c>
      <c r="Q86" s="183"/>
      <c r="R86" s="183"/>
      <c r="S86" s="89">
        <v>2058</v>
      </c>
      <c r="T86" s="183">
        <f t="shared" si="46"/>
        <v>2058</v>
      </c>
      <c r="U86" s="185">
        <f t="shared" si="21"/>
        <v>1</v>
      </c>
      <c r="V86" s="366">
        <v>0.4</v>
      </c>
      <c r="W86" s="186"/>
      <c r="X86" s="368">
        <f>+'[27]Uoc TT'!O83-P86</f>
        <v>0</v>
      </c>
    </row>
    <row r="87" spans="1:24" ht="42.75" customHeight="1">
      <c r="A87" s="194" t="s">
        <v>280</v>
      </c>
      <c r="B87" s="423" t="s">
        <v>95</v>
      </c>
      <c r="C87" s="247"/>
      <c r="D87" s="248" t="s">
        <v>196</v>
      </c>
      <c r="E87" s="248" t="s">
        <v>438</v>
      </c>
      <c r="F87" s="210">
        <v>1500</v>
      </c>
      <c r="G87" s="357">
        <f t="shared" si="44"/>
        <v>1493</v>
      </c>
      <c r="H87" s="357">
        <f t="shared" si="42"/>
        <v>1467.3789999999999</v>
      </c>
      <c r="I87" s="360">
        <v>25</v>
      </c>
      <c r="J87" s="360"/>
      <c r="K87" s="35">
        <f t="shared" si="45"/>
        <v>1493</v>
      </c>
      <c r="L87" s="295">
        <f t="shared" si="39"/>
        <v>1493</v>
      </c>
      <c r="M87" s="295"/>
      <c r="N87" s="295"/>
      <c r="O87" s="413">
        <v>1493</v>
      </c>
      <c r="P87" s="183">
        <f t="shared" si="40"/>
        <v>1467.3789999999999</v>
      </c>
      <c r="Q87" s="183"/>
      <c r="R87" s="183"/>
      <c r="S87" s="89">
        <v>1467.3789999999999</v>
      </c>
      <c r="T87" s="183">
        <f t="shared" si="46"/>
        <v>1467.3789999999999</v>
      </c>
      <c r="U87" s="185">
        <f t="shared" si="21"/>
        <v>0.98283924983255189</v>
      </c>
      <c r="V87" s="366">
        <v>1</v>
      </c>
      <c r="W87" s="186"/>
      <c r="X87" s="368">
        <f>+'[27]Uoc TT'!O84-P87</f>
        <v>0</v>
      </c>
    </row>
    <row r="88" spans="1:24" ht="42.75" customHeight="1">
      <c r="A88" s="194" t="s">
        <v>283</v>
      </c>
      <c r="B88" s="423" t="s">
        <v>94</v>
      </c>
      <c r="C88" s="247"/>
      <c r="D88" s="248" t="s">
        <v>196</v>
      </c>
      <c r="E88" s="248" t="s">
        <v>439</v>
      </c>
      <c r="F88" s="210">
        <v>900</v>
      </c>
      <c r="G88" s="357">
        <f t="shared" si="44"/>
        <v>841</v>
      </c>
      <c r="H88" s="357">
        <f t="shared" si="42"/>
        <v>840.76300000000003</v>
      </c>
      <c r="I88" s="360"/>
      <c r="J88" s="360"/>
      <c r="K88" s="35">
        <f t="shared" si="45"/>
        <v>841</v>
      </c>
      <c r="L88" s="295">
        <f t="shared" si="39"/>
        <v>841</v>
      </c>
      <c r="M88" s="295"/>
      <c r="N88" s="295"/>
      <c r="O88" s="413">
        <v>841</v>
      </c>
      <c r="P88" s="183">
        <f t="shared" si="40"/>
        <v>840.76300000000003</v>
      </c>
      <c r="Q88" s="183"/>
      <c r="R88" s="183"/>
      <c r="S88" s="89">
        <v>840.76300000000003</v>
      </c>
      <c r="T88" s="183">
        <f t="shared" si="46"/>
        <v>840.76300000000003</v>
      </c>
      <c r="U88" s="185">
        <f t="shared" si="21"/>
        <v>0.99971819262782402</v>
      </c>
      <c r="V88" s="366" t="s">
        <v>398</v>
      </c>
      <c r="W88" s="146" t="s">
        <v>411</v>
      </c>
      <c r="X88" s="368">
        <f>+'[27]Uoc TT'!O85-P88</f>
        <v>0</v>
      </c>
    </row>
    <row r="89" spans="1:24" ht="42.75" customHeight="1">
      <c r="A89" s="194" t="s">
        <v>286</v>
      </c>
      <c r="B89" s="423" t="s">
        <v>105</v>
      </c>
      <c r="C89" s="247"/>
      <c r="D89" s="248" t="s">
        <v>196</v>
      </c>
      <c r="E89" s="248" t="s">
        <v>440</v>
      </c>
      <c r="F89" s="210">
        <v>1300</v>
      </c>
      <c r="G89" s="357">
        <f t="shared" si="44"/>
        <v>1292</v>
      </c>
      <c r="H89" s="357">
        <f t="shared" si="42"/>
        <v>1270.6420000000001</v>
      </c>
      <c r="I89" s="360"/>
      <c r="J89" s="360"/>
      <c r="K89" s="35">
        <f t="shared" si="45"/>
        <v>1292</v>
      </c>
      <c r="L89" s="295">
        <f t="shared" si="39"/>
        <v>1292</v>
      </c>
      <c r="M89" s="295"/>
      <c r="N89" s="295"/>
      <c r="O89" s="413">
        <v>1292</v>
      </c>
      <c r="P89" s="183">
        <f t="shared" si="40"/>
        <v>1270.6420000000001</v>
      </c>
      <c r="Q89" s="183"/>
      <c r="R89" s="183"/>
      <c r="S89" s="89">
        <v>1270.6420000000001</v>
      </c>
      <c r="T89" s="183">
        <f t="shared" si="46"/>
        <v>1270.6420000000001</v>
      </c>
      <c r="U89" s="185">
        <f t="shared" si="21"/>
        <v>0.98346904024767801</v>
      </c>
      <c r="V89" s="366">
        <v>1</v>
      </c>
      <c r="W89" s="186"/>
      <c r="X89" s="368">
        <f>+'[27]Uoc TT'!O86-P89</f>
        <v>0</v>
      </c>
    </row>
    <row r="90" spans="1:24" ht="42.75" customHeight="1">
      <c r="A90" s="194" t="s">
        <v>289</v>
      </c>
      <c r="B90" s="423" t="s">
        <v>441</v>
      </c>
      <c r="C90" s="247"/>
      <c r="D90" s="248" t="s">
        <v>196</v>
      </c>
      <c r="E90" s="248" t="s">
        <v>442</v>
      </c>
      <c r="F90" s="210">
        <v>1500</v>
      </c>
      <c r="G90" s="357">
        <f t="shared" si="44"/>
        <v>1470</v>
      </c>
      <c r="H90" s="357">
        <f t="shared" si="42"/>
        <v>1445.26</v>
      </c>
      <c r="I90" s="360">
        <v>29</v>
      </c>
      <c r="J90" s="360"/>
      <c r="K90" s="35">
        <f t="shared" si="45"/>
        <v>1470</v>
      </c>
      <c r="L90" s="295">
        <f t="shared" si="39"/>
        <v>1470</v>
      </c>
      <c r="M90" s="295"/>
      <c r="N90" s="295"/>
      <c r="O90" s="424">
        <v>1470</v>
      </c>
      <c r="P90" s="183">
        <f t="shared" si="40"/>
        <v>1445.26</v>
      </c>
      <c r="Q90" s="183"/>
      <c r="R90" s="183"/>
      <c r="S90" s="89">
        <v>1445.26</v>
      </c>
      <c r="T90" s="183">
        <f t="shared" si="46"/>
        <v>1445.26</v>
      </c>
      <c r="U90" s="185">
        <f t="shared" si="21"/>
        <v>0.98317006802721085</v>
      </c>
      <c r="V90" s="366" t="s">
        <v>398</v>
      </c>
      <c r="W90" s="186" t="s">
        <v>216</v>
      </c>
      <c r="X90" s="368">
        <f>+'[27]Uoc TT'!O87-P90</f>
        <v>0</v>
      </c>
    </row>
    <row r="91" spans="1:24" ht="42.75" customHeight="1">
      <c r="A91" s="194" t="s">
        <v>292</v>
      </c>
      <c r="B91" s="423" t="s">
        <v>146</v>
      </c>
      <c r="C91" s="247"/>
      <c r="D91" s="248" t="s">
        <v>196</v>
      </c>
      <c r="E91" s="248" t="s">
        <v>443</v>
      </c>
      <c r="F91" s="210">
        <v>1364.6</v>
      </c>
      <c r="G91" s="357">
        <f t="shared" si="44"/>
        <v>1365</v>
      </c>
      <c r="H91" s="357">
        <f t="shared" si="42"/>
        <v>1294.271</v>
      </c>
      <c r="I91" s="360">
        <v>32</v>
      </c>
      <c r="J91" s="360"/>
      <c r="K91" s="35">
        <f t="shared" si="45"/>
        <v>1365</v>
      </c>
      <c r="L91" s="295">
        <f t="shared" si="39"/>
        <v>1365</v>
      </c>
      <c r="M91" s="295"/>
      <c r="N91" s="295"/>
      <c r="O91" s="413">
        <v>1365</v>
      </c>
      <c r="P91" s="183">
        <f t="shared" si="40"/>
        <v>1294.271</v>
      </c>
      <c r="Q91" s="183"/>
      <c r="R91" s="183"/>
      <c r="S91" s="89">
        <v>1294.271</v>
      </c>
      <c r="T91" s="183">
        <f t="shared" si="46"/>
        <v>1294.271</v>
      </c>
      <c r="U91" s="185">
        <f t="shared" si="21"/>
        <v>0.94818388278388277</v>
      </c>
      <c r="V91" s="366">
        <v>0.95</v>
      </c>
      <c r="W91" s="186"/>
      <c r="X91" s="368">
        <f>+'[27]Uoc TT'!O88-P91</f>
        <v>-4.000003173132427E-8</v>
      </c>
    </row>
    <row r="92" spans="1:24" ht="42.75" customHeight="1">
      <c r="A92" s="194" t="s">
        <v>295</v>
      </c>
      <c r="B92" s="423" t="s">
        <v>102</v>
      </c>
      <c r="C92" s="247"/>
      <c r="D92" s="248" t="s">
        <v>196</v>
      </c>
      <c r="E92" s="248" t="s">
        <v>444</v>
      </c>
      <c r="F92" s="210">
        <v>1000</v>
      </c>
      <c r="G92" s="357">
        <f t="shared" si="44"/>
        <v>1000</v>
      </c>
      <c r="H92" s="357">
        <f t="shared" si="42"/>
        <v>964.76800000000003</v>
      </c>
      <c r="I92" s="360">
        <v>35</v>
      </c>
      <c r="J92" s="360"/>
      <c r="K92" s="35">
        <f t="shared" si="45"/>
        <v>1000</v>
      </c>
      <c r="L92" s="295">
        <f t="shared" si="39"/>
        <v>1000</v>
      </c>
      <c r="M92" s="295"/>
      <c r="N92" s="295"/>
      <c r="O92" s="413">
        <v>1000</v>
      </c>
      <c r="P92" s="183">
        <f t="shared" si="40"/>
        <v>964.76800000000003</v>
      </c>
      <c r="Q92" s="183"/>
      <c r="R92" s="183"/>
      <c r="S92" s="89">
        <v>964.76800000000003</v>
      </c>
      <c r="T92" s="183">
        <f t="shared" si="46"/>
        <v>964.76800000000003</v>
      </c>
      <c r="U92" s="185">
        <f t="shared" si="21"/>
        <v>0.96476800000000007</v>
      </c>
      <c r="V92" s="366" t="s">
        <v>398</v>
      </c>
      <c r="W92" s="146" t="s">
        <v>411</v>
      </c>
      <c r="X92" s="368">
        <f>+'[27]Uoc TT'!O89-P92</f>
        <v>0</v>
      </c>
    </row>
    <row r="93" spans="1:24" ht="42.75" customHeight="1">
      <c r="A93" s="194" t="s">
        <v>262</v>
      </c>
      <c r="B93" s="423" t="s">
        <v>159</v>
      </c>
      <c r="C93" s="247"/>
      <c r="D93" s="248" t="s">
        <v>196</v>
      </c>
      <c r="E93" s="248" t="s">
        <v>263</v>
      </c>
      <c r="F93" s="210">
        <v>5500</v>
      </c>
      <c r="G93" s="357">
        <f t="shared" si="44"/>
        <v>3000</v>
      </c>
      <c r="H93" s="357">
        <f t="shared" si="42"/>
        <v>3000</v>
      </c>
      <c r="I93" s="360"/>
      <c r="J93" s="360">
        <v>2438</v>
      </c>
      <c r="K93" s="35">
        <f t="shared" si="45"/>
        <v>3000</v>
      </c>
      <c r="L93" s="295">
        <f t="shared" si="39"/>
        <v>3000</v>
      </c>
      <c r="M93" s="295"/>
      <c r="N93" s="295"/>
      <c r="O93" s="424">
        <v>3000</v>
      </c>
      <c r="P93" s="183">
        <f t="shared" si="40"/>
        <v>3000</v>
      </c>
      <c r="Q93" s="183"/>
      <c r="R93" s="183"/>
      <c r="S93" s="89">
        <v>3000</v>
      </c>
      <c r="T93" s="183">
        <f t="shared" si="46"/>
        <v>3000</v>
      </c>
      <c r="U93" s="185">
        <f t="shared" si="21"/>
        <v>1</v>
      </c>
      <c r="V93" s="361" t="s">
        <v>445</v>
      </c>
      <c r="W93" s="186"/>
      <c r="X93" s="368">
        <f>+'[27]Uoc TT'!O90-P93</f>
        <v>0</v>
      </c>
    </row>
    <row r="94" spans="1:24" s="181" customFormat="1" ht="42.75" customHeight="1">
      <c r="A94" s="252" t="s">
        <v>446</v>
      </c>
      <c r="B94" s="147" t="s">
        <v>81</v>
      </c>
      <c r="C94" s="253"/>
      <c r="D94" s="254"/>
      <c r="E94" s="191"/>
      <c r="F94" s="255">
        <f>SUM(F95:F112)</f>
        <v>255133</v>
      </c>
      <c r="G94" s="425">
        <f>SUM(G95:G112)</f>
        <v>224846.30000000002</v>
      </c>
      <c r="H94" s="425">
        <f>SUM(H95:H112)</f>
        <v>222362.58400000006</v>
      </c>
      <c r="I94" s="425">
        <f t="shared" ref="I94:T94" si="47">SUM(I95:I112)</f>
        <v>0</v>
      </c>
      <c r="J94" s="425">
        <f t="shared" si="47"/>
        <v>28511.199999999997</v>
      </c>
      <c r="K94" s="255">
        <f t="shared" si="47"/>
        <v>224846.30000000002</v>
      </c>
      <c r="L94" s="215">
        <f t="shared" si="47"/>
        <v>117905</v>
      </c>
      <c r="M94" s="215"/>
      <c r="N94" s="215">
        <f t="shared" si="47"/>
        <v>0</v>
      </c>
      <c r="O94" s="215">
        <f t="shared" si="47"/>
        <v>117905</v>
      </c>
      <c r="P94" s="215">
        <f t="shared" si="47"/>
        <v>117807.49399999998</v>
      </c>
      <c r="Q94" s="215"/>
      <c r="R94" s="215">
        <f t="shared" si="47"/>
        <v>0</v>
      </c>
      <c r="S94" s="215">
        <f t="shared" si="47"/>
        <v>117807.49399999998</v>
      </c>
      <c r="T94" s="215">
        <f t="shared" si="47"/>
        <v>222362.58400000006</v>
      </c>
      <c r="U94" s="176">
        <f t="shared" si="21"/>
        <v>0.99917301217081533</v>
      </c>
      <c r="V94" s="366"/>
      <c r="W94" s="255">
        <f>SUM(W95:W112)</f>
        <v>0</v>
      </c>
      <c r="X94" s="368">
        <f>+'[27]Uoc TT'!O91-P94</f>
        <v>3.6169999999983702</v>
      </c>
    </row>
    <row r="95" spans="1:24" s="441" customFormat="1" ht="42.75" customHeight="1">
      <c r="A95" s="426" t="s">
        <v>89</v>
      </c>
      <c r="B95" s="427" t="s">
        <v>129</v>
      </c>
      <c r="C95" s="428"/>
      <c r="D95" s="429" t="s">
        <v>243</v>
      </c>
      <c r="E95" s="430" t="s">
        <v>345</v>
      </c>
      <c r="F95" s="431">
        <v>6800</v>
      </c>
      <c r="G95" s="432">
        <f t="shared" ref="G95:G112" si="48">+K95</f>
        <v>6153</v>
      </c>
      <c r="H95" s="432">
        <f t="shared" si="42"/>
        <v>6129.1890000000003</v>
      </c>
      <c r="I95" s="433"/>
      <c r="J95" s="433"/>
      <c r="K95" s="434">
        <f>4377+L95</f>
        <v>6153</v>
      </c>
      <c r="L95" s="435">
        <f t="shared" ref="L95:L112" si="49">SUM(N95:O95)</f>
        <v>1776</v>
      </c>
      <c r="M95" s="435"/>
      <c r="N95" s="435"/>
      <c r="O95" s="436">
        <v>1776</v>
      </c>
      <c r="P95" s="435">
        <f t="shared" ref="P95:P104" si="50">SUM(R95:S95)</f>
        <v>1752.1890000000001</v>
      </c>
      <c r="Q95" s="435"/>
      <c r="R95" s="437"/>
      <c r="S95" s="435">
        <v>1752.1890000000001</v>
      </c>
      <c r="T95" s="438">
        <f>4377+P95</f>
        <v>6129.1890000000003</v>
      </c>
      <c r="U95" s="439">
        <f t="shared" si="21"/>
        <v>0.98659290540540545</v>
      </c>
      <c r="V95" s="440" t="s">
        <v>398</v>
      </c>
      <c r="W95" s="438"/>
      <c r="X95" s="368">
        <f>+'[27]Uoc TT'!O92-P95</f>
        <v>0</v>
      </c>
    </row>
    <row r="96" spans="1:24" s="441" customFormat="1" ht="42.75" customHeight="1">
      <c r="A96" s="426" t="s">
        <v>131</v>
      </c>
      <c r="B96" s="427" t="s">
        <v>130</v>
      </c>
      <c r="C96" s="428"/>
      <c r="D96" s="429" t="s">
        <v>243</v>
      </c>
      <c r="E96" s="430" t="s">
        <v>346</v>
      </c>
      <c r="F96" s="431">
        <v>9692</v>
      </c>
      <c r="G96" s="432">
        <f t="shared" si="48"/>
        <v>9291.6</v>
      </c>
      <c r="H96" s="432">
        <f t="shared" si="42"/>
        <v>9269.1820000000007</v>
      </c>
      <c r="I96" s="433"/>
      <c r="J96" s="433"/>
      <c r="K96" s="434">
        <f>6237.6+L96</f>
        <v>9291.6</v>
      </c>
      <c r="L96" s="435">
        <f t="shared" si="49"/>
        <v>3054</v>
      </c>
      <c r="M96" s="435"/>
      <c r="N96" s="435"/>
      <c r="O96" s="436">
        <v>3054</v>
      </c>
      <c r="P96" s="435">
        <f t="shared" si="50"/>
        <v>3031.5819999999999</v>
      </c>
      <c r="Q96" s="435"/>
      <c r="R96" s="437"/>
      <c r="S96" s="435">
        <v>3031.5819999999999</v>
      </c>
      <c r="T96" s="438">
        <f>6237.6+P96</f>
        <v>9269.1820000000007</v>
      </c>
      <c r="U96" s="439">
        <f t="shared" si="21"/>
        <v>0.99265946299934504</v>
      </c>
      <c r="V96" s="440" t="s">
        <v>398</v>
      </c>
      <c r="W96" s="438"/>
      <c r="X96" s="368">
        <f>+'[27]Uoc TT'!O93-P96</f>
        <v>0</v>
      </c>
    </row>
    <row r="97" spans="1:24" s="441" customFormat="1" ht="42.75" customHeight="1">
      <c r="A97" s="442" t="s">
        <v>134</v>
      </c>
      <c r="B97" s="427" t="s">
        <v>132</v>
      </c>
      <c r="C97" s="428"/>
      <c r="D97" s="429" t="s">
        <v>243</v>
      </c>
      <c r="E97" s="430" t="s">
        <v>347</v>
      </c>
      <c r="F97" s="431">
        <v>6000</v>
      </c>
      <c r="G97" s="432">
        <f t="shared" si="48"/>
        <v>5760</v>
      </c>
      <c r="H97" s="432">
        <f t="shared" si="42"/>
        <v>5479.5379999999996</v>
      </c>
      <c r="I97" s="433"/>
      <c r="J97" s="433">
        <v>173</v>
      </c>
      <c r="K97" s="434">
        <f>5400+L97</f>
        <v>5760</v>
      </c>
      <c r="L97" s="435">
        <f t="shared" si="49"/>
        <v>360</v>
      </c>
      <c r="M97" s="435"/>
      <c r="N97" s="435"/>
      <c r="O97" s="435">
        <v>360</v>
      </c>
      <c r="P97" s="435">
        <f t="shared" si="50"/>
        <v>360</v>
      </c>
      <c r="Q97" s="435"/>
      <c r="R97" s="437"/>
      <c r="S97" s="435">
        <v>360</v>
      </c>
      <c r="T97" s="438">
        <f>5119.538+P97</f>
        <v>5479.5379999999996</v>
      </c>
      <c r="U97" s="439">
        <f t="shared" ref="U97:U112" si="51">+P97/L97</f>
        <v>1</v>
      </c>
      <c r="V97" s="440" t="s">
        <v>398</v>
      </c>
      <c r="W97" s="438"/>
      <c r="X97" s="368">
        <f>+'[27]Uoc TT'!O94-P97</f>
        <v>0</v>
      </c>
    </row>
    <row r="98" spans="1:24" s="441" customFormat="1" ht="42.75" customHeight="1">
      <c r="A98" s="442" t="s">
        <v>137</v>
      </c>
      <c r="B98" s="427" t="s">
        <v>133</v>
      </c>
      <c r="C98" s="428"/>
      <c r="D98" s="429" t="s">
        <v>243</v>
      </c>
      <c r="E98" s="430" t="s">
        <v>348</v>
      </c>
      <c r="F98" s="431">
        <v>11200</v>
      </c>
      <c r="G98" s="432">
        <f t="shared" si="48"/>
        <v>10562</v>
      </c>
      <c r="H98" s="432">
        <f t="shared" si="42"/>
        <v>10537.289000000001</v>
      </c>
      <c r="I98" s="433"/>
      <c r="J98" s="433"/>
      <c r="K98" s="434">
        <f>7240+L98</f>
        <v>10562</v>
      </c>
      <c r="L98" s="435">
        <f t="shared" si="49"/>
        <v>3322</v>
      </c>
      <c r="M98" s="435"/>
      <c r="N98" s="435"/>
      <c r="O98" s="436">
        <v>3322</v>
      </c>
      <c r="P98" s="435">
        <f t="shared" si="50"/>
        <v>3297.2890000000002</v>
      </c>
      <c r="Q98" s="435"/>
      <c r="R98" s="437"/>
      <c r="S98" s="435">
        <v>3297.2890000000002</v>
      </c>
      <c r="T98" s="438">
        <f>7240+P98</f>
        <v>10537.289000000001</v>
      </c>
      <c r="U98" s="439">
        <f t="shared" si="51"/>
        <v>0.99256140878988564</v>
      </c>
      <c r="V98" s="440">
        <v>1</v>
      </c>
      <c r="W98" s="438"/>
      <c r="X98" s="368">
        <f>+'[27]Uoc TT'!O95-P98</f>
        <v>0</v>
      </c>
    </row>
    <row r="99" spans="1:24" ht="42.75" customHeight="1">
      <c r="A99" s="256" t="s">
        <v>82</v>
      </c>
      <c r="B99" s="49" t="s">
        <v>349</v>
      </c>
      <c r="C99" s="257"/>
      <c r="D99" s="196" t="s">
        <v>191</v>
      </c>
      <c r="E99" s="193" t="s">
        <v>350</v>
      </c>
      <c r="F99" s="34">
        <v>46000</v>
      </c>
      <c r="G99" s="357">
        <f t="shared" si="48"/>
        <v>39705</v>
      </c>
      <c r="H99" s="357">
        <f t="shared" si="42"/>
        <v>38942.362000000001</v>
      </c>
      <c r="I99" s="360"/>
      <c r="J99" s="360">
        <v>7058</v>
      </c>
      <c r="K99" s="35">
        <f>14200+L99</f>
        <v>39705</v>
      </c>
      <c r="L99" s="295">
        <f t="shared" si="49"/>
        <v>25505</v>
      </c>
      <c r="M99" s="295"/>
      <c r="N99" s="295"/>
      <c r="O99" s="295">
        <v>25505</v>
      </c>
      <c r="P99" s="295">
        <f t="shared" si="50"/>
        <v>25504</v>
      </c>
      <c r="Q99" s="295"/>
      <c r="R99" s="331"/>
      <c r="S99" s="435">
        <v>25504</v>
      </c>
      <c r="T99" s="183">
        <f>13438.362+P99</f>
        <v>38942.362000000001</v>
      </c>
      <c r="U99" s="185">
        <f t="shared" si="51"/>
        <v>0.99996079200156829</v>
      </c>
      <c r="V99" s="366">
        <v>0.7</v>
      </c>
      <c r="W99" s="183"/>
      <c r="X99" s="368">
        <f>+'[27]Uoc TT'!O96-P99</f>
        <v>1</v>
      </c>
    </row>
    <row r="100" spans="1:24" ht="42.75" customHeight="1">
      <c r="A100" s="256" t="s">
        <v>84</v>
      </c>
      <c r="B100" s="49" t="s">
        <v>351</v>
      </c>
      <c r="C100" s="257"/>
      <c r="D100" s="196" t="s">
        <v>243</v>
      </c>
      <c r="E100" s="193" t="s">
        <v>352</v>
      </c>
      <c r="F100" s="34">
        <v>28000</v>
      </c>
      <c r="G100" s="357">
        <f t="shared" si="48"/>
        <v>25402</v>
      </c>
      <c r="H100" s="357">
        <f t="shared" si="42"/>
        <v>25402</v>
      </c>
      <c r="I100" s="360"/>
      <c r="J100" s="360">
        <v>2598</v>
      </c>
      <c r="K100" s="35">
        <f>8100+L100</f>
        <v>25402</v>
      </c>
      <c r="L100" s="295">
        <f t="shared" si="49"/>
        <v>17302</v>
      </c>
      <c r="M100" s="295"/>
      <c r="N100" s="295"/>
      <c r="O100" s="295">
        <v>17302</v>
      </c>
      <c r="P100" s="295">
        <f t="shared" si="50"/>
        <v>17302</v>
      </c>
      <c r="Q100" s="295"/>
      <c r="R100" s="331"/>
      <c r="S100" s="435">
        <v>17302</v>
      </c>
      <c r="T100" s="183">
        <f>8100+P100</f>
        <v>25402</v>
      </c>
      <c r="U100" s="185">
        <f t="shared" si="51"/>
        <v>1</v>
      </c>
      <c r="V100" s="366">
        <v>0.37</v>
      </c>
      <c r="W100" s="183"/>
      <c r="X100" s="368">
        <f>+'[27]Uoc TT'!O97-P100</f>
        <v>0</v>
      </c>
    </row>
    <row r="101" spans="1:24" ht="42.75" customHeight="1">
      <c r="A101" s="256" t="s">
        <v>276</v>
      </c>
      <c r="B101" s="49" t="s">
        <v>353</v>
      </c>
      <c r="C101" s="257"/>
      <c r="D101" s="196" t="s">
        <v>354</v>
      </c>
      <c r="E101" s="193" t="s">
        <v>355</v>
      </c>
      <c r="F101" s="34">
        <v>21500</v>
      </c>
      <c r="G101" s="357">
        <f t="shared" si="48"/>
        <v>19686</v>
      </c>
      <c r="H101" s="357">
        <f t="shared" si="42"/>
        <v>19686</v>
      </c>
      <c r="I101" s="360"/>
      <c r="J101" s="360">
        <v>1814</v>
      </c>
      <c r="K101" s="35">
        <f>6300+L101</f>
        <v>19686</v>
      </c>
      <c r="L101" s="295">
        <f t="shared" si="49"/>
        <v>13386</v>
      </c>
      <c r="M101" s="295"/>
      <c r="N101" s="295"/>
      <c r="O101" s="295">
        <v>13386</v>
      </c>
      <c r="P101" s="295">
        <f t="shared" si="50"/>
        <v>13386</v>
      </c>
      <c r="Q101" s="295"/>
      <c r="R101" s="443"/>
      <c r="S101" s="435">
        <v>13386</v>
      </c>
      <c r="T101" s="183">
        <f>6300+P101</f>
        <v>19686</v>
      </c>
      <c r="U101" s="185">
        <f t="shared" si="51"/>
        <v>1</v>
      </c>
      <c r="V101" s="366">
        <v>0.8</v>
      </c>
      <c r="W101" s="183"/>
      <c r="X101" s="368">
        <f>+'[27]Uoc TT'!O98-P101</f>
        <v>0</v>
      </c>
    </row>
    <row r="102" spans="1:24" s="455" customFormat="1" ht="42.75" customHeight="1">
      <c r="A102" s="444" t="s">
        <v>260</v>
      </c>
      <c r="B102" s="445" t="s">
        <v>83</v>
      </c>
      <c r="C102" s="446"/>
      <c r="D102" s="447" t="s">
        <v>243</v>
      </c>
      <c r="E102" s="448" t="s">
        <v>356</v>
      </c>
      <c r="F102" s="449">
        <v>3000</v>
      </c>
      <c r="G102" s="357">
        <f t="shared" si="48"/>
        <v>3533</v>
      </c>
      <c r="H102" s="357">
        <f t="shared" si="42"/>
        <v>2674.46</v>
      </c>
      <c r="I102" s="360"/>
      <c r="J102" s="360">
        <v>800</v>
      </c>
      <c r="K102" s="450">
        <f>2700+L102</f>
        <v>3533</v>
      </c>
      <c r="L102" s="451">
        <f t="shared" si="49"/>
        <v>833</v>
      </c>
      <c r="M102" s="451"/>
      <c r="N102" s="451"/>
      <c r="O102" s="451">
        <f>33+800</f>
        <v>833</v>
      </c>
      <c r="P102" s="451">
        <f t="shared" si="50"/>
        <v>824.43</v>
      </c>
      <c r="Q102" s="451"/>
      <c r="R102" s="452"/>
      <c r="S102" s="435">
        <v>824.43</v>
      </c>
      <c r="T102" s="453">
        <f>1850.03+P102</f>
        <v>2674.46</v>
      </c>
      <c r="U102" s="454">
        <f t="shared" si="51"/>
        <v>0.98971188475390148</v>
      </c>
      <c r="V102" s="366" t="s">
        <v>398</v>
      </c>
      <c r="W102" s="453"/>
      <c r="X102" s="368">
        <f>+'[27]Uoc TT'!O99-P102</f>
        <v>1.0080000000000382</v>
      </c>
    </row>
    <row r="103" spans="1:24" s="229" customFormat="1" ht="42.75" customHeight="1">
      <c r="A103" s="24" t="s">
        <v>280</v>
      </c>
      <c r="B103" s="25" t="s">
        <v>357</v>
      </c>
      <c r="C103" s="28"/>
      <c r="D103" s="236" t="s">
        <v>243</v>
      </c>
      <c r="E103" s="226" t="s">
        <v>358</v>
      </c>
      <c r="F103" s="237">
        <v>1600</v>
      </c>
      <c r="G103" s="357">
        <f t="shared" si="48"/>
        <v>1514</v>
      </c>
      <c r="H103" s="357">
        <f t="shared" si="42"/>
        <v>1489.8910000000001</v>
      </c>
      <c r="I103" s="360"/>
      <c r="J103" s="360">
        <v>12</v>
      </c>
      <c r="K103" s="120">
        <v>1514</v>
      </c>
      <c r="L103" s="63">
        <f t="shared" si="49"/>
        <v>11</v>
      </c>
      <c r="M103" s="63"/>
      <c r="N103" s="63"/>
      <c r="O103" s="63">
        <v>11</v>
      </c>
      <c r="P103" s="63">
        <f t="shared" si="50"/>
        <v>10.869</v>
      </c>
      <c r="Q103" s="63"/>
      <c r="R103" s="456"/>
      <c r="S103" s="435">
        <v>10.869</v>
      </c>
      <c r="T103" s="89">
        <v>1489.8910000000001</v>
      </c>
      <c r="U103" s="227">
        <f t="shared" si="51"/>
        <v>0.98809090909090902</v>
      </c>
      <c r="V103" s="366" t="s">
        <v>398</v>
      </c>
      <c r="W103" s="89"/>
      <c r="X103" s="368">
        <f>+'[27]Uoc TT'!O100-P103</f>
        <v>0.13100000000000023</v>
      </c>
    </row>
    <row r="104" spans="1:24" s="455" customFormat="1" ht="42.75" customHeight="1">
      <c r="A104" s="457" t="s">
        <v>283</v>
      </c>
      <c r="B104" s="458" t="s">
        <v>85</v>
      </c>
      <c r="C104" s="459"/>
      <c r="D104" s="447" t="s">
        <v>243</v>
      </c>
      <c r="E104" s="448" t="s">
        <v>359</v>
      </c>
      <c r="F104" s="449">
        <v>2300</v>
      </c>
      <c r="G104" s="357">
        <f t="shared" si="48"/>
        <v>2084</v>
      </c>
      <c r="H104" s="357">
        <f t="shared" si="42"/>
        <v>2029.7449999999999</v>
      </c>
      <c r="I104" s="360"/>
      <c r="J104" s="360">
        <v>13</v>
      </c>
      <c r="K104" s="450">
        <v>2084</v>
      </c>
      <c r="L104" s="451">
        <f t="shared" si="49"/>
        <v>0</v>
      </c>
      <c r="M104" s="451"/>
      <c r="N104" s="451"/>
      <c r="O104" s="451">
        <v>0</v>
      </c>
      <c r="P104" s="451">
        <f t="shared" si="50"/>
        <v>0</v>
      </c>
      <c r="Q104" s="451"/>
      <c r="R104" s="452"/>
      <c r="S104" s="435">
        <v>0</v>
      </c>
      <c r="T104" s="453">
        <v>2029.7449999999999</v>
      </c>
      <c r="U104" s="454" t="e">
        <f t="shared" si="51"/>
        <v>#DIV/0!</v>
      </c>
      <c r="V104" s="366" t="s">
        <v>398</v>
      </c>
      <c r="W104" s="453"/>
      <c r="X104" s="368">
        <f>+'[27]Uoc TT'!O101-P104</f>
        <v>0</v>
      </c>
    </row>
    <row r="105" spans="1:24" ht="42.75" customHeight="1">
      <c r="A105" s="256" t="s">
        <v>286</v>
      </c>
      <c r="B105" s="49" t="s">
        <v>360</v>
      </c>
      <c r="C105" s="257"/>
      <c r="D105" s="196" t="s">
        <v>191</v>
      </c>
      <c r="E105" s="193" t="s">
        <v>361</v>
      </c>
      <c r="F105" s="34">
        <v>93900</v>
      </c>
      <c r="G105" s="357">
        <f t="shared" si="48"/>
        <v>77998.8</v>
      </c>
      <c r="H105" s="357">
        <f t="shared" si="42"/>
        <v>77998.8</v>
      </c>
      <c r="I105" s="360"/>
      <c r="J105" s="360">
        <v>15901.199999999997</v>
      </c>
      <c r="K105" s="35">
        <f>30779.8+L105</f>
        <v>77998.8</v>
      </c>
      <c r="L105" s="295">
        <f t="shared" si="49"/>
        <v>47219</v>
      </c>
      <c r="M105" s="295"/>
      <c r="N105" s="295"/>
      <c r="O105" s="295">
        <v>47219</v>
      </c>
      <c r="P105" s="295">
        <f t="shared" ref="P105:P112" si="52">SUM(R105:S105)</f>
        <v>47219</v>
      </c>
      <c r="Q105" s="295"/>
      <c r="R105" s="331"/>
      <c r="S105" s="435">
        <v>47219</v>
      </c>
      <c r="T105" s="183">
        <f>30779.8+P105</f>
        <v>77998.8</v>
      </c>
      <c r="U105" s="185">
        <f t="shared" si="51"/>
        <v>1</v>
      </c>
      <c r="V105" s="366">
        <v>0.6</v>
      </c>
      <c r="W105" s="183"/>
      <c r="X105" s="368">
        <f>+'[27]Uoc TT'!O102-P105</f>
        <v>0</v>
      </c>
    </row>
    <row r="106" spans="1:24" s="229" customFormat="1" ht="42.75" customHeight="1">
      <c r="A106" s="38" t="s">
        <v>289</v>
      </c>
      <c r="B106" s="46" t="s">
        <v>362</v>
      </c>
      <c r="C106" s="460"/>
      <c r="D106" s="236" t="s">
        <v>243</v>
      </c>
      <c r="E106" s="226" t="s">
        <v>363</v>
      </c>
      <c r="F106" s="237">
        <v>7000</v>
      </c>
      <c r="G106" s="357">
        <f t="shared" si="48"/>
        <v>6142</v>
      </c>
      <c r="H106" s="357">
        <f t="shared" si="42"/>
        <v>6141.2110000000002</v>
      </c>
      <c r="I106" s="360"/>
      <c r="J106" s="360"/>
      <c r="K106" s="120">
        <f>4100+L106</f>
        <v>6142</v>
      </c>
      <c r="L106" s="63">
        <f t="shared" si="49"/>
        <v>2042</v>
      </c>
      <c r="M106" s="63"/>
      <c r="N106" s="63"/>
      <c r="O106" s="461">
        <v>2042</v>
      </c>
      <c r="P106" s="63">
        <f t="shared" si="52"/>
        <v>2041.211</v>
      </c>
      <c r="Q106" s="63"/>
      <c r="R106" s="456"/>
      <c r="S106" s="435">
        <v>2041.211</v>
      </c>
      <c r="T106" s="89">
        <f>4100+P106</f>
        <v>6141.2110000000002</v>
      </c>
      <c r="U106" s="227">
        <f t="shared" si="51"/>
        <v>0.99961361410381977</v>
      </c>
      <c r="V106" s="366" t="str">
        <f>V104</f>
        <v xml:space="preserve">Đã bàn giao công trình đưa vào sử dụng </v>
      </c>
      <c r="W106" s="89"/>
      <c r="X106" s="368">
        <f>+'[27]Uoc TT'!O103-P106</f>
        <v>0.20000000000004547</v>
      </c>
    </row>
    <row r="107" spans="1:24" s="441" customFormat="1" ht="54.75" customHeight="1">
      <c r="A107" s="426" t="s">
        <v>292</v>
      </c>
      <c r="B107" s="427" t="s">
        <v>136</v>
      </c>
      <c r="C107" s="428"/>
      <c r="D107" s="429" t="s">
        <v>243</v>
      </c>
      <c r="E107" s="430" t="s">
        <v>364</v>
      </c>
      <c r="F107" s="431">
        <v>6200</v>
      </c>
      <c r="G107" s="432">
        <f t="shared" si="48"/>
        <v>5908</v>
      </c>
      <c r="H107" s="432">
        <f t="shared" si="42"/>
        <v>5893.29</v>
      </c>
      <c r="I107" s="433"/>
      <c r="J107" s="433"/>
      <c r="K107" s="434">
        <f>3600+L107</f>
        <v>5908</v>
      </c>
      <c r="L107" s="435">
        <f t="shared" si="49"/>
        <v>2308</v>
      </c>
      <c r="M107" s="435"/>
      <c r="N107" s="435"/>
      <c r="O107" s="436">
        <v>2308</v>
      </c>
      <c r="P107" s="435">
        <f t="shared" si="52"/>
        <v>2293.29</v>
      </c>
      <c r="Q107" s="435"/>
      <c r="R107" s="437"/>
      <c r="S107" s="435">
        <v>2293.29</v>
      </c>
      <c r="T107" s="438">
        <f>3600+P107</f>
        <v>5893.29</v>
      </c>
      <c r="U107" s="439">
        <f t="shared" si="51"/>
        <v>0.99362651646447142</v>
      </c>
      <c r="V107" s="440" t="str">
        <f>V96</f>
        <v xml:space="preserve">Đã bàn giao công trình đưa vào sử dụng </v>
      </c>
      <c r="W107" s="438"/>
      <c r="X107" s="368">
        <f>+'[27]Uoc TT'!O104-P107</f>
        <v>0</v>
      </c>
    </row>
    <row r="108" spans="1:24" ht="42.75" customHeight="1">
      <c r="A108" s="256" t="s">
        <v>295</v>
      </c>
      <c r="B108" s="49" t="s">
        <v>138</v>
      </c>
      <c r="C108" s="257"/>
      <c r="D108" s="196" t="s">
        <v>243</v>
      </c>
      <c r="E108" s="193" t="s">
        <v>365</v>
      </c>
      <c r="F108" s="34">
        <v>3431</v>
      </c>
      <c r="G108" s="357">
        <f t="shared" si="48"/>
        <v>3420.9</v>
      </c>
      <c r="H108" s="357">
        <f t="shared" si="42"/>
        <v>3099.9079999999999</v>
      </c>
      <c r="I108" s="360"/>
      <c r="J108" s="360">
        <v>65</v>
      </c>
      <c r="K108" s="35">
        <f>3087.9+L108</f>
        <v>3420.9</v>
      </c>
      <c r="L108" s="295">
        <f t="shared" si="49"/>
        <v>333</v>
      </c>
      <c r="M108" s="295"/>
      <c r="N108" s="295"/>
      <c r="O108" s="295">
        <v>333</v>
      </c>
      <c r="P108" s="295">
        <f t="shared" si="52"/>
        <v>333</v>
      </c>
      <c r="Q108" s="295"/>
      <c r="R108" s="331"/>
      <c r="S108" s="435">
        <v>333</v>
      </c>
      <c r="T108" s="183">
        <f>2766.908+P108</f>
        <v>3099.9079999999999</v>
      </c>
      <c r="U108" s="185">
        <f t="shared" si="51"/>
        <v>1</v>
      </c>
      <c r="V108" s="366" t="s">
        <v>447</v>
      </c>
      <c r="W108" s="183"/>
      <c r="X108" s="368">
        <f>+'[27]Uoc TT'!O105-P108</f>
        <v>0</v>
      </c>
    </row>
    <row r="109" spans="1:24" s="229" customFormat="1" ht="42.75" customHeight="1">
      <c r="A109" s="45" t="s">
        <v>262</v>
      </c>
      <c r="B109" s="46" t="s">
        <v>366</v>
      </c>
      <c r="C109" s="460"/>
      <c r="D109" s="236" t="s">
        <v>243</v>
      </c>
      <c r="E109" s="226" t="s">
        <v>367</v>
      </c>
      <c r="F109" s="237">
        <v>5000</v>
      </c>
      <c r="G109" s="357">
        <f t="shared" si="48"/>
        <v>4903</v>
      </c>
      <c r="H109" s="357">
        <f t="shared" si="42"/>
        <v>4902.9120000000003</v>
      </c>
      <c r="I109" s="360"/>
      <c r="J109" s="360"/>
      <c r="K109" s="120">
        <f>4500+L109</f>
        <v>4903</v>
      </c>
      <c r="L109" s="63">
        <f t="shared" si="49"/>
        <v>403</v>
      </c>
      <c r="M109" s="63"/>
      <c r="N109" s="63"/>
      <c r="O109" s="461">
        <v>403</v>
      </c>
      <c r="P109" s="63">
        <f t="shared" si="52"/>
        <v>402.91199999999998</v>
      </c>
      <c r="Q109" s="63"/>
      <c r="R109" s="456"/>
      <c r="S109" s="435">
        <v>402.91199999999998</v>
      </c>
      <c r="T109" s="89">
        <f>4500+P109</f>
        <v>4902.9120000000003</v>
      </c>
      <c r="U109" s="227">
        <f t="shared" si="51"/>
        <v>0.99978163771712159</v>
      </c>
      <c r="V109" s="366" t="s">
        <v>398</v>
      </c>
      <c r="W109" s="89" t="s">
        <v>408</v>
      </c>
      <c r="X109" s="368">
        <f>+'[27]Uoc TT'!O106-P109</f>
        <v>0</v>
      </c>
    </row>
    <row r="110" spans="1:24" s="229" customFormat="1" ht="42.75" customHeight="1">
      <c r="A110" s="45" t="s">
        <v>300</v>
      </c>
      <c r="B110" s="46" t="s">
        <v>368</v>
      </c>
      <c r="C110" s="460"/>
      <c r="D110" s="236" t="s">
        <v>243</v>
      </c>
      <c r="E110" s="226" t="s">
        <v>369</v>
      </c>
      <c r="F110" s="237">
        <v>560</v>
      </c>
      <c r="G110" s="357">
        <f t="shared" si="48"/>
        <v>517</v>
      </c>
      <c r="H110" s="357">
        <f t="shared" si="42"/>
        <v>515.76499999999999</v>
      </c>
      <c r="I110" s="360"/>
      <c r="J110" s="360">
        <v>1</v>
      </c>
      <c r="K110" s="120">
        <v>517</v>
      </c>
      <c r="L110" s="63">
        <f t="shared" si="49"/>
        <v>1</v>
      </c>
      <c r="M110" s="63"/>
      <c r="N110" s="63"/>
      <c r="O110" s="63">
        <v>1</v>
      </c>
      <c r="P110" s="63">
        <f t="shared" si="52"/>
        <v>0.45</v>
      </c>
      <c r="Q110" s="63"/>
      <c r="R110" s="456"/>
      <c r="S110" s="435">
        <v>0.45</v>
      </c>
      <c r="T110" s="89">
        <v>515.76499999999999</v>
      </c>
      <c r="U110" s="227">
        <f t="shared" si="51"/>
        <v>0.45</v>
      </c>
      <c r="V110" s="366" t="str">
        <f>V109</f>
        <v xml:space="preserve">Đã bàn giao công trình đưa vào sử dụng </v>
      </c>
      <c r="W110" s="89"/>
      <c r="X110" s="368">
        <f>+'[27]Uoc TT'!O107-P110</f>
        <v>0.55000000000000004</v>
      </c>
    </row>
    <row r="111" spans="1:24" s="229" customFormat="1" ht="42.75" customHeight="1">
      <c r="A111" s="45" t="s">
        <v>303</v>
      </c>
      <c r="B111" s="46" t="s">
        <v>370</v>
      </c>
      <c r="C111" s="460"/>
      <c r="D111" s="236" t="s">
        <v>243</v>
      </c>
      <c r="E111" s="226" t="s">
        <v>371</v>
      </c>
      <c r="F111" s="237">
        <v>1900</v>
      </c>
      <c r="G111" s="357">
        <f t="shared" si="48"/>
        <v>1388</v>
      </c>
      <c r="H111" s="357">
        <f t="shared" si="42"/>
        <v>1334.3910000000001</v>
      </c>
      <c r="I111" s="360"/>
      <c r="J111" s="360">
        <v>50</v>
      </c>
      <c r="K111" s="120">
        <v>1388</v>
      </c>
      <c r="L111" s="63">
        <f t="shared" si="49"/>
        <v>50</v>
      </c>
      <c r="M111" s="63"/>
      <c r="N111" s="63"/>
      <c r="O111" s="63">
        <v>50</v>
      </c>
      <c r="P111" s="63">
        <f t="shared" si="52"/>
        <v>49.271999999999998</v>
      </c>
      <c r="Q111" s="63"/>
      <c r="R111" s="456"/>
      <c r="S111" s="435">
        <v>49.271999999999998</v>
      </c>
      <c r="T111" s="89">
        <v>1334.3910000000001</v>
      </c>
      <c r="U111" s="227">
        <f t="shared" si="51"/>
        <v>0.98543999999999998</v>
      </c>
      <c r="V111" s="366" t="str">
        <f>V110</f>
        <v xml:space="preserve">Đã bàn giao công trình đưa vào sử dụng </v>
      </c>
      <c r="W111" s="89"/>
      <c r="X111" s="368">
        <f>+'[27]Uoc TT'!O108-P111</f>
        <v>0.72800000000000153</v>
      </c>
    </row>
    <row r="112" spans="1:24" s="455" customFormat="1" ht="42.75" customHeight="1">
      <c r="A112" s="444" t="s">
        <v>306</v>
      </c>
      <c r="B112" s="445" t="s">
        <v>135</v>
      </c>
      <c r="C112" s="446"/>
      <c r="D112" s="447" t="s">
        <v>243</v>
      </c>
      <c r="E112" s="448" t="s">
        <v>372</v>
      </c>
      <c r="F112" s="449">
        <v>1050</v>
      </c>
      <c r="G112" s="357">
        <f t="shared" si="48"/>
        <v>878</v>
      </c>
      <c r="H112" s="357">
        <f t="shared" si="42"/>
        <v>836.65099999999995</v>
      </c>
      <c r="I112" s="360"/>
      <c r="J112" s="360">
        <v>26</v>
      </c>
      <c r="K112" s="450">
        <v>878</v>
      </c>
      <c r="L112" s="451">
        <f t="shared" si="49"/>
        <v>0</v>
      </c>
      <c r="M112" s="451"/>
      <c r="N112" s="451"/>
      <c r="O112" s="451">
        <v>0</v>
      </c>
      <c r="P112" s="451">
        <f t="shared" si="52"/>
        <v>0</v>
      </c>
      <c r="Q112" s="451"/>
      <c r="R112" s="452"/>
      <c r="S112" s="435">
        <v>0</v>
      </c>
      <c r="T112" s="453">
        <v>836.65099999999995</v>
      </c>
      <c r="U112" s="454" t="e">
        <f t="shared" si="51"/>
        <v>#DIV/0!</v>
      </c>
      <c r="V112" s="366" t="str">
        <f>V111</f>
        <v xml:space="preserve">Đã bàn giao công trình đưa vào sử dụng </v>
      </c>
      <c r="W112" s="453"/>
      <c r="X112" s="368">
        <f>+'[27]Uoc TT'!O109-P112</f>
        <v>0</v>
      </c>
    </row>
    <row r="113" spans="1:23" s="181" customFormat="1" ht="28.5" customHeight="1">
      <c r="A113" s="131" t="s">
        <v>44</v>
      </c>
      <c r="B113" s="125" t="s">
        <v>373</v>
      </c>
      <c r="C113" s="258"/>
      <c r="D113" s="258"/>
      <c r="E113" s="179"/>
      <c r="F113" s="22">
        <f>+F114</f>
        <v>215522</v>
      </c>
      <c r="G113" s="356">
        <f>+G114</f>
        <v>84601</v>
      </c>
      <c r="H113" s="357">
        <f>+T113</f>
        <v>22170.677</v>
      </c>
      <c r="I113" s="358">
        <f t="shared" ref="I113:T113" si="53">+I114</f>
        <v>0</v>
      </c>
      <c r="J113" s="358">
        <f t="shared" si="53"/>
        <v>0</v>
      </c>
      <c r="K113" s="22">
        <f t="shared" si="53"/>
        <v>84601</v>
      </c>
      <c r="L113" s="174">
        <f t="shared" si="53"/>
        <v>84601</v>
      </c>
      <c r="M113" s="174">
        <f t="shared" si="53"/>
        <v>0</v>
      </c>
      <c r="N113" s="174">
        <f t="shared" si="53"/>
        <v>0</v>
      </c>
      <c r="O113" s="174">
        <f t="shared" si="53"/>
        <v>84601</v>
      </c>
      <c r="P113" s="174">
        <f t="shared" si="53"/>
        <v>22170.677</v>
      </c>
      <c r="Q113" s="174">
        <f t="shared" si="53"/>
        <v>0</v>
      </c>
      <c r="R113" s="174">
        <f t="shared" si="53"/>
        <v>0</v>
      </c>
      <c r="S113" s="174">
        <f t="shared" si="53"/>
        <v>22170.677</v>
      </c>
      <c r="T113" s="174">
        <f t="shared" si="53"/>
        <v>22170.677</v>
      </c>
      <c r="U113" s="176">
        <f>+P113/L113</f>
        <v>0.26206164229737239</v>
      </c>
      <c r="V113" s="63"/>
      <c r="W113" s="174"/>
    </row>
    <row r="114" spans="1:23" ht="50.25" customHeight="1">
      <c r="A114" s="259">
        <v>1</v>
      </c>
      <c r="B114" s="260" t="s">
        <v>374</v>
      </c>
      <c r="C114" s="261"/>
      <c r="D114" s="262" t="s">
        <v>375</v>
      </c>
      <c r="E114" s="263" t="s">
        <v>376</v>
      </c>
      <c r="F114" s="146">
        <v>215522</v>
      </c>
      <c r="G114" s="357">
        <f t="shared" ref="G114" si="54">+K114</f>
        <v>84601</v>
      </c>
      <c r="H114" s="357">
        <f>+T114</f>
        <v>22170.677</v>
      </c>
      <c r="I114" s="360"/>
      <c r="J114" s="360"/>
      <c r="K114" s="35">
        <f>+L114</f>
        <v>84601</v>
      </c>
      <c r="L114" s="295">
        <f>SUM(N114:O114)</f>
        <v>84601</v>
      </c>
      <c r="M114" s="295"/>
      <c r="N114" s="183"/>
      <c r="O114" s="183">
        <v>84601</v>
      </c>
      <c r="P114" s="295">
        <f>SUM(R114:S114)</f>
        <v>22170.677</v>
      </c>
      <c r="Q114" s="295"/>
      <c r="R114" s="183"/>
      <c r="S114" s="183">
        <v>22170.677</v>
      </c>
      <c r="T114" s="183">
        <f>+P114</f>
        <v>22170.677</v>
      </c>
      <c r="U114" s="176">
        <f>+P114/L114</f>
        <v>0.26206164229737239</v>
      </c>
      <c r="V114" s="462"/>
      <c r="W114" s="183"/>
    </row>
    <row r="115" spans="1:23" ht="30.75" customHeight="1">
      <c r="A115" s="156"/>
      <c r="B115" s="264"/>
      <c r="C115" s="265"/>
      <c r="D115" s="266"/>
      <c r="E115" s="265"/>
      <c r="F115" s="267"/>
      <c r="G115" s="463"/>
      <c r="H115" s="463"/>
      <c r="I115" s="464"/>
      <c r="J115" s="464"/>
      <c r="K115" s="465"/>
      <c r="L115" s="466"/>
      <c r="M115" s="466"/>
      <c r="N115" s="467"/>
      <c r="O115" s="466"/>
      <c r="P115" s="466"/>
      <c r="Q115" s="466"/>
      <c r="R115" s="466"/>
      <c r="S115" s="466"/>
      <c r="T115" s="268"/>
      <c r="U115" s="270"/>
      <c r="V115" s="468"/>
      <c r="W115" s="271"/>
    </row>
    <row r="116" spans="1:23" ht="30.75" customHeight="1">
      <c r="A116" s="156"/>
      <c r="B116" s="264"/>
      <c r="C116" s="265"/>
      <c r="D116" s="266"/>
      <c r="E116" s="265"/>
      <c r="F116" s="267"/>
      <c r="G116" s="463"/>
      <c r="H116" s="463"/>
      <c r="I116" s="464"/>
      <c r="J116" s="464"/>
      <c r="K116" s="465"/>
      <c r="L116" s="466"/>
      <c r="M116" s="466"/>
      <c r="N116" s="467"/>
      <c r="O116" s="466"/>
      <c r="P116" s="466"/>
      <c r="Q116" s="469"/>
      <c r="R116" s="466"/>
      <c r="S116" s="466"/>
      <c r="T116" s="268"/>
      <c r="U116" s="270"/>
      <c r="V116" s="468"/>
      <c r="W116" s="271"/>
    </row>
  </sheetData>
  <mergeCells count="27">
    <mergeCell ref="U4:U7"/>
    <mergeCell ref="V4:V7"/>
    <mergeCell ref="W4:W7"/>
    <mergeCell ref="L5:L7"/>
    <mergeCell ref="M5:M7"/>
    <mergeCell ref="N5:N7"/>
    <mergeCell ref="O5:O7"/>
    <mergeCell ref="P5:P7"/>
    <mergeCell ref="Q5:Q7"/>
    <mergeCell ref="R5:R7"/>
    <mergeCell ref="T4:T7"/>
    <mergeCell ref="A2:W2"/>
    <mergeCell ref="P3:W3"/>
    <mergeCell ref="A4:A7"/>
    <mergeCell ref="B4:B7"/>
    <mergeCell ref="C4:C7"/>
    <mergeCell ref="D4:D7"/>
    <mergeCell ref="E4:E7"/>
    <mergeCell ref="F4:F7"/>
    <mergeCell ref="G4:G7"/>
    <mergeCell ref="H4:H7"/>
    <mergeCell ref="I4:I7"/>
    <mergeCell ref="J4:J7"/>
    <mergeCell ref="K4:K7"/>
    <mergeCell ref="L4:O4"/>
    <mergeCell ref="P4:S4"/>
    <mergeCell ref="S5:S7"/>
  </mergeCells>
  <conditionalFormatting sqref="B22:C22">
    <cfRule type="expression" dxfId="5" priority="1">
      <formula>$L22="Đã hoàn thành"</formula>
    </cfRule>
    <cfRule type="expression" dxfId="4" priority="2">
      <formula>$L22="Đang thực hiện"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45" workbookViewId="0">
      <selection activeCell="B109" sqref="B109"/>
    </sheetView>
  </sheetViews>
  <sheetFormatPr defaultRowHeight="13.8"/>
  <cols>
    <col min="1" max="1" width="4.109375" style="1" customWidth="1"/>
    <col min="2" max="2" width="56" style="2" customWidth="1"/>
    <col min="3" max="3" width="7" style="2" customWidth="1"/>
    <col min="4" max="4" width="11.109375" style="2" bestFit="1" customWidth="1"/>
    <col min="5" max="5" width="10.109375" style="2" customWidth="1"/>
    <col min="6" max="6" width="10.6640625" style="2" customWidth="1"/>
    <col min="7" max="7" width="9.88671875" style="1" hidden="1" customWidth="1"/>
    <col min="8" max="8" width="15.77734375" style="1" hidden="1" customWidth="1"/>
    <col min="9" max="12" width="0" style="2" hidden="1" customWidth="1"/>
    <col min="13" max="13" width="9.109375" style="2"/>
    <col min="14" max="14" width="37.88671875" style="2" customWidth="1"/>
    <col min="15" max="15" width="13.77734375" style="2" customWidth="1"/>
    <col min="16" max="255" width="9.109375" style="2"/>
    <col min="256" max="256" width="4.109375" style="2" customWidth="1"/>
    <col min="257" max="257" width="58.88671875" style="2" customWidth="1"/>
    <col min="258" max="258" width="7.88671875" style="2" customWidth="1"/>
    <col min="259" max="259" width="9.21875" style="2" customWidth="1"/>
    <col min="260" max="260" width="11" style="2" customWidth="1"/>
    <col min="261" max="261" width="9.88671875" style="2" customWidth="1"/>
    <col min="262" max="262" width="9.109375" style="2"/>
    <col min="263" max="263" width="13.33203125" style="2" bestFit="1" customWidth="1"/>
    <col min="264" max="511" width="9.109375" style="2"/>
    <col min="512" max="512" width="4.109375" style="2" customWidth="1"/>
    <col min="513" max="513" width="58.88671875" style="2" customWidth="1"/>
    <col min="514" max="514" width="7.88671875" style="2" customWidth="1"/>
    <col min="515" max="515" width="9.21875" style="2" customWidth="1"/>
    <col min="516" max="516" width="11" style="2" customWidth="1"/>
    <col min="517" max="517" width="9.88671875" style="2" customWidth="1"/>
    <col min="518" max="518" width="9.109375" style="2"/>
    <col min="519" max="519" width="13.33203125" style="2" bestFit="1" customWidth="1"/>
    <col min="520" max="767" width="9.109375" style="2"/>
    <col min="768" max="768" width="4.109375" style="2" customWidth="1"/>
    <col min="769" max="769" width="58.88671875" style="2" customWidth="1"/>
    <col min="770" max="770" width="7.88671875" style="2" customWidth="1"/>
    <col min="771" max="771" width="9.21875" style="2" customWidth="1"/>
    <col min="772" max="772" width="11" style="2" customWidth="1"/>
    <col min="773" max="773" width="9.88671875" style="2" customWidth="1"/>
    <col min="774" max="774" width="9.109375" style="2"/>
    <col min="775" max="775" width="13.33203125" style="2" bestFit="1" customWidth="1"/>
    <col min="776" max="1023" width="9.109375" style="2"/>
    <col min="1024" max="1024" width="4.109375" style="2" customWidth="1"/>
    <col min="1025" max="1025" width="58.88671875" style="2" customWidth="1"/>
    <col min="1026" max="1026" width="7.88671875" style="2" customWidth="1"/>
    <col min="1027" max="1027" width="9.21875" style="2" customWidth="1"/>
    <col min="1028" max="1028" width="11" style="2" customWidth="1"/>
    <col min="1029" max="1029" width="9.88671875" style="2" customWidth="1"/>
    <col min="1030" max="1030" width="9.109375" style="2"/>
    <col min="1031" max="1031" width="13.33203125" style="2" bestFit="1" customWidth="1"/>
    <col min="1032" max="1279" width="9.109375" style="2"/>
    <col min="1280" max="1280" width="4.109375" style="2" customWidth="1"/>
    <col min="1281" max="1281" width="58.88671875" style="2" customWidth="1"/>
    <col min="1282" max="1282" width="7.88671875" style="2" customWidth="1"/>
    <col min="1283" max="1283" width="9.21875" style="2" customWidth="1"/>
    <col min="1284" max="1284" width="11" style="2" customWidth="1"/>
    <col min="1285" max="1285" width="9.88671875" style="2" customWidth="1"/>
    <col min="1286" max="1286" width="9.109375" style="2"/>
    <col min="1287" max="1287" width="13.33203125" style="2" bestFit="1" customWidth="1"/>
    <col min="1288" max="1535" width="9.109375" style="2"/>
    <col min="1536" max="1536" width="4.109375" style="2" customWidth="1"/>
    <col min="1537" max="1537" width="58.88671875" style="2" customWidth="1"/>
    <col min="1538" max="1538" width="7.88671875" style="2" customWidth="1"/>
    <col min="1539" max="1539" width="9.21875" style="2" customWidth="1"/>
    <col min="1540" max="1540" width="11" style="2" customWidth="1"/>
    <col min="1541" max="1541" width="9.88671875" style="2" customWidth="1"/>
    <col min="1542" max="1542" width="9.109375" style="2"/>
    <col min="1543" max="1543" width="13.33203125" style="2" bestFit="1" customWidth="1"/>
    <col min="1544" max="1791" width="9.109375" style="2"/>
    <col min="1792" max="1792" width="4.109375" style="2" customWidth="1"/>
    <col min="1793" max="1793" width="58.88671875" style="2" customWidth="1"/>
    <col min="1794" max="1794" width="7.88671875" style="2" customWidth="1"/>
    <col min="1795" max="1795" width="9.21875" style="2" customWidth="1"/>
    <col min="1796" max="1796" width="11" style="2" customWidth="1"/>
    <col min="1797" max="1797" width="9.88671875" style="2" customWidth="1"/>
    <col min="1798" max="1798" width="9.109375" style="2"/>
    <col min="1799" max="1799" width="13.33203125" style="2" bestFit="1" customWidth="1"/>
    <col min="1800" max="2047" width="9.109375" style="2"/>
    <col min="2048" max="2048" width="4.109375" style="2" customWidth="1"/>
    <col min="2049" max="2049" width="58.88671875" style="2" customWidth="1"/>
    <col min="2050" max="2050" width="7.88671875" style="2" customWidth="1"/>
    <col min="2051" max="2051" width="9.21875" style="2" customWidth="1"/>
    <col min="2052" max="2052" width="11" style="2" customWidth="1"/>
    <col min="2053" max="2053" width="9.88671875" style="2" customWidth="1"/>
    <col min="2054" max="2054" width="9.109375" style="2"/>
    <col min="2055" max="2055" width="13.33203125" style="2" bestFit="1" customWidth="1"/>
    <col min="2056" max="2303" width="9.109375" style="2"/>
    <col min="2304" max="2304" width="4.109375" style="2" customWidth="1"/>
    <col min="2305" max="2305" width="58.88671875" style="2" customWidth="1"/>
    <col min="2306" max="2306" width="7.88671875" style="2" customWidth="1"/>
    <col min="2307" max="2307" width="9.21875" style="2" customWidth="1"/>
    <col min="2308" max="2308" width="11" style="2" customWidth="1"/>
    <col min="2309" max="2309" width="9.88671875" style="2" customWidth="1"/>
    <col min="2310" max="2310" width="9.109375" style="2"/>
    <col min="2311" max="2311" width="13.33203125" style="2" bestFit="1" customWidth="1"/>
    <col min="2312" max="2559" width="9.109375" style="2"/>
    <col min="2560" max="2560" width="4.109375" style="2" customWidth="1"/>
    <col min="2561" max="2561" width="58.88671875" style="2" customWidth="1"/>
    <col min="2562" max="2562" width="7.88671875" style="2" customWidth="1"/>
    <col min="2563" max="2563" width="9.21875" style="2" customWidth="1"/>
    <col min="2564" max="2564" width="11" style="2" customWidth="1"/>
    <col min="2565" max="2565" width="9.88671875" style="2" customWidth="1"/>
    <col min="2566" max="2566" width="9.109375" style="2"/>
    <col min="2567" max="2567" width="13.33203125" style="2" bestFit="1" customWidth="1"/>
    <col min="2568" max="2815" width="9.109375" style="2"/>
    <col min="2816" max="2816" width="4.109375" style="2" customWidth="1"/>
    <col min="2817" max="2817" width="58.88671875" style="2" customWidth="1"/>
    <col min="2818" max="2818" width="7.88671875" style="2" customWidth="1"/>
    <col min="2819" max="2819" width="9.21875" style="2" customWidth="1"/>
    <col min="2820" max="2820" width="11" style="2" customWidth="1"/>
    <col min="2821" max="2821" width="9.88671875" style="2" customWidth="1"/>
    <col min="2822" max="2822" width="9.109375" style="2"/>
    <col min="2823" max="2823" width="13.33203125" style="2" bestFit="1" customWidth="1"/>
    <col min="2824" max="3071" width="9.109375" style="2"/>
    <col min="3072" max="3072" width="4.109375" style="2" customWidth="1"/>
    <col min="3073" max="3073" width="58.88671875" style="2" customWidth="1"/>
    <col min="3074" max="3074" width="7.88671875" style="2" customWidth="1"/>
    <col min="3075" max="3075" width="9.21875" style="2" customWidth="1"/>
    <col min="3076" max="3076" width="11" style="2" customWidth="1"/>
    <col min="3077" max="3077" width="9.88671875" style="2" customWidth="1"/>
    <col min="3078" max="3078" width="9.109375" style="2"/>
    <col min="3079" max="3079" width="13.33203125" style="2" bestFit="1" customWidth="1"/>
    <col min="3080" max="3327" width="9.109375" style="2"/>
    <col min="3328" max="3328" width="4.109375" style="2" customWidth="1"/>
    <col min="3329" max="3329" width="58.88671875" style="2" customWidth="1"/>
    <col min="3330" max="3330" width="7.88671875" style="2" customWidth="1"/>
    <col min="3331" max="3331" width="9.21875" style="2" customWidth="1"/>
    <col min="3332" max="3332" width="11" style="2" customWidth="1"/>
    <col min="3333" max="3333" width="9.88671875" style="2" customWidth="1"/>
    <col min="3334" max="3334" width="9.109375" style="2"/>
    <col min="3335" max="3335" width="13.33203125" style="2" bestFit="1" customWidth="1"/>
    <col min="3336" max="3583" width="9.109375" style="2"/>
    <col min="3584" max="3584" width="4.109375" style="2" customWidth="1"/>
    <col min="3585" max="3585" width="58.88671875" style="2" customWidth="1"/>
    <col min="3586" max="3586" width="7.88671875" style="2" customWidth="1"/>
    <col min="3587" max="3587" width="9.21875" style="2" customWidth="1"/>
    <col min="3588" max="3588" width="11" style="2" customWidth="1"/>
    <col min="3589" max="3589" width="9.88671875" style="2" customWidth="1"/>
    <col min="3590" max="3590" width="9.109375" style="2"/>
    <col min="3591" max="3591" width="13.33203125" style="2" bestFit="1" customWidth="1"/>
    <col min="3592" max="3839" width="9.109375" style="2"/>
    <col min="3840" max="3840" width="4.109375" style="2" customWidth="1"/>
    <col min="3841" max="3841" width="58.88671875" style="2" customWidth="1"/>
    <col min="3842" max="3842" width="7.88671875" style="2" customWidth="1"/>
    <col min="3843" max="3843" width="9.21875" style="2" customWidth="1"/>
    <col min="3844" max="3844" width="11" style="2" customWidth="1"/>
    <col min="3845" max="3845" width="9.88671875" style="2" customWidth="1"/>
    <col min="3846" max="3846" width="9.109375" style="2"/>
    <col min="3847" max="3847" width="13.33203125" style="2" bestFit="1" customWidth="1"/>
    <col min="3848" max="4095" width="9.109375" style="2"/>
    <col min="4096" max="4096" width="4.109375" style="2" customWidth="1"/>
    <col min="4097" max="4097" width="58.88671875" style="2" customWidth="1"/>
    <col min="4098" max="4098" width="7.88671875" style="2" customWidth="1"/>
    <col min="4099" max="4099" width="9.21875" style="2" customWidth="1"/>
    <col min="4100" max="4100" width="11" style="2" customWidth="1"/>
    <col min="4101" max="4101" width="9.88671875" style="2" customWidth="1"/>
    <col min="4102" max="4102" width="9.109375" style="2"/>
    <col min="4103" max="4103" width="13.33203125" style="2" bestFit="1" customWidth="1"/>
    <col min="4104" max="4351" width="9.109375" style="2"/>
    <col min="4352" max="4352" width="4.109375" style="2" customWidth="1"/>
    <col min="4353" max="4353" width="58.88671875" style="2" customWidth="1"/>
    <col min="4354" max="4354" width="7.88671875" style="2" customWidth="1"/>
    <col min="4355" max="4355" width="9.21875" style="2" customWidth="1"/>
    <col min="4356" max="4356" width="11" style="2" customWidth="1"/>
    <col min="4357" max="4357" width="9.88671875" style="2" customWidth="1"/>
    <col min="4358" max="4358" width="9.109375" style="2"/>
    <col min="4359" max="4359" width="13.33203125" style="2" bestFit="1" customWidth="1"/>
    <col min="4360" max="4607" width="9.109375" style="2"/>
    <col min="4608" max="4608" width="4.109375" style="2" customWidth="1"/>
    <col min="4609" max="4609" width="58.88671875" style="2" customWidth="1"/>
    <col min="4610" max="4610" width="7.88671875" style="2" customWidth="1"/>
    <col min="4611" max="4611" width="9.21875" style="2" customWidth="1"/>
    <col min="4612" max="4612" width="11" style="2" customWidth="1"/>
    <col min="4613" max="4613" width="9.88671875" style="2" customWidth="1"/>
    <col min="4614" max="4614" width="9.109375" style="2"/>
    <col min="4615" max="4615" width="13.33203125" style="2" bestFit="1" customWidth="1"/>
    <col min="4616" max="4863" width="9.109375" style="2"/>
    <col min="4864" max="4864" width="4.109375" style="2" customWidth="1"/>
    <col min="4865" max="4865" width="58.88671875" style="2" customWidth="1"/>
    <col min="4866" max="4866" width="7.88671875" style="2" customWidth="1"/>
    <col min="4867" max="4867" width="9.21875" style="2" customWidth="1"/>
    <col min="4868" max="4868" width="11" style="2" customWidth="1"/>
    <col min="4869" max="4869" width="9.88671875" style="2" customWidth="1"/>
    <col min="4870" max="4870" width="9.109375" style="2"/>
    <col min="4871" max="4871" width="13.33203125" style="2" bestFit="1" customWidth="1"/>
    <col min="4872" max="5119" width="9.109375" style="2"/>
    <col min="5120" max="5120" width="4.109375" style="2" customWidth="1"/>
    <col min="5121" max="5121" width="58.88671875" style="2" customWidth="1"/>
    <col min="5122" max="5122" width="7.88671875" style="2" customWidth="1"/>
    <col min="5123" max="5123" width="9.21875" style="2" customWidth="1"/>
    <col min="5124" max="5124" width="11" style="2" customWidth="1"/>
    <col min="5125" max="5125" width="9.88671875" style="2" customWidth="1"/>
    <col min="5126" max="5126" width="9.109375" style="2"/>
    <col min="5127" max="5127" width="13.33203125" style="2" bestFit="1" customWidth="1"/>
    <col min="5128" max="5375" width="9.109375" style="2"/>
    <col min="5376" max="5376" width="4.109375" style="2" customWidth="1"/>
    <col min="5377" max="5377" width="58.88671875" style="2" customWidth="1"/>
    <col min="5378" max="5378" width="7.88671875" style="2" customWidth="1"/>
    <col min="5379" max="5379" width="9.21875" style="2" customWidth="1"/>
    <col min="5380" max="5380" width="11" style="2" customWidth="1"/>
    <col min="5381" max="5381" width="9.88671875" style="2" customWidth="1"/>
    <col min="5382" max="5382" width="9.109375" style="2"/>
    <col min="5383" max="5383" width="13.33203125" style="2" bestFit="1" customWidth="1"/>
    <col min="5384" max="5631" width="9.109375" style="2"/>
    <col min="5632" max="5632" width="4.109375" style="2" customWidth="1"/>
    <col min="5633" max="5633" width="58.88671875" style="2" customWidth="1"/>
    <col min="5634" max="5634" width="7.88671875" style="2" customWidth="1"/>
    <col min="5635" max="5635" width="9.21875" style="2" customWidth="1"/>
    <col min="5636" max="5636" width="11" style="2" customWidth="1"/>
    <col min="5637" max="5637" width="9.88671875" style="2" customWidth="1"/>
    <col min="5638" max="5638" width="9.109375" style="2"/>
    <col min="5639" max="5639" width="13.33203125" style="2" bestFit="1" customWidth="1"/>
    <col min="5640" max="5887" width="9.109375" style="2"/>
    <col min="5888" max="5888" width="4.109375" style="2" customWidth="1"/>
    <col min="5889" max="5889" width="58.88671875" style="2" customWidth="1"/>
    <col min="5890" max="5890" width="7.88671875" style="2" customWidth="1"/>
    <col min="5891" max="5891" width="9.21875" style="2" customWidth="1"/>
    <col min="5892" max="5892" width="11" style="2" customWidth="1"/>
    <col min="5893" max="5893" width="9.88671875" style="2" customWidth="1"/>
    <col min="5894" max="5894" width="9.109375" style="2"/>
    <col min="5895" max="5895" width="13.33203125" style="2" bestFit="1" customWidth="1"/>
    <col min="5896" max="6143" width="9.109375" style="2"/>
    <col min="6144" max="6144" width="4.109375" style="2" customWidth="1"/>
    <col min="6145" max="6145" width="58.88671875" style="2" customWidth="1"/>
    <col min="6146" max="6146" width="7.88671875" style="2" customWidth="1"/>
    <col min="6147" max="6147" width="9.21875" style="2" customWidth="1"/>
    <col min="6148" max="6148" width="11" style="2" customWidth="1"/>
    <col min="6149" max="6149" width="9.88671875" style="2" customWidth="1"/>
    <col min="6150" max="6150" width="9.109375" style="2"/>
    <col min="6151" max="6151" width="13.33203125" style="2" bestFit="1" customWidth="1"/>
    <col min="6152" max="6399" width="9.109375" style="2"/>
    <col min="6400" max="6400" width="4.109375" style="2" customWidth="1"/>
    <col min="6401" max="6401" width="58.88671875" style="2" customWidth="1"/>
    <col min="6402" max="6402" width="7.88671875" style="2" customWidth="1"/>
    <col min="6403" max="6403" width="9.21875" style="2" customWidth="1"/>
    <col min="6404" max="6404" width="11" style="2" customWidth="1"/>
    <col min="6405" max="6405" width="9.88671875" style="2" customWidth="1"/>
    <col min="6406" max="6406" width="9.109375" style="2"/>
    <col min="6407" max="6407" width="13.33203125" style="2" bestFit="1" customWidth="1"/>
    <col min="6408" max="6655" width="9.109375" style="2"/>
    <col min="6656" max="6656" width="4.109375" style="2" customWidth="1"/>
    <col min="6657" max="6657" width="58.88671875" style="2" customWidth="1"/>
    <col min="6658" max="6658" width="7.88671875" style="2" customWidth="1"/>
    <col min="6659" max="6659" width="9.21875" style="2" customWidth="1"/>
    <col min="6660" max="6660" width="11" style="2" customWidth="1"/>
    <col min="6661" max="6661" width="9.88671875" style="2" customWidth="1"/>
    <col min="6662" max="6662" width="9.109375" style="2"/>
    <col min="6663" max="6663" width="13.33203125" style="2" bestFit="1" customWidth="1"/>
    <col min="6664" max="6911" width="9.109375" style="2"/>
    <col min="6912" max="6912" width="4.109375" style="2" customWidth="1"/>
    <col min="6913" max="6913" width="58.88671875" style="2" customWidth="1"/>
    <col min="6914" max="6914" width="7.88671875" style="2" customWidth="1"/>
    <col min="6915" max="6915" width="9.21875" style="2" customWidth="1"/>
    <col min="6916" max="6916" width="11" style="2" customWidth="1"/>
    <col min="6917" max="6917" width="9.88671875" style="2" customWidth="1"/>
    <col min="6918" max="6918" width="9.109375" style="2"/>
    <col min="6919" max="6919" width="13.33203125" style="2" bestFit="1" customWidth="1"/>
    <col min="6920" max="7167" width="9.109375" style="2"/>
    <col min="7168" max="7168" width="4.109375" style="2" customWidth="1"/>
    <col min="7169" max="7169" width="58.88671875" style="2" customWidth="1"/>
    <col min="7170" max="7170" width="7.88671875" style="2" customWidth="1"/>
    <col min="7171" max="7171" width="9.21875" style="2" customWidth="1"/>
    <col min="7172" max="7172" width="11" style="2" customWidth="1"/>
    <col min="7173" max="7173" width="9.88671875" style="2" customWidth="1"/>
    <col min="7174" max="7174" width="9.109375" style="2"/>
    <col min="7175" max="7175" width="13.33203125" style="2" bestFit="1" customWidth="1"/>
    <col min="7176" max="7423" width="9.109375" style="2"/>
    <col min="7424" max="7424" width="4.109375" style="2" customWidth="1"/>
    <col min="7425" max="7425" width="58.88671875" style="2" customWidth="1"/>
    <col min="7426" max="7426" width="7.88671875" style="2" customWidth="1"/>
    <col min="7427" max="7427" width="9.21875" style="2" customWidth="1"/>
    <col min="7428" max="7428" width="11" style="2" customWidth="1"/>
    <col min="7429" max="7429" width="9.88671875" style="2" customWidth="1"/>
    <col min="7430" max="7430" width="9.109375" style="2"/>
    <col min="7431" max="7431" width="13.33203125" style="2" bestFit="1" customWidth="1"/>
    <col min="7432" max="7679" width="9.109375" style="2"/>
    <col min="7680" max="7680" width="4.109375" style="2" customWidth="1"/>
    <col min="7681" max="7681" width="58.88671875" style="2" customWidth="1"/>
    <col min="7682" max="7682" width="7.88671875" style="2" customWidth="1"/>
    <col min="7683" max="7683" width="9.21875" style="2" customWidth="1"/>
    <col min="7684" max="7684" width="11" style="2" customWidth="1"/>
    <col min="7685" max="7685" width="9.88671875" style="2" customWidth="1"/>
    <col min="7686" max="7686" width="9.109375" style="2"/>
    <col min="7687" max="7687" width="13.33203125" style="2" bestFit="1" customWidth="1"/>
    <col min="7688" max="7935" width="9.109375" style="2"/>
    <col min="7936" max="7936" width="4.109375" style="2" customWidth="1"/>
    <col min="7937" max="7937" width="58.88671875" style="2" customWidth="1"/>
    <col min="7938" max="7938" width="7.88671875" style="2" customWidth="1"/>
    <col min="7939" max="7939" width="9.21875" style="2" customWidth="1"/>
    <col min="7940" max="7940" width="11" style="2" customWidth="1"/>
    <col min="7941" max="7941" width="9.88671875" style="2" customWidth="1"/>
    <col min="7942" max="7942" width="9.109375" style="2"/>
    <col min="7943" max="7943" width="13.33203125" style="2" bestFit="1" customWidth="1"/>
    <col min="7944" max="8191" width="9.109375" style="2"/>
    <col min="8192" max="8192" width="4.109375" style="2" customWidth="1"/>
    <col min="8193" max="8193" width="58.88671875" style="2" customWidth="1"/>
    <col min="8194" max="8194" width="7.88671875" style="2" customWidth="1"/>
    <col min="8195" max="8195" width="9.21875" style="2" customWidth="1"/>
    <col min="8196" max="8196" width="11" style="2" customWidth="1"/>
    <col min="8197" max="8197" width="9.88671875" style="2" customWidth="1"/>
    <col min="8198" max="8198" width="9.109375" style="2"/>
    <col min="8199" max="8199" width="13.33203125" style="2" bestFit="1" customWidth="1"/>
    <col min="8200" max="8447" width="9.109375" style="2"/>
    <col min="8448" max="8448" width="4.109375" style="2" customWidth="1"/>
    <col min="8449" max="8449" width="58.88671875" style="2" customWidth="1"/>
    <col min="8450" max="8450" width="7.88671875" style="2" customWidth="1"/>
    <col min="8451" max="8451" width="9.21875" style="2" customWidth="1"/>
    <col min="8452" max="8452" width="11" style="2" customWidth="1"/>
    <col min="8453" max="8453" width="9.88671875" style="2" customWidth="1"/>
    <col min="8454" max="8454" width="9.109375" style="2"/>
    <col min="8455" max="8455" width="13.33203125" style="2" bestFit="1" customWidth="1"/>
    <col min="8456" max="8703" width="9.109375" style="2"/>
    <col min="8704" max="8704" width="4.109375" style="2" customWidth="1"/>
    <col min="8705" max="8705" width="58.88671875" style="2" customWidth="1"/>
    <col min="8706" max="8706" width="7.88671875" style="2" customWidth="1"/>
    <col min="8707" max="8707" width="9.21875" style="2" customWidth="1"/>
    <col min="8708" max="8708" width="11" style="2" customWidth="1"/>
    <col min="8709" max="8709" width="9.88671875" style="2" customWidth="1"/>
    <col min="8710" max="8710" width="9.109375" style="2"/>
    <col min="8711" max="8711" width="13.33203125" style="2" bestFit="1" customWidth="1"/>
    <col min="8712" max="8959" width="9.109375" style="2"/>
    <col min="8960" max="8960" width="4.109375" style="2" customWidth="1"/>
    <col min="8961" max="8961" width="58.88671875" style="2" customWidth="1"/>
    <col min="8962" max="8962" width="7.88671875" style="2" customWidth="1"/>
    <col min="8963" max="8963" width="9.21875" style="2" customWidth="1"/>
    <col min="8964" max="8964" width="11" style="2" customWidth="1"/>
    <col min="8965" max="8965" width="9.88671875" style="2" customWidth="1"/>
    <col min="8966" max="8966" width="9.109375" style="2"/>
    <col min="8967" max="8967" width="13.33203125" style="2" bestFit="1" customWidth="1"/>
    <col min="8968" max="9215" width="9.109375" style="2"/>
    <col min="9216" max="9216" width="4.109375" style="2" customWidth="1"/>
    <col min="9217" max="9217" width="58.88671875" style="2" customWidth="1"/>
    <col min="9218" max="9218" width="7.88671875" style="2" customWidth="1"/>
    <col min="9219" max="9219" width="9.21875" style="2" customWidth="1"/>
    <col min="9220" max="9220" width="11" style="2" customWidth="1"/>
    <col min="9221" max="9221" width="9.88671875" style="2" customWidth="1"/>
    <col min="9222" max="9222" width="9.109375" style="2"/>
    <col min="9223" max="9223" width="13.33203125" style="2" bestFit="1" customWidth="1"/>
    <col min="9224" max="9471" width="9.109375" style="2"/>
    <col min="9472" max="9472" width="4.109375" style="2" customWidth="1"/>
    <col min="9473" max="9473" width="58.88671875" style="2" customWidth="1"/>
    <col min="9474" max="9474" width="7.88671875" style="2" customWidth="1"/>
    <col min="9475" max="9475" width="9.21875" style="2" customWidth="1"/>
    <col min="9476" max="9476" width="11" style="2" customWidth="1"/>
    <col min="9477" max="9477" width="9.88671875" style="2" customWidth="1"/>
    <col min="9478" max="9478" width="9.109375" style="2"/>
    <col min="9479" max="9479" width="13.33203125" style="2" bestFit="1" customWidth="1"/>
    <col min="9480" max="9727" width="9.109375" style="2"/>
    <col min="9728" max="9728" width="4.109375" style="2" customWidth="1"/>
    <col min="9729" max="9729" width="58.88671875" style="2" customWidth="1"/>
    <col min="9730" max="9730" width="7.88671875" style="2" customWidth="1"/>
    <col min="9731" max="9731" width="9.21875" style="2" customWidth="1"/>
    <col min="9732" max="9732" width="11" style="2" customWidth="1"/>
    <col min="9733" max="9733" width="9.88671875" style="2" customWidth="1"/>
    <col min="9734" max="9734" width="9.109375" style="2"/>
    <col min="9735" max="9735" width="13.33203125" style="2" bestFit="1" customWidth="1"/>
    <col min="9736" max="9983" width="9.109375" style="2"/>
    <col min="9984" max="9984" width="4.109375" style="2" customWidth="1"/>
    <col min="9985" max="9985" width="58.88671875" style="2" customWidth="1"/>
    <col min="9986" max="9986" width="7.88671875" style="2" customWidth="1"/>
    <col min="9987" max="9987" width="9.21875" style="2" customWidth="1"/>
    <col min="9988" max="9988" width="11" style="2" customWidth="1"/>
    <col min="9989" max="9989" width="9.88671875" style="2" customWidth="1"/>
    <col min="9990" max="9990" width="9.109375" style="2"/>
    <col min="9991" max="9991" width="13.33203125" style="2" bestFit="1" customWidth="1"/>
    <col min="9992" max="10239" width="9.109375" style="2"/>
    <col min="10240" max="10240" width="4.109375" style="2" customWidth="1"/>
    <col min="10241" max="10241" width="58.88671875" style="2" customWidth="1"/>
    <col min="10242" max="10242" width="7.88671875" style="2" customWidth="1"/>
    <col min="10243" max="10243" width="9.21875" style="2" customWidth="1"/>
    <col min="10244" max="10244" width="11" style="2" customWidth="1"/>
    <col min="10245" max="10245" width="9.88671875" style="2" customWidth="1"/>
    <col min="10246" max="10246" width="9.109375" style="2"/>
    <col min="10247" max="10247" width="13.33203125" style="2" bestFit="1" customWidth="1"/>
    <col min="10248" max="10495" width="9.109375" style="2"/>
    <col min="10496" max="10496" width="4.109375" style="2" customWidth="1"/>
    <col min="10497" max="10497" width="58.88671875" style="2" customWidth="1"/>
    <col min="10498" max="10498" width="7.88671875" style="2" customWidth="1"/>
    <col min="10499" max="10499" width="9.21875" style="2" customWidth="1"/>
    <col min="10500" max="10500" width="11" style="2" customWidth="1"/>
    <col min="10501" max="10501" width="9.88671875" style="2" customWidth="1"/>
    <col min="10502" max="10502" width="9.109375" style="2"/>
    <col min="10503" max="10503" width="13.33203125" style="2" bestFit="1" customWidth="1"/>
    <col min="10504" max="10751" width="9.109375" style="2"/>
    <col min="10752" max="10752" width="4.109375" style="2" customWidth="1"/>
    <col min="10753" max="10753" width="58.88671875" style="2" customWidth="1"/>
    <col min="10754" max="10754" width="7.88671875" style="2" customWidth="1"/>
    <col min="10755" max="10755" width="9.21875" style="2" customWidth="1"/>
    <col min="10756" max="10756" width="11" style="2" customWidth="1"/>
    <col min="10757" max="10757" width="9.88671875" style="2" customWidth="1"/>
    <col min="10758" max="10758" width="9.109375" style="2"/>
    <col min="10759" max="10759" width="13.33203125" style="2" bestFit="1" customWidth="1"/>
    <col min="10760" max="11007" width="9.109375" style="2"/>
    <col min="11008" max="11008" width="4.109375" style="2" customWidth="1"/>
    <col min="11009" max="11009" width="58.88671875" style="2" customWidth="1"/>
    <col min="11010" max="11010" width="7.88671875" style="2" customWidth="1"/>
    <col min="11011" max="11011" width="9.21875" style="2" customWidth="1"/>
    <col min="11012" max="11012" width="11" style="2" customWidth="1"/>
    <col min="11013" max="11013" width="9.88671875" style="2" customWidth="1"/>
    <col min="11014" max="11014" width="9.109375" style="2"/>
    <col min="11015" max="11015" width="13.33203125" style="2" bestFit="1" customWidth="1"/>
    <col min="11016" max="11263" width="9.109375" style="2"/>
    <col min="11264" max="11264" width="4.109375" style="2" customWidth="1"/>
    <col min="11265" max="11265" width="58.88671875" style="2" customWidth="1"/>
    <col min="11266" max="11266" width="7.88671875" style="2" customWidth="1"/>
    <col min="11267" max="11267" width="9.21875" style="2" customWidth="1"/>
    <col min="11268" max="11268" width="11" style="2" customWidth="1"/>
    <col min="11269" max="11269" width="9.88671875" style="2" customWidth="1"/>
    <col min="11270" max="11270" width="9.109375" style="2"/>
    <col min="11271" max="11271" width="13.33203125" style="2" bestFit="1" customWidth="1"/>
    <col min="11272" max="11519" width="9.109375" style="2"/>
    <col min="11520" max="11520" width="4.109375" style="2" customWidth="1"/>
    <col min="11521" max="11521" width="58.88671875" style="2" customWidth="1"/>
    <col min="11522" max="11522" width="7.88671875" style="2" customWidth="1"/>
    <col min="11523" max="11523" width="9.21875" style="2" customWidth="1"/>
    <col min="11524" max="11524" width="11" style="2" customWidth="1"/>
    <col min="11525" max="11525" width="9.88671875" style="2" customWidth="1"/>
    <col min="11526" max="11526" width="9.109375" style="2"/>
    <col min="11527" max="11527" width="13.33203125" style="2" bestFit="1" customWidth="1"/>
    <col min="11528" max="11775" width="9.109375" style="2"/>
    <col min="11776" max="11776" width="4.109375" style="2" customWidth="1"/>
    <col min="11777" max="11777" width="58.88671875" style="2" customWidth="1"/>
    <col min="11778" max="11778" width="7.88671875" style="2" customWidth="1"/>
    <col min="11779" max="11779" width="9.21875" style="2" customWidth="1"/>
    <col min="11780" max="11780" width="11" style="2" customWidth="1"/>
    <col min="11781" max="11781" width="9.88671875" style="2" customWidth="1"/>
    <col min="11782" max="11782" width="9.109375" style="2"/>
    <col min="11783" max="11783" width="13.33203125" style="2" bestFit="1" customWidth="1"/>
    <col min="11784" max="12031" width="9.109375" style="2"/>
    <col min="12032" max="12032" width="4.109375" style="2" customWidth="1"/>
    <col min="12033" max="12033" width="58.88671875" style="2" customWidth="1"/>
    <col min="12034" max="12034" width="7.88671875" style="2" customWidth="1"/>
    <col min="12035" max="12035" width="9.21875" style="2" customWidth="1"/>
    <col min="12036" max="12036" width="11" style="2" customWidth="1"/>
    <col min="12037" max="12037" width="9.88671875" style="2" customWidth="1"/>
    <col min="12038" max="12038" width="9.109375" style="2"/>
    <col min="12039" max="12039" width="13.33203125" style="2" bestFit="1" customWidth="1"/>
    <col min="12040" max="12287" width="9.109375" style="2"/>
    <col min="12288" max="12288" width="4.109375" style="2" customWidth="1"/>
    <col min="12289" max="12289" width="58.88671875" style="2" customWidth="1"/>
    <col min="12290" max="12290" width="7.88671875" style="2" customWidth="1"/>
    <col min="12291" max="12291" width="9.21875" style="2" customWidth="1"/>
    <col min="12292" max="12292" width="11" style="2" customWidth="1"/>
    <col min="12293" max="12293" width="9.88671875" style="2" customWidth="1"/>
    <col min="12294" max="12294" width="9.109375" style="2"/>
    <col min="12295" max="12295" width="13.33203125" style="2" bestFit="1" customWidth="1"/>
    <col min="12296" max="12543" width="9.109375" style="2"/>
    <col min="12544" max="12544" width="4.109375" style="2" customWidth="1"/>
    <col min="12545" max="12545" width="58.88671875" style="2" customWidth="1"/>
    <col min="12546" max="12546" width="7.88671875" style="2" customWidth="1"/>
    <col min="12547" max="12547" width="9.21875" style="2" customWidth="1"/>
    <col min="12548" max="12548" width="11" style="2" customWidth="1"/>
    <col min="12549" max="12549" width="9.88671875" style="2" customWidth="1"/>
    <col min="12550" max="12550" width="9.109375" style="2"/>
    <col min="12551" max="12551" width="13.33203125" style="2" bestFit="1" customWidth="1"/>
    <col min="12552" max="12799" width="9.109375" style="2"/>
    <col min="12800" max="12800" width="4.109375" style="2" customWidth="1"/>
    <col min="12801" max="12801" width="58.88671875" style="2" customWidth="1"/>
    <col min="12802" max="12802" width="7.88671875" style="2" customWidth="1"/>
    <col min="12803" max="12803" width="9.21875" style="2" customWidth="1"/>
    <col min="12804" max="12804" width="11" style="2" customWidth="1"/>
    <col min="12805" max="12805" width="9.88671875" style="2" customWidth="1"/>
    <col min="12806" max="12806" width="9.109375" style="2"/>
    <col min="12807" max="12807" width="13.33203125" style="2" bestFit="1" customWidth="1"/>
    <col min="12808" max="13055" width="9.109375" style="2"/>
    <col min="13056" max="13056" width="4.109375" style="2" customWidth="1"/>
    <col min="13057" max="13057" width="58.88671875" style="2" customWidth="1"/>
    <col min="13058" max="13058" width="7.88671875" style="2" customWidth="1"/>
    <col min="13059" max="13059" width="9.21875" style="2" customWidth="1"/>
    <col min="13060" max="13060" width="11" style="2" customWidth="1"/>
    <col min="13061" max="13061" width="9.88671875" style="2" customWidth="1"/>
    <col min="13062" max="13062" width="9.109375" style="2"/>
    <col min="13063" max="13063" width="13.33203125" style="2" bestFit="1" customWidth="1"/>
    <col min="13064" max="13311" width="9.109375" style="2"/>
    <col min="13312" max="13312" width="4.109375" style="2" customWidth="1"/>
    <col min="13313" max="13313" width="58.88671875" style="2" customWidth="1"/>
    <col min="13314" max="13314" width="7.88671875" style="2" customWidth="1"/>
    <col min="13315" max="13315" width="9.21875" style="2" customWidth="1"/>
    <col min="13316" max="13316" width="11" style="2" customWidth="1"/>
    <col min="13317" max="13317" width="9.88671875" style="2" customWidth="1"/>
    <col min="13318" max="13318" width="9.109375" style="2"/>
    <col min="13319" max="13319" width="13.33203125" style="2" bestFit="1" customWidth="1"/>
    <col min="13320" max="13567" width="9.109375" style="2"/>
    <col min="13568" max="13568" width="4.109375" style="2" customWidth="1"/>
    <col min="13569" max="13569" width="58.88671875" style="2" customWidth="1"/>
    <col min="13570" max="13570" width="7.88671875" style="2" customWidth="1"/>
    <col min="13571" max="13571" width="9.21875" style="2" customWidth="1"/>
    <col min="13572" max="13572" width="11" style="2" customWidth="1"/>
    <col min="13573" max="13573" width="9.88671875" style="2" customWidth="1"/>
    <col min="13574" max="13574" width="9.109375" style="2"/>
    <col min="13575" max="13575" width="13.33203125" style="2" bestFit="1" customWidth="1"/>
    <col min="13576" max="13823" width="9.109375" style="2"/>
    <col min="13824" max="13824" width="4.109375" style="2" customWidth="1"/>
    <col min="13825" max="13825" width="58.88671875" style="2" customWidth="1"/>
    <col min="13826" max="13826" width="7.88671875" style="2" customWidth="1"/>
    <col min="13827" max="13827" width="9.21875" style="2" customWidth="1"/>
    <col min="13828" max="13828" width="11" style="2" customWidth="1"/>
    <col min="13829" max="13829" width="9.88671875" style="2" customWidth="1"/>
    <col min="13830" max="13830" width="9.109375" style="2"/>
    <col min="13831" max="13831" width="13.33203125" style="2" bestFit="1" customWidth="1"/>
    <col min="13832" max="14079" width="9.109375" style="2"/>
    <col min="14080" max="14080" width="4.109375" style="2" customWidth="1"/>
    <col min="14081" max="14081" width="58.88671875" style="2" customWidth="1"/>
    <col min="14082" max="14082" width="7.88671875" style="2" customWidth="1"/>
    <col min="14083" max="14083" width="9.21875" style="2" customWidth="1"/>
    <col min="14084" max="14084" width="11" style="2" customWidth="1"/>
    <col min="14085" max="14085" width="9.88671875" style="2" customWidth="1"/>
    <col min="14086" max="14086" width="9.109375" style="2"/>
    <col min="14087" max="14087" width="13.33203125" style="2" bestFit="1" customWidth="1"/>
    <col min="14088" max="14335" width="9.109375" style="2"/>
    <col min="14336" max="14336" width="4.109375" style="2" customWidth="1"/>
    <col min="14337" max="14337" width="58.88671875" style="2" customWidth="1"/>
    <col min="14338" max="14338" width="7.88671875" style="2" customWidth="1"/>
    <col min="14339" max="14339" width="9.21875" style="2" customWidth="1"/>
    <col min="14340" max="14340" width="11" style="2" customWidth="1"/>
    <col min="14341" max="14341" width="9.88671875" style="2" customWidth="1"/>
    <col min="14342" max="14342" width="9.109375" style="2"/>
    <col min="14343" max="14343" width="13.33203125" style="2" bestFit="1" customWidth="1"/>
    <col min="14344" max="14591" width="9.109375" style="2"/>
    <col min="14592" max="14592" width="4.109375" style="2" customWidth="1"/>
    <col min="14593" max="14593" width="58.88671875" style="2" customWidth="1"/>
    <col min="14594" max="14594" width="7.88671875" style="2" customWidth="1"/>
    <col min="14595" max="14595" width="9.21875" style="2" customWidth="1"/>
    <col min="14596" max="14596" width="11" style="2" customWidth="1"/>
    <col min="14597" max="14597" width="9.88671875" style="2" customWidth="1"/>
    <col min="14598" max="14598" width="9.109375" style="2"/>
    <col min="14599" max="14599" width="13.33203125" style="2" bestFit="1" customWidth="1"/>
    <col min="14600" max="14847" width="9.109375" style="2"/>
    <col min="14848" max="14848" width="4.109375" style="2" customWidth="1"/>
    <col min="14849" max="14849" width="58.88671875" style="2" customWidth="1"/>
    <col min="14850" max="14850" width="7.88671875" style="2" customWidth="1"/>
    <col min="14851" max="14851" width="9.21875" style="2" customWidth="1"/>
    <col min="14852" max="14852" width="11" style="2" customWidth="1"/>
    <col min="14853" max="14853" width="9.88671875" style="2" customWidth="1"/>
    <col min="14854" max="14854" width="9.109375" style="2"/>
    <col min="14855" max="14855" width="13.33203125" style="2" bestFit="1" customWidth="1"/>
    <col min="14856" max="15103" width="9.109375" style="2"/>
    <col min="15104" max="15104" width="4.109375" style="2" customWidth="1"/>
    <col min="15105" max="15105" width="58.88671875" style="2" customWidth="1"/>
    <col min="15106" max="15106" width="7.88671875" style="2" customWidth="1"/>
    <col min="15107" max="15107" width="9.21875" style="2" customWidth="1"/>
    <col min="15108" max="15108" width="11" style="2" customWidth="1"/>
    <col min="15109" max="15109" width="9.88671875" style="2" customWidth="1"/>
    <col min="15110" max="15110" width="9.109375" style="2"/>
    <col min="15111" max="15111" width="13.33203125" style="2" bestFit="1" customWidth="1"/>
    <col min="15112" max="15359" width="9.109375" style="2"/>
    <col min="15360" max="15360" width="4.109375" style="2" customWidth="1"/>
    <col min="15361" max="15361" width="58.88671875" style="2" customWidth="1"/>
    <col min="15362" max="15362" width="7.88671875" style="2" customWidth="1"/>
    <col min="15363" max="15363" width="9.21875" style="2" customWidth="1"/>
    <col min="15364" max="15364" width="11" style="2" customWidth="1"/>
    <col min="15365" max="15365" width="9.88671875" style="2" customWidth="1"/>
    <col min="15366" max="15366" width="9.109375" style="2"/>
    <col min="15367" max="15367" width="13.33203125" style="2" bestFit="1" customWidth="1"/>
    <col min="15368" max="15615" width="9.109375" style="2"/>
    <col min="15616" max="15616" width="4.109375" style="2" customWidth="1"/>
    <col min="15617" max="15617" width="58.88671875" style="2" customWidth="1"/>
    <col min="15618" max="15618" width="7.88671875" style="2" customWidth="1"/>
    <col min="15619" max="15619" width="9.21875" style="2" customWidth="1"/>
    <col min="15620" max="15620" width="11" style="2" customWidth="1"/>
    <col min="15621" max="15621" width="9.88671875" style="2" customWidth="1"/>
    <col min="15622" max="15622" width="9.109375" style="2"/>
    <col min="15623" max="15623" width="13.33203125" style="2" bestFit="1" customWidth="1"/>
    <col min="15624" max="15871" width="9.109375" style="2"/>
    <col min="15872" max="15872" width="4.109375" style="2" customWidth="1"/>
    <col min="15873" max="15873" width="58.88671875" style="2" customWidth="1"/>
    <col min="15874" max="15874" width="7.88671875" style="2" customWidth="1"/>
    <col min="15875" max="15875" width="9.21875" style="2" customWidth="1"/>
    <col min="15876" max="15876" width="11" style="2" customWidth="1"/>
    <col min="15877" max="15877" width="9.88671875" style="2" customWidth="1"/>
    <col min="15878" max="15878" width="9.109375" style="2"/>
    <col min="15879" max="15879" width="13.33203125" style="2" bestFit="1" customWidth="1"/>
    <col min="15880" max="16127" width="9.109375" style="2"/>
    <col min="16128" max="16128" width="4.109375" style="2" customWidth="1"/>
    <col min="16129" max="16129" width="58.88671875" style="2" customWidth="1"/>
    <col min="16130" max="16130" width="7.88671875" style="2" customWidth="1"/>
    <col min="16131" max="16131" width="9.21875" style="2" customWidth="1"/>
    <col min="16132" max="16132" width="11" style="2" customWidth="1"/>
    <col min="16133" max="16133" width="9.88671875" style="2" customWidth="1"/>
    <col min="16134" max="16134" width="9.109375" style="2"/>
    <col min="16135" max="16135" width="13.33203125" style="2" bestFit="1" customWidth="1"/>
    <col min="16136" max="16384" width="9.109375" style="2"/>
  </cols>
  <sheetData>
    <row r="1" spans="1:8">
      <c r="A1" s="874" t="s">
        <v>64</v>
      </c>
      <c r="B1" s="874"/>
      <c r="C1" s="874"/>
      <c r="D1" s="874"/>
      <c r="E1" s="874"/>
      <c r="F1" s="874"/>
    </row>
    <row r="2" spans="1:8">
      <c r="A2" s="875" t="s">
        <v>65</v>
      </c>
      <c r="B2" s="874"/>
      <c r="C2" s="874"/>
      <c r="D2" s="874"/>
      <c r="E2" s="874"/>
      <c r="F2" s="874"/>
    </row>
    <row r="3" spans="1:8">
      <c r="A3" s="876" t="s">
        <v>66</v>
      </c>
      <c r="B3" s="876"/>
      <c r="C3" s="876"/>
      <c r="D3" s="876"/>
      <c r="E3" s="876"/>
      <c r="F3" s="876"/>
    </row>
    <row r="4" spans="1:8" s="7" customFormat="1" ht="55.2">
      <c r="A4" s="4" t="s">
        <v>16</v>
      </c>
      <c r="B4" s="4" t="s">
        <v>67</v>
      </c>
      <c r="C4" s="5" t="s">
        <v>68</v>
      </c>
      <c r="D4" s="4" t="s">
        <v>69</v>
      </c>
      <c r="E4" s="4" t="s">
        <v>70</v>
      </c>
      <c r="F4" s="4" t="s">
        <v>71</v>
      </c>
      <c r="G4" s="6"/>
      <c r="H4" s="6" t="s">
        <v>72</v>
      </c>
    </row>
    <row r="5" spans="1:8">
      <c r="A5" s="8">
        <v>1</v>
      </c>
      <c r="B5" s="8">
        <v>2</v>
      </c>
      <c r="C5" s="9">
        <v>3</v>
      </c>
      <c r="D5" s="8">
        <v>4</v>
      </c>
      <c r="E5" s="8">
        <v>5</v>
      </c>
      <c r="F5" s="8">
        <v>6</v>
      </c>
    </row>
    <row r="6" spans="1:8">
      <c r="A6" s="8"/>
      <c r="B6" s="10" t="s">
        <v>73</v>
      </c>
      <c r="C6" s="11">
        <f ca="1">+C11+C57+C97</f>
        <v>43</v>
      </c>
      <c r="D6" s="11">
        <f ca="1">+D11+D57+D97</f>
        <v>307241.59999999998</v>
      </c>
      <c r="E6" s="11">
        <f ca="1">+E11+E57+E97</f>
        <v>287151.14974700002</v>
      </c>
      <c r="F6" s="11">
        <f ca="1">+F11+F57+F97</f>
        <v>60046.328999999983</v>
      </c>
    </row>
    <row r="7" spans="1:8" ht="14.4">
      <c r="A7" s="12"/>
      <c r="B7" s="13" t="s">
        <v>74</v>
      </c>
      <c r="C7" s="14"/>
      <c r="D7" s="3"/>
      <c r="E7" s="3"/>
      <c r="F7" s="3"/>
    </row>
    <row r="8" spans="1:8" ht="21.75" customHeight="1">
      <c r="A8" s="877" t="s">
        <v>75</v>
      </c>
      <c r="B8" s="877"/>
      <c r="C8" s="877"/>
      <c r="D8" s="877"/>
      <c r="E8" s="877"/>
      <c r="F8" s="877"/>
    </row>
    <row r="9" spans="1:8" s="7" customFormat="1" ht="55.2">
      <c r="A9" s="4" t="s">
        <v>16</v>
      </c>
      <c r="B9" s="4" t="s">
        <v>67</v>
      </c>
      <c r="C9" s="5" t="s">
        <v>68</v>
      </c>
      <c r="D9" s="4" t="s">
        <v>69</v>
      </c>
      <c r="E9" s="4" t="s">
        <v>70</v>
      </c>
      <c r="F9" s="4" t="s">
        <v>71</v>
      </c>
      <c r="G9" s="6"/>
      <c r="H9" s="6"/>
    </row>
    <row r="10" spans="1:8">
      <c r="A10" s="8">
        <v>1</v>
      </c>
      <c r="B10" s="8">
        <v>2</v>
      </c>
      <c r="C10" s="9">
        <v>3</v>
      </c>
      <c r="D10" s="8">
        <v>4</v>
      </c>
      <c r="E10" s="8">
        <v>5</v>
      </c>
      <c r="F10" s="8">
        <v>6</v>
      </c>
    </row>
    <row r="11" spans="1:8">
      <c r="A11" s="8"/>
      <c r="B11" s="10" t="s">
        <v>76</v>
      </c>
      <c r="C11" s="11">
        <f>C12+C26</f>
        <v>18</v>
      </c>
      <c r="D11" s="11">
        <f>D12+D26</f>
        <v>48020</v>
      </c>
      <c r="E11" s="11">
        <f>E12+E26</f>
        <v>51422.538999999982</v>
      </c>
      <c r="F11" s="11">
        <f>F12+F26</f>
        <v>52047.438999999991</v>
      </c>
    </row>
    <row r="12" spans="1:8" s="7" customFormat="1" ht="27.6">
      <c r="A12" s="15" t="s">
        <v>36</v>
      </c>
      <c r="B12" s="16" t="s">
        <v>77</v>
      </c>
      <c r="C12" s="17">
        <f>SUM(C13:C23)</f>
        <v>2</v>
      </c>
      <c r="D12" s="17">
        <f>SUM(D13:D23)</f>
        <v>5300</v>
      </c>
      <c r="E12" s="17">
        <f>SUM(E13:E23)</f>
        <v>3912.7749999999996</v>
      </c>
      <c r="F12" s="17">
        <f>SUM(F13:F23)</f>
        <v>3912.7749999999996</v>
      </c>
      <c r="G12" s="6"/>
      <c r="H12" s="6"/>
    </row>
    <row r="13" spans="1:8" ht="28.5" customHeight="1">
      <c r="A13" s="18" t="s">
        <v>78</v>
      </c>
      <c r="B13" s="19" t="s">
        <v>79</v>
      </c>
      <c r="C13" s="20"/>
      <c r="D13" s="21"/>
      <c r="E13" s="21"/>
      <c r="F13" s="22"/>
      <c r="G13" s="23"/>
      <c r="H13" s="23"/>
    </row>
    <row r="14" spans="1:8" s="29" customFormat="1" ht="27" customHeight="1">
      <c r="A14" s="24"/>
      <c r="B14" s="25"/>
      <c r="C14" s="26"/>
      <c r="D14" s="26"/>
      <c r="E14" s="26"/>
      <c r="F14" s="27"/>
      <c r="G14" s="28"/>
      <c r="H14" s="28"/>
    </row>
    <row r="15" spans="1:8" s="7" customFormat="1" ht="36.75" customHeight="1">
      <c r="A15" s="4" t="s">
        <v>78</v>
      </c>
      <c r="B15" s="19" t="s">
        <v>80</v>
      </c>
      <c r="C15" s="30"/>
      <c r="D15" s="31"/>
      <c r="E15" s="31"/>
      <c r="F15" s="31"/>
      <c r="G15" s="6"/>
      <c r="H15" s="6"/>
    </row>
    <row r="16" spans="1:8">
      <c r="A16" s="8"/>
      <c r="B16" s="32"/>
      <c r="C16" s="33"/>
      <c r="D16" s="34"/>
      <c r="E16" s="35"/>
      <c r="F16" s="35"/>
    </row>
    <row r="17" spans="1:14">
      <c r="A17" s="8"/>
      <c r="B17" s="32"/>
      <c r="C17" s="33"/>
      <c r="D17" s="34"/>
      <c r="E17" s="35"/>
      <c r="F17" s="35"/>
    </row>
    <row r="18" spans="1:14" ht="28.8">
      <c r="A18" s="8" t="s">
        <v>78</v>
      </c>
      <c r="B18" s="36" t="s">
        <v>81</v>
      </c>
      <c r="C18" s="33"/>
      <c r="D18" s="37"/>
      <c r="E18" s="37"/>
      <c r="F18" s="37"/>
      <c r="G18" s="23"/>
      <c r="H18" s="23"/>
    </row>
    <row r="19" spans="1:14" s="43" customFormat="1">
      <c r="A19" s="38" t="s">
        <v>82</v>
      </c>
      <c r="B19" s="39" t="s">
        <v>83</v>
      </c>
      <c r="C19" s="40">
        <v>1</v>
      </c>
      <c r="D19" s="41">
        <v>3000</v>
      </c>
      <c r="E19" s="41">
        <v>1883.03</v>
      </c>
      <c r="F19" s="41">
        <v>1883.03</v>
      </c>
      <c r="G19" s="42"/>
      <c r="H19" s="42"/>
    </row>
    <row r="20" spans="1:14" s="43" customFormat="1" ht="27.6">
      <c r="A20" s="38" t="s">
        <v>84</v>
      </c>
      <c r="B20" s="44" t="s">
        <v>85</v>
      </c>
      <c r="C20" s="40">
        <v>1</v>
      </c>
      <c r="D20" s="41">
        <v>2300</v>
      </c>
      <c r="E20" s="41">
        <v>2029.7449999999999</v>
      </c>
      <c r="F20" s="41">
        <v>2029.7449999999999</v>
      </c>
      <c r="G20" s="42"/>
      <c r="H20" s="42"/>
    </row>
    <row r="21" spans="1:14" s="29" customFormat="1">
      <c r="A21" s="45"/>
      <c r="B21" s="46"/>
      <c r="C21" s="47"/>
      <c r="D21" s="48"/>
      <c r="E21" s="48"/>
      <c r="F21" s="48"/>
      <c r="G21" s="28"/>
      <c r="H21" s="28"/>
    </row>
    <row r="22" spans="1:14" s="29" customFormat="1" ht="27" customHeight="1">
      <c r="A22" s="45"/>
      <c r="B22" s="46"/>
      <c r="C22" s="47"/>
      <c r="D22" s="48"/>
      <c r="E22" s="48"/>
      <c r="F22" s="48"/>
      <c r="G22" s="28"/>
      <c r="H22" s="28"/>
    </row>
    <row r="23" spans="1:14">
      <c r="A23" s="8"/>
      <c r="B23" s="49"/>
      <c r="C23" s="33"/>
      <c r="D23" s="34"/>
      <c r="E23" s="37"/>
      <c r="F23" s="37"/>
      <c r="G23" s="23"/>
      <c r="H23" s="23"/>
    </row>
    <row r="24" spans="1:14">
      <c r="A24" s="50"/>
      <c r="B24" s="51"/>
      <c r="C24" s="51"/>
      <c r="D24" s="52"/>
      <c r="E24" s="52"/>
      <c r="F24" s="52"/>
    </row>
    <row r="25" spans="1:14" s="7" customFormat="1">
      <c r="A25" s="4" t="s">
        <v>43</v>
      </c>
      <c r="B25" s="878" t="s">
        <v>86</v>
      </c>
      <c r="C25" s="878"/>
      <c r="D25" s="878"/>
      <c r="E25" s="878"/>
      <c r="F25" s="878"/>
      <c r="G25" s="6"/>
      <c r="H25" s="6"/>
    </row>
    <row r="26" spans="1:14" ht="18.75" customHeight="1">
      <c r="A26" s="8"/>
      <c r="B26" s="19" t="s">
        <v>76</v>
      </c>
      <c r="C26" s="53">
        <f>SUM(C27:C53)</f>
        <v>16</v>
      </c>
      <c r="D26" s="53">
        <f t="shared" ref="D26:F26" si="0">SUM(D27:D53)</f>
        <v>42720</v>
      </c>
      <c r="E26" s="53">
        <f t="shared" si="0"/>
        <v>47509.763999999981</v>
      </c>
      <c r="F26" s="53">
        <f t="shared" si="0"/>
        <v>48134.66399999999</v>
      </c>
    </row>
    <row r="27" spans="1:14">
      <c r="A27" s="54" t="s">
        <v>78</v>
      </c>
      <c r="B27" s="55" t="s">
        <v>87</v>
      </c>
      <c r="C27" s="56"/>
      <c r="D27" s="56"/>
      <c r="E27" s="56"/>
      <c r="F27" s="56"/>
    </row>
    <row r="28" spans="1:14" ht="23.25" customHeight="1">
      <c r="A28" s="54"/>
      <c r="B28" s="57"/>
      <c r="C28" s="58"/>
      <c r="D28" s="59"/>
      <c r="E28" s="59"/>
      <c r="F28" s="59"/>
    </row>
    <row r="29" spans="1:14" ht="24" customHeight="1">
      <c r="A29" s="18" t="s">
        <v>78</v>
      </c>
      <c r="B29" s="19" t="s">
        <v>88</v>
      </c>
      <c r="C29" s="20"/>
      <c r="D29" s="22"/>
      <c r="E29" s="22"/>
      <c r="F29" s="22"/>
    </row>
    <row r="30" spans="1:14" s="43" customFormat="1" ht="36.75" customHeight="1">
      <c r="A30" s="60" t="s">
        <v>89</v>
      </c>
      <c r="B30" s="61" t="s">
        <v>90</v>
      </c>
      <c r="C30" s="62">
        <v>1</v>
      </c>
      <c r="D30" s="41">
        <v>2000</v>
      </c>
      <c r="E30" s="63">
        <v>1911.6320000000001</v>
      </c>
      <c r="F30" s="63">
        <v>1911.6320000000001</v>
      </c>
      <c r="G30" s="64"/>
      <c r="H30" s="42"/>
    </row>
    <row r="31" spans="1:14" s="70" customFormat="1" ht="36" customHeight="1">
      <c r="A31" s="65">
        <v>1</v>
      </c>
      <c r="B31" s="66" t="s">
        <v>91</v>
      </c>
      <c r="C31" s="67">
        <v>1</v>
      </c>
      <c r="D31" s="68">
        <v>1000</v>
      </c>
      <c r="E31" s="68">
        <v>300</v>
      </c>
      <c r="F31" s="68">
        <v>924.9</v>
      </c>
      <c r="G31" s="69"/>
      <c r="H31" s="69"/>
      <c r="N31" s="71"/>
    </row>
    <row r="32" spans="1:14" s="7" customFormat="1" ht="25.5" customHeight="1">
      <c r="A32" s="4" t="s">
        <v>78</v>
      </c>
      <c r="B32" s="5" t="s">
        <v>92</v>
      </c>
      <c r="C32" s="30"/>
      <c r="D32" s="31"/>
      <c r="E32" s="31"/>
      <c r="F32" s="31"/>
      <c r="G32" s="72"/>
      <c r="H32" s="73"/>
    </row>
    <row r="33" spans="1:13" s="7" customFormat="1" ht="36" customHeight="1">
      <c r="A33" s="74">
        <v>1</v>
      </c>
      <c r="B33" s="75" t="s">
        <v>93</v>
      </c>
      <c r="C33" s="33">
        <v>1</v>
      </c>
      <c r="D33" s="37">
        <v>14990</v>
      </c>
      <c r="E33" s="37">
        <v>14770.200999999999</v>
      </c>
      <c r="F33" s="37">
        <v>14770.200999999999</v>
      </c>
      <c r="G33" s="73"/>
      <c r="H33" s="6"/>
    </row>
    <row r="34" spans="1:13" ht="36.75" customHeight="1">
      <c r="A34" s="8"/>
      <c r="B34" s="76"/>
      <c r="C34" s="21"/>
      <c r="D34" s="77"/>
      <c r="E34" s="21"/>
      <c r="F34" s="21"/>
    </row>
    <row r="35" spans="1:13" ht="27.6">
      <c r="A35" s="18" t="s">
        <v>78</v>
      </c>
      <c r="B35" s="19" t="s">
        <v>80</v>
      </c>
      <c r="C35" s="20"/>
      <c r="D35" s="22"/>
      <c r="E35" s="22"/>
      <c r="F35" s="22"/>
    </row>
    <row r="36" spans="1:13" s="71" customFormat="1" ht="36" customHeight="1">
      <c r="A36" s="78">
        <v>1</v>
      </c>
      <c r="B36" s="79" t="s">
        <v>94</v>
      </c>
      <c r="C36" s="40">
        <v>1</v>
      </c>
      <c r="D36" s="41">
        <v>900</v>
      </c>
      <c r="E36" s="41">
        <v>840.76300000000003</v>
      </c>
      <c r="F36" s="41">
        <v>840.76300000000003</v>
      </c>
      <c r="G36" s="80"/>
      <c r="H36" s="42"/>
      <c r="M36" s="43"/>
    </row>
    <row r="37" spans="1:13" s="86" customFormat="1" ht="36" customHeight="1">
      <c r="A37" s="81">
        <v>7</v>
      </c>
      <c r="B37" s="82" t="s">
        <v>95</v>
      </c>
      <c r="C37" s="83">
        <v>1</v>
      </c>
      <c r="D37" s="84">
        <v>1500</v>
      </c>
      <c r="E37" s="84">
        <v>1420.011</v>
      </c>
      <c r="F37" s="84">
        <v>1420.011</v>
      </c>
      <c r="G37" s="85"/>
      <c r="H37" s="85"/>
    </row>
    <row r="38" spans="1:13" s="91" customFormat="1" ht="36" customHeight="1">
      <c r="A38" s="87">
        <v>2</v>
      </c>
      <c r="B38" s="88" t="s">
        <v>96</v>
      </c>
      <c r="C38" s="47">
        <v>1</v>
      </c>
      <c r="D38" s="48">
        <v>1500</v>
      </c>
      <c r="E38" s="89">
        <v>1444.9480000000001</v>
      </c>
      <c r="F38" s="89">
        <v>1444.9480000000001</v>
      </c>
      <c r="G38" s="90"/>
      <c r="H38" s="28" t="s">
        <v>97</v>
      </c>
      <c r="M38" s="29"/>
    </row>
    <row r="39" spans="1:13" s="71" customFormat="1" ht="36" customHeight="1">
      <c r="A39" s="78">
        <v>3</v>
      </c>
      <c r="B39" s="79" t="s">
        <v>98</v>
      </c>
      <c r="C39" s="40">
        <v>1</v>
      </c>
      <c r="D39" s="41">
        <v>560</v>
      </c>
      <c r="E39" s="41">
        <v>495.90600000000001</v>
      </c>
      <c r="F39" s="41">
        <v>495.90600000000001</v>
      </c>
      <c r="G39" s="80"/>
      <c r="H39" s="80"/>
      <c r="M39" s="43"/>
    </row>
    <row r="40" spans="1:13" s="43" customFormat="1" ht="36" customHeight="1">
      <c r="A40" s="87">
        <v>4</v>
      </c>
      <c r="B40" s="44" t="s">
        <v>99</v>
      </c>
      <c r="C40" s="40">
        <v>1</v>
      </c>
      <c r="D40" s="41" t="s">
        <v>100</v>
      </c>
      <c r="E40" s="41">
        <v>3640.8020000000001</v>
      </c>
      <c r="F40" s="41">
        <v>3640.8020000000001</v>
      </c>
      <c r="G40" s="42"/>
      <c r="H40" s="42"/>
    </row>
    <row r="41" spans="1:13" s="86" customFormat="1" ht="36" customHeight="1">
      <c r="A41" s="78">
        <v>5</v>
      </c>
      <c r="B41" s="82" t="s">
        <v>101</v>
      </c>
      <c r="C41" s="83">
        <v>1</v>
      </c>
      <c r="D41" s="84">
        <v>4320</v>
      </c>
      <c r="E41" s="84">
        <v>4137.7060000000001</v>
      </c>
      <c r="F41" s="84">
        <v>4137.7060000000001</v>
      </c>
      <c r="G41" s="85"/>
      <c r="H41" s="85"/>
    </row>
    <row r="42" spans="1:13" s="43" customFormat="1" ht="36" customHeight="1">
      <c r="A42" s="87">
        <v>6</v>
      </c>
      <c r="B42" s="79" t="s">
        <v>102</v>
      </c>
      <c r="C42" s="40">
        <v>1</v>
      </c>
      <c r="D42" s="41">
        <v>1000</v>
      </c>
      <c r="E42" s="41">
        <v>964.76800000000003</v>
      </c>
      <c r="F42" s="41">
        <v>964.76800000000003</v>
      </c>
      <c r="G42" s="42"/>
      <c r="H42" s="42"/>
    </row>
    <row r="43" spans="1:13" s="86" customFormat="1" ht="36" customHeight="1">
      <c r="A43" s="81">
        <v>3</v>
      </c>
      <c r="B43" s="82" t="s">
        <v>103</v>
      </c>
      <c r="C43" s="83">
        <v>1</v>
      </c>
      <c r="D43" s="84" t="s">
        <v>104</v>
      </c>
      <c r="E43" s="84">
        <v>4315.3980000000001</v>
      </c>
      <c r="F43" s="84">
        <v>4315.3980000000001</v>
      </c>
      <c r="G43" s="85"/>
      <c r="H43" s="85"/>
    </row>
    <row r="44" spans="1:13" s="71" customFormat="1" ht="36" customHeight="1">
      <c r="A44" s="78">
        <v>8</v>
      </c>
      <c r="B44" s="79" t="s">
        <v>105</v>
      </c>
      <c r="C44" s="40">
        <v>1</v>
      </c>
      <c r="D44" s="63">
        <v>1300</v>
      </c>
      <c r="E44" s="63">
        <v>533.00300000000004</v>
      </c>
      <c r="F44" s="63">
        <v>533.00300000000004</v>
      </c>
      <c r="G44" s="80"/>
      <c r="H44" s="42"/>
      <c r="M44" s="43"/>
    </row>
    <row r="45" spans="1:13" s="71" customFormat="1" ht="36" customHeight="1">
      <c r="A45" s="78">
        <v>4</v>
      </c>
      <c r="B45" s="79" t="s">
        <v>106</v>
      </c>
      <c r="C45" s="40">
        <v>1</v>
      </c>
      <c r="D45" s="63">
        <v>2550</v>
      </c>
      <c r="E45" s="63">
        <v>2058</v>
      </c>
      <c r="F45" s="63">
        <v>2058</v>
      </c>
      <c r="G45" s="80"/>
      <c r="H45" s="80"/>
    </row>
    <row r="46" spans="1:13" s="86" customFormat="1" ht="36" customHeight="1">
      <c r="A46" s="81">
        <v>4</v>
      </c>
      <c r="B46" s="82" t="s">
        <v>107</v>
      </c>
      <c r="C46" s="83">
        <v>1</v>
      </c>
      <c r="D46" s="84">
        <v>2100</v>
      </c>
      <c r="E46" s="84">
        <v>1948.0519999999997</v>
      </c>
      <c r="F46" s="84">
        <v>1948.0519999999997</v>
      </c>
      <c r="G46" s="85"/>
      <c r="H46" s="85"/>
    </row>
    <row r="47" spans="1:13" ht="30.75" customHeight="1">
      <c r="A47" s="74"/>
      <c r="B47" s="32"/>
      <c r="C47" s="33"/>
      <c r="D47" s="37"/>
      <c r="E47" s="37"/>
      <c r="F47" s="37"/>
      <c r="G47" s="23"/>
    </row>
    <row r="48" spans="1:13" s="7" customFormat="1" ht="21" customHeight="1">
      <c r="A48" s="4" t="s">
        <v>78</v>
      </c>
      <c r="B48" s="92" t="s">
        <v>108</v>
      </c>
      <c r="C48" s="20"/>
      <c r="D48" s="20"/>
      <c r="E48" s="20"/>
      <c r="F48" s="22"/>
      <c r="G48" s="6"/>
      <c r="H48" s="6"/>
    </row>
    <row r="49" spans="1:12" ht="33.75" customHeight="1">
      <c r="A49" s="8"/>
      <c r="B49" s="93"/>
      <c r="C49" s="21"/>
      <c r="D49" s="21"/>
      <c r="E49" s="21"/>
      <c r="F49" s="21"/>
    </row>
    <row r="50" spans="1:12" s="7" customFormat="1" ht="36" customHeight="1">
      <c r="A50" s="18" t="s">
        <v>78</v>
      </c>
      <c r="B50" s="19" t="s">
        <v>109</v>
      </c>
      <c r="C50" s="30"/>
      <c r="D50" s="31"/>
      <c r="E50" s="31"/>
      <c r="F50" s="31"/>
      <c r="G50" s="73"/>
      <c r="H50" s="6"/>
    </row>
    <row r="51" spans="1:12" s="43" customFormat="1" ht="39.75" customHeight="1">
      <c r="A51" s="94">
        <v>1</v>
      </c>
      <c r="B51" s="95" t="s">
        <v>110</v>
      </c>
      <c r="C51" s="40">
        <v>1</v>
      </c>
      <c r="D51" s="41">
        <v>5000</v>
      </c>
      <c r="E51" s="41">
        <v>4896.0749999999998</v>
      </c>
      <c r="F51" s="41">
        <v>4896.0749999999998</v>
      </c>
      <c r="G51" s="42" t="s">
        <v>111</v>
      </c>
      <c r="H51" s="42"/>
    </row>
    <row r="52" spans="1:12" s="7" customFormat="1" ht="46.5" customHeight="1">
      <c r="A52" s="8">
        <v>1</v>
      </c>
      <c r="B52" s="95" t="s">
        <v>112</v>
      </c>
      <c r="C52" s="33">
        <v>1</v>
      </c>
      <c r="D52" s="37">
        <v>4000</v>
      </c>
      <c r="E52" s="37">
        <v>3832.4989999999998</v>
      </c>
      <c r="F52" s="37">
        <v>3832.4989999999998</v>
      </c>
      <c r="G52" s="6"/>
      <c r="H52" s="6"/>
    </row>
    <row r="53" spans="1:12">
      <c r="A53" s="54"/>
      <c r="B53" s="57"/>
      <c r="C53" s="58"/>
      <c r="D53" s="59"/>
      <c r="E53" s="59"/>
      <c r="F53" s="59"/>
    </row>
    <row r="54" spans="1:12" ht="27.75" customHeight="1">
      <c r="A54" s="873" t="s">
        <v>113</v>
      </c>
      <c r="B54" s="873"/>
      <c r="C54" s="873"/>
      <c r="D54" s="873"/>
      <c r="E54" s="873"/>
      <c r="F54" s="873"/>
    </row>
    <row r="55" spans="1:12" ht="41.4">
      <c r="A55" s="8" t="s">
        <v>16</v>
      </c>
      <c r="B55" s="8" t="s">
        <v>67</v>
      </c>
      <c r="C55" s="9" t="s">
        <v>68</v>
      </c>
      <c r="D55" s="8" t="s">
        <v>114</v>
      </c>
      <c r="E55" s="8" t="s">
        <v>115</v>
      </c>
      <c r="F55" s="8" t="s">
        <v>116</v>
      </c>
    </row>
    <row r="56" spans="1:12">
      <c r="A56" s="8">
        <v>1</v>
      </c>
      <c r="B56" s="8">
        <v>2</v>
      </c>
      <c r="C56" s="9">
        <v>3</v>
      </c>
      <c r="D56" s="8">
        <v>7</v>
      </c>
      <c r="E56" s="8">
        <v>8</v>
      </c>
      <c r="F56" s="9"/>
    </row>
    <row r="57" spans="1:12" s="7" customFormat="1">
      <c r="A57" s="8"/>
      <c r="B57" s="5" t="s">
        <v>76</v>
      </c>
      <c r="C57" s="96">
        <f ca="1">C58</f>
        <v>23</v>
      </c>
      <c r="D57" s="96">
        <f t="shared" ref="D57:F57" ca="1" si="1">D58</f>
        <v>211067.6</v>
      </c>
      <c r="E57" s="96">
        <f t="shared" ca="1" si="1"/>
        <v>194135.63300000003</v>
      </c>
      <c r="F57" s="96">
        <f t="shared" ca="1" si="1"/>
        <v>11514.793</v>
      </c>
      <c r="G57" s="6"/>
      <c r="H57" s="6"/>
    </row>
    <row r="58" spans="1:12" s="7" customFormat="1">
      <c r="A58" s="8"/>
      <c r="B58" s="5" t="s">
        <v>117</v>
      </c>
      <c r="C58" s="96">
        <f ca="1">C59+C81</f>
        <v>23</v>
      </c>
      <c r="D58" s="96">
        <f ca="1">D59+D81</f>
        <v>211067.6</v>
      </c>
      <c r="E58" s="96">
        <f ca="1">E59+E81</f>
        <v>194135.63300000003</v>
      </c>
      <c r="F58" s="96">
        <f ca="1">F59+F81</f>
        <v>11514.793</v>
      </c>
      <c r="G58" s="6"/>
      <c r="H58" s="6"/>
    </row>
    <row r="59" spans="1:12" s="7" customFormat="1" ht="27.6">
      <c r="A59" s="97" t="s">
        <v>36</v>
      </c>
      <c r="B59" s="98" t="s">
        <v>77</v>
      </c>
      <c r="C59" s="99">
        <f>SUM(C60:C78)</f>
        <v>15</v>
      </c>
      <c r="D59" s="99">
        <f t="shared" ref="D59:L59" si="2">SUM(D60:D78)</f>
        <v>226753</v>
      </c>
      <c r="E59" s="99">
        <f t="shared" si="2"/>
        <v>208717.34882200003</v>
      </c>
      <c r="F59" s="99">
        <f t="shared" si="2"/>
        <v>0</v>
      </c>
      <c r="G59" s="99">
        <f t="shared" si="2"/>
        <v>0</v>
      </c>
      <c r="H59" s="99">
        <f t="shared" si="2"/>
        <v>0</v>
      </c>
      <c r="I59" s="99">
        <f t="shared" si="2"/>
        <v>0</v>
      </c>
      <c r="J59" s="99">
        <f t="shared" si="2"/>
        <v>0</v>
      </c>
      <c r="K59" s="99">
        <f t="shared" si="2"/>
        <v>0</v>
      </c>
      <c r="L59" s="99">
        <f t="shared" si="2"/>
        <v>0</v>
      </c>
    </row>
    <row r="60" spans="1:12" s="7" customFormat="1" ht="36.75" customHeight="1">
      <c r="A60" s="4" t="s">
        <v>78</v>
      </c>
      <c r="B60" s="19" t="s">
        <v>118</v>
      </c>
      <c r="C60" s="30"/>
      <c r="D60" s="31"/>
      <c r="E60" s="31"/>
      <c r="F60" s="31"/>
      <c r="G60" s="6"/>
      <c r="H60" s="6"/>
    </row>
    <row r="61" spans="1:12" s="106" customFormat="1" ht="40.5" customHeight="1">
      <c r="A61" s="100">
        <v>3</v>
      </c>
      <c r="B61" s="101" t="s">
        <v>119</v>
      </c>
      <c r="C61" s="102">
        <v>1</v>
      </c>
      <c r="D61" s="103">
        <v>35000</v>
      </c>
      <c r="E61" s="104">
        <v>30792.926821999998</v>
      </c>
      <c r="F61" s="105"/>
      <c r="G61" s="100"/>
      <c r="H61" s="100"/>
    </row>
    <row r="62" spans="1:12" s="43" customFormat="1" ht="50.25" customHeight="1">
      <c r="A62" s="42">
        <v>2</v>
      </c>
      <c r="B62" s="107" t="s">
        <v>120</v>
      </c>
      <c r="C62" s="108">
        <v>1</v>
      </c>
      <c r="D62" s="109">
        <v>30000</v>
      </c>
      <c r="E62" s="62">
        <v>29130.912</v>
      </c>
      <c r="F62" s="110"/>
      <c r="G62" s="42"/>
      <c r="H62" s="42"/>
    </row>
    <row r="63" spans="1:12" s="106" customFormat="1" ht="50.25" customHeight="1">
      <c r="A63" s="100">
        <v>1</v>
      </c>
      <c r="B63" s="101" t="s">
        <v>121</v>
      </c>
      <c r="C63" s="102">
        <v>1</v>
      </c>
      <c r="D63" s="103">
        <v>20000</v>
      </c>
      <c r="E63" s="104">
        <v>19553.293000000001</v>
      </c>
      <c r="F63" s="105"/>
      <c r="G63" s="100"/>
      <c r="H63" s="100"/>
    </row>
    <row r="64" spans="1:12" s="7" customFormat="1" ht="36.75" customHeight="1">
      <c r="A64" s="4" t="s">
        <v>78</v>
      </c>
      <c r="B64" s="19" t="s">
        <v>80</v>
      </c>
      <c r="C64" s="30"/>
      <c r="D64" s="31"/>
      <c r="E64" s="31"/>
      <c r="F64" s="31"/>
      <c r="G64" s="6"/>
      <c r="H64" s="6"/>
    </row>
    <row r="65" spans="1:13" s="43" customFormat="1" ht="50.25" customHeight="1">
      <c r="A65" s="111">
        <v>1</v>
      </c>
      <c r="B65" s="112" t="s">
        <v>122</v>
      </c>
      <c r="C65" s="108">
        <v>1</v>
      </c>
      <c r="D65" s="109">
        <v>20000</v>
      </c>
      <c r="E65" s="62">
        <v>19308.773999999998</v>
      </c>
      <c r="F65" s="110"/>
      <c r="G65" s="42"/>
      <c r="H65" s="42"/>
    </row>
    <row r="66" spans="1:13" s="70" customFormat="1" ht="39.75" customHeight="1">
      <c r="A66" s="113">
        <v>1</v>
      </c>
      <c r="B66" s="114" t="s">
        <v>123</v>
      </c>
      <c r="C66" s="115">
        <v>1</v>
      </c>
      <c r="D66" s="116">
        <v>14990</v>
      </c>
      <c r="E66" s="117">
        <v>14705.849000000002</v>
      </c>
      <c r="F66" s="118"/>
      <c r="G66" s="69"/>
      <c r="H66" s="69"/>
      <c r="M66" s="70" t="s">
        <v>124</v>
      </c>
    </row>
    <row r="67" spans="1:13" ht="28.5" customHeight="1">
      <c r="A67" s="18" t="s">
        <v>78</v>
      </c>
      <c r="B67" s="19" t="s">
        <v>79</v>
      </c>
      <c r="C67" s="20"/>
      <c r="D67" s="21"/>
      <c r="E67" s="21"/>
      <c r="F67" s="22"/>
      <c r="G67" s="23"/>
      <c r="H67" s="23"/>
    </row>
    <row r="68" spans="1:13" s="29" customFormat="1" ht="35.25" customHeight="1">
      <c r="A68" s="24">
        <v>1</v>
      </c>
      <c r="B68" s="25" t="s">
        <v>125</v>
      </c>
      <c r="C68" s="26">
        <v>1</v>
      </c>
      <c r="D68" s="26">
        <v>25000</v>
      </c>
      <c r="E68" s="26">
        <v>23936.046999999999</v>
      </c>
      <c r="F68" s="27"/>
      <c r="G68" s="28" t="s">
        <v>126</v>
      </c>
      <c r="H68" s="28"/>
    </row>
    <row r="69" spans="1:13" s="29" customFormat="1" ht="35.25" customHeight="1">
      <c r="A69" s="24">
        <v>2</v>
      </c>
      <c r="B69" s="25" t="s">
        <v>127</v>
      </c>
      <c r="C69" s="119">
        <v>1</v>
      </c>
      <c r="D69" s="120">
        <v>14990</v>
      </c>
      <c r="E69" s="26">
        <v>14717</v>
      </c>
      <c r="F69" s="27"/>
      <c r="G69" s="28"/>
      <c r="H69" s="28"/>
    </row>
    <row r="70" spans="1:13" s="29" customFormat="1" ht="35.25" customHeight="1">
      <c r="A70" s="24">
        <v>3</v>
      </c>
      <c r="B70" s="25" t="s">
        <v>128</v>
      </c>
      <c r="C70" s="119">
        <v>1</v>
      </c>
      <c r="D70" s="120">
        <v>22400</v>
      </c>
      <c r="E70" s="26">
        <v>15400</v>
      </c>
      <c r="F70" s="27"/>
      <c r="G70" s="28"/>
      <c r="H70" s="28"/>
    </row>
    <row r="71" spans="1:13" ht="28.8">
      <c r="A71" s="8" t="s">
        <v>78</v>
      </c>
      <c r="B71" s="36" t="s">
        <v>81</v>
      </c>
      <c r="C71" s="33"/>
      <c r="D71" s="37"/>
      <c r="E71" s="37"/>
      <c r="F71" s="37"/>
      <c r="G71" s="23"/>
      <c r="H71" s="23"/>
    </row>
    <row r="72" spans="1:13" s="43" customFormat="1" ht="27.6">
      <c r="A72" s="38" t="s">
        <v>89</v>
      </c>
      <c r="B72" s="39" t="s">
        <v>129</v>
      </c>
      <c r="C72" s="40">
        <v>1</v>
      </c>
      <c r="D72" s="41">
        <v>6800</v>
      </c>
      <c r="E72" s="41">
        <v>6129.1890000000003</v>
      </c>
      <c r="F72" s="41"/>
      <c r="G72" s="42"/>
      <c r="H72" s="42"/>
    </row>
    <row r="73" spans="1:13" s="43" customFormat="1" ht="35.25" customHeight="1">
      <c r="A73" s="38">
        <v>2</v>
      </c>
      <c r="B73" s="39" t="s">
        <v>130</v>
      </c>
      <c r="C73" s="40">
        <v>1</v>
      </c>
      <c r="D73" s="41">
        <v>9692</v>
      </c>
      <c r="E73" s="41">
        <v>9196.6820000000007</v>
      </c>
      <c r="F73" s="41"/>
      <c r="G73" s="42"/>
      <c r="H73" s="42"/>
      <c r="M73" s="70" t="s">
        <v>124</v>
      </c>
    </row>
    <row r="74" spans="1:13" s="43" customFormat="1" ht="27.6">
      <c r="A74" s="38" t="s">
        <v>131</v>
      </c>
      <c r="B74" s="39" t="s">
        <v>132</v>
      </c>
      <c r="C74" s="40">
        <v>1</v>
      </c>
      <c r="D74" s="41">
        <v>6000</v>
      </c>
      <c r="E74" s="41">
        <v>5479.5379999999996</v>
      </c>
      <c r="F74" s="41"/>
      <c r="G74" s="42"/>
      <c r="H74" s="42"/>
    </row>
    <row r="75" spans="1:13" s="43" customFormat="1">
      <c r="A75" s="38">
        <v>3</v>
      </c>
      <c r="B75" s="39" t="s">
        <v>133</v>
      </c>
      <c r="C75" s="40">
        <v>1</v>
      </c>
      <c r="D75" s="41">
        <v>11200</v>
      </c>
      <c r="E75" s="41">
        <v>10537.289000000001</v>
      </c>
      <c r="F75" s="41"/>
      <c r="G75" s="42"/>
      <c r="H75" s="42"/>
    </row>
    <row r="76" spans="1:13" s="43" customFormat="1" ht="27.6">
      <c r="A76" s="38" t="s">
        <v>134</v>
      </c>
      <c r="B76" s="39" t="s">
        <v>135</v>
      </c>
      <c r="C76" s="40">
        <v>1</v>
      </c>
      <c r="D76" s="41">
        <v>1050</v>
      </c>
      <c r="E76" s="41">
        <v>836.65099999999995</v>
      </c>
      <c r="F76" s="41"/>
      <c r="G76" s="42"/>
      <c r="H76" s="42"/>
    </row>
    <row r="77" spans="1:13" s="43" customFormat="1" ht="35.25" customHeight="1">
      <c r="A77" s="38">
        <v>4</v>
      </c>
      <c r="B77" s="39" t="s">
        <v>136</v>
      </c>
      <c r="C77" s="40">
        <v>1</v>
      </c>
      <c r="D77" s="41">
        <v>6200</v>
      </c>
      <c r="E77" s="41">
        <v>5893.29</v>
      </c>
      <c r="F77" s="41"/>
      <c r="G77" s="42"/>
      <c r="H77" s="42"/>
    </row>
    <row r="78" spans="1:13" s="43" customFormat="1" ht="27" customHeight="1">
      <c r="A78" s="38" t="s">
        <v>137</v>
      </c>
      <c r="B78" s="39" t="s">
        <v>138</v>
      </c>
      <c r="C78" s="40">
        <v>1</v>
      </c>
      <c r="D78" s="41">
        <v>3431</v>
      </c>
      <c r="E78" s="41">
        <v>3099.9079999999999</v>
      </c>
      <c r="F78" s="41"/>
      <c r="G78" s="42"/>
      <c r="H78" s="42"/>
    </row>
    <row r="79" spans="1:13" s="7" customFormat="1">
      <c r="A79" s="38"/>
      <c r="B79" s="121"/>
      <c r="C79" s="122"/>
      <c r="D79" s="123"/>
      <c r="E79" s="123"/>
      <c r="F79" s="124"/>
      <c r="G79" s="6"/>
      <c r="H79" s="6"/>
    </row>
    <row r="80" spans="1:13" s="7" customFormat="1">
      <c r="A80" s="4" t="s">
        <v>43</v>
      </c>
      <c r="B80" s="879" t="s">
        <v>86</v>
      </c>
      <c r="C80" s="879"/>
      <c r="D80" s="879"/>
      <c r="E80" s="879"/>
      <c r="F80" s="879"/>
      <c r="G80" s="6"/>
      <c r="H80" s="6"/>
    </row>
    <row r="81" spans="1:15">
      <c r="A81" s="8"/>
      <c r="B81" s="125" t="s">
        <v>76</v>
      </c>
      <c r="C81" s="30">
        <f ca="1">SUM(C31:C92)</f>
        <v>9</v>
      </c>
      <c r="D81" s="30">
        <f ca="1">SUM(D31:D92)</f>
        <v>19314.599999999999</v>
      </c>
      <c r="E81" s="30">
        <f ca="1">SUM(E31:E92)</f>
        <v>16211.210999999999</v>
      </c>
      <c r="F81" s="30">
        <f ca="1">SUM(F31:F92)</f>
        <v>11514.793</v>
      </c>
      <c r="G81" s="30">
        <f t="shared" ref="G81:L81" ca="1" si="3">SUM(G47:G93)</f>
        <v>0</v>
      </c>
      <c r="H81" s="30">
        <f t="shared" ca="1" si="3"/>
        <v>0</v>
      </c>
      <c r="I81" s="30">
        <f t="shared" ca="1" si="3"/>
        <v>0</v>
      </c>
      <c r="J81" s="30">
        <f t="shared" ca="1" si="3"/>
        <v>0</v>
      </c>
      <c r="K81" s="30">
        <f t="shared" ca="1" si="3"/>
        <v>0</v>
      </c>
      <c r="L81" s="30">
        <f t="shared" ca="1" si="3"/>
        <v>0</v>
      </c>
    </row>
    <row r="82" spans="1:15" s="7" customFormat="1" ht="36.75" customHeight="1">
      <c r="A82" s="73" t="s">
        <v>78</v>
      </c>
      <c r="B82" s="19" t="s">
        <v>139</v>
      </c>
      <c r="C82" s="30"/>
      <c r="D82" s="30"/>
      <c r="E82" s="30"/>
      <c r="F82" s="30"/>
      <c r="G82" s="6"/>
      <c r="H82" s="6"/>
    </row>
    <row r="83" spans="1:15" s="91" customFormat="1" ht="42" customHeight="1">
      <c r="A83" s="42">
        <v>1</v>
      </c>
      <c r="B83" s="126" t="s">
        <v>140</v>
      </c>
      <c r="C83" s="47">
        <v>1</v>
      </c>
      <c r="D83" s="47">
        <v>8000</v>
      </c>
      <c r="E83" s="47">
        <v>7849.3639999999996</v>
      </c>
      <c r="F83" s="127"/>
      <c r="G83" s="128"/>
      <c r="H83" s="128"/>
      <c r="M83" s="129" t="s">
        <v>124</v>
      </c>
      <c r="N83" s="130" t="s">
        <v>141</v>
      </c>
    </row>
    <row r="84" spans="1:15" s="7" customFormat="1" ht="46.5" customHeight="1">
      <c r="A84" s="131" t="s">
        <v>78</v>
      </c>
      <c r="B84" s="125" t="s">
        <v>142</v>
      </c>
      <c r="C84" s="33"/>
      <c r="D84" s="37"/>
      <c r="E84" s="37"/>
      <c r="F84" s="31"/>
      <c r="G84" s="6"/>
      <c r="H84" s="6"/>
      <c r="M84" s="132"/>
      <c r="N84" s="132"/>
    </row>
    <row r="85" spans="1:15" s="138" customFormat="1" ht="46.5" customHeight="1">
      <c r="A85" s="133">
        <v>1</v>
      </c>
      <c r="B85" s="134" t="s">
        <v>143</v>
      </c>
      <c r="C85" s="135">
        <v>1</v>
      </c>
      <c r="D85" s="136">
        <v>2204</v>
      </c>
      <c r="E85" s="136">
        <v>1983.647925</v>
      </c>
      <c r="F85" s="136"/>
      <c r="G85" s="137"/>
      <c r="H85" s="137"/>
      <c r="M85" s="139" t="s">
        <v>124</v>
      </c>
      <c r="N85" s="130" t="s">
        <v>141</v>
      </c>
    </row>
    <row r="86" spans="1:15" s="7" customFormat="1" ht="36.75" customHeight="1">
      <c r="A86" s="4" t="s">
        <v>78</v>
      </c>
      <c r="B86" s="19" t="s">
        <v>80</v>
      </c>
      <c r="C86" s="30"/>
      <c r="D86" s="31"/>
      <c r="E86" s="31"/>
      <c r="F86" s="31"/>
      <c r="G86" s="6"/>
      <c r="H86" s="6"/>
    </row>
    <row r="87" spans="1:15" s="71" customFormat="1" ht="36" customHeight="1">
      <c r="A87" s="78">
        <v>2</v>
      </c>
      <c r="B87" s="79" t="s">
        <v>144</v>
      </c>
      <c r="C87" s="40">
        <v>1</v>
      </c>
      <c r="D87" s="63">
        <v>1700</v>
      </c>
      <c r="E87" s="63">
        <v>1648.4490000000001</v>
      </c>
      <c r="F87" s="63">
        <v>1648.4490000000001</v>
      </c>
      <c r="G87" s="80"/>
      <c r="H87" s="80"/>
    </row>
    <row r="88" spans="1:15" s="71" customFormat="1" ht="36" customHeight="1">
      <c r="A88" s="78">
        <v>1</v>
      </c>
      <c r="B88" s="79" t="s">
        <v>145</v>
      </c>
      <c r="C88" s="40">
        <v>1</v>
      </c>
      <c r="D88" s="63">
        <v>3500</v>
      </c>
      <c r="E88" s="63">
        <v>3402.1469999999999</v>
      </c>
      <c r="F88" s="140"/>
      <c r="G88" s="80"/>
      <c r="H88" s="80"/>
      <c r="M88" s="71" t="s">
        <v>124</v>
      </c>
    </row>
    <row r="89" spans="1:15" s="71" customFormat="1" ht="36" customHeight="1">
      <c r="A89" s="78">
        <v>5</v>
      </c>
      <c r="B89" s="79" t="s">
        <v>146</v>
      </c>
      <c r="C89" s="40">
        <v>1</v>
      </c>
      <c r="D89" s="63">
        <v>1364.6</v>
      </c>
      <c r="E89" s="63">
        <v>1294.271</v>
      </c>
      <c r="F89" s="140"/>
      <c r="G89" s="80"/>
      <c r="H89" s="80"/>
      <c r="M89" s="71" t="s">
        <v>124</v>
      </c>
    </row>
    <row r="90" spans="1:15" s="71" customFormat="1" ht="36" customHeight="1">
      <c r="A90" s="78">
        <v>3</v>
      </c>
      <c r="B90" s="79" t="s">
        <v>147</v>
      </c>
      <c r="C90" s="40">
        <v>1</v>
      </c>
      <c r="D90" s="63">
        <v>2900</v>
      </c>
      <c r="E90" s="63">
        <v>2825.308</v>
      </c>
      <c r="F90" s="63">
        <v>2825.308</v>
      </c>
      <c r="G90" s="80"/>
      <c r="H90" s="80"/>
    </row>
    <row r="91" spans="1:15" s="43" customFormat="1" ht="36.75" customHeight="1">
      <c r="A91" s="60" t="s">
        <v>89</v>
      </c>
      <c r="B91" s="61" t="s">
        <v>148</v>
      </c>
      <c r="C91" s="62">
        <v>1</v>
      </c>
      <c r="D91" s="41">
        <v>2500</v>
      </c>
      <c r="E91" s="63">
        <v>2400.0329999999999</v>
      </c>
      <c r="F91" s="63">
        <v>2400.0329999999999</v>
      </c>
      <c r="G91" s="42"/>
      <c r="H91" s="42"/>
      <c r="O91" s="141"/>
    </row>
    <row r="92" spans="1:15" s="43" customFormat="1" ht="36.75" customHeight="1">
      <c r="A92" s="60" t="s">
        <v>134</v>
      </c>
      <c r="B92" s="61" t="s">
        <v>149</v>
      </c>
      <c r="C92" s="62">
        <v>1</v>
      </c>
      <c r="D92" s="41">
        <v>2500</v>
      </c>
      <c r="E92" s="41">
        <v>1750</v>
      </c>
      <c r="F92" s="41">
        <v>1750</v>
      </c>
      <c r="G92" s="64"/>
      <c r="H92" s="42"/>
    </row>
    <row r="94" spans="1:15" ht="28.5" customHeight="1">
      <c r="A94" s="880" t="s">
        <v>150</v>
      </c>
      <c r="B94" s="880"/>
      <c r="C94" s="880"/>
      <c r="D94" s="880"/>
      <c r="E94" s="880"/>
      <c r="F94" s="880"/>
    </row>
    <row r="95" spans="1:15" ht="97.5" customHeight="1">
      <c r="A95" s="4" t="s">
        <v>16</v>
      </c>
      <c r="B95" s="4" t="s">
        <v>67</v>
      </c>
      <c r="C95" s="5" t="s">
        <v>151</v>
      </c>
      <c r="D95" s="4" t="s">
        <v>3</v>
      </c>
      <c r="E95" s="4" t="s">
        <v>152</v>
      </c>
      <c r="F95" s="4" t="s">
        <v>32</v>
      </c>
      <c r="G95" s="4" t="s">
        <v>153</v>
      </c>
      <c r="H95" s="73" t="s">
        <v>154</v>
      </c>
    </row>
    <row r="96" spans="1:15">
      <c r="A96" s="8">
        <v>1</v>
      </c>
      <c r="B96" s="4">
        <v>2</v>
      </c>
      <c r="C96" s="5">
        <v>3</v>
      </c>
      <c r="D96" s="4">
        <v>4</v>
      </c>
      <c r="E96" s="4">
        <v>5</v>
      </c>
      <c r="F96" s="5"/>
      <c r="G96" s="23"/>
      <c r="H96" s="23"/>
    </row>
    <row r="97" spans="1:13">
      <c r="A97" s="8"/>
      <c r="B97" s="5" t="s">
        <v>76</v>
      </c>
      <c r="C97" s="96">
        <f>+C99+C103</f>
        <v>5</v>
      </c>
      <c r="D97" s="96">
        <f>+D99+D103</f>
        <v>12940</v>
      </c>
      <c r="E97" s="96">
        <f>+E99+E103</f>
        <v>8046.7730000000001</v>
      </c>
      <c r="F97" s="96"/>
      <c r="G97" s="23"/>
      <c r="H97" s="23"/>
    </row>
    <row r="98" spans="1:13" ht="14.4">
      <c r="A98" s="8"/>
      <c r="B98" s="5" t="s">
        <v>117</v>
      </c>
      <c r="C98" s="142"/>
      <c r="D98" s="142"/>
      <c r="E98" s="142"/>
      <c r="F98" s="143"/>
      <c r="G98" s="23"/>
      <c r="H98" s="23"/>
    </row>
    <row r="99" spans="1:13" s="7" customFormat="1" ht="27.6">
      <c r="A99" s="4" t="s">
        <v>36</v>
      </c>
      <c r="B99" s="5" t="s">
        <v>77</v>
      </c>
      <c r="C99" s="30">
        <f>+C100</f>
        <v>0</v>
      </c>
      <c r="D99" s="30">
        <f t="shared" ref="D99:E99" si="4">+D100</f>
        <v>0</v>
      </c>
      <c r="E99" s="30">
        <f t="shared" si="4"/>
        <v>0</v>
      </c>
      <c r="F99" s="31"/>
      <c r="G99" s="73"/>
      <c r="H99" s="73"/>
    </row>
    <row r="100" spans="1:13" ht="50.25" customHeight="1">
      <c r="A100" s="144" t="s">
        <v>78</v>
      </c>
      <c r="B100" s="19" t="s">
        <v>80</v>
      </c>
      <c r="C100" s="145"/>
      <c r="D100" s="35"/>
      <c r="E100" s="21"/>
      <c r="F100" s="146"/>
      <c r="G100" s="23"/>
      <c r="H100" s="23"/>
    </row>
    <row r="102" spans="1:13" ht="27.6">
      <c r="A102" s="8" t="s">
        <v>78</v>
      </c>
      <c r="B102" s="147" t="s">
        <v>81</v>
      </c>
      <c r="C102" s="33"/>
      <c r="D102" s="37"/>
      <c r="E102" s="37"/>
      <c r="F102" s="37"/>
      <c r="G102" s="23"/>
      <c r="H102" s="23"/>
    </row>
    <row r="103" spans="1:13" s="7" customFormat="1" ht="27.6">
      <c r="A103" s="4" t="s">
        <v>43</v>
      </c>
      <c r="B103" s="5" t="s">
        <v>86</v>
      </c>
      <c r="C103" s="30">
        <f>SUM(C105:C109)</f>
        <v>5</v>
      </c>
      <c r="D103" s="30">
        <f t="shared" ref="D103:L103" si="5">SUM(D105:D109)</f>
        <v>12940</v>
      </c>
      <c r="E103" s="30">
        <f t="shared" si="5"/>
        <v>8046.7730000000001</v>
      </c>
      <c r="F103" s="30">
        <f t="shared" si="5"/>
        <v>0</v>
      </c>
      <c r="G103" s="30">
        <f t="shared" si="5"/>
        <v>0</v>
      </c>
      <c r="H103" s="30">
        <f t="shared" si="5"/>
        <v>0</v>
      </c>
      <c r="I103" s="30">
        <f t="shared" si="5"/>
        <v>0</v>
      </c>
      <c r="J103" s="30">
        <f t="shared" si="5"/>
        <v>0</v>
      </c>
      <c r="K103" s="30">
        <f t="shared" si="5"/>
        <v>0</v>
      </c>
      <c r="L103" s="30">
        <f t="shared" si="5"/>
        <v>0</v>
      </c>
    </row>
    <row r="104" spans="1:13" s="7" customFormat="1" ht="36" customHeight="1">
      <c r="A104" s="18" t="s">
        <v>78</v>
      </c>
      <c r="B104" s="19" t="s">
        <v>80</v>
      </c>
      <c r="C104" s="33"/>
      <c r="D104" s="37"/>
      <c r="E104" s="37"/>
      <c r="F104" s="31"/>
      <c r="G104" s="73"/>
      <c r="H104" s="73"/>
    </row>
    <row r="105" spans="1:13" s="138" customFormat="1" ht="36" customHeight="1">
      <c r="A105" s="148">
        <v>1</v>
      </c>
      <c r="B105" s="149" t="s">
        <v>155</v>
      </c>
      <c r="C105" s="135">
        <v>1</v>
      </c>
      <c r="D105" s="136">
        <v>2340</v>
      </c>
      <c r="E105" s="136">
        <v>1690</v>
      </c>
      <c r="F105" s="136"/>
      <c r="G105" s="150"/>
      <c r="H105" s="150"/>
    </row>
    <row r="106" spans="1:13" s="138" customFormat="1" ht="36" customHeight="1">
      <c r="A106" s="148">
        <v>2</v>
      </c>
      <c r="B106" s="151" t="s">
        <v>156</v>
      </c>
      <c r="C106" s="135">
        <v>1</v>
      </c>
      <c r="D106" s="136">
        <v>1600</v>
      </c>
      <c r="E106" s="136">
        <v>1436.9870000000001</v>
      </c>
      <c r="F106" s="136"/>
      <c r="G106" s="150"/>
      <c r="H106" s="150"/>
    </row>
    <row r="107" spans="1:13" s="71" customFormat="1" ht="36" customHeight="1">
      <c r="A107" s="18">
        <v>3</v>
      </c>
      <c r="B107" s="152" t="s">
        <v>157</v>
      </c>
      <c r="C107" s="153">
        <v>1</v>
      </c>
      <c r="D107" s="154">
        <v>1200</v>
      </c>
      <c r="E107" s="63">
        <v>1061.7439999999999</v>
      </c>
      <c r="F107" s="140"/>
      <c r="G107" s="80"/>
      <c r="H107" s="80"/>
      <c r="M107" s="71" t="s">
        <v>124</v>
      </c>
    </row>
    <row r="108" spans="1:13" s="91" customFormat="1" ht="36" customHeight="1">
      <c r="A108" s="18">
        <v>4</v>
      </c>
      <c r="B108" s="88" t="s">
        <v>158</v>
      </c>
      <c r="C108" s="47">
        <v>1</v>
      </c>
      <c r="D108" s="89">
        <v>2300</v>
      </c>
      <c r="E108" s="89">
        <v>858.04200000000003</v>
      </c>
      <c r="F108" s="155"/>
      <c r="G108" s="90"/>
      <c r="H108" s="90"/>
      <c r="M108" s="91" t="s">
        <v>124</v>
      </c>
    </row>
    <row r="109" spans="1:13" s="71" customFormat="1" ht="36" customHeight="1">
      <c r="A109" s="18">
        <v>5</v>
      </c>
      <c r="B109" s="79" t="s">
        <v>159</v>
      </c>
      <c r="C109" s="153">
        <v>1</v>
      </c>
      <c r="D109" s="154">
        <v>5500</v>
      </c>
      <c r="E109" s="63">
        <v>3000</v>
      </c>
      <c r="F109" s="140"/>
      <c r="G109" s="80"/>
      <c r="H109" s="80"/>
      <c r="M109" s="71" t="s">
        <v>160</v>
      </c>
    </row>
    <row r="110" spans="1:13" ht="30.75" customHeight="1">
      <c r="A110" s="156"/>
      <c r="B110" s="157"/>
      <c r="C110" s="158"/>
      <c r="D110" s="159"/>
      <c r="E110" s="159"/>
      <c r="F110" s="159"/>
    </row>
    <row r="111" spans="1:13">
      <c r="A111" s="881"/>
      <c r="B111" s="881"/>
      <c r="C111" s="881"/>
      <c r="D111" s="881"/>
      <c r="E111" s="881"/>
      <c r="F111" s="881"/>
      <c r="I111" s="160"/>
    </row>
    <row r="112" spans="1:13">
      <c r="A112" s="881"/>
      <c r="B112" s="881"/>
      <c r="C112" s="881"/>
      <c r="D112" s="881"/>
      <c r="E112" s="881"/>
      <c r="F112" s="881"/>
    </row>
    <row r="113" spans="1:6">
      <c r="A113" s="881"/>
      <c r="B113" s="881"/>
      <c r="C113" s="881"/>
      <c r="D113" s="881"/>
      <c r="E113" s="881"/>
      <c r="F113" s="881"/>
    </row>
    <row r="129" spans="1:8" s="138" customFormat="1" ht="40.5" customHeight="1">
      <c r="A129" s="161">
        <v>1</v>
      </c>
      <c r="B129" s="114" t="s">
        <v>161</v>
      </c>
      <c r="C129" s="135">
        <v>1</v>
      </c>
      <c r="D129" s="162">
        <v>7000</v>
      </c>
      <c r="E129" s="136">
        <v>6556.5770000000002</v>
      </c>
      <c r="F129" s="136"/>
      <c r="G129" s="150" t="s">
        <v>111</v>
      </c>
      <c r="H129" s="150"/>
    </row>
  </sheetData>
  <mergeCells count="11">
    <mergeCell ref="B80:F80"/>
    <mergeCell ref="A94:F94"/>
    <mergeCell ref="A111:F111"/>
    <mergeCell ref="A112:F112"/>
    <mergeCell ref="A113:F113"/>
    <mergeCell ref="A54:F54"/>
    <mergeCell ref="A1:F1"/>
    <mergeCell ref="A2:F2"/>
    <mergeCell ref="A3:F3"/>
    <mergeCell ref="A8:F8"/>
    <mergeCell ref="B25:F25"/>
  </mergeCells>
  <conditionalFormatting sqref="B30 B91:B92">
    <cfRule type="expression" dxfId="3" priority="1">
      <formula>$G30="Đã hoàn thành"</formula>
    </cfRule>
    <cfRule type="expression" dxfId="2" priority="2">
      <formula>$G30="Đang thực hiện"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32"/>
  <sheetViews>
    <sheetView view="pageBreakPreview" topLeftCell="A5" zoomScale="55" zoomScaleNormal="70" zoomScaleSheetLayoutView="55" workbookViewId="0">
      <pane xSplit="2" ySplit="4" topLeftCell="C9" activePane="bottomRight" state="frozen"/>
      <selection activeCell="A5" sqref="A5"/>
      <selection pane="topRight" activeCell="C5" sqref="C5"/>
      <selection pane="bottomLeft" activeCell="A9" sqref="A9"/>
      <selection pane="bottomRight" activeCell="AI27" sqref="AI27"/>
    </sheetView>
  </sheetViews>
  <sheetFormatPr defaultColWidth="9.109375" defaultRowHeight="15.6"/>
  <cols>
    <col min="1" max="1" width="9.109375" style="674"/>
    <col min="2" max="2" width="41.88671875" style="675" customWidth="1"/>
    <col min="3" max="3" width="20.109375" style="675" customWidth="1"/>
    <col min="4" max="4" width="12.33203125" style="675" customWidth="1"/>
    <col min="5" max="5" width="6.88671875" style="674" customWidth="1"/>
    <col min="6" max="6" width="9.109375" style="675"/>
    <col min="7" max="7" width="11.109375" style="675" customWidth="1"/>
    <col min="8" max="8" width="13.33203125" style="675" customWidth="1"/>
    <col min="9" max="10" width="12.88671875" style="675" customWidth="1"/>
    <col min="11" max="12" width="12.6640625" style="675" customWidth="1"/>
    <col min="13" max="14" width="13.109375" style="675" customWidth="1"/>
    <col min="15" max="21" width="10.109375" style="675" customWidth="1"/>
    <col min="22" max="22" width="13.44140625" style="675" customWidth="1"/>
    <col min="23" max="23" width="10.109375" style="675" customWidth="1"/>
    <col min="24" max="24" width="13.6640625" style="675" customWidth="1"/>
    <col min="25" max="25" width="11.77734375" style="675" customWidth="1"/>
    <col min="26" max="26" width="10.109375" style="675" customWidth="1"/>
    <col min="27" max="27" width="11.109375" style="675" customWidth="1"/>
    <col min="28" max="30" width="10.109375" style="675" customWidth="1"/>
    <col min="31" max="31" width="13.33203125" style="675" customWidth="1"/>
    <col min="32" max="32" width="12.44140625" style="675" customWidth="1"/>
    <col min="33" max="33" width="9.21875" style="675" customWidth="1"/>
    <col min="34" max="34" width="12.77734375" style="675" customWidth="1"/>
    <col min="35" max="35" width="12.88671875" style="675" customWidth="1"/>
    <col min="36" max="36" width="10.88671875" style="675" customWidth="1"/>
    <col min="37" max="37" width="13.77734375" style="675" customWidth="1"/>
    <col min="38" max="38" width="11.109375" style="675" bestFit="1" customWidth="1"/>
    <col min="39" max="39" width="11.6640625" style="675" customWidth="1"/>
    <col min="40" max="40" width="11.33203125" style="675" customWidth="1"/>
    <col min="41" max="41" width="13.33203125" style="675" customWidth="1"/>
    <col min="42" max="42" width="16.33203125" style="675" customWidth="1"/>
    <col min="43" max="16384" width="9.109375" style="675"/>
  </cols>
  <sheetData>
    <row r="1" spans="1:42" s="741" customFormat="1" ht="17.399999999999999">
      <c r="A1" s="858" t="s">
        <v>47</v>
      </c>
      <c r="B1" s="858"/>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row>
    <row r="2" spans="1:42" s="741" customFormat="1" ht="17.399999999999999">
      <c r="A2" s="858" t="s">
        <v>48</v>
      </c>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858"/>
      <c r="AC2" s="858"/>
      <c r="AD2" s="858"/>
      <c r="AE2" s="858"/>
      <c r="AF2" s="858"/>
      <c r="AG2" s="858"/>
      <c r="AH2" s="858"/>
      <c r="AI2" s="858"/>
      <c r="AJ2" s="858"/>
      <c r="AK2" s="858"/>
      <c r="AL2" s="858"/>
      <c r="AM2" s="858"/>
      <c r="AN2" s="858"/>
      <c r="AO2" s="858"/>
      <c r="AP2" s="858"/>
    </row>
    <row r="3" spans="1:42" s="742" customFormat="1" ht="18">
      <c r="A3" s="890" t="s">
        <v>669</v>
      </c>
      <c r="B3" s="890"/>
      <c r="C3" s="890"/>
      <c r="D3" s="890"/>
      <c r="E3" s="890"/>
      <c r="F3" s="890"/>
      <c r="G3" s="890"/>
      <c r="H3" s="890"/>
      <c r="I3" s="890"/>
      <c r="J3" s="890"/>
      <c r="K3" s="890"/>
      <c r="L3" s="890"/>
      <c r="M3" s="890"/>
      <c r="N3" s="890"/>
      <c r="O3" s="890"/>
      <c r="P3" s="890"/>
      <c r="Q3" s="890"/>
      <c r="R3" s="890"/>
      <c r="S3" s="890"/>
      <c r="T3" s="890"/>
      <c r="U3" s="890"/>
      <c r="V3" s="890"/>
      <c r="W3" s="890"/>
      <c r="X3" s="890"/>
      <c r="Y3" s="890"/>
      <c r="Z3" s="890"/>
      <c r="AA3" s="890"/>
      <c r="AB3" s="890"/>
      <c r="AC3" s="890"/>
      <c r="AD3" s="890"/>
      <c r="AE3" s="890"/>
      <c r="AF3" s="890"/>
      <c r="AG3" s="890"/>
      <c r="AH3" s="890"/>
      <c r="AI3" s="890"/>
      <c r="AJ3" s="890"/>
      <c r="AK3" s="890"/>
      <c r="AL3" s="890"/>
      <c r="AM3" s="890"/>
      <c r="AN3" s="890"/>
      <c r="AO3" s="890"/>
      <c r="AP3" s="890"/>
    </row>
    <row r="4" spans="1:42" s="744" customFormat="1" ht="18">
      <c r="A4" s="743"/>
      <c r="E4" s="743"/>
      <c r="AN4" s="891" t="s">
        <v>49</v>
      </c>
      <c r="AO4" s="891"/>
      <c r="AP4" s="891"/>
    </row>
    <row r="5" spans="1:42" ht="48.75" customHeight="1">
      <c r="A5" s="886" t="s">
        <v>16</v>
      </c>
      <c r="B5" s="886" t="s">
        <v>0</v>
      </c>
      <c r="C5" s="886" t="s">
        <v>17</v>
      </c>
      <c r="D5" s="886" t="s">
        <v>20</v>
      </c>
      <c r="E5" s="887" t="s">
        <v>1</v>
      </c>
      <c r="F5" s="886" t="s">
        <v>18</v>
      </c>
      <c r="G5" s="886" t="s">
        <v>19</v>
      </c>
      <c r="H5" s="886" t="s">
        <v>2</v>
      </c>
      <c r="I5" s="886" t="s">
        <v>3</v>
      </c>
      <c r="J5" s="886"/>
      <c r="K5" s="886" t="s">
        <v>22</v>
      </c>
      <c r="L5" s="886"/>
      <c r="M5" s="886" t="s">
        <v>4</v>
      </c>
      <c r="N5" s="886"/>
      <c r="O5" s="886" t="s">
        <v>23</v>
      </c>
      <c r="P5" s="886"/>
      <c r="Q5" s="886"/>
      <c r="R5" s="886"/>
      <c r="S5" s="886"/>
      <c r="T5" s="886"/>
      <c r="U5" s="886"/>
      <c r="V5" s="886"/>
      <c r="W5" s="886"/>
      <c r="X5" s="886"/>
      <c r="Y5" s="886" t="s">
        <v>27</v>
      </c>
      <c r="Z5" s="886"/>
      <c r="AA5" s="886"/>
      <c r="AB5" s="886"/>
      <c r="AC5" s="886"/>
      <c r="AD5" s="886"/>
      <c r="AE5" s="886"/>
      <c r="AF5" s="886"/>
      <c r="AG5" s="886"/>
      <c r="AH5" s="886"/>
      <c r="AI5" s="892" t="s">
        <v>672</v>
      </c>
      <c r="AJ5" s="894"/>
      <c r="AK5" s="893"/>
      <c r="AL5" s="886" t="s">
        <v>31</v>
      </c>
      <c r="AM5" s="886"/>
      <c r="AN5" s="886" t="s">
        <v>30</v>
      </c>
      <c r="AO5" s="887" t="s">
        <v>39</v>
      </c>
      <c r="AP5" s="886" t="s">
        <v>32</v>
      </c>
    </row>
    <row r="6" spans="1:42" ht="45" customHeight="1">
      <c r="A6" s="886"/>
      <c r="B6" s="886"/>
      <c r="C6" s="886"/>
      <c r="D6" s="886"/>
      <c r="E6" s="888"/>
      <c r="F6" s="886"/>
      <c r="G6" s="886"/>
      <c r="H6" s="886"/>
      <c r="I6" s="886" t="s">
        <v>7</v>
      </c>
      <c r="J6" s="886" t="s">
        <v>21</v>
      </c>
      <c r="K6" s="886" t="s">
        <v>7</v>
      </c>
      <c r="L6" s="886" t="s">
        <v>21</v>
      </c>
      <c r="M6" s="886" t="s">
        <v>7</v>
      </c>
      <c r="N6" s="886" t="s">
        <v>21</v>
      </c>
      <c r="O6" s="892">
        <v>2021</v>
      </c>
      <c r="P6" s="893"/>
      <c r="Q6" s="886">
        <v>2022</v>
      </c>
      <c r="R6" s="886"/>
      <c r="S6" s="886">
        <v>2023</v>
      </c>
      <c r="T6" s="886"/>
      <c r="U6" s="886">
        <v>2024</v>
      </c>
      <c r="V6" s="886"/>
      <c r="W6" s="892">
        <v>2025</v>
      </c>
      <c r="X6" s="893"/>
      <c r="Y6" s="892">
        <v>2021</v>
      </c>
      <c r="Z6" s="893"/>
      <c r="AA6" s="886">
        <v>2022</v>
      </c>
      <c r="AB6" s="886"/>
      <c r="AC6" s="886">
        <v>2023</v>
      </c>
      <c r="AD6" s="886"/>
      <c r="AE6" s="886">
        <v>2024</v>
      </c>
      <c r="AF6" s="886"/>
      <c r="AG6" s="892" t="s">
        <v>671</v>
      </c>
      <c r="AH6" s="893"/>
      <c r="AI6" s="887" t="s">
        <v>28</v>
      </c>
      <c r="AJ6" s="892" t="s">
        <v>29</v>
      </c>
      <c r="AK6" s="893"/>
      <c r="AL6" s="886" t="s">
        <v>7</v>
      </c>
      <c r="AM6" s="886" t="s">
        <v>21</v>
      </c>
      <c r="AN6" s="886"/>
      <c r="AO6" s="888"/>
      <c r="AP6" s="886"/>
    </row>
    <row r="7" spans="1:42" ht="97.8" customHeight="1">
      <c r="A7" s="886"/>
      <c r="B7" s="886"/>
      <c r="C7" s="886"/>
      <c r="D7" s="886"/>
      <c r="E7" s="889"/>
      <c r="F7" s="886"/>
      <c r="G7" s="886"/>
      <c r="H7" s="886"/>
      <c r="I7" s="886"/>
      <c r="J7" s="886"/>
      <c r="K7" s="886"/>
      <c r="L7" s="886"/>
      <c r="M7" s="886"/>
      <c r="N7" s="886"/>
      <c r="O7" s="740" t="s">
        <v>24</v>
      </c>
      <c r="P7" s="740" t="s">
        <v>9</v>
      </c>
      <c r="Q7" s="740" t="s">
        <v>10</v>
      </c>
      <c r="R7" s="740" t="s">
        <v>11</v>
      </c>
      <c r="S7" s="740" t="s">
        <v>12</v>
      </c>
      <c r="T7" s="740" t="s">
        <v>13</v>
      </c>
      <c r="U7" s="740" t="s">
        <v>25</v>
      </c>
      <c r="V7" s="740" t="s">
        <v>14</v>
      </c>
      <c r="W7" s="740" t="s">
        <v>26</v>
      </c>
      <c r="X7" s="740" t="s">
        <v>15</v>
      </c>
      <c r="Y7" s="740" t="s">
        <v>24</v>
      </c>
      <c r="Z7" s="740" t="s">
        <v>9</v>
      </c>
      <c r="AA7" s="740" t="s">
        <v>10</v>
      </c>
      <c r="AB7" s="740" t="s">
        <v>11</v>
      </c>
      <c r="AC7" s="740" t="s">
        <v>12</v>
      </c>
      <c r="AD7" s="740" t="s">
        <v>13</v>
      </c>
      <c r="AE7" s="740" t="s">
        <v>25</v>
      </c>
      <c r="AF7" s="740" t="s">
        <v>14</v>
      </c>
      <c r="AG7" s="740" t="s">
        <v>26</v>
      </c>
      <c r="AH7" s="740" t="s">
        <v>15</v>
      </c>
      <c r="AI7" s="889"/>
      <c r="AJ7" s="740" t="s">
        <v>26</v>
      </c>
      <c r="AK7" s="740" t="s">
        <v>15</v>
      </c>
      <c r="AL7" s="886"/>
      <c r="AM7" s="886"/>
      <c r="AN7" s="886"/>
      <c r="AO7" s="889"/>
      <c r="AP7" s="886"/>
    </row>
    <row r="8" spans="1:42">
      <c r="A8" s="661">
        <v>1</v>
      </c>
      <c r="B8" s="661">
        <v>2</v>
      </c>
      <c r="C8" s="661">
        <v>3</v>
      </c>
      <c r="D8" s="661">
        <v>4</v>
      </c>
      <c r="E8" s="661">
        <v>5</v>
      </c>
      <c r="F8" s="661">
        <v>6</v>
      </c>
      <c r="G8" s="661">
        <v>7</v>
      </c>
      <c r="H8" s="661">
        <v>8</v>
      </c>
      <c r="I8" s="661">
        <v>9</v>
      </c>
      <c r="J8" s="661">
        <v>10</v>
      </c>
      <c r="K8" s="661">
        <v>11</v>
      </c>
      <c r="L8" s="661">
        <v>12</v>
      </c>
      <c r="M8" s="661">
        <v>13</v>
      </c>
      <c r="N8" s="661">
        <v>14</v>
      </c>
      <c r="O8" s="661">
        <v>15</v>
      </c>
      <c r="P8" s="661">
        <v>16</v>
      </c>
      <c r="Q8" s="661">
        <v>17</v>
      </c>
      <c r="R8" s="661">
        <v>18</v>
      </c>
      <c r="S8" s="661">
        <v>19</v>
      </c>
      <c r="T8" s="661">
        <v>20</v>
      </c>
      <c r="U8" s="661">
        <v>21</v>
      </c>
      <c r="V8" s="661">
        <v>22</v>
      </c>
      <c r="W8" s="661">
        <v>23</v>
      </c>
      <c r="X8" s="661">
        <v>24</v>
      </c>
      <c r="Y8" s="661">
        <v>25</v>
      </c>
      <c r="Z8" s="661">
        <v>26</v>
      </c>
      <c r="AA8" s="661">
        <v>27</v>
      </c>
      <c r="AB8" s="661">
        <v>28</v>
      </c>
      <c r="AC8" s="661">
        <v>29</v>
      </c>
      <c r="AD8" s="661">
        <v>30</v>
      </c>
      <c r="AE8" s="661">
        <v>31</v>
      </c>
      <c r="AF8" s="661">
        <v>32</v>
      </c>
      <c r="AG8" s="661">
        <v>33</v>
      </c>
      <c r="AH8" s="661">
        <v>34</v>
      </c>
      <c r="AI8" s="661" t="s">
        <v>33</v>
      </c>
      <c r="AJ8" s="661" t="s">
        <v>34</v>
      </c>
      <c r="AK8" s="661" t="s">
        <v>35</v>
      </c>
      <c r="AL8" s="661">
        <v>38</v>
      </c>
      <c r="AM8" s="661">
        <v>39</v>
      </c>
      <c r="AN8" s="661">
        <v>40</v>
      </c>
      <c r="AO8" s="661">
        <v>41</v>
      </c>
      <c r="AP8" s="661">
        <v>42</v>
      </c>
    </row>
    <row r="9" spans="1:42" s="673" customFormat="1" ht="30" customHeight="1">
      <c r="A9" s="740" t="s">
        <v>37</v>
      </c>
      <c r="B9" s="676" t="s">
        <v>38</v>
      </c>
      <c r="C9" s="676"/>
      <c r="D9" s="676"/>
      <c r="E9" s="740"/>
      <c r="F9" s="676"/>
      <c r="G9" s="676"/>
      <c r="H9" s="677">
        <f>SUM(H10:H24)</f>
        <v>0</v>
      </c>
      <c r="I9" s="677">
        <f>+I10</f>
        <v>53297</v>
      </c>
      <c r="J9" s="677">
        <f t="shared" ref="J9:AO9" si="0">+J10</f>
        <v>32275</v>
      </c>
      <c r="K9" s="677">
        <f t="shared" si="0"/>
        <v>0.62487892232764264</v>
      </c>
      <c r="L9" s="677">
        <f t="shared" si="0"/>
        <v>16773</v>
      </c>
      <c r="M9" s="677">
        <f t="shared" si="0"/>
        <v>26841.999947</v>
      </c>
      <c r="N9" s="677">
        <f t="shared" si="0"/>
        <v>26841.999947</v>
      </c>
      <c r="O9" s="677">
        <f t="shared" si="0"/>
        <v>0</v>
      </c>
      <c r="P9" s="677">
        <f t="shared" si="0"/>
        <v>0</v>
      </c>
      <c r="Q9" s="677">
        <f t="shared" si="0"/>
        <v>0</v>
      </c>
      <c r="R9" s="677">
        <f t="shared" si="0"/>
        <v>0</v>
      </c>
      <c r="S9" s="677">
        <f t="shared" si="0"/>
        <v>0</v>
      </c>
      <c r="T9" s="677">
        <f t="shared" si="0"/>
        <v>0</v>
      </c>
      <c r="U9" s="677">
        <f t="shared" si="0"/>
        <v>0</v>
      </c>
      <c r="V9" s="677">
        <f t="shared" si="0"/>
        <v>10806.999947</v>
      </c>
      <c r="W9" s="677">
        <f t="shared" si="0"/>
        <v>0</v>
      </c>
      <c r="X9" s="677">
        <f t="shared" si="0"/>
        <v>16035</v>
      </c>
      <c r="Y9" s="677">
        <f t="shared" si="0"/>
        <v>0</v>
      </c>
      <c r="Z9" s="677">
        <f t="shared" si="0"/>
        <v>0</v>
      </c>
      <c r="AA9" s="677">
        <f t="shared" si="0"/>
        <v>0</v>
      </c>
      <c r="AB9" s="677">
        <f t="shared" si="0"/>
        <v>0</v>
      </c>
      <c r="AC9" s="677">
        <f t="shared" si="0"/>
        <v>0</v>
      </c>
      <c r="AD9" s="677">
        <f t="shared" si="0"/>
        <v>0</v>
      </c>
      <c r="AE9" s="677">
        <f t="shared" si="0"/>
        <v>0</v>
      </c>
      <c r="AF9" s="677">
        <f t="shared" si="0"/>
        <v>10806.999947</v>
      </c>
      <c r="AG9" s="677">
        <f t="shared" si="0"/>
        <v>0</v>
      </c>
      <c r="AH9" s="677">
        <f t="shared" si="0"/>
        <v>9539.4809999999998</v>
      </c>
      <c r="AI9" s="677">
        <f t="shared" si="0"/>
        <v>6494.8739999999998</v>
      </c>
      <c r="AJ9" s="677">
        <f t="shared" si="0"/>
        <v>0</v>
      </c>
      <c r="AK9" s="677">
        <f t="shared" si="0"/>
        <v>6494.8739999999998</v>
      </c>
      <c r="AL9" s="677">
        <f t="shared" si="0"/>
        <v>0</v>
      </c>
      <c r="AM9" s="677">
        <f t="shared" si="0"/>
        <v>0</v>
      </c>
      <c r="AN9" s="677">
        <f t="shared" si="0"/>
        <v>0</v>
      </c>
      <c r="AO9" s="677">
        <f t="shared" si="0"/>
        <v>0</v>
      </c>
      <c r="AP9" s="676"/>
    </row>
    <row r="10" spans="1:42" ht="30" customHeight="1">
      <c r="A10" s="678" t="s">
        <v>40</v>
      </c>
      <c r="B10" s="679" t="s">
        <v>41</v>
      </c>
      <c r="C10" s="680"/>
      <c r="D10" s="680"/>
      <c r="E10" s="661"/>
      <c r="F10" s="680"/>
      <c r="G10" s="680"/>
      <c r="H10" s="680"/>
      <c r="I10" s="728">
        <f>SUM(I11:I18)</f>
        <v>53297</v>
      </c>
      <c r="J10" s="728">
        <f t="shared" ref="J10:AM10" si="1">SUM(J11:J18)</f>
        <v>32275</v>
      </c>
      <c r="K10" s="728">
        <f t="shared" si="1"/>
        <v>0.62487892232764264</v>
      </c>
      <c r="L10" s="728">
        <f t="shared" si="1"/>
        <v>16773</v>
      </c>
      <c r="M10" s="728">
        <f t="shared" si="1"/>
        <v>26841.999947</v>
      </c>
      <c r="N10" s="728">
        <f t="shared" si="1"/>
        <v>26841.999947</v>
      </c>
      <c r="O10" s="728">
        <f t="shared" si="1"/>
        <v>0</v>
      </c>
      <c r="P10" s="728">
        <f t="shared" si="1"/>
        <v>0</v>
      </c>
      <c r="Q10" s="728">
        <f t="shared" si="1"/>
        <v>0</v>
      </c>
      <c r="R10" s="728">
        <f t="shared" si="1"/>
        <v>0</v>
      </c>
      <c r="S10" s="728">
        <f t="shared" si="1"/>
        <v>0</v>
      </c>
      <c r="T10" s="728">
        <f t="shared" si="1"/>
        <v>0</v>
      </c>
      <c r="U10" s="728">
        <f t="shared" si="1"/>
        <v>0</v>
      </c>
      <c r="V10" s="728">
        <f t="shared" si="1"/>
        <v>10806.999947</v>
      </c>
      <c r="W10" s="728">
        <f t="shared" si="1"/>
        <v>0</v>
      </c>
      <c r="X10" s="728">
        <f t="shared" si="1"/>
        <v>16035</v>
      </c>
      <c r="Y10" s="728">
        <f t="shared" si="1"/>
        <v>0</v>
      </c>
      <c r="Z10" s="728">
        <f t="shared" si="1"/>
        <v>0</v>
      </c>
      <c r="AA10" s="728">
        <f t="shared" si="1"/>
        <v>0</v>
      </c>
      <c r="AB10" s="728">
        <f t="shared" si="1"/>
        <v>0</v>
      </c>
      <c r="AC10" s="728">
        <f t="shared" si="1"/>
        <v>0</v>
      </c>
      <c r="AD10" s="728">
        <f t="shared" si="1"/>
        <v>0</v>
      </c>
      <c r="AE10" s="728">
        <f t="shared" si="1"/>
        <v>0</v>
      </c>
      <c r="AF10" s="728">
        <f t="shared" si="1"/>
        <v>10806.999947</v>
      </c>
      <c r="AG10" s="728">
        <f t="shared" si="1"/>
        <v>0</v>
      </c>
      <c r="AH10" s="728">
        <f t="shared" si="1"/>
        <v>9539.4809999999998</v>
      </c>
      <c r="AI10" s="728">
        <f t="shared" si="1"/>
        <v>6494.8739999999998</v>
      </c>
      <c r="AJ10" s="728">
        <f t="shared" si="1"/>
        <v>0</v>
      </c>
      <c r="AK10" s="728">
        <f t="shared" si="1"/>
        <v>6494.8739999999998</v>
      </c>
      <c r="AL10" s="728">
        <f t="shared" si="1"/>
        <v>0</v>
      </c>
      <c r="AM10" s="728">
        <f t="shared" si="1"/>
        <v>0</v>
      </c>
      <c r="AN10" s="680"/>
      <c r="AO10" s="680"/>
      <c r="AP10" s="680"/>
    </row>
    <row r="11" spans="1:42" ht="31.2" customHeight="1">
      <c r="A11" s="653" t="s">
        <v>89</v>
      </c>
      <c r="B11" s="654" t="s">
        <v>190</v>
      </c>
      <c r="C11" s="661" t="s">
        <v>448</v>
      </c>
      <c r="D11" s="661" t="s">
        <v>612</v>
      </c>
      <c r="E11" s="661" t="s">
        <v>46</v>
      </c>
      <c r="F11" s="671">
        <v>2023</v>
      </c>
      <c r="G11" s="655" t="s">
        <v>191</v>
      </c>
      <c r="H11" s="656" t="s">
        <v>192</v>
      </c>
      <c r="I11" s="657">
        <v>25662</v>
      </c>
      <c r="J11" s="681">
        <v>4640</v>
      </c>
      <c r="K11" s="734">
        <f>+L11/M10</f>
        <v>0.62487892232764264</v>
      </c>
      <c r="L11" s="680">
        <v>16773</v>
      </c>
      <c r="M11" s="681">
        <f t="shared" ref="M11:M24" si="2">SUM(O11:X11)</f>
        <v>3999.9999469999998</v>
      </c>
      <c r="N11" s="682">
        <f t="shared" ref="N11:N24" si="3">+M11</f>
        <v>3999.9999469999998</v>
      </c>
      <c r="O11" s="680"/>
      <c r="P11" s="680"/>
      <c r="Q11" s="680"/>
      <c r="R11" s="680"/>
      <c r="S11" s="680"/>
      <c r="T11" s="680"/>
      <c r="U11" s="680"/>
      <c r="V11" s="681">
        <v>3999.9999469999998</v>
      </c>
      <c r="W11" s="681"/>
      <c r="X11" s="681"/>
      <c r="Y11" s="681"/>
      <c r="Z11" s="681"/>
      <c r="AA11" s="681"/>
      <c r="AB11" s="681"/>
      <c r="AC11" s="681"/>
      <c r="AD11" s="805"/>
      <c r="AE11" s="681"/>
      <c r="AF11" s="681">
        <v>3999.9999469999998</v>
      </c>
      <c r="AG11" s="681"/>
      <c r="AH11" s="680"/>
      <c r="AI11" s="682">
        <f>+AJ11+AK11</f>
        <v>0</v>
      </c>
      <c r="AJ11" s="682">
        <f>+W11-AG11</f>
        <v>0</v>
      </c>
      <c r="AK11" s="682">
        <f>+X11-AH11</f>
        <v>0</v>
      </c>
      <c r="AL11" s="682"/>
      <c r="AM11" s="682"/>
      <c r="AN11" s="680"/>
      <c r="AO11" s="882" t="s">
        <v>670</v>
      </c>
      <c r="AP11" s="680"/>
    </row>
    <row r="12" spans="1:42" ht="31.2">
      <c r="A12" s="653" t="s">
        <v>131</v>
      </c>
      <c r="B12" s="660" t="s">
        <v>195</v>
      </c>
      <c r="C12" s="661" t="s">
        <v>448</v>
      </c>
      <c r="D12" s="661" t="s">
        <v>610</v>
      </c>
      <c r="E12" s="661" t="s">
        <v>46</v>
      </c>
      <c r="F12" s="671">
        <v>2023</v>
      </c>
      <c r="G12" s="658" t="s">
        <v>196</v>
      </c>
      <c r="H12" s="661" t="s">
        <v>197</v>
      </c>
      <c r="I12" s="659">
        <v>6860</v>
      </c>
      <c r="J12" s="662">
        <v>6860</v>
      </c>
      <c r="K12" s="680"/>
      <c r="L12" s="680"/>
      <c r="M12" s="681">
        <f t="shared" si="2"/>
        <v>6465</v>
      </c>
      <c r="N12" s="682">
        <f t="shared" si="3"/>
        <v>6465</v>
      </c>
      <c r="O12" s="680"/>
      <c r="P12" s="680"/>
      <c r="Q12" s="680"/>
      <c r="R12" s="680"/>
      <c r="S12" s="680"/>
      <c r="T12" s="680"/>
      <c r="U12" s="680"/>
      <c r="V12" s="681">
        <v>5133</v>
      </c>
      <c r="W12" s="681"/>
      <c r="X12" s="681">
        <v>1332</v>
      </c>
      <c r="Y12" s="681"/>
      <c r="Z12" s="681"/>
      <c r="AA12" s="681"/>
      <c r="AB12" s="681"/>
      <c r="AC12" s="681"/>
      <c r="AD12" s="681"/>
      <c r="AE12" s="681"/>
      <c r="AF12" s="681">
        <v>5133</v>
      </c>
      <c r="AG12" s="681"/>
      <c r="AH12" s="726">
        <v>1316.0920000000001</v>
      </c>
      <c r="AI12" s="682">
        <f t="shared" ref="AI12:AI18" si="4">+AJ12+AK12</f>
        <v>15.907999999999902</v>
      </c>
      <c r="AJ12" s="682">
        <f t="shared" ref="AJ12:AJ18" si="5">+W12-AG12</f>
        <v>0</v>
      </c>
      <c r="AK12" s="682">
        <f t="shared" ref="AK12:AK18" si="6">+X12-AH12</f>
        <v>15.907999999999902</v>
      </c>
      <c r="AL12" s="682"/>
      <c r="AM12" s="682"/>
      <c r="AN12" s="680"/>
      <c r="AO12" s="883"/>
      <c r="AP12" s="680"/>
    </row>
    <row r="13" spans="1:42" ht="31.2">
      <c r="A13" s="655">
        <v>3</v>
      </c>
      <c r="B13" s="660" t="s">
        <v>198</v>
      </c>
      <c r="C13" s="661" t="s">
        <v>448</v>
      </c>
      <c r="D13" s="661" t="s">
        <v>613</v>
      </c>
      <c r="E13" s="661" t="s">
        <v>46</v>
      </c>
      <c r="F13" s="671">
        <v>2024</v>
      </c>
      <c r="G13" s="658" t="s">
        <v>196</v>
      </c>
      <c r="H13" s="656" t="s">
        <v>199</v>
      </c>
      <c r="I13" s="659">
        <v>4000</v>
      </c>
      <c r="J13" s="662">
        <v>4000</v>
      </c>
      <c r="K13" s="680"/>
      <c r="L13" s="680"/>
      <c r="M13" s="681">
        <f t="shared" si="2"/>
        <v>3747</v>
      </c>
      <c r="N13" s="682">
        <f t="shared" si="3"/>
        <v>3747</v>
      </c>
      <c r="O13" s="680"/>
      <c r="P13" s="680"/>
      <c r="Q13" s="680"/>
      <c r="R13" s="680"/>
      <c r="S13" s="680"/>
      <c r="T13" s="680"/>
      <c r="U13" s="680"/>
      <c r="V13" s="681">
        <v>1010</v>
      </c>
      <c r="W13" s="681"/>
      <c r="X13" s="681">
        <v>2737</v>
      </c>
      <c r="Y13" s="681"/>
      <c r="Z13" s="681"/>
      <c r="AA13" s="681"/>
      <c r="AB13" s="681"/>
      <c r="AC13" s="681"/>
      <c r="AD13" s="681"/>
      <c r="AE13" s="681"/>
      <c r="AF13" s="681">
        <v>1010</v>
      </c>
      <c r="AG13" s="681"/>
      <c r="AH13" s="726">
        <v>1699.136</v>
      </c>
      <c r="AI13" s="682">
        <f t="shared" si="4"/>
        <v>1037.864</v>
      </c>
      <c r="AJ13" s="682">
        <f t="shared" si="5"/>
        <v>0</v>
      </c>
      <c r="AK13" s="682">
        <f t="shared" si="6"/>
        <v>1037.864</v>
      </c>
      <c r="AL13" s="682"/>
      <c r="AM13" s="682"/>
      <c r="AN13" s="680"/>
      <c r="AO13" s="883"/>
      <c r="AP13" s="680"/>
    </row>
    <row r="14" spans="1:42" ht="31.2">
      <c r="A14" s="655">
        <v>4</v>
      </c>
      <c r="B14" s="660" t="s">
        <v>201</v>
      </c>
      <c r="C14" s="661" t="s">
        <v>448</v>
      </c>
      <c r="D14" s="661" t="s">
        <v>612</v>
      </c>
      <c r="E14" s="661" t="s">
        <v>46</v>
      </c>
      <c r="F14" s="671">
        <v>2024</v>
      </c>
      <c r="G14" s="658" t="s">
        <v>196</v>
      </c>
      <c r="H14" s="656" t="s">
        <v>203</v>
      </c>
      <c r="I14" s="659">
        <v>7000</v>
      </c>
      <c r="J14" s="662">
        <v>7000</v>
      </c>
      <c r="K14" s="680"/>
      <c r="L14" s="680"/>
      <c r="M14" s="681">
        <f t="shared" si="2"/>
        <v>6756</v>
      </c>
      <c r="N14" s="682">
        <f t="shared" si="3"/>
        <v>6756</v>
      </c>
      <c r="O14" s="680"/>
      <c r="P14" s="680"/>
      <c r="Q14" s="680"/>
      <c r="R14" s="680"/>
      <c r="S14" s="680"/>
      <c r="T14" s="680"/>
      <c r="U14" s="680"/>
      <c r="V14" s="681">
        <v>295</v>
      </c>
      <c r="W14" s="681"/>
      <c r="X14" s="681">
        <v>6461</v>
      </c>
      <c r="Y14" s="681"/>
      <c r="Z14" s="681"/>
      <c r="AA14" s="681"/>
      <c r="AB14" s="681"/>
      <c r="AC14" s="681"/>
      <c r="AD14" s="681"/>
      <c r="AE14" s="681"/>
      <c r="AF14" s="681">
        <v>295</v>
      </c>
      <c r="AG14" s="681"/>
      <c r="AH14" s="726">
        <v>3520.37</v>
      </c>
      <c r="AI14" s="682">
        <f t="shared" si="4"/>
        <v>2940.63</v>
      </c>
      <c r="AJ14" s="682">
        <f t="shared" si="5"/>
        <v>0</v>
      </c>
      <c r="AK14" s="682">
        <f t="shared" si="6"/>
        <v>2940.63</v>
      </c>
      <c r="AL14" s="682"/>
      <c r="AM14" s="682"/>
      <c r="AN14" s="680"/>
      <c r="AO14" s="883"/>
      <c r="AP14" s="680"/>
    </row>
    <row r="15" spans="1:42" ht="48.6" customHeight="1">
      <c r="A15" s="655">
        <v>5</v>
      </c>
      <c r="B15" s="660" t="s">
        <v>204</v>
      </c>
      <c r="C15" s="661" t="s">
        <v>448</v>
      </c>
      <c r="D15" s="661" t="s">
        <v>611</v>
      </c>
      <c r="E15" s="661" t="s">
        <v>46</v>
      </c>
      <c r="F15" s="671">
        <v>2025</v>
      </c>
      <c r="G15" s="658" t="s">
        <v>196</v>
      </c>
      <c r="H15" s="656" t="s">
        <v>205</v>
      </c>
      <c r="I15" s="659">
        <v>3500</v>
      </c>
      <c r="J15" s="662">
        <v>3500</v>
      </c>
      <c r="K15" s="680"/>
      <c r="L15" s="680"/>
      <c r="M15" s="681">
        <f t="shared" si="2"/>
        <v>3398</v>
      </c>
      <c r="N15" s="682">
        <f t="shared" si="3"/>
        <v>3398</v>
      </c>
      <c r="O15" s="680"/>
      <c r="P15" s="680"/>
      <c r="Q15" s="680"/>
      <c r="R15" s="680"/>
      <c r="S15" s="680"/>
      <c r="T15" s="680"/>
      <c r="U15" s="680"/>
      <c r="V15" s="681">
        <v>130</v>
      </c>
      <c r="W15" s="681"/>
      <c r="X15" s="681">
        <v>3268</v>
      </c>
      <c r="Y15" s="681"/>
      <c r="Z15" s="681"/>
      <c r="AA15" s="681"/>
      <c r="AB15" s="681"/>
      <c r="AC15" s="681"/>
      <c r="AD15" s="681"/>
      <c r="AE15" s="681"/>
      <c r="AF15" s="681">
        <v>130</v>
      </c>
      <c r="AG15" s="681"/>
      <c r="AH15" s="726">
        <v>1943.981</v>
      </c>
      <c r="AI15" s="682">
        <f t="shared" si="4"/>
        <v>1324.019</v>
      </c>
      <c r="AJ15" s="682">
        <f t="shared" si="5"/>
        <v>0</v>
      </c>
      <c r="AK15" s="682">
        <f t="shared" si="6"/>
        <v>1324.019</v>
      </c>
      <c r="AL15" s="682"/>
      <c r="AM15" s="682"/>
      <c r="AN15" s="680"/>
      <c r="AO15" s="883"/>
      <c r="AP15" s="680"/>
    </row>
    <row r="16" spans="1:42" ht="60" customHeight="1">
      <c r="A16" s="655">
        <v>6</v>
      </c>
      <c r="B16" s="660" t="s">
        <v>206</v>
      </c>
      <c r="C16" s="661" t="s">
        <v>448</v>
      </c>
      <c r="D16" s="661" t="s">
        <v>624</v>
      </c>
      <c r="E16" s="661" t="s">
        <v>46</v>
      </c>
      <c r="F16" s="671"/>
      <c r="G16" s="658" t="s">
        <v>207</v>
      </c>
      <c r="H16" s="656" t="s">
        <v>208</v>
      </c>
      <c r="I16" s="659">
        <v>1000</v>
      </c>
      <c r="J16" s="662">
        <v>1000</v>
      </c>
      <c r="K16" s="680"/>
      <c r="L16" s="680"/>
      <c r="M16" s="681">
        <f t="shared" si="2"/>
        <v>56</v>
      </c>
      <c r="N16" s="682">
        <f t="shared" si="3"/>
        <v>56</v>
      </c>
      <c r="O16" s="680"/>
      <c r="P16" s="680"/>
      <c r="Q16" s="680"/>
      <c r="R16" s="680"/>
      <c r="S16" s="680"/>
      <c r="T16" s="680"/>
      <c r="U16" s="680"/>
      <c r="V16" s="681"/>
      <c r="W16" s="681"/>
      <c r="X16" s="681">
        <v>56</v>
      </c>
      <c r="Y16" s="681"/>
      <c r="Z16" s="681"/>
      <c r="AA16" s="681"/>
      <c r="AB16" s="681"/>
      <c r="AC16" s="681"/>
      <c r="AD16" s="681"/>
      <c r="AE16" s="681"/>
      <c r="AF16" s="681"/>
      <c r="AG16" s="681"/>
      <c r="AH16" s="726">
        <v>55.354999999999997</v>
      </c>
      <c r="AI16" s="682">
        <f t="shared" si="4"/>
        <v>0</v>
      </c>
      <c r="AJ16" s="682">
        <f t="shared" si="5"/>
        <v>0</v>
      </c>
      <c r="AK16" s="682"/>
      <c r="AL16" s="682"/>
      <c r="AM16" s="682"/>
      <c r="AN16" s="680"/>
      <c r="AO16" s="883"/>
      <c r="AP16" s="661" t="s">
        <v>623</v>
      </c>
    </row>
    <row r="17" spans="1:42" ht="31.2">
      <c r="A17" s="655">
        <v>7</v>
      </c>
      <c r="B17" s="660" t="s">
        <v>209</v>
      </c>
      <c r="C17" s="661" t="s">
        <v>448</v>
      </c>
      <c r="D17" s="661" t="s">
        <v>610</v>
      </c>
      <c r="E17" s="661" t="s">
        <v>46</v>
      </c>
      <c r="F17" s="671">
        <v>2025</v>
      </c>
      <c r="G17" s="658" t="s">
        <v>196</v>
      </c>
      <c r="H17" s="656" t="s">
        <v>210</v>
      </c>
      <c r="I17" s="659">
        <v>4275</v>
      </c>
      <c r="J17" s="662">
        <v>4275</v>
      </c>
      <c r="K17" s="680"/>
      <c r="L17" s="680"/>
      <c r="M17" s="681">
        <f t="shared" si="2"/>
        <v>2351</v>
      </c>
      <c r="N17" s="682">
        <f t="shared" si="3"/>
        <v>2351</v>
      </c>
      <c r="O17" s="680"/>
      <c r="P17" s="680"/>
      <c r="Q17" s="680"/>
      <c r="R17" s="680"/>
      <c r="S17" s="680"/>
      <c r="T17" s="680"/>
      <c r="U17" s="680"/>
      <c r="V17" s="681">
        <v>170</v>
      </c>
      <c r="W17" s="681"/>
      <c r="X17" s="681">
        <v>2181</v>
      </c>
      <c r="Y17" s="681"/>
      <c r="Z17" s="681"/>
      <c r="AA17" s="681"/>
      <c r="AB17" s="681"/>
      <c r="AC17" s="681"/>
      <c r="AD17" s="681"/>
      <c r="AE17" s="681"/>
      <c r="AF17" s="681">
        <v>170</v>
      </c>
      <c r="AG17" s="681"/>
      <c r="AH17" s="726">
        <v>1004.547</v>
      </c>
      <c r="AI17" s="682">
        <f t="shared" si="4"/>
        <v>1176.453</v>
      </c>
      <c r="AJ17" s="682">
        <f t="shared" si="5"/>
        <v>0</v>
      </c>
      <c r="AK17" s="682">
        <f t="shared" si="6"/>
        <v>1176.453</v>
      </c>
      <c r="AL17" s="682"/>
      <c r="AM17" s="682"/>
      <c r="AN17" s="680"/>
      <c r="AO17" s="883"/>
      <c r="AP17" s="680"/>
    </row>
    <row r="18" spans="1:42" ht="63" customHeight="1">
      <c r="A18" s="661">
        <v>8</v>
      </c>
      <c r="B18" s="660" t="s">
        <v>643</v>
      </c>
      <c r="C18" s="661" t="s">
        <v>644</v>
      </c>
      <c r="D18" s="661" t="s">
        <v>613</v>
      </c>
      <c r="E18" s="661" t="s">
        <v>46</v>
      </c>
      <c r="F18" s="680"/>
      <c r="G18" s="658" t="s">
        <v>196</v>
      </c>
      <c r="H18" s="661" t="s">
        <v>645</v>
      </c>
      <c r="I18" s="659">
        <v>1000</v>
      </c>
      <c r="J18" s="662">
        <v>1000</v>
      </c>
      <c r="K18" s="680"/>
      <c r="L18" s="680"/>
      <c r="M18" s="681">
        <f>+N18</f>
        <v>69</v>
      </c>
      <c r="N18" s="725">
        <v>69</v>
      </c>
      <c r="O18" s="680"/>
      <c r="P18" s="680"/>
      <c r="Q18" s="680"/>
      <c r="R18" s="680"/>
      <c r="S18" s="680"/>
      <c r="T18" s="680"/>
      <c r="U18" s="680"/>
      <c r="V18" s="683">
        <f>+N18</f>
        <v>69</v>
      </c>
      <c r="W18" s="680"/>
      <c r="X18" s="680"/>
      <c r="Y18" s="680"/>
      <c r="Z18" s="680"/>
      <c r="AA18" s="680"/>
      <c r="AB18" s="680"/>
      <c r="AC18" s="680"/>
      <c r="AD18" s="680"/>
      <c r="AE18" s="680"/>
      <c r="AF18" s="683">
        <f>+V18</f>
        <v>69</v>
      </c>
      <c r="AG18" s="680"/>
      <c r="AH18" s="680"/>
      <c r="AI18" s="682">
        <f t="shared" si="4"/>
        <v>0</v>
      </c>
      <c r="AJ18" s="682">
        <f t="shared" si="5"/>
        <v>0</v>
      </c>
      <c r="AK18" s="682">
        <f t="shared" si="6"/>
        <v>0</v>
      </c>
      <c r="AL18" s="682"/>
      <c r="AM18" s="682"/>
      <c r="AN18" s="680"/>
      <c r="AO18" s="884"/>
      <c r="AP18" s="661" t="s">
        <v>623</v>
      </c>
    </row>
    <row r="19" spans="1:42" ht="29.4" customHeight="1">
      <c r="A19" s="740" t="s">
        <v>44</v>
      </c>
      <c r="B19" s="676" t="s">
        <v>45</v>
      </c>
      <c r="C19" s="680"/>
      <c r="D19" s="680"/>
      <c r="E19" s="661"/>
      <c r="F19" s="680"/>
      <c r="G19" s="680"/>
      <c r="H19" s="680"/>
      <c r="I19" s="677">
        <f>+I20</f>
        <v>90059</v>
      </c>
      <c r="J19" s="677">
        <f t="shared" ref="J19:AM19" si="7">+J20</f>
        <v>79059</v>
      </c>
      <c r="K19" s="677">
        <f t="shared" si="7"/>
        <v>0</v>
      </c>
      <c r="L19" s="677">
        <f t="shared" si="7"/>
        <v>0</v>
      </c>
      <c r="M19" s="677">
        <f t="shared" si="7"/>
        <v>42562.85</v>
      </c>
      <c r="N19" s="677">
        <f t="shared" si="7"/>
        <v>42562.85</v>
      </c>
      <c r="O19" s="677">
        <f t="shared" si="7"/>
        <v>0</v>
      </c>
      <c r="P19" s="677">
        <f t="shared" si="7"/>
        <v>0</v>
      </c>
      <c r="Q19" s="677">
        <f t="shared" si="7"/>
        <v>0</v>
      </c>
      <c r="R19" s="677">
        <f t="shared" si="7"/>
        <v>0</v>
      </c>
      <c r="S19" s="677">
        <f t="shared" si="7"/>
        <v>0</v>
      </c>
      <c r="T19" s="677">
        <f t="shared" si="7"/>
        <v>0</v>
      </c>
      <c r="U19" s="677">
        <f t="shared" si="7"/>
        <v>0</v>
      </c>
      <c r="V19" s="677">
        <f t="shared" si="7"/>
        <v>7100</v>
      </c>
      <c r="W19" s="677">
        <f t="shared" si="7"/>
        <v>0</v>
      </c>
      <c r="X19" s="677">
        <f t="shared" si="7"/>
        <v>35462.85</v>
      </c>
      <c r="Y19" s="677">
        <f t="shared" si="7"/>
        <v>0</v>
      </c>
      <c r="Z19" s="677">
        <f t="shared" si="7"/>
        <v>0</v>
      </c>
      <c r="AA19" s="677">
        <f t="shared" si="7"/>
        <v>0</v>
      </c>
      <c r="AB19" s="677">
        <f t="shared" si="7"/>
        <v>0</v>
      </c>
      <c r="AC19" s="677">
        <f t="shared" si="7"/>
        <v>0</v>
      </c>
      <c r="AD19" s="677">
        <f t="shared" si="7"/>
        <v>0</v>
      </c>
      <c r="AE19" s="677">
        <f t="shared" si="7"/>
        <v>0</v>
      </c>
      <c r="AF19" s="677">
        <f t="shared" si="7"/>
        <v>7100</v>
      </c>
      <c r="AG19" s="677">
        <f t="shared" si="7"/>
        <v>0</v>
      </c>
      <c r="AH19" s="677">
        <f t="shared" si="7"/>
        <v>18838.835999999999</v>
      </c>
      <c r="AI19" s="677">
        <f t="shared" si="7"/>
        <v>16624.013999999999</v>
      </c>
      <c r="AJ19" s="677">
        <f t="shared" si="7"/>
        <v>0</v>
      </c>
      <c r="AK19" s="677">
        <f t="shared" si="7"/>
        <v>16624.013999999999</v>
      </c>
      <c r="AL19" s="677">
        <f t="shared" si="7"/>
        <v>47468.62</v>
      </c>
      <c r="AM19" s="677">
        <f t="shared" si="7"/>
        <v>36468.620000000003</v>
      </c>
      <c r="AN19" s="680"/>
      <c r="AO19" s="680"/>
      <c r="AP19" s="680"/>
    </row>
    <row r="20" spans="1:42" ht="30" customHeight="1">
      <c r="A20" s="678" t="s">
        <v>40</v>
      </c>
      <c r="B20" s="679" t="s">
        <v>41</v>
      </c>
      <c r="C20" s="680"/>
      <c r="D20" s="680"/>
      <c r="E20" s="661"/>
      <c r="F20" s="680"/>
      <c r="G20" s="680"/>
      <c r="H20" s="680"/>
      <c r="I20" s="727">
        <f>+I21+I25+I27</f>
        <v>90059</v>
      </c>
      <c r="J20" s="727">
        <f t="shared" ref="J20:AM20" si="8">+J21+J25+J27</f>
        <v>79059</v>
      </c>
      <c r="K20" s="727">
        <f t="shared" si="8"/>
        <v>0</v>
      </c>
      <c r="L20" s="727">
        <f t="shared" si="8"/>
        <v>0</v>
      </c>
      <c r="M20" s="727">
        <f t="shared" si="8"/>
        <v>42562.85</v>
      </c>
      <c r="N20" s="727">
        <f t="shared" si="8"/>
        <v>42562.85</v>
      </c>
      <c r="O20" s="727">
        <f t="shared" si="8"/>
        <v>0</v>
      </c>
      <c r="P20" s="727">
        <f t="shared" si="8"/>
        <v>0</v>
      </c>
      <c r="Q20" s="727">
        <f t="shared" si="8"/>
        <v>0</v>
      </c>
      <c r="R20" s="727">
        <f t="shared" si="8"/>
        <v>0</v>
      </c>
      <c r="S20" s="727">
        <f t="shared" si="8"/>
        <v>0</v>
      </c>
      <c r="T20" s="727">
        <f t="shared" si="8"/>
        <v>0</v>
      </c>
      <c r="U20" s="727">
        <f t="shared" si="8"/>
        <v>0</v>
      </c>
      <c r="V20" s="727">
        <f t="shared" si="8"/>
        <v>7100</v>
      </c>
      <c r="W20" s="727">
        <f t="shared" si="8"/>
        <v>0</v>
      </c>
      <c r="X20" s="727">
        <f t="shared" si="8"/>
        <v>35462.85</v>
      </c>
      <c r="Y20" s="727">
        <f t="shared" si="8"/>
        <v>0</v>
      </c>
      <c r="Z20" s="727">
        <f t="shared" si="8"/>
        <v>0</v>
      </c>
      <c r="AA20" s="727">
        <f t="shared" si="8"/>
        <v>0</v>
      </c>
      <c r="AB20" s="727">
        <f t="shared" si="8"/>
        <v>0</v>
      </c>
      <c r="AC20" s="727">
        <f t="shared" si="8"/>
        <v>0</v>
      </c>
      <c r="AD20" s="727">
        <f t="shared" si="8"/>
        <v>0</v>
      </c>
      <c r="AE20" s="727">
        <f t="shared" si="8"/>
        <v>0</v>
      </c>
      <c r="AF20" s="727">
        <f t="shared" si="8"/>
        <v>7100</v>
      </c>
      <c r="AG20" s="727">
        <f t="shared" si="8"/>
        <v>0</v>
      </c>
      <c r="AH20" s="727">
        <f t="shared" si="8"/>
        <v>18838.835999999999</v>
      </c>
      <c r="AI20" s="727">
        <f t="shared" si="8"/>
        <v>16624.013999999999</v>
      </c>
      <c r="AJ20" s="727">
        <f t="shared" si="8"/>
        <v>0</v>
      </c>
      <c r="AK20" s="727">
        <f t="shared" si="8"/>
        <v>16624.013999999999</v>
      </c>
      <c r="AL20" s="727">
        <f t="shared" si="8"/>
        <v>47468.62</v>
      </c>
      <c r="AM20" s="727">
        <f t="shared" si="8"/>
        <v>36468.620000000003</v>
      </c>
      <c r="AN20" s="680"/>
      <c r="AO20" s="680"/>
      <c r="AP20" s="680"/>
    </row>
    <row r="21" spans="1:42" ht="27.75" customHeight="1">
      <c r="A21" s="665" t="s">
        <v>36</v>
      </c>
      <c r="B21" s="666" t="s">
        <v>646</v>
      </c>
      <c r="C21" s="680"/>
      <c r="D21" s="680"/>
      <c r="E21" s="661"/>
      <c r="F21" s="680"/>
      <c r="G21" s="680"/>
      <c r="H21" s="680"/>
      <c r="I21" s="667">
        <f>SUM(I22:I24)</f>
        <v>28769</v>
      </c>
      <c r="J21" s="667">
        <f t="shared" ref="J21:AM21" si="9">SUM(J22:J24)</f>
        <v>28769</v>
      </c>
      <c r="K21" s="667">
        <f t="shared" si="9"/>
        <v>0</v>
      </c>
      <c r="L21" s="667">
        <f t="shared" si="9"/>
        <v>0</v>
      </c>
      <c r="M21" s="667">
        <f t="shared" si="9"/>
        <v>15160</v>
      </c>
      <c r="N21" s="667">
        <f t="shared" si="9"/>
        <v>15160</v>
      </c>
      <c r="O21" s="667">
        <f t="shared" si="9"/>
        <v>0</v>
      </c>
      <c r="P21" s="667">
        <f t="shared" si="9"/>
        <v>0</v>
      </c>
      <c r="Q21" s="667">
        <f t="shared" si="9"/>
        <v>0</v>
      </c>
      <c r="R21" s="667">
        <f t="shared" si="9"/>
        <v>0</v>
      </c>
      <c r="S21" s="667">
        <f t="shared" si="9"/>
        <v>0</v>
      </c>
      <c r="T21" s="667">
        <f t="shared" si="9"/>
        <v>0</v>
      </c>
      <c r="U21" s="667">
        <f t="shared" si="9"/>
        <v>0</v>
      </c>
      <c r="V21" s="667">
        <f t="shared" si="9"/>
        <v>7100</v>
      </c>
      <c r="W21" s="667">
        <f t="shared" si="9"/>
        <v>0</v>
      </c>
      <c r="X21" s="667">
        <f t="shared" si="9"/>
        <v>8060</v>
      </c>
      <c r="Y21" s="667">
        <f t="shared" si="9"/>
        <v>0</v>
      </c>
      <c r="Z21" s="667">
        <f t="shared" si="9"/>
        <v>0</v>
      </c>
      <c r="AA21" s="667">
        <f t="shared" si="9"/>
        <v>0</v>
      </c>
      <c r="AB21" s="667">
        <f t="shared" si="9"/>
        <v>0</v>
      </c>
      <c r="AC21" s="667">
        <f t="shared" si="9"/>
        <v>0</v>
      </c>
      <c r="AD21" s="667">
        <f t="shared" si="9"/>
        <v>0</v>
      </c>
      <c r="AE21" s="667">
        <f t="shared" si="9"/>
        <v>0</v>
      </c>
      <c r="AF21" s="667">
        <f t="shared" si="9"/>
        <v>7100</v>
      </c>
      <c r="AG21" s="667">
        <f t="shared" si="9"/>
        <v>0</v>
      </c>
      <c r="AH21" s="667">
        <f t="shared" si="9"/>
        <v>7591.7460000000001</v>
      </c>
      <c r="AI21" s="667">
        <f t="shared" si="9"/>
        <v>468.25399999999991</v>
      </c>
      <c r="AJ21" s="667">
        <f t="shared" si="9"/>
        <v>0</v>
      </c>
      <c r="AK21" s="667">
        <f t="shared" si="9"/>
        <v>468.25399999999991</v>
      </c>
      <c r="AL21" s="667">
        <f t="shared" si="9"/>
        <v>13609</v>
      </c>
      <c r="AM21" s="667">
        <f t="shared" si="9"/>
        <v>13609</v>
      </c>
      <c r="AN21" s="667"/>
      <c r="AO21" s="667"/>
      <c r="AP21" s="667"/>
    </row>
    <row r="22" spans="1:42" ht="47.25" customHeight="1">
      <c r="A22" s="663">
        <v>1</v>
      </c>
      <c r="B22" s="668" t="s">
        <v>178</v>
      </c>
      <c r="C22" s="661" t="s">
        <v>448</v>
      </c>
      <c r="D22" s="661" t="s">
        <v>615</v>
      </c>
      <c r="E22" s="661" t="s">
        <v>46</v>
      </c>
      <c r="F22" s="671">
        <v>2023</v>
      </c>
      <c r="G22" s="671">
        <v>2023</v>
      </c>
      <c r="H22" s="672" t="s">
        <v>179</v>
      </c>
      <c r="I22" s="669">
        <v>14000</v>
      </c>
      <c r="J22" s="669">
        <v>14000</v>
      </c>
      <c r="K22" s="736"/>
      <c r="L22" s="680"/>
      <c r="M22" s="681">
        <f t="shared" si="2"/>
        <v>8000</v>
      </c>
      <c r="N22" s="682">
        <f t="shared" si="3"/>
        <v>8000</v>
      </c>
      <c r="O22" s="680"/>
      <c r="P22" s="680"/>
      <c r="Q22" s="680"/>
      <c r="R22" s="680"/>
      <c r="S22" s="680"/>
      <c r="T22" s="680"/>
      <c r="U22" s="680"/>
      <c r="V22" s="681">
        <v>2000</v>
      </c>
      <c r="W22" s="680"/>
      <c r="X22" s="681">
        <v>6000</v>
      </c>
      <c r="Y22" s="681"/>
      <c r="Z22" s="681"/>
      <c r="AA22" s="681"/>
      <c r="AB22" s="681"/>
      <c r="AC22" s="681"/>
      <c r="AD22" s="805"/>
      <c r="AE22" s="681"/>
      <c r="AF22" s="681">
        <v>2000</v>
      </c>
      <c r="AG22" s="681"/>
      <c r="AH22" s="681">
        <v>5531.7460000000001</v>
      </c>
      <c r="AI22" s="682">
        <f t="shared" ref="AI22:AI24" si="10">+AJ22+AK22</f>
        <v>468.25399999999991</v>
      </c>
      <c r="AJ22" s="682">
        <f t="shared" ref="AJ22:AJ24" si="11">+W22-AG22</f>
        <v>0</v>
      </c>
      <c r="AK22" s="682">
        <f t="shared" ref="AK22:AK24" si="12">+X22-AH22</f>
        <v>468.25399999999991</v>
      </c>
      <c r="AL22" s="682">
        <f>+AM22</f>
        <v>6000</v>
      </c>
      <c r="AM22" s="682">
        <f>+J22-M22</f>
        <v>6000</v>
      </c>
      <c r="AN22" s="680"/>
      <c r="AO22" s="661" t="s">
        <v>615</v>
      </c>
      <c r="AP22" s="680"/>
    </row>
    <row r="23" spans="1:42" ht="47.25" customHeight="1">
      <c r="A23" s="670">
        <v>2</v>
      </c>
      <c r="B23" s="668" t="s">
        <v>180</v>
      </c>
      <c r="C23" s="661" t="s">
        <v>448</v>
      </c>
      <c r="D23" s="661" t="s">
        <v>616</v>
      </c>
      <c r="E23" s="661" t="s">
        <v>46</v>
      </c>
      <c r="F23" s="671">
        <v>2023</v>
      </c>
      <c r="G23" s="671">
        <v>2023</v>
      </c>
      <c r="H23" s="672" t="s">
        <v>181</v>
      </c>
      <c r="I23" s="669">
        <v>8769</v>
      </c>
      <c r="J23" s="669">
        <v>8769</v>
      </c>
      <c r="K23" s="680"/>
      <c r="L23" s="680"/>
      <c r="M23" s="681">
        <f t="shared" si="2"/>
        <v>3060</v>
      </c>
      <c r="N23" s="682">
        <f t="shared" si="3"/>
        <v>3060</v>
      </c>
      <c r="O23" s="680"/>
      <c r="P23" s="680"/>
      <c r="Q23" s="680"/>
      <c r="R23" s="680"/>
      <c r="S23" s="680"/>
      <c r="T23" s="680"/>
      <c r="U23" s="680"/>
      <c r="V23" s="681">
        <v>1000</v>
      </c>
      <c r="W23" s="680"/>
      <c r="X23" s="681">
        <v>2060</v>
      </c>
      <c r="Y23" s="681"/>
      <c r="Z23" s="681"/>
      <c r="AA23" s="681"/>
      <c r="AB23" s="681"/>
      <c r="AC23" s="681"/>
      <c r="AD23" s="681"/>
      <c r="AE23" s="681"/>
      <c r="AF23" s="681">
        <v>1000</v>
      </c>
      <c r="AG23" s="681"/>
      <c r="AH23" s="681">
        <v>2060</v>
      </c>
      <c r="AI23" s="682">
        <f t="shared" si="10"/>
        <v>0</v>
      </c>
      <c r="AJ23" s="682">
        <f t="shared" si="11"/>
        <v>0</v>
      </c>
      <c r="AK23" s="682">
        <f t="shared" si="12"/>
        <v>0</v>
      </c>
      <c r="AL23" s="682">
        <f t="shared" ref="AL23:AL24" si="13">+AM23</f>
        <v>5709</v>
      </c>
      <c r="AM23" s="682">
        <f t="shared" ref="AM23:AM24" si="14">+J23-M23</f>
        <v>5709</v>
      </c>
      <c r="AN23" s="680"/>
      <c r="AO23" s="661" t="s">
        <v>668</v>
      </c>
      <c r="AP23" s="680"/>
    </row>
    <row r="24" spans="1:42" ht="46.8">
      <c r="A24" s="663">
        <v>5</v>
      </c>
      <c r="B24" s="668" t="s">
        <v>184</v>
      </c>
      <c r="C24" s="661" t="s">
        <v>448</v>
      </c>
      <c r="D24" s="661" t="s">
        <v>617</v>
      </c>
      <c r="E24" s="661" t="s">
        <v>46</v>
      </c>
      <c r="F24" s="671">
        <v>2024</v>
      </c>
      <c r="G24" s="671">
        <v>2024</v>
      </c>
      <c r="H24" s="664" t="s">
        <v>185</v>
      </c>
      <c r="I24" s="659">
        <v>6000</v>
      </c>
      <c r="J24" s="659">
        <v>6000</v>
      </c>
      <c r="K24" s="680"/>
      <c r="L24" s="680"/>
      <c r="M24" s="681">
        <f t="shared" si="2"/>
        <v>4100</v>
      </c>
      <c r="N24" s="682">
        <f t="shared" si="3"/>
        <v>4100</v>
      </c>
      <c r="O24" s="680"/>
      <c r="P24" s="680"/>
      <c r="Q24" s="680"/>
      <c r="R24" s="680"/>
      <c r="S24" s="680"/>
      <c r="T24" s="680"/>
      <c r="U24" s="680"/>
      <c r="V24" s="681">
        <v>4100</v>
      </c>
      <c r="W24" s="680"/>
      <c r="X24" s="681">
        <v>0</v>
      </c>
      <c r="Y24" s="681"/>
      <c r="Z24" s="681"/>
      <c r="AA24" s="681"/>
      <c r="AB24" s="681"/>
      <c r="AC24" s="681"/>
      <c r="AD24" s="681"/>
      <c r="AE24" s="681"/>
      <c r="AF24" s="681">
        <v>4100</v>
      </c>
      <c r="AG24" s="681"/>
      <c r="AH24" s="681"/>
      <c r="AI24" s="682">
        <f t="shared" si="10"/>
        <v>0</v>
      </c>
      <c r="AJ24" s="682">
        <f t="shared" si="11"/>
        <v>0</v>
      </c>
      <c r="AK24" s="682">
        <f t="shared" si="12"/>
        <v>0</v>
      </c>
      <c r="AL24" s="682">
        <f t="shared" si="13"/>
        <v>1900</v>
      </c>
      <c r="AM24" s="682">
        <f t="shared" si="14"/>
        <v>1900</v>
      </c>
      <c r="AN24" s="680"/>
      <c r="AO24" s="661" t="s">
        <v>668</v>
      </c>
      <c r="AP24" s="680"/>
    </row>
    <row r="25" spans="1:42" s="673" customFormat="1" ht="49.8" customHeight="1">
      <c r="A25" s="740" t="s">
        <v>43</v>
      </c>
      <c r="B25" s="676" t="s">
        <v>618</v>
      </c>
      <c r="C25" s="676"/>
      <c r="D25" s="676"/>
      <c r="E25" s="740"/>
      <c r="F25" s="676"/>
      <c r="G25" s="676"/>
      <c r="H25" s="676"/>
      <c r="I25" s="677">
        <f>+I26</f>
        <v>1400</v>
      </c>
      <c r="J25" s="677">
        <f t="shared" ref="J25:AM25" si="15">+J26</f>
        <v>1400</v>
      </c>
      <c r="K25" s="677">
        <f t="shared" si="15"/>
        <v>0</v>
      </c>
      <c r="L25" s="677">
        <f t="shared" si="15"/>
        <v>0</v>
      </c>
      <c r="M25" s="730">
        <f t="shared" si="15"/>
        <v>634.6</v>
      </c>
      <c r="N25" s="730">
        <f t="shared" si="15"/>
        <v>634.6</v>
      </c>
      <c r="O25" s="677">
        <f t="shared" si="15"/>
        <v>0</v>
      </c>
      <c r="P25" s="677">
        <f t="shared" si="15"/>
        <v>0</v>
      </c>
      <c r="Q25" s="677">
        <f t="shared" si="15"/>
        <v>0</v>
      </c>
      <c r="R25" s="677">
        <f t="shared" si="15"/>
        <v>0</v>
      </c>
      <c r="S25" s="677">
        <f t="shared" si="15"/>
        <v>0</v>
      </c>
      <c r="T25" s="677">
        <f t="shared" si="15"/>
        <v>0</v>
      </c>
      <c r="U25" s="677">
        <f t="shared" si="15"/>
        <v>0</v>
      </c>
      <c r="V25" s="677">
        <f t="shared" si="15"/>
        <v>0</v>
      </c>
      <c r="W25" s="677">
        <f t="shared" si="15"/>
        <v>0</v>
      </c>
      <c r="X25" s="730">
        <f t="shared" si="15"/>
        <v>634.6</v>
      </c>
      <c r="Y25" s="677">
        <f t="shared" si="15"/>
        <v>0</v>
      </c>
      <c r="Z25" s="677">
        <f t="shared" si="15"/>
        <v>0</v>
      </c>
      <c r="AA25" s="677">
        <f t="shared" si="15"/>
        <v>0</v>
      </c>
      <c r="AB25" s="677">
        <f t="shared" si="15"/>
        <v>0</v>
      </c>
      <c r="AC25" s="677">
        <f t="shared" si="15"/>
        <v>0</v>
      </c>
      <c r="AD25" s="677">
        <f t="shared" si="15"/>
        <v>0</v>
      </c>
      <c r="AE25" s="677">
        <f t="shared" si="15"/>
        <v>0</v>
      </c>
      <c r="AF25" s="677">
        <f t="shared" si="15"/>
        <v>0</v>
      </c>
      <c r="AG25" s="677">
        <f t="shared" si="15"/>
        <v>0</v>
      </c>
      <c r="AH25" s="730">
        <f t="shared" si="15"/>
        <v>634.6</v>
      </c>
      <c r="AI25" s="730">
        <f t="shared" si="15"/>
        <v>0</v>
      </c>
      <c r="AJ25" s="730">
        <f t="shared" si="15"/>
        <v>0</v>
      </c>
      <c r="AK25" s="730">
        <f t="shared" si="15"/>
        <v>0</v>
      </c>
      <c r="AL25" s="730">
        <f t="shared" si="15"/>
        <v>737.87</v>
      </c>
      <c r="AM25" s="730">
        <f t="shared" si="15"/>
        <v>737.87</v>
      </c>
      <c r="AN25" s="676"/>
      <c r="AO25" s="676"/>
      <c r="AP25" s="676"/>
    </row>
    <row r="26" spans="1:42" ht="46.8">
      <c r="A26" s="661">
        <v>1</v>
      </c>
      <c r="B26" s="729" t="s">
        <v>619</v>
      </c>
      <c r="C26" s="661" t="s">
        <v>620</v>
      </c>
      <c r="D26" s="661" t="s">
        <v>621</v>
      </c>
      <c r="E26" s="661" t="s">
        <v>46</v>
      </c>
      <c r="F26" s="661">
        <v>2025</v>
      </c>
      <c r="G26" s="661">
        <v>2025</v>
      </c>
      <c r="H26" s="661" t="s">
        <v>622</v>
      </c>
      <c r="I26" s="659">
        <f>+J26</f>
        <v>1400</v>
      </c>
      <c r="J26" s="659">
        <v>1400</v>
      </c>
      <c r="K26" s="680"/>
      <c r="L26" s="680"/>
      <c r="M26" s="684">
        <f>+N26</f>
        <v>634.6</v>
      </c>
      <c r="N26" s="684">
        <v>634.6</v>
      </c>
      <c r="O26" s="680"/>
      <c r="P26" s="680"/>
      <c r="Q26" s="680"/>
      <c r="R26" s="680"/>
      <c r="S26" s="680"/>
      <c r="T26" s="680"/>
      <c r="U26" s="680"/>
      <c r="V26" s="680"/>
      <c r="W26" s="680"/>
      <c r="X26" s="731">
        <v>634.6</v>
      </c>
      <c r="Y26" s="680"/>
      <c r="Z26" s="680"/>
      <c r="AA26" s="680"/>
      <c r="AB26" s="680"/>
      <c r="AC26" s="680"/>
      <c r="AD26" s="680"/>
      <c r="AE26" s="680"/>
      <c r="AF26" s="680"/>
      <c r="AG26" s="680"/>
      <c r="AH26" s="731">
        <v>634.6</v>
      </c>
      <c r="AI26" s="731">
        <f t="shared" ref="AI26" si="16">+AJ26+AK26</f>
        <v>0</v>
      </c>
      <c r="AJ26" s="731">
        <f t="shared" ref="AJ26" si="17">+W26-AG26</f>
        <v>0</v>
      </c>
      <c r="AK26" s="731">
        <f t="shared" ref="AK26" si="18">+X26-AH26</f>
        <v>0</v>
      </c>
      <c r="AL26" s="731">
        <f>+AM26</f>
        <v>737.87</v>
      </c>
      <c r="AM26" s="731">
        <v>737.87</v>
      </c>
      <c r="AN26" s="680"/>
      <c r="AO26" s="661" t="s">
        <v>631</v>
      </c>
      <c r="AP26" s="680"/>
    </row>
    <row r="27" spans="1:42" s="673" customFormat="1" ht="29.4" customHeight="1">
      <c r="A27" s="740" t="s">
        <v>53</v>
      </c>
      <c r="B27" s="676" t="s">
        <v>659</v>
      </c>
      <c r="C27" s="676"/>
      <c r="D27" s="676"/>
      <c r="E27" s="740"/>
      <c r="F27" s="676"/>
      <c r="G27" s="676"/>
      <c r="H27" s="676"/>
      <c r="I27" s="735">
        <f>SUM(I28:I32)</f>
        <v>59890</v>
      </c>
      <c r="J27" s="735">
        <f t="shared" ref="J27:AM27" si="19">SUM(J28:J32)</f>
        <v>48890</v>
      </c>
      <c r="K27" s="735">
        <f t="shared" si="19"/>
        <v>0</v>
      </c>
      <c r="L27" s="735">
        <f t="shared" si="19"/>
        <v>0</v>
      </c>
      <c r="M27" s="735">
        <f t="shared" si="19"/>
        <v>26768.25</v>
      </c>
      <c r="N27" s="735">
        <f t="shared" si="19"/>
        <v>26768.25</v>
      </c>
      <c r="O27" s="735">
        <f t="shared" si="19"/>
        <v>0</v>
      </c>
      <c r="P27" s="735">
        <f t="shared" si="19"/>
        <v>0</v>
      </c>
      <c r="Q27" s="735">
        <f t="shared" si="19"/>
        <v>0</v>
      </c>
      <c r="R27" s="735">
        <f t="shared" si="19"/>
        <v>0</v>
      </c>
      <c r="S27" s="735">
        <f t="shared" si="19"/>
        <v>0</v>
      </c>
      <c r="T27" s="735">
        <f t="shared" si="19"/>
        <v>0</v>
      </c>
      <c r="U27" s="735">
        <f t="shared" si="19"/>
        <v>0</v>
      </c>
      <c r="V27" s="735">
        <f t="shared" si="19"/>
        <v>0</v>
      </c>
      <c r="W27" s="735">
        <f t="shared" si="19"/>
        <v>0</v>
      </c>
      <c r="X27" s="735">
        <f t="shared" si="19"/>
        <v>26768.25</v>
      </c>
      <c r="Y27" s="735">
        <f t="shared" si="19"/>
        <v>0</v>
      </c>
      <c r="Z27" s="735">
        <f t="shared" si="19"/>
        <v>0</v>
      </c>
      <c r="AA27" s="735">
        <f t="shared" si="19"/>
        <v>0</v>
      </c>
      <c r="AB27" s="735">
        <f t="shared" si="19"/>
        <v>0</v>
      </c>
      <c r="AC27" s="735">
        <f t="shared" si="19"/>
        <v>0</v>
      </c>
      <c r="AD27" s="735">
        <f t="shared" si="19"/>
        <v>0</v>
      </c>
      <c r="AE27" s="735">
        <f t="shared" si="19"/>
        <v>0</v>
      </c>
      <c r="AF27" s="735">
        <f t="shared" si="19"/>
        <v>0</v>
      </c>
      <c r="AG27" s="735">
        <f t="shared" si="19"/>
        <v>0</v>
      </c>
      <c r="AH27" s="735">
        <f t="shared" si="19"/>
        <v>10612.49</v>
      </c>
      <c r="AI27" s="735">
        <f t="shared" si="19"/>
        <v>16155.76</v>
      </c>
      <c r="AJ27" s="735">
        <f t="shared" si="19"/>
        <v>0</v>
      </c>
      <c r="AK27" s="735">
        <f t="shared" si="19"/>
        <v>16155.76</v>
      </c>
      <c r="AL27" s="735">
        <f t="shared" si="19"/>
        <v>33121.75</v>
      </c>
      <c r="AM27" s="735">
        <f t="shared" si="19"/>
        <v>22121.75</v>
      </c>
      <c r="AN27" s="676"/>
      <c r="AO27" s="676"/>
      <c r="AP27" s="676"/>
    </row>
    <row r="28" spans="1:42" s="750" customFormat="1" ht="46.95" customHeight="1">
      <c r="A28" s="745">
        <v>1</v>
      </c>
      <c r="B28" s="729" t="s">
        <v>661</v>
      </c>
      <c r="C28" s="885" t="s">
        <v>647</v>
      </c>
      <c r="D28" s="885" t="s">
        <v>629</v>
      </c>
      <c r="E28" s="745" t="s">
        <v>46</v>
      </c>
      <c r="F28" s="746" t="s">
        <v>648</v>
      </c>
      <c r="G28" s="746" t="s">
        <v>649</v>
      </c>
      <c r="H28" s="804" t="s">
        <v>650</v>
      </c>
      <c r="I28" s="747">
        <f>J28</f>
        <v>3900</v>
      </c>
      <c r="J28" s="747">
        <v>3900</v>
      </c>
      <c r="K28" s="748"/>
      <c r="L28" s="748"/>
      <c r="M28" s="747">
        <f>N28</f>
        <v>2000</v>
      </c>
      <c r="N28" s="747">
        <v>2000</v>
      </c>
      <c r="O28" s="748"/>
      <c r="P28" s="748"/>
      <c r="Q28" s="748"/>
      <c r="R28" s="748"/>
      <c r="S28" s="748"/>
      <c r="T28" s="748"/>
      <c r="U28" s="748"/>
      <c r="V28" s="748"/>
      <c r="W28" s="748"/>
      <c r="X28" s="747">
        <v>2000</v>
      </c>
      <c r="Y28" s="748"/>
      <c r="Z28" s="748"/>
      <c r="AA28" s="748"/>
      <c r="AB28" s="748"/>
      <c r="AC28" s="748"/>
      <c r="AD28" s="748"/>
      <c r="AE28" s="748"/>
      <c r="AF28" s="748"/>
      <c r="AG28" s="748"/>
      <c r="AH28" s="747">
        <f>1157124/1000</f>
        <v>1157.124</v>
      </c>
      <c r="AI28" s="747">
        <f>+AJ28+AK28</f>
        <v>842.87599999999998</v>
      </c>
      <c r="AJ28" s="747"/>
      <c r="AK28" s="747">
        <f>X28-AH28</f>
        <v>842.87599999999998</v>
      </c>
      <c r="AL28" s="747">
        <f>AM28</f>
        <v>1900</v>
      </c>
      <c r="AM28" s="747">
        <f>I28-M28</f>
        <v>1900</v>
      </c>
      <c r="AN28" s="749"/>
      <c r="AO28" s="661" t="s">
        <v>631</v>
      </c>
      <c r="AP28" s="749"/>
    </row>
    <row r="29" spans="1:42" s="750" customFormat="1" ht="46.8">
      <c r="A29" s="745">
        <v>2</v>
      </c>
      <c r="B29" s="729" t="s">
        <v>660</v>
      </c>
      <c r="C29" s="885"/>
      <c r="D29" s="885"/>
      <c r="E29" s="745" t="s">
        <v>46</v>
      </c>
      <c r="F29" s="751" t="s">
        <v>651</v>
      </c>
      <c r="G29" s="752">
        <v>46022</v>
      </c>
      <c r="H29" s="804" t="s">
        <v>652</v>
      </c>
      <c r="I29" s="747">
        <v>12520</v>
      </c>
      <c r="J29" s="747">
        <v>1520</v>
      </c>
      <c r="K29" s="748"/>
      <c r="L29" s="748"/>
      <c r="M29" s="747">
        <f>N29</f>
        <v>768.25</v>
      </c>
      <c r="N29" s="747">
        <f>768250/1000</f>
        <v>768.25</v>
      </c>
      <c r="O29" s="748"/>
      <c r="P29" s="748"/>
      <c r="Q29" s="748"/>
      <c r="R29" s="748"/>
      <c r="S29" s="748"/>
      <c r="T29" s="748"/>
      <c r="U29" s="748"/>
      <c r="V29" s="748"/>
      <c r="W29" s="748"/>
      <c r="X29" s="747">
        <f>768250/1000</f>
        <v>768.25</v>
      </c>
      <c r="Y29" s="748"/>
      <c r="Z29" s="748"/>
      <c r="AA29" s="748"/>
      <c r="AB29" s="748"/>
      <c r="AC29" s="748"/>
      <c r="AD29" s="748"/>
      <c r="AE29" s="748"/>
      <c r="AF29" s="748"/>
      <c r="AG29" s="748"/>
      <c r="AH29" s="747">
        <v>649.625</v>
      </c>
      <c r="AI29" s="747">
        <f t="shared" ref="AI29:AI32" si="20">+AJ29+AK29</f>
        <v>118.625</v>
      </c>
      <c r="AJ29" s="747"/>
      <c r="AK29" s="747">
        <f t="shared" ref="AK29:AK32" si="21">X29-AH29</f>
        <v>118.625</v>
      </c>
      <c r="AL29" s="747">
        <f>11000+AM29</f>
        <v>11751.75</v>
      </c>
      <c r="AM29" s="747">
        <f>1520-X29</f>
        <v>751.75</v>
      </c>
      <c r="AN29" s="749"/>
      <c r="AO29" s="661" t="s">
        <v>631</v>
      </c>
      <c r="AP29" s="749"/>
    </row>
    <row r="30" spans="1:42" s="750" customFormat="1" ht="46.8">
      <c r="A30" s="745">
        <v>3</v>
      </c>
      <c r="B30" s="729" t="s">
        <v>662</v>
      </c>
      <c r="C30" s="885"/>
      <c r="D30" s="885" t="s">
        <v>610</v>
      </c>
      <c r="E30" s="745" t="s">
        <v>46</v>
      </c>
      <c r="F30" s="746" t="s">
        <v>653</v>
      </c>
      <c r="G30" s="746" t="s">
        <v>654</v>
      </c>
      <c r="H30" s="804" t="s">
        <v>665</v>
      </c>
      <c r="I30" s="747">
        <v>14490</v>
      </c>
      <c r="J30" s="747">
        <v>14490</v>
      </c>
      <c r="K30" s="748"/>
      <c r="L30" s="748"/>
      <c r="M30" s="747">
        <f>N30</f>
        <v>7500</v>
      </c>
      <c r="N30" s="747">
        <v>7500</v>
      </c>
      <c r="O30" s="748"/>
      <c r="P30" s="748"/>
      <c r="Q30" s="748"/>
      <c r="R30" s="748"/>
      <c r="S30" s="748"/>
      <c r="T30" s="748"/>
      <c r="U30" s="748"/>
      <c r="V30" s="748"/>
      <c r="W30" s="748"/>
      <c r="X30" s="747">
        <v>7500</v>
      </c>
      <c r="Y30" s="748"/>
      <c r="Z30" s="748"/>
      <c r="AA30" s="748"/>
      <c r="AB30" s="748"/>
      <c r="AC30" s="748"/>
      <c r="AD30" s="748"/>
      <c r="AE30" s="748"/>
      <c r="AF30" s="748"/>
      <c r="AG30" s="748"/>
      <c r="AH30" s="747">
        <v>1976.3689999999999</v>
      </c>
      <c r="AI30" s="747">
        <f t="shared" si="20"/>
        <v>5523.6310000000003</v>
      </c>
      <c r="AJ30" s="747"/>
      <c r="AK30" s="747">
        <f t="shared" si="21"/>
        <v>5523.6310000000003</v>
      </c>
      <c r="AL30" s="747">
        <f>AM30</f>
        <v>6990</v>
      </c>
      <c r="AM30" s="747">
        <f t="shared" ref="AM30:AM32" si="22">I30-M30</f>
        <v>6990</v>
      </c>
      <c r="AN30" s="749"/>
      <c r="AO30" s="661" t="s">
        <v>668</v>
      </c>
      <c r="AP30" s="749"/>
    </row>
    <row r="31" spans="1:42" s="750" customFormat="1" ht="46.8">
      <c r="A31" s="745">
        <v>4</v>
      </c>
      <c r="B31" s="729" t="s">
        <v>663</v>
      </c>
      <c r="C31" s="885"/>
      <c r="D31" s="885"/>
      <c r="E31" s="745" t="s">
        <v>46</v>
      </c>
      <c r="F31" s="746" t="s">
        <v>655</v>
      </c>
      <c r="G31" s="746" t="s">
        <v>656</v>
      </c>
      <c r="H31" s="804" t="s">
        <v>666</v>
      </c>
      <c r="I31" s="747">
        <v>14490</v>
      </c>
      <c r="J31" s="747">
        <v>14490</v>
      </c>
      <c r="K31" s="748"/>
      <c r="L31" s="748"/>
      <c r="M31" s="747">
        <f t="shared" ref="M31:M32" si="23">N31</f>
        <v>9000</v>
      </c>
      <c r="N31" s="747">
        <v>9000</v>
      </c>
      <c r="O31" s="748"/>
      <c r="P31" s="748"/>
      <c r="Q31" s="748"/>
      <c r="R31" s="748"/>
      <c r="S31" s="748"/>
      <c r="T31" s="748"/>
      <c r="U31" s="748"/>
      <c r="V31" s="748"/>
      <c r="W31" s="748"/>
      <c r="X31" s="747">
        <v>9000</v>
      </c>
      <c r="Y31" s="748"/>
      <c r="Z31" s="748"/>
      <c r="AA31" s="748"/>
      <c r="AB31" s="748"/>
      <c r="AC31" s="748"/>
      <c r="AD31" s="748"/>
      <c r="AE31" s="748"/>
      <c r="AF31" s="748"/>
      <c r="AG31" s="748"/>
      <c r="AH31" s="747">
        <v>4854.1549999999997</v>
      </c>
      <c r="AI31" s="747">
        <f t="shared" si="20"/>
        <v>4145.8450000000003</v>
      </c>
      <c r="AJ31" s="747"/>
      <c r="AK31" s="747">
        <f t="shared" si="21"/>
        <v>4145.8450000000003</v>
      </c>
      <c r="AL31" s="747">
        <f t="shared" ref="AL31:AL32" si="24">AM31</f>
        <v>5490</v>
      </c>
      <c r="AM31" s="747">
        <f t="shared" si="22"/>
        <v>5490</v>
      </c>
      <c r="AN31" s="749"/>
      <c r="AO31" s="661" t="s">
        <v>668</v>
      </c>
      <c r="AP31" s="749"/>
    </row>
    <row r="32" spans="1:42" s="750" customFormat="1" ht="46.8">
      <c r="A32" s="745">
        <v>5</v>
      </c>
      <c r="B32" s="729" t="s">
        <v>664</v>
      </c>
      <c r="C32" s="885"/>
      <c r="D32" s="885"/>
      <c r="E32" s="745" t="s">
        <v>46</v>
      </c>
      <c r="F32" s="746" t="s">
        <v>657</v>
      </c>
      <c r="G32" s="746" t="s">
        <v>658</v>
      </c>
      <c r="H32" s="804" t="s">
        <v>667</v>
      </c>
      <c r="I32" s="747">
        <v>14490</v>
      </c>
      <c r="J32" s="747">
        <v>14490</v>
      </c>
      <c r="K32" s="748"/>
      <c r="L32" s="748"/>
      <c r="M32" s="747">
        <f t="shared" si="23"/>
        <v>7500</v>
      </c>
      <c r="N32" s="747">
        <v>7500</v>
      </c>
      <c r="O32" s="748"/>
      <c r="P32" s="748"/>
      <c r="Q32" s="748"/>
      <c r="R32" s="748"/>
      <c r="S32" s="748"/>
      <c r="T32" s="748"/>
      <c r="U32" s="748"/>
      <c r="V32" s="748"/>
      <c r="W32" s="748"/>
      <c r="X32" s="747">
        <v>7500</v>
      </c>
      <c r="Y32" s="748"/>
      <c r="Z32" s="748"/>
      <c r="AA32" s="748"/>
      <c r="AB32" s="748"/>
      <c r="AC32" s="748"/>
      <c r="AD32" s="748"/>
      <c r="AE32" s="748"/>
      <c r="AF32" s="748"/>
      <c r="AG32" s="748"/>
      <c r="AH32" s="747">
        <f>1975217/1000</f>
        <v>1975.2170000000001</v>
      </c>
      <c r="AI32" s="747">
        <f t="shared" si="20"/>
        <v>5524.7829999999994</v>
      </c>
      <c r="AJ32" s="747"/>
      <c r="AK32" s="747">
        <f t="shared" si="21"/>
        <v>5524.7829999999994</v>
      </c>
      <c r="AL32" s="747">
        <f t="shared" si="24"/>
        <v>6990</v>
      </c>
      <c r="AM32" s="747">
        <f t="shared" si="22"/>
        <v>6990</v>
      </c>
      <c r="AN32" s="749"/>
      <c r="AO32" s="661" t="s">
        <v>668</v>
      </c>
      <c r="AP32" s="749"/>
    </row>
  </sheetData>
  <mergeCells count="46">
    <mergeCell ref="A5:A7"/>
    <mergeCell ref="C5:C7"/>
    <mergeCell ref="K5:L5"/>
    <mergeCell ref="K6:K7"/>
    <mergeCell ref="L6:L7"/>
    <mergeCell ref="H5:H7"/>
    <mergeCell ref="I5:J5"/>
    <mergeCell ref="I6:I7"/>
    <mergeCell ref="J6:J7"/>
    <mergeCell ref="B5:B7"/>
    <mergeCell ref="D5:D7"/>
    <mergeCell ref="E5:E7"/>
    <mergeCell ref="F5:F7"/>
    <mergeCell ref="G5:G7"/>
    <mergeCell ref="A1:AP1"/>
    <mergeCell ref="A2:AP2"/>
    <mergeCell ref="A3:AP3"/>
    <mergeCell ref="AN4:AP4"/>
    <mergeCell ref="AG6:AH6"/>
    <mergeCell ref="Y5:AH5"/>
    <mergeCell ref="AL5:AM5"/>
    <mergeCell ref="AL6:AL7"/>
    <mergeCell ref="AM6:AM7"/>
    <mergeCell ref="AI5:AK5"/>
    <mergeCell ref="AI6:AI7"/>
    <mergeCell ref="AJ6:AK6"/>
    <mergeCell ref="O6:P6"/>
    <mergeCell ref="W6:X6"/>
    <mergeCell ref="Y6:Z6"/>
    <mergeCell ref="AA6:AB6"/>
    <mergeCell ref="AP5:AP7"/>
    <mergeCell ref="AO5:AO7"/>
    <mergeCell ref="AC6:AD6"/>
    <mergeCell ref="AE6:AF6"/>
    <mergeCell ref="S6:T6"/>
    <mergeCell ref="U6:V6"/>
    <mergeCell ref="O5:X5"/>
    <mergeCell ref="Q6:R6"/>
    <mergeCell ref="AO11:AO18"/>
    <mergeCell ref="C28:C32"/>
    <mergeCell ref="D28:D29"/>
    <mergeCell ref="D30:D32"/>
    <mergeCell ref="AN5:AN7"/>
    <mergeCell ref="M5:N5"/>
    <mergeCell ref="M6:M7"/>
    <mergeCell ref="N6:N7"/>
  </mergeCells>
  <pageMargins left="0.7" right="0.7" top="0.75" bottom="0.75" header="0.3" footer="0.3"/>
  <pageSetup paperSize="9" scale="2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21"/>
  <sheetViews>
    <sheetView tabSelected="1" view="pageBreakPreview" topLeftCell="A5" zoomScale="70" zoomScaleNormal="60" zoomScaleSheetLayoutView="70" workbookViewId="0">
      <pane xSplit="2" ySplit="4" topLeftCell="AB9" activePane="bottomRight" state="frozen"/>
      <selection activeCell="A5" sqref="A5"/>
      <selection pane="topRight" activeCell="C5" sqref="C5"/>
      <selection pane="bottomLeft" activeCell="A9" sqref="A9"/>
      <selection pane="bottomRight" activeCell="B5" sqref="B5:B7"/>
    </sheetView>
  </sheetViews>
  <sheetFormatPr defaultColWidth="9.109375" defaultRowHeight="15.6"/>
  <cols>
    <col min="1" max="1" width="9.109375" style="701"/>
    <col min="2" max="2" width="37.109375" style="702" customWidth="1"/>
    <col min="3" max="3" width="14.33203125" style="702" customWidth="1"/>
    <col min="4" max="4" width="10.33203125" style="702" customWidth="1"/>
    <col min="5" max="5" width="7.88671875" style="701" customWidth="1"/>
    <col min="6" max="6" width="9.33203125" style="702" customWidth="1"/>
    <col min="7" max="7" width="14.21875" style="702" customWidth="1"/>
    <col min="8" max="8" width="14.6640625" style="702" customWidth="1"/>
    <col min="9" max="10" width="12.109375" style="702" customWidth="1"/>
    <col min="11" max="12" width="12.6640625" style="702" customWidth="1"/>
    <col min="13" max="14" width="14.109375" style="702" customWidth="1"/>
    <col min="15" max="15" width="10.109375" style="702" customWidth="1"/>
    <col min="16" max="16" width="10.88671875" style="702" customWidth="1"/>
    <col min="17" max="17" width="10.109375" style="702" customWidth="1"/>
    <col min="18" max="18" width="11" style="702" customWidth="1"/>
    <col min="19" max="19" width="10.109375" style="702" customWidth="1"/>
    <col min="20" max="20" width="11.33203125" style="702" customWidth="1"/>
    <col min="21" max="21" width="10.109375" style="702" customWidth="1"/>
    <col min="22" max="22" width="11.33203125" style="702" customWidth="1"/>
    <col min="23" max="23" width="10.109375" style="702" customWidth="1"/>
    <col min="24" max="24" width="11.88671875" style="702" customWidth="1"/>
    <col min="25" max="25" width="10.109375" style="702" customWidth="1"/>
    <col min="26" max="26" width="9" style="702" customWidth="1"/>
    <col min="27" max="27" width="10.109375" style="702" customWidth="1"/>
    <col min="28" max="28" width="9.6640625" style="702" customWidth="1"/>
    <col min="29" max="31" width="10.109375" style="702" customWidth="1"/>
    <col min="32" max="32" width="10.6640625" style="702" customWidth="1"/>
    <col min="33" max="33" width="9.21875" style="702" customWidth="1"/>
    <col min="34" max="34" width="10.33203125" style="702" customWidth="1"/>
    <col min="35" max="37" width="11.21875" style="702" customWidth="1"/>
    <col min="38" max="38" width="10.77734375" style="702" customWidth="1"/>
    <col min="39" max="39" width="10.33203125" style="702" customWidth="1"/>
    <col min="40" max="40" width="10.77734375" style="702" customWidth="1"/>
    <col min="41" max="41" width="14.6640625" style="702" customWidth="1"/>
    <col min="42" max="42" width="17.109375" style="702" customWidth="1"/>
    <col min="43" max="16384" width="9.109375" style="702"/>
  </cols>
  <sheetData>
    <row r="1" spans="1:42" s="699" customFormat="1">
      <c r="A1" s="905" t="s">
        <v>51</v>
      </c>
      <c r="B1" s="905"/>
      <c r="C1" s="905"/>
      <c r="D1" s="905"/>
      <c r="E1" s="905"/>
      <c r="F1" s="905"/>
      <c r="G1" s="905"/>
      <c r="H1" s="905"/>
      <c r="I1" s="905"/>
      <c r="J1" s="905"/>
      <c r="K1" s="905"/>
      <c r="L1" s="905"/>
      <c r="M1" s="905"/>
      <c r="N1" s="905"/>
      <c r="O1" s="905"/>
      <c r="P1" s="905"/>
      <c r="Q1" s="905"/>
      <c r="R1" s="905"/>
      <c r="S1" s="905"/>
      <c r="T1" s="905"/>
      <c r="U1" s="905"/>
      <c r="V1" s="905"/>
      <c r="W1" s="905"/>
      <c r="X1" s="905"/>
      <c r="Y1" s="905"/>
      <c r="Z1" s="905"/>
      <c r="AA1" s="905"/>
      <c r="AB1" s="905"/>
      <c r="AC1" s="905"/>
      <c r="AD1" s="905"/>
      <c r="AE1" s="905"/>
      <c r="AF1" s="905"/>
      <c r="AG1" s="905"/>
      <c r="AH1" s="905"/>
      <c r="AI1" s="905"/>
      <c r="AJ1" s="905"/>
      <c r="AK1" s="905"/>
      <c r="AL1" s="905"/>
      <c r="AM1" s="905"/>
      <c r="AN1" s="905"/>
      <c r="AO1" s="905"/>
      <c r="AP1" s="905"/>
    </row>
    <row r="2" spans="1:42" s="699" customFormat="1">
      <c r="A2" s="905" t="s">
        <v>50</v>
      </c>
      <c r="B2" s="905"/>
      <c r="C2" s="905"/>
      <c r="D2" s="905"/>
      <c r="E2" s="905"/>
      <c r="F2" s="905"/>
      <c r="G2" s="905"/>
      <c r="H2" s="905"/>
      <c r="I2" s="905"/>
      <c r="J2" s="905"/>
      <c r="K2" s="905"/>
      <c r="L2" s="905"/>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c r="AN2" s="905"/>
      <c r="AO2" s="905"/>
      <c r="AP2" s="905"/>
    </row>
    <row r="3" spans="1:42" s="700" customFormat="1">
      <c r="A3" s="906" t="str">
        <f>+'NSDP21-25'!A3:AP3</f>
        <v>(Kèm theo Báo cáo số            /BC-UBND ngày        /      /2025 của UBND huyện Tủa Chùa)</v>
      </c>
      <c r="B3" s="906"/>
      <c r="C3" s="906"/>
      <c r="D3" s="906"/>
      <c r="E3" s="906"/>
      <c r="F3" s="906"/>
      <c r="G3" s="906"/>
      <c r="H3" s="906"/>
      <c r="I3" s="906"/>
      <c r="J3" s="906"/>
      <c r="K3" s="906"/>
      <c r="L3" s="906"/>
      <c r="M3" s="906"/>
      <c r="N3" s="906"/>
      <c r="O3" s="906"/>
      <c r="P3" s="906"/>
      <c r="Q3" s="906"/>
      <c r="R3" s="906"/>
      <c r="S3" s="906"/>
      <c r="T3" s="906"/>
      <c r="U3" s="906"/>
      <c r="V3" s="906"/>
      <c r="W3" s="906"/>
      <c r="X3" s="906"/>
      <c r="Y3" s="906"/>
      <c r="Z3" s="906"/>
      <c r="AA3" s="906"/>
      <c r="AB3" s="906"/>
      <c r="AC3" s="906"/>
      <c r="AD3" s="906"/>
      <c r="AE3" s="906"/>
      <c r="AF3" s="906"/>
      <c r="AG3" s="906"/>
      <c r="AH3" s="906"/>
      <c r="AI3" s="906"/>
      <c r="AJ3" s="906"/>
      <c r="AK3" s="906"/>
      <c r="AL3" s="906"/>
      <c r="AM3" s="906"/>
      <c r="AN3" s="906"/>
      <c r="AO3" s="906"/>
      <c r="AP3" s="906"/>
    </row>
    <row r="4" spans="1:42">
      <c r="AN4" s="907" t="s">
        <v>49</v>
      </c>
      <c r="AO4" s="907"/>
      <c r="AP4" s="907"/>
    </row>
    <row r="5" spans="1:42" ht="48.75" customHeight="1">
      <c r="A5" s="900" t="s">
        <v>16</v>
      </c>
      <c r="B5" s="900" t="s">
        <v>0</v>
      </c>
      <c r="C5" s="900" t="s">
        <v>17</v>
      </c>
      <c r="D5" s="900" t="s">
        <v>20</v>
      </c>
      <c r="E5" s="901" t="s">
        <v>1</v>
      </c>
      <c r="F5" s="900" t="s">
        <v>18</v>
      </c>
      <c r="G5" s="900" t="s">
        <v>19</v>
      </c>
      <c r="H5" s="900" t="s">
        <v>2</v>
      </c>
      <c r="I5" s="900" t="s">
        <v>3</v>
      </c>
      <c r="J5" s="900"/>
      <c r="K5" s="900" t="s">
        <v>22</v>
      </c>
      <c r="L5" s="900"/>
      <c r="M5" s="900" t="s">
        <v>4</v>
      </c>
      <c r="N5" s="900"/>
      <c r="O5" s="900" t="s">
        <v>5</v>
      </c>
      <c r="P5" s="900"/>
      <c r="Q5" s="900"/>
      <c r="R5" s="900"/>
      <c r="S5" s="900"/>
      <c r="T5" s="900"/>
      <c r="U5" s="900"/>
      <c r="V5" s="900"/>
      <c r="W5" s="900"/>
      <c r="X5" s="900"/>
      <c r="Y5" s="900" t="s">
        <v>6</v>
      </c>
      <c r="Z5" s="900"/>
      <c r="AA5" s="900"/>
      <c r="AB5" s="900"/>
      <c r="AC5" s="900"/>
      <c r="AD5" s="900"/>
      <c r="AE5" s="900"/>
      <c r="AF5" s="900"/>
      <c r="AG5" s="900"/>
      <c r="AH5" s="900"/>
      <c r="AI5" s="898" t="s">
        <v>673</v>
      </c>
      <c r="AJ5" s="903"/>
      <c r="AK5" s="899"/>
      <c r="AL5" s="900" t="s">
        <v>31</v>
      </c>
      <c r="AM5" s="900"/>
      <c r="AN5" s="900" t="s">
        <v>30</v>
      </c>
      <c r="AO5" s="901" t="s">
        <v>39</v>
      </c>
      <c r="AP5" s="900" t="s">
        <v>32</v>
      </c>
    </row>
    <row r="6" spans="1:42" ht="45" customHeight="1">
      <c r="A6" s="900"/>
      <c r="B6" s="900"/>
      <c r="C6" s="900"/>
      <c r="D6" s="900"/>
      <c r="E6" s="904"/>
      <c r="F6" s="900"/>
      <c r="G6" s="900"/>
      <c r="H6" s="900"/>
      <c r="I6" s="900" t="s">
        <v>7</v>
      </c>
      <c r="J6" s="900" t="s">
        <v>8</v>
      </c>
      <c r="K6" s="900" t="s">
        <v>7</v>
      </c>
      <c r="L6" s="900" t="s">
        <v>8</v>
      </c>
      <c r="M6" s="900" t="s">
        <v>7</v>
      </c>
      <c r="N6" s="900" t="s">
        <v>8</v>
      </c>
      <c r="O6" s="898">
        <v>2021</v>
      </c>
      <c r="P6" s="899"/>
      <c r="Q6" s="900">
        <v>2022</v>
      </c>
      <c r="R6" s="900"/>
      <c r="S6" s="900">
        <v>2023</v>
      </c>
      <c r="T6" s="900"/>
      <c r="U6" s="900">
        <v>2024</v>
      </c>
      <c r="V6" s="900"/>
      <c r="W6" s="898">
        <v>2025</v>
      </c>
      <c r="X6" s="899"/>
      <c r="Y6" s="898">
        <v>2021</v>
      </c>
      <c r="Z6" s="899"/>
      <c r="AA6" s="900">
        <v>2022</v>
      </c>
      <c r="AB6" s="900"/>
      <c r="AC6" s="900">
        <v>2023</v>
      </c>
      <c r="AD6" s="900"/>
      <c r="AE6" s="900">
        <v>2024</v>
      </c>
      <c r="AF6" s="900"/>
      <c r="AG6" s="898" t="s">
        <v>671</v>
      </c>
      <c r="AH6" s="899"/>
      <c r="AI6" s="901" t="s">
        <v>28</v>
      </c>
      <c r="AJ6" s="898" t="s">
        <v>29</v>
      </c>
      <c r="AK6" s="899"/>
      <c r="AL6" s="900" t="s">
        <v>7</v>
      </c>
      <c r="AM6" s="900" t="s">
        <v>8</v>
      </c>
      <c r="AN6" s="900"/>
      <c r="AO6" s="904"/>
      <c r="AP6" s="900"/>
    </row>
    <row r="7" spans="1:42" ht="93.6">
      <c r="A7" s="900"/>
      <c r="B7" s="900"/>
      <c r="C7" s="900"/>
      <c r="D7" s="900"/>
      <c r="E7" s="902"/>
      <c r="F7" s="900"/>
      <c r="G7" s="900"/>
      <c r="H7" s="900"/>
      <c r="I7" s="900"/>
      <c r="J7" s="900"/>
      <c r="K7" s="900"/>
      <c r="L7" s="900"/>
      <c r="M7" s="900"/>
      <c r="N7" s="900"/>
      <c r="O7" s="703" t="s">
        <v>24</v>
      </c>
      <c r="P7" s="703" t="s">
        <v>9</v>
      </c>
      <c r="Q7" s="703" t="s">
        <v>10</v>
      </c>
      <c r="R7" s="703" t="s">
        <v>11</v>
      </c>
      <c r="S7" s="703" t="s">
        <v>12</v>
      </c>
      <c r="T7" s="703" t="s">
        <v>13</v>
      </c>
      <c r="U7" s="703" t="s">
        <v>25</v>
      </c>
      <c r="V7" s="703" t="s">
        <v>14</v>
      </c>
      <c r="W7" s="703" t="s">
        <v>26</v>
      </c>
      <c r="X7" s="703" t="s">
        <v>15</v>
      </c>
      <c r="Y7" s="703" t="s">
        <v>24</v>
      </c>
      <c r="Z7" s="703" t="s">
        <v>9</v>
      </c>
      <c r="AA7" s="703" t="s">
        <v>10</v>
      </c>
      <c r="AB7" s="703" t="s">
        <v>11</v>
      </c>
      <c r="AC7" s="703" t="s">
        <v>12</v>
      </c>
      <c r="AD7" s="703" t="s">
        <v>13</v>
      </c>
      <c r="AE7" s="703" t="s">
        <v>25</v>
      </c>
      <c r="AF7" s="703" t="s">
        <v>14</v>
      </c>
      <c r="AG7" s="703" t="s">
        <v>26</v>
      </c>
      <c r="AH7" s="703" t="s">
        <v>15</v>
      </c>
      <c r="AI7" s="902"/>
      <c r="AJ7" s="703" t="s">
        <v>26</v>
      </c>
      <c r="AK7" s="703" t="s">
        <v>15</v>
      </c>
      <c r="AL7" s="900"/>
      <c r="AM7" s="900"/>
      <c r="AN7" s="900"/>
      <c r="AO7" s="902"/>
      <c r="AP7" s="900"/>
    </row>
    <row r="8" spans="1:42">
      <c r="A8" s="698">
        <v>1</v>
      </c>
      <c r="B8" s="698">
        <v>2</v>
      </c>
      <c r="C8" s="698">
        <v>3</v>
      </c>
      <c r="D8" s="698">
        <v>4</v>
      </c>
      <c r="E8" s="698">
        <v>5</v>
      </c>
      <c r="F8" s="698">
        <v>6</v>
      </c>
      <c r="G8" s="698">
        <v>7</v>
      </c>
      <c r="H8" s="698">
        <v>8</v>
      </c>
      <c r="I8" s="698">
        <v>9</v>
      </c>
      <c r="J8" s="698">
        <v>10</v>
      </c>
      <c r="K8" s="698">
        <v>11</v>
      </c>
      <c r="L8" s="698">
        <v>12</v>
      </c>
      <c r="M8" s="698">
        <v>13</v>
      </c>
      <c r="N8" s="698">
        <v>14</v>
      </c>
      <c r="O8" s="698">
        <v>15</v>
      </c>
      <c r="P8" s="698">
        <v>16</v>
      </c>
      <c r="Q8" s="698">
        <v>17</v>
      </c>
      <c r="R8" s="698">
        <v>18</v>
      </c>
      <c r="S8" s="698">
        <v>19</v>
      </c>
      <c r="T8" s="698">
        <v>20</v>
      </c>
      <c r="U8" s="698">
        <v>21</v>
      </c>
      <c r="V8" s="698">
        <v>22</v>
      </c>
      <c r="W8" s="698">
        <v>23</v>
      </c>
      <c r="X8" s="698">
        <v>24</v>
      </c>
      <c r="Y8" s="698">
        <v>25</v>
      </c>
      <c r="Z8" s="698">
        <v>26</v>
      </c>
      <c r="AA8" s="698">
        <v>27</v>
      </c>
      <c r="AB8" s="698">
        <v>28</v>
      </c>
      <c r="AC8" s="698">
        <v>29</v>
      </c>
      <c r="AD8" s="698">
        <v>30</v>
      </c>
      <c r="AE8" s="698">
        <v>31</v>
      </c>
      <c r="AF8" s="698">
        <v>32</v>
      </c>
      <c r="AG8" s="698">
        <v>33</v>
      </c>
      <c r="AH8" s="698">
        <v>34</v>
      </c>
      <c r="AI8" s="698" t="s">
        <v>33</v>
      </c>
      <c r="AJ8" s="698" t="s">
        <v>34</v>
      </c>
      <c r="AK8" s="698" t="s">
        <v>35</v>
      </c>
      <c r="AL8" s="698">
        <v>38</v>
      </c>
      <c r="AM8" s="698">
        <v>39</v>
      </c>
      <c r="AN8" s="698">
        <v>40</v>
      </c>
      <c r="AO8" s="698">
        <v>41</v>
      </c>
      <c r="AP8" s="698">
        <v>42</v>
      </c>
    </row>
    <row r="9" spans="1:42" s="699" customFormat="1" ht="31.2">
      <c r="A9" s="703" t="s">
        <v>37</v>
      </c>
      <c r="B9" s="704" t="s">
        <v>52</v>
      </c>
      <c r="C9" s="704"/>
      <c r="D9" s="704"/>
      <c r="E9" s="703"/>
      <c r="F9" s="704"/>
      <c r="G9" s="704"/>
      <c r="H9" s="704"/>
      <c r="I9" s="705">
        <f>+I10</f>
        <v>594922</v>
      </c>
      <c r="J9" s="705">
        <f t="shared" ref="J9:AM9" si="0">+J10</f>
        <v>594922</v>
      </c>
      <c r="K9" s="705">
        <f t="shared" si="0"/>
        <v>0</v>
      </c>
      <c r="L9" s="705">
        <f t="shared" si="0"/>
        <v>0</v>
      </c>
      <c r="M9" s="705">
        <f t="shared" si="0"/>
        <v>464560</v>
      </c>
      <c r="N9" s="705">
        <f t="shared" si="0"/>
        <v>464560</v>
      </c>
      <c r="O9" s="705">
        <f t="shared" si="0"/>
        <v>0</v>
      </c>
      <c r="P9" s="705">
        <f t="shared" si="0"/>
        <v>8200</v>
      </c>
      <c r="Q9" s="705">
        <f t="shared" si="0"/>
        <v>0</v>
      </c>
      <c r="R9" s="705">
        <f t="shared" si="0"/>
        <v>63800</v>
      </c>
      <c r="S9" s="705">
        <f t="shared" si="0"/>
        <v>0</v>
      </c>
      <c r="T9" s="705">
        <f t="shared" si="0"/>
        <v>129380</v>
      </c>
      <c r="U9" s="705">
        <f t="shared" si="0"/>
        <v>0</v>
      </c>
      <c r="V9" s="705">
        <f t="shared" si="0"/>
        <v>236012</v>
      </c>
      <c r="W9" s="705">
        <f t="shared" si="0"/>
        <v>0</v>
      </c>
      <c r="X9" s="705">
        <f t="shared" si="0"/>
        <v>27168</v>
      </c>
      <c r="Y9" s="705">
        <f t="shared" si="0"/>
        <v>0</v>
      </c>
      <c r="Z9" s="705">
        <f t="shared" si="0"/>
        <v>8200</v>
      </c>
      <c r="AA9" s="705">
        <f t="shared" si="0"/>
        <v>0</v>
      </c>
      <c r="AB9" s="705">
        <f t="shared" si="0"/>
        <v>63340.76</v>
      </c>
      <c r="AC9" s="705">
        <f t="shared" si="0"/>
        <v>0</v>
      </c>
      <c r="AD9" s="705">
        <f t="shared" si="0"/>
        <v>128618.162</v>
      </c>
      <c r="AE9" s="705">
        <f t="shared" si="0"/>
        <v>0</v>
      </c>
      <c r="AF9" s="705">
        <f t="shared" si="0"/>
        <v>168475.49340000001</v>
      </c>
      <c r="AG9" s="705">
        <f t="shared" si="0"/>
        <v>0</v>
      </c>
      <c r="AH9" s="705">
        <f t="shared" si="0"/>
        <v>8366.1110000000008</v>
      </c>
      <c r="AI9" s="705">
        <f t="shared" si="0"/>
        <v>18801.888999999999</v>
      </c>
      <c r="AJ9" s="705">
        <f t="shared" si="0"/>
        <v>0</v>
      </c>
      <c r="AK9" s="705">
        <f t="shared" si="0"/>
        <v>18801.888999999999</v>
      </c>
      <c r="AL9" s="705">
        <f t="shared" si="0"/>
        <v>130921</v>
      </c>
      <c r="AM9" s="705">
        <f t="shared" si="0"/>
        <v>130921</v>
      </c>
      <c r="AN9" s="705">
        <f>SUM(AN10:AN21)</f>
        <v>0</v>
      </c>
      <c r="AO9" s="705">
        <f>SUM(AO10:AO21)</f>
        <v>0</v>
      </c>
      <c r="AP9" s="704"/>
    </row>
    <row r="10" spans="1:42" s="708" customFormat="1" ht="51.75" customHeight="1">
      <c r="A10" s="706" t="s">
        <v>40</v>
      </c>
      <c r="B10" s="707" t="s">
        <v>41</v>
      </c>
      <c r="C10" s="707"/>
      <c r="D10" s="707"/>
      <c r="E10" s="706"/>
      <c r="F10" s="707"/>
      <c r="G10" s="707"/>
      <c r="H10" s="707"/>
      <c r="I10" s="733">
        <f>+I11+I13+I15+I20</f>
        <v>594922</v>
      </c>
      <c r="J10" s="733">
        <f t="shared" ref="J10:AM10" si="1">+J11+J13+J15+J20</f>
        <v>594922</v>
      </c>
      <c r="K10" s="733">
        <f t="shared" si="1"/>
        <v>0</v>
      </c>
      <c r="L10" s="733">
        <f t="shared" si="1"/>
        <v>0</v>
      </c>
      <c r="M10" s="733">
        <f t="shared" si="1"/>
        <v>464560</v>
      </c>
      <c r="N10" s="733">
        <f t="shared" si="1"/>
        <v>464560</v>
      </c>
      <c r="O10" s="733">
        <f t="shared" si="1"/>
        <v>0</v>
      </c>
      <c r="P10" s="733">
        <f t="shared" si="1"/>
        <v>8200</v>
      </c>
      <c r="Q10" s="733">
        <f t="shared" si="1"/>
        <v>0</v>
      </c>
      <c r="R10" s="733">
        <f t="shared" si="1"/>
        <v>63800</v>
      </c>
      <c r="S10" s="733">
        <f t="shared" si="1"/>
        <v>0</v>
      </c>
      <c r="T10" s="733">
        <f t="shared" si="1"/>
        <v>129380</v>
      </c>
      <c r="U10" s="733">
        <f t="shared" si="1"/>
        <v>0</v>
      </c>
      <c r="V10" s="733">
        <f t="shared" si="1"/>
        <v>236012</v>
      </c>
      <c r="W10" s="733">
        <f t="shared" si="1"/>
        <v>0</v>
      </c>
      <c r="X10" s="733">
        <f t="shared" si="1"/>
        <v>27168</v>
      </c>
      <c r="Y10" s="733">
        <f t="shared" si="1"/>
        <v>0</v>
      </c>
      <c r="Z10" s="733">
        <f t="shared" si="1"/>
        <v>8200</v>
      </c>
      <c r="AA10" s="733">
        <f t="shared" si="1"/>
        <v>0</v>
      </c>
      <c r="AB10" s="733">
        <f t="shared" si="1"/>
        <v>63340.76</v>
      </c>
      <c r="AC10" s="733">
        <f t="shared" si="1"/>
        <v>0</v>
      </c>
      <c r="AD10" s="733">
        <f t="shared" si="1"/>
        <v>128618.162</v>
      </c>
      <c r="AE10" s="733">
        <f t="shared" si="1"/>
        <v>0</v>
      </c>
      <c r="AF10" s="733">
        <f t="shared" si="1"/>
        <v>168475.49340000001</v>
      </c>
      <c r="AG10" s="733">
        <f t="shared" si="1"/>
        <v>0</v>
      </c>
      <c r="AH10" s="733">
        <f t="shared" si="1"/>
        <v>8366.1110000000008</v>
      </c>
      <c r="AI10" s="733">
        <f t="shared" si="1"/>
        <v>18801.888999999999</v>
      </c>
      <c r="AJ10" s="733">
        <f t="shared" si="1"/>
        <v>0</v>
      </c>
      <c r="AK10" s="733">
        <f t="shared" si="1"/>
        <v>18801.888999999999</v>
      </c>
      <c r="AL10" s="733">
        <f t="shared" si="1"/>
        <v>130921</v>
      </c>
      <c r="AM10" s="733">
        <f t="shared" si="1"/>
        <v>130921</v>
      </c>
      <c r="AN10" s="707"/>
      <c r="AO10" s="707"/>
      <c r="AP10" s="707"/>
    </row>
    <row r="11" spans="1:42" s="708" customFormat="1" ht="62.4">
      <c r="A11" s="694" t="s">
        <v>78</v>
      </c>
      <c r="B11" s="737" t="s">
        <v>608</v>
      </c>
      <c r="C11" s="710"/>
      <c r="D11" s="710"/>
      <c r="E11" s="714"/>
      <c r="F11" s="710"/>
      <c r="G11" s="710"/>
      <c r="H11" s="687"/>
      <c r="I11" s="687">
        <f>+I12</f>
        <v>7000</v>
      </c>
      <c r="J11" s="687">
        <f t="shared" ref="J11:AM11" si="2">+J12</f>
        <v>7000</v>
      </c>
      <c r="K11" s="687">
        <f t="shared" si="2"/>
        <v>0</v>
      </c>
      <c r="L11" s="687">
        <f t="shared" si="2"/>
        <v>0</v>
      </c>
      <c r="M11" s="687">
        <f t="shared" si="2"/>
        <v>7000</v>
      </c>
      <c r="N11" s="687">
        <f t="shared" si="2"/>
        <v>7000</v>
      </c>
      <c r="O11" s="687">
        <f t="shared" si="2"/>
        <v>0</v>
      </c>
      <c r="P11" s="687">
        <f t="shared" si="2"/>
        <v>3200</v>
      </c>
      <c r="Q11" s="687">
        <f t="shared" si="2"/>
        <v>0</v>
      </c>
      <c r="R11" s="687">
        <f t="shared" si="2"/>
        <v>3800</v>
      </c>
      <c r="S11" s="687">
        <f t="shared" si="2"/>
        <v>0</v>
      </c>
      <c r="T11" s="687">
        <f t="shared" si="2"/>
        <v>0</v>
      </c>
      <c r="U11" s="687">
        <f t="shared" si="2"/>
        <v>0</v>
      </c>
      <c r="V11" s="687">
        <f t="shared" si="2"/>
        <v>0</v>
      </c>
      <c r="W11" s="687">
        <f t="shared" si="2"/>
        <v>0</v>
      </c>
      <c r="X11" s="687">
        <f t="shared" si="2"/>
        <v>0</v>
      </c>
      <c r="Y11" s="687">
        <f t="shared" si="2"/>
        <v>0</v>
      </c>
      <c r="Z11" s="687">
        <f t="shared" si="2"/>
        <v>3200</v>
      </c>
      <c r="AA11" s="687">
        <f t="shared" si="2"/>
        <v>0</v>
      </c>
      <c r="AB11" s="687">
        <f t="shared" si="2"/>
        <v>3340.76</v>
      </c>
      <c r="AC11" s="687">
        <f t="shared" si="2"/>
        <v>0</v>
      </c>
      <c r="AD11" s="687">
        <f t="shared" si="2"/>
        <v>0</v>
      </c>
      <c r="AE11" s="687">
        <f t="shared" si="2"/>
        <v>0</v>
      </c>
      <c r="AF11" s="687">
        <f t="shared" si="2"/>
        <v>0</v>
      </c>
      <c r="AG11" s="687">
        <f t="shared" si="2"/>
        <v>0</v>
      </c>
      <c r="AH11" s="687">
        <f t="shared" si="2"/>
        <v>0</v>
      </c>
      <c r="AI11" s="687">
        <f t="shared" si="2"/>
        <v>0</v>
      </c>
      <c r="AJ11" s="687">
        <f t="shared" si="2"/>
        <v>0</v>
      </c>
      <c r="AK11" s="687">
        <f t="shared" si="2"/>
        <v>0</v>
      </c>
      <c r="AL11" s="687">
        <f t="shared" si="2"/>
        <v>0</v>
      </c>
      <c r="AM11" s="687">
        <f t="shared" si="2"/>
        <v>0</v>
      </c>
      <c r="AN11" s="707"/>
      <c r="AO11" s="707"/>
      <c r="AP11" s="707"/>
    </row>
    <row r="12" spans="1:42" s="816" customFormat="1" ht="62.4">
      <c r="A12" s="809">
        <v>1</v>
      </c>
      <c r="B12" s="654" t="s">
        <v>161</v>
      </c>
      <c r="C12" s="662" t="s">
        <v>449</v>
      </c>
      <c r="D12" s="661" t="s">
        <v>630</v>
      </c>
      <c r="E12" s="810"/>
      <c r="F12" s="811" t="s">
        <v>609</v>
      </c>
      <c r="G12" s="811" t="s">
        <v>404</v>
      </c>
      <c r="H12" s="661" t="s">
        <v>607</v>
      </c>
      <c r="I12" s="812">
        <v>7000</v>
      </c>
      <c r="J12" s="812">
        <v>7000</v>
      </c>
      <c r="K12" s="813"/>
      <c r="L12" s="814"/>
      <c r="M12" s="681">
        <f>SUM(P12:X12)</f>
        <v>7000</v>
      </c>
      <c r="N12" s="681">
        <f>+M12</f>
        <v>7000</v>
      </c>
      <c r="O12" s="681"/>
      <c r="P12" s="681">
        <v>3200</v>
      </c>
      <c r="Q12" s="681"/>
      <c r="R12" s="681">
        <v>3800</v>
      </c>
      <c r="S12" s="681"/>
      <c r="T12" s="681"/>
      <c r="U12" s="681"/>
      <c r="V12" s="681"/>
      <c r="W12" s="681"/>
      <c r="X12" s="681"/>
      <c r="Y12" s="681"/>
      <c r="Z12" s="681">
        <f>+P12</f>
        <v>3200</v>
      </c>
      <c r="AA12" s="681"/>
      <c r="AB12" s="681">
        <v>3340.76</v>
      </c>
      <c r="AC12" s="681"/>
      <c r="AD12" s="681"/>
      <c r="AE12" s="681"/>
      <c r="AF12" s="681"/>
      <c r="AG12" s="681"/>
      <c r="AH12" s="681"/>
      <c r="AI12" s="815"/>
      <c r="AJ12" s="815"/>
      <c r="AK12" s="815"/>
      <c r="AL12" s="815"/>
      <c r="AM12" s="815"/>
      <c r="AN12" s="815"/>
      <c r="AO12" s="661" t="s">
        <v>670</v>
      </c>
      <c r="AP12" s="815"/>
    </row>
    <row r="13" spans="1:42" s="708" customFormat="1" ht="51" customHeight="1">
      <c r="A13" s="694" t="s">
        <v>78</v>
      </c>
      <c r="B13" s="695" t="s">
        <v>340</v>
      </c>
      <c r="C13" s="710"/>
      <c r="D13" s="710"/>
      <c r="E13" s="714"/>
      <c r="F13" s="710"/>
      <c r="G13" s="710"/>
      <c r="H13" s="687"/>
      <c r="I13" s="687">
        <f>+I14</f>
        <v>183000</v>
      </c>
      <c r="J13" s="687">
        <f t="shared" ref="J13:AM13" si="3">+J14</f>
        <v>183000</v>
      </c>
      <c r="K13" s="687">
        <f t="shared" si="3"/>
        <v>0</v>
      </c>
      <c r="L13" s="687">
        <f t="shared" si="3"/>
        <v>0</v>
      </c>
      <c r="M13" s="687">
        <f t="shared" si="3"/>
        <v>183000</v>
      </c>
      <c r="N13" s="687">
        <f t="shared" si="3"/>
        <v>183000</v>
      </c>
      <c r="O13" s="687">
        <f t="shared" si="3"/>
        <v>0</v>
      </c>
      <c r="P13" s="687">
        <f t="shared" si="3"/>
        <v>5000</v>
      </c>
      <c r="Q13" s="687">
        <f t="shared" si="3"/>
        <v>0</v>
      </c>
      <c r="R13" s="687">
        <f t="shared" si="3"/>
        <v>60000</v>
      </c>
      <c r="S13" s="687">
        <f t="shared" si="3"/>
        <v>0</v>
      </c>
      <c r="T13" s="687">
        <f t="shared" si="3"/>
        <v>70000</v>
      </c>
      <c r="U13" s="687">
        <f t="shared" si="3"/>
        <v>0</v>
      </c>
      <c r="V13" s="687">
        <f t="shared" si="3"/>
        <v>48000</v>
      </c>
      <c r="W13" s="687">
        <f t="shared" si="3"/>
        <v>0</v>
      </c>
      <c r="X13" s="687">
        <f t="shared" si="3"/>
        <v>0</v>
      </c>
      <c r="Y13" s="687">
        <f t="shared" si="3"/>
        <v>0</v>
      </c>
      <c r="Z13" s="687">
        <f t="shared" si="3"/>
        <v>5000</v>
      </c>
      <c r="AA13" s="687">
        <f t="shared" si="3"/>
        <v>0</v>
      </c>
      <c r="AB13" s="687">
        <f t="shared" si="3"/>
        <v>60000</v>
      </c>
      <c r="AC13" s="687">
        <f t="shared" si="3"/>
        <v>0</v>
      </c>
      <c r="AD13" s="687">
        <f t="shared" si="3"/>
        <v>70000</v>
      </c>
      <c r="AE13" s="687">
        <f t="shared" si="3"/>
        <v>0</v>
      </c>
      <c r="AF13" s="687">
        <f t="shared" si="3"/>
        <v>42893.816400000003</v>
      </c>
      <c r="AG13" s="687">
        <f t="shared" si="3"/>
        <v>0</v>
      </c>
      <c r="AH13" s="687">
        <f t="shared" si="3"/>
        <v>0</v>
      </c>
      <c r="AI13" s="687">
        <f t="shared" si="3"/>
        <v>0</v>
      </c>
      <c r="AJ13" s="687">
        <f t="shared" si="3"/>
        <v>0</v>
      </c>
      <c r="AK13" s="687">
        <f t="shared" si="3"/>
        <v>0</v>
      </c>
      <c r="AL13" s="687">
        <f t="shared" si="3"/>
        <v>0</v>
      </c>
      <c r="AM13" s="687">
        <f t="shared" si="3"/>
        <v>0</v>
      </c>
      <c r="AN13" s="707"/>
      <c r="AO13" s="707"/>
      <c r="AP13" s="707"/>
    </row>
    <row r="14" spans="1:42" s="700" customFormat="1" ht="78.599999999999994" customHeight="1">
      <c r="A14" s="697">
        <v>1</v>
      </c>
      <c r="B14" s="712" t="s">
        <v>341</v>
      </c>
      <c r="C14" s="692" t="s">
        <v>449</v>
      </c>
      <c r="D14" s="692" t="s">
        <v>625</v>
      </c>
      <c r="E14" s="692" t="s">
        <v>44</v>
      </c>
      <c r="F14" s="715">
        <v>2021</v>
      </c>
      <c r="G14" s="692" t="s">
        <v>342</v>
      </c>
      <c r="H14" s="692" t="s">
        <v>343</v>
      </c>
      <c r="I14" s="692">
        <v>183000</v>
      </c>
      <c r="J14" s="692">
        <v>183000</v>
      </c>
      <c r="K14" s="738"/>
      <c r="L14" s="711"/>
      <c r="M14" s="693">
        <f>SUM(P14:X14)</f>
        <v>183000</v>
      </c>
      <c r="N14" s="693">
        <f>+M14</f>
        <v>183000</v>
      </c>
      <c r="O14" s="693"/>
      <c r="P14" s="693">
        <v>5000</v>
      </c>
      <c r="Q14" s="693"/>
      <c r="R14" s="693">
        <v>60000</v>
      </c>
      <c r="S14" s="693"/>
      <c r="T14" s="693">
        <v>70000</v>
      </c>
      <c r="U14" s="693"/>
      <c r="V14" s="693">
        <v>48000</v>
      </c>
      <c r="W14" s="693"/>
      <c r="X14" s="693"/>
      <c r="Y14" s="693"/>
      <c r="Z14" s="693">
        <v>5000</v>
      </c>
      <c r="AA14" s="693"/>
      <c r="AB14" s="693">
        <v>60000</v>
      </c>
      <c r="AC14" s="693"/>
      <c r="AD14" s="693">
        <v>70000</v>
      </c>
      <c r="AE14" s="693"/>
      <c r="AF14" s="693">
        <v>42893.816400000003</v>
      </c>
      <c r="AG14" s="693"/>
      <c r="AH14" s="693"/>
      <c r="AI14" s="732">
        <f>+AJ14+AK14</f>
        <v>0</v>
      </c>
      <c r="AJ14" s="732">
        <f>+W14-AG14</f>
        <v>0</v>
      </c>
      <c r="AK14" s="732">
        <f>+X14-AH14</f>
        <v>0</v>
      </c>
      <c r="AL14" s="709"/>
      <c r="AM14" s="709"/>
      <c r="AN14" s="709"/>
      <c r="AO14" s="698" t="s">
        <v>670</v>
      </c>
      <c r="AP14" s="713"/>
    </row>
    <row r="15" spans="1:42" s="708" customFormat="1" ht="61.5" customHeight="1">
      <c r="A15" s="685" t="s">
        <v>78</v>
      </c>
      <c r="B15" s="686" t="s">
        <v>81</v>
      </c>
      <c r="C15" s="710"/>
      <c r="D15" s="710"/>
      <c r="E15" s="714"/>
      <c r="F15" s="715"/>
      <c r="G15" s="710"/>
      <c r="H15" s="687"/>
      <c r="I15" s="688">
        <f>SUM(I16:I19)</f>
        <v>189400</v>
      </c>
      <c r="J15" s="688">
        <f t="shared" ref="J15:AM15" si="4">SUM(J16:J19)</f>
        <v>189400</v>
      </c>
      <c r="K15" s="688">
        <f t="shared" si="4"/>
        <v>0</v>
      </c>
      <c r="L15" s="688">
        <f t="shared" si="4"/>
        <v>0</v>
      </c>
      <c r="M15" s="688">
        <f t="shared" si="4"/>
        <v>189959</v>
      </c>
      <c r="N15" s="688">
        <f t="shared" si="4"/>
        <v>189959</v>
      </c>
      <c r="O15" s="688">
        <f t="shared" si="4"/>
        <v>0</v>
      </c>
      <c r="P15" s="688">
        <f t="shared" si="4"/>
        <v>0</v>
      </c>
      <c r="Q15" s="688">
        <f t="shared" si="4"/>
        <v>0</v>
      </c>
      <c r="R15" s="688">
        <f t="shared" si="4"/>
        <v>0</v>
      </c>
      <c r="S15" s="688">
        <f t="shared" si="4"/>
        <v>0</v>
      </c>
      <c r="T15" s="688">
        <f t="shared" si="4"/>
        <v>59380</v>
      </c>
      <c r="U15" s="688">
        <f t="shared" si="4"/>
        <v>0</v>
      </c>
      <c r="V15" s="688">
        <f t="shared" si="4"/>
        <v>103411</v>
      </c>
      <c r="W15" s="688">
        <f t="shared" si="4"/>
        <v>0</v>
      </c>
      <c r="X15" s="688">
        <f t="shared" si="4"/>
        <v>27168</v>
      </c>
      <c r="Y15" s="688">
        <f t="shared" si="4"/>
        <v>0</v>
      </c>
      <c r="Z15" s="688">
        <f t="shared" si="4"/>
        <v>0</v>
      </c>
      <c r="AA15" s="688">
        <f t="shared" si="4"/>
        <v>0</v>
      </c>
      <c r="AB15" s="688">
        <f t="shared" si="4"/>
        <v>0</v>
      </c>
      <c r="AC15" s="688">
        <f t="shared" si="4"/>
        <v>0</v>
      </c>
      <c r="AD15" s="688">
        <f t="shared" si="4"/>
        <v>58618.161999999997</v>
      </c>
      <c r="AE15" s="688">
        <f t="shared" si="4"/>
        <v>0</v>
      </c>
      <c r="AF15" s="688">
        <f t="shared" si="4"/>
        <v>103411</v>
      </c>
      <c r="AG15" s="688">
        <f t="shared" si="4"/>
        <v>0</v>
      </c>
      <c r="AH15" s="688">
        <f t="shared" si="4"/>
        <v>8366.1110000000008</v>
      </c>
      <c r="AI15" s="688">
        <f t="shared" si="4"/>
        <v>18801.888999999999</v>
      </c>
      <c r="AJ15" s="688">
        <f t="shared" si="4"/>
        <v>0</v>
      </c>
      <c r="AK15" s="688">
        <f t="shared" si="4"/>
        <v>18801.888999999999</v>
      </c>
      <c r="AL15" s="688">
        <f t="shared" si="4"/>
        <v>0</v>
      </c>
      <c r="AM15" s="688">
        <f t="shared" si="4"/>
        <v>0</v>
      </c>
      <c r="AN15" s="709"/>
      <c r="AO15" s="707"/>
      <c r="AP15" s="707"/>
    </row>
    <row r="16" spans="1:42" s="708" customFormat="1" ht="78" customHeight="1">
      <c r="A16" s="689" t="s">
        <v>89</v>
      </c>
      <c r="B16" s="690" t="s">
        <v>349</v>
      </c>
      <c r="C16" s="692" t="s">
        <v>449</v>
      </c>
      <c r="D16" s="692" t="s">
        <v>624</v>
      </c>
      <c r="E16" s="692" t="s">
        <v>46</v>
      </c>
      <c r="F16" s="715">
        <v>2023</v>
      </c>
      <c r="G16" s="691" t="s">
        <v>191</v>
      </c>
      <c r="H16" s="692" t="s">
        <v>350</v>
      </c>
      <c r="I16" s="693">
        <v>46000</v>
      </c>
      <c r="J16" s="693">
        <v>46000</v>
      </c>
      <c r="K16" s="739"/>
      <c r="L16" s="710"/>
      <c r="M16" s="693">
        <f t="shared" ref="M16:M21" si="5">SUM(P16:X16)</f>
        <v>46559</v>
      </c>
      <c r="N16" s="693">
        <f t="shared" ref="N16:N21" si="6">+M16</f>
        <v>46559</v>
      </c>
      <c r="O16" s="693"/>
      <c r="P16" s="693"/>
      <c r="Q16" s="693"/>
      <c r="R16" s="693"/>
      <c r="S16" s="693"/>
      <c r="T16" s="693">
        <v>14200</v>
      </c>
      <c r="U16" s="693"/>
      <c r="V16" s="693">
        <v>25504</v>
      </c>
      <c r="W16" s="693"/>
      <c r="X16" s="693">
        <v>6855</v>
      </c>
      <c r="Y16" s="693"/>
      <c r="Z16" s="693"/>
      <c r="AA16" s="693"/>
      <c r="AB16" s="806"/>
      <c r="AC16" s="693"/>
      <c r="AD16" s="693">
        <v>13438.361999999999</v>
      </c>
      <c r="AE16" s="693"/>
      <c r="AF16" s="693">
        <v>25504</v>
      </c>
      <c r="AG16" s="693"/>
      <c r="AH16" s="693">
        <v>5872.8670000000002</v>
      </c>
      <c r="AI16" s="732">
        <f>+AJ16+AK16</f>
        <v>982.13299999999981</v>
      </c>
      <c r="AJ16" s="732">
        <f>+W16-AG16</f>
        <v>0</v>
      </c>
      <c r="AK16" s="732">
        <f>+X16-AH16</f>
        <v>982.13299999999981</v>
      </c>
      <c r="AL16" s="709"/>
      <c r="AM16" s="709"/>
      <c r="AN16" s="709"/>
      <c r="AO16" s="895" t="s">
        <v>670</v>
      </c>
      <c r="AP16" s="707"/>
    </row>
    <row r="17" spans="1:42" s="708" customFormat="1" ht="78" customHeight="1">
      <c r="A17" s="689" t="s">
        <v>131</v>
      </c>
      <c r="B17" s="690" t="s">
        <v>351</v>
      </c>
      <c r="C17" s="692" t="s">
        <v>449</v>
      </c>
      <c r="D17" s="692" t="s">
        <v>624</v>
      </c>
      <c r="E17" s="692" t="s">
        <v>46</v>
      </c>
      <c r="F17" s="715">
        <v>2023</v>
      </c>
      <c r="G17" s="691" t="s">
        <v>243</v>
      </c>
      <c r="H17" s="692" t="s">
        <v>352</v>
      </c>
      <c r="I17" s="693">
        <v>28000</v>
      </c>
      <c r="J17" s="693">
        <v>28000</v>
      </c>
      <c r="K17" s="710"/>
      <c r="L17" s="710"/>
      <c r="M17" s="693">
        <f t="shared" si="5"/>
        <v>28000</v>
      </c>
      <c r="N17" s="693">
        <f t="shared" si="6"/>
        <v>28000</v>
      </c>
      <c r="O17" s="693"/>
      <c r="P17" s="693"/>
      <c r="Q17" s="693"/>
      <c r="R17" s="693"/>
      <c r="S17" s="693"/>
      <c r="T17" s="693">
        <v>8100</v>
      </c>
      <c r="U17" s="693"/>
      <c r="V17" s="693">
        <v>17302</v>
      </c>
      <c r="W17" s="693"/>
      <c r="X17" s="693">
        <v>2598</v>
      </c>
      <c r="Y17" s="693"/>
      <c r="Z17" s="693"/>
      <c r="AA17" s="693"/>
      <c r="AB17" s="693"/>
      <c r="AC17" s="693"/>
      <c r="AD17" s="693">
        <v>8100</v>
      </c>
      <c r="AE17" s="693"/>
      <c r="AF17" s="693">
        <v>17302</v>
      </c>
      <c r="AG17" s="693"/>
      <c r="AH17" s="693">
        <v>170.89599999999999</v>
      </c>
      <c r="AI17" s="732">
        <f t="shared" ref="AI17:AI19" si="7">+AJ17+AK17</f>
        <v>2427.1039999999998</v>
      </c>
      <c r="AJ17" s="732">
        <f t="shared" ref="AJ17:AJ19" si="8">+W17-AG17</f>
        <v>0</v>
      </c>
      <c r="AK17" s="732">
        <f t="shared" ref="AK17:AK19" si="9">+X17-AH17</f>
        <v>2427.1039999999998</v>
      </c>
      <c r="AL17" s="709"/>
      <c r="AM17" s="709"/>
      <c r="AN17" s="709"/>
      <c r="AO17" s="896"/>
      <c r="AP17" s="707"/>
    </row>
    <row r="18" spans="1:42" s="708" customFormat="1" ht="78" customHeight="1">
      <c r="A18" s="689" t="s">
        <v>134</v>
      </c>
      <c r="B18" s="690" t="s">
        <v>353</v>
      </c>
      <c r="C18" s="692" t="s">
        <v>449</v>
      </c>
      <c r="D18" s="692" t="s">
        <v>612</v>
      </c>
      <c r="E18" s="692" t="s">
        <v>46</v>
      </c>
      <c r="F18" s="715">
        <v>2023</v>
      </c>
      <c r="G18" s="691" t="s">
        <v>354</v>
      </c>
      <c r="H18" s="692" t="s">
        <v>355</v>
      </c>
      <c r="I18" s="693">
        <v>21500</v>
      </c>
      <c r="J18" s="693">
        <v>21500</v>
      </c>
      <c r="K18" s="710"/>
      <c r="L18" s="710"/>
      <c r="M18" s="693">
        <f t="shared" si="5"/>
        <v>21500</v>
      </c>
      <c r="N18" s="693">
        <f t="shared" si="6"/>
        <v>21500</v>
      </c>
      <c r="O18" s="693"/>
      <c r="P18" s="693"/>
      <c r="Q18" s="693"/>
      <c r="R18" s="693"/>
      <c r="S18" s="693"/>
      <c r="T18" s="693">
        <v>6300</v>
      </c>
      <c r="U18" s="693"/>
      <c r="V18" s="693">
        <v>13386</v>
      </c>
      <c r="W18" s="693"/>
      <c r="X18" s="693">
        <v>1814</v>
      </c>
      <c r="Y18" s="693"/>
      <c r="Z18" s="693"/>
      <c r="AA18" s="693"/>
      <c r="AB18" s="693"/>
      <c r="AC18" s="693"/>
      <c r="AD18" s="693">
        <v>6300</v>
      </c>
      <c r="AE18" s="693"/>
      <c r="AF18" s="693">
        <v>13386</v>
      </c>
      <c r="AG18" s="693"/>
      <c r="AH18" s="693">
        <v>1044.451</v>
      </c>
      <c r="AI18" s="732">
        <f t="shared" si="7"/>
        <v>769.54899999999998</v>
      </c>
      <c r="AJ18" s="732">
        <f t="shared" si="8"/>
        <v>0</v>
      </c>
      <c r="AK18" s="732">
        <f t="shared" si="9"/>
        <v>769.54899999999998</v>
      </c>
      <c r="AL18" s="709"/>
      <c r="AM18" s="709"/>
      <c r="AN18" s="709"/>
      <c r="AO18" s="896"/>
      <c r="AP18" s="707"/>
    </row>
    <row r="19" spans="1:42" s="708" customFormat="1" ht="78" customHeight="1">
      <c r="A19" s="689" t="s">
        <v>137</v>
      </c>
      <c r="B19" s="690" t="s">
        <v>360</v>
      </c>
      <c r="C19" s="692" t="s">
        <v>449</v>
      </c>
      <c r="D19" s="692" t="s">
        <v>626</v>
      </c>
      <c r="E19" s="692" t="s">
        <v>46</v>
      </c>
      <c r="F19" s="715">
        <v>2023</v>
      </c>
      <c r="G19" s="691" t="s">
        <v>191</v>
      </c>
      <c r="H19" s="692" t="s">
        <v>361</v>
      </c>
      <c r="I19" s="693">
        <v>93900</v>
      </c>
      <c r="J19" s="693">
        <v>93900</v>
      </c>
      <c r="K19" s="710"/>
      <c r="L19" s="710"/>
      <c r="M19" s="693">
        <f>SUM(P19:X19)</f>
        <v>93900</v>
      </c>
      <c r="N19" s="693">
        <f>+M19</f>
        <v>93900</v>
      </c>
      <c r="O19" s="693"/>
      <c r="P19" s="693"/>
      <c r="Q19" s="693"/>
      <c r="R19" s="693"/>
      <c r="S19" s="693"/>
      <c r="T19" s="693">
        <v>30780</v>
      </c>
      <c r="U19" s="693"/>
      <c r="V19" s="693">
        <v>47219</v>
      </c>
      <c r="W19" s="693"/>
      <c r="X19" s="693">
        <v>15901</v>
      </c>
      <c r="Y19" s="693"/>
      <c r="Z19" s="693"/>
      <c r="AA19" s="693"/>
      <c r="AB19" s="693"/>
      <c r="AC19" s="693"/>
      <c r="AD19" s="693">
        <v>30779.8</v>
      </c>
      <c r="AE19" s="693"/>
      <c r="AF19" s="693">
        <f>+V19</f>
        <v>47219</v>
      </c>
      <c r="AG19" s="693"/>
      <c r="AH19" s="693">
        <v>1277.8969999999999</v>
      </c>
      <c r="AI19" s="732">
        <f t="shared" si="7"/>
        <v>14623.102999999999</v>
      </c>
      <c r="AJ19" s="732">
        <f t="shared" si="8"/>
        <v>0</v>
      </c>
      <c r="AK19" s="732">
        <f t="shared" si="9"/>
        <v>14623.102999999999</v>
      </c>
      <c r="AL19" s="709"/>
      <c r="AM19" s="709"/>
      <c r="AN19" s="709"/>
      <c r="AO19" s="897"/>
      <c r="AP19" s="707"/>
    </row>
    <row r="20" spans="1:42" s="708" customFormat="1" ht="54.75" customHeight="1">
      <c r="A20" s="694" t="s">
        <v>78</v>
      </c>
      <c r="B20" s="696" t="s">
        <v>373</v>
      </c>
      <c r="C20" s="692"/>
      <c r="D20" s="710"/>
      <c r="E20" s="692"/>
      <c r="F20" s="715"/>
      <c r="G20" s="687"/>
      <c r="H20" s="687"/>
      <c r="I20" s="687">
        <f>+I21</f>
        <v>215522</v>
      </c>
      <c r="J20" s="687">
        <f t="shared" ref="J20:AM20" si="10">+J21</f>
        <v>215522</v>
      </c>
      <c r="K20" s="687">
        <f t="shared" si="10"/>
        <v>0</v>
      </c>
      <c r="L20" s="687">
        <f t="shared" si="10"/>
        <v>0</v>
      </c>
      <c r="M20" s="687">
        <f t="shared" si="10"/>
        <v>84601</v>
      </c>
      <c r="N20" s="687">
        <f t="shared" si="10"/>
        <v>84601</v>
      </c>
      <c r="O20" s="687">
        <f t="shared" si="10"/>
        <v>0</v>
      </c>
      <c r="P20" s="687">
        <f t="shared" si="10"/>
        <v>0</v>
      </c>
      <c r="Q20" s="687">
        <f t="shared" si="10"/>
        <v>0</v>
      </c>
      <c r="R20" s="687">
        <f t="shared" si="10"/>
        <v>0</v>
      </c>
      <c r="S20" s="687">
        <f t="shared" si="10"/>
        <v>0</v>
      </c>
      <c r="T20" s="687">
        <f t="shared" si="10"/>
        <v>0</v>
      </c>
      <c r="U20" s="687">
        <f t="shared" si="10"/>
        <v>0</v>
      </c>
      <c r="V20" s="687">
        <f t="shared" si="10"/>
        <v>84601</v>
      </c>
      <c r="W20" s="687">
        <f t="shared" si="10"/>
        <v>0</v>
      </c>
      <c r="X20" s="687">
        <f t="shared" si="10"/>
        <v>0</v>
      </c>
      <c r="Y20" s="687">
        <f t="shared" si="10"/>
        <v>0</v>
      </c>
      <c r="Z20" s="687">
        <f t="shared" si="10"/>
        <v>0</v>
      </c>
      <c r="AA20" s="687">
        <f t="shared" si="10"/>
        <v>0</v>
      </c>
      <c r="AB20" s="687">
        <f t="shared" si="10"/>
        <v>0</v>
      </c>
      <c r="AC20" s="687">
        <f t="shared" si="10"/>
        <v>0</v>
      </c>
      <c r="AD20" s="687">
        <f t="shared" si="10"/>
        <v>0</v>
      </c>
      <c r="AE20" s="687">
        <f t="shared" si="10"/>
        <v>0</v>
      </c>
      <c r="AF20" s="687">
        <f t="shared" si="10"/>
        <v>22170.677</v>
      </c>
      <c r="AG20" s="687">
        <f t="shared" si="10"/>
        <v>0</v>
      </c>
      <c r="AH20" s="687">
        <f t="shared" si="10"/>
        <v>0</v>
      </c>
      <c r="AI20" s="687">
        <f t="shared" si="10"/>
        <v>0</v>
      </c>
      <c r="AJ20" s="687">
        <f t="shared" si="10"/>
        <v>0</v>
      </c>
      <c r="AK20" s="687">
        <f t="shared" si="10"/>
        <v>0</v>
      </c>
      <c r="AL20" s="687">
        <f t="shared" si="10"/>
        <v>130921</v>
      </c>
      <c r="AM20" s="687">
        <f t="shared" si="10"/>
        <v>130921</v>
      </c>
      <c r="AN20" s="709"/>
      <c r="AO20" s="707"/>
      <c r="AP20" s="707"/>
    </row>
    <row r="21" spans="1:42" s="708" customFormat="1" ht="62.4">
      <c r="A21" s="697">
        <v>1</v>
      </c>
      <c r="B21" s="690" t="s">
        <v>374</v>
      </c>
      <c r="C21" s="692" t="s">
        <v>449</v>
      </c>
      <c r="D21" s="692" t="s">
        <v>614</v>
      </c>
      <c r="E21" s="692" t="s">
        <v>44</v>
      </c>
      <c r="F21" s="715">
        <v>2024</v>
      </c>
      <c r="G21" s="691" t="s">
        <v>375</v>
      </c>
      <c r="H21" s="692" t="s">
        <v>376</v>
      </c>
      <c r="I21" s="692">
        <v>215522</v>
      </c>
      <c r="J21" s="692">
        <v>215522</v>
      </c>
      <c r="K21" s="710"/>
      <c r="L21" s="710"/>
      <c r="M21" s="693">
        <f t="shared" si="5"/>
        <v>84601</v>
      </c>
      <c r="N21" s="693">
        <f t="shared" si="6"/>
        <v>84601</v>
      </c>
      <c r="O21" s="693"/>
      <c r="P21" s="693"/>
      <c r="Q21" s="693"/>
      <c r="R21" s="693"/>
      <c r="S21" s="693"/>
      <c r="T21" s="693"/>
      <c r="U21" s="693"/>
      <c r="V21" s="693">
        <v>84601</v>
      </c>
      <c r="W21" s="693"/>
      <c r="X21" s="693">
        <v>0</v>
      </c>
      <c r="Y21" s="693"/>
      <c r="Z21" s="693"/>
      <c r="AA21" s="693"/>
      <c r="AB21" s="693"/>
      <c r="AC21" s="693"/>
      <c r="AD21" s="693"/>
      <c r="AE21" s="693"/>
      <c r="AF21" s="693">
        <v>22170.677</v>
      </c>
      <c r="AG21" s="693"/>
      <c r="AH21" s="693">
        <v>0</v>
      </c>
      <c r="AI21" s="732">
        <f t="shared" ref="AI21" si="11">+AJ21+AK21</f>
        <v>0</v>
      </c>
      <c r="AJ21" s="732">
        <f t="shared" ref="AJ21" si="12">+W21-AG21</f>
        <v>0</v>
      </c>
      <c r="AK21" s="732">
        <f t="shared" ref="AK21" si="13">+X21-AH21</f>
        <v>0</v>
      </c>
      <c r="AL21" s="732">
        <f>+AM21</f>
        <v>130921</v>
      </c>
      <c r="AM21" s="732">
        <f>+J21-N21</f>
        <v>130921</v>
      </c>
      <c r="AN21" s="709"/>
      <c r="AO21" s="698" t="s">
        <v>670</v>
      </c>
      <c r="AP21" s="707"/>
    </row>
  </sheetData>
  <mergeCells count="43">
    <mergeCell ref="A1:AP1"/>
    <mergeCell ref="A2:AP2"/>
    <mergeCell ref="A3:AP3"/>
    <mergeCell ref="AN4:AP4"/>
    <mergeCell ref="A5:A7"/>
    <mergeCell ref="B5:B7"/>
    <mergeCell ref="C5:C7"/>
    <mergeCell ref="D5:D7"/>
    <mergeCell ref="E5:E7"/>
    <mergeCell ref="F5:F7"/>
    <mergeCell ref="O5:X5"/>
    <mergeCell ref="I6:I7"/>
    <mergeCell ref="J6:J7"/>
    <mergeCell ref="K6:K7"/>
    <mergeCell ref="L6:L7"/>
    <mergeCell ref="G5:G7"/>
    <mergeCell ref="H5:H7"/>
    <mergeCell ref="I5:J5"/>
    <mergeCell ref="K5:L5"/>
    <mergeCell ref="M5:N5"/>
    <mergeCell ref="AP5:AP7"/>
    <mergeCell ref="AI6:AI7"/>
    <mergeCell ref="AJ6:AK6"/>
    <mergeCell ref="AL6:AL7"/>
    <mergeCell ref="AM6:AM7"/>
    <mergeCell ref="Y5:AH5"/>
    <mergeCell ref="AI5:AK5"/>
    <mergeCell ref="AL5:AM5"/>
    <mergeCell ref="AN5:AN7"/>
    <mergeCell ref="AO5:AO7"/>
    <mergeCell ref="AG6:AH6"/>
    <mergeCell ref="M6:M7"/>
    <mergeCell ref="N6:N7"/>
    <mergeCell ref="O6:P6"/>
    <mergeCell ref="Q6:R6"/>
    <mergeCell ref="S6:T6"/>
    <mergeCell ref="U6:V6"/>
    <mergeCell ref="AO16:AO19"/>
    <mergeCell ref="W6:X6"/>
    <mergeCell ref="Y6:Z6"/>
    <mergeCell ref="AA6:AB6"/>
    <mergeCell ref="AC6:AD6"/>
    <mergeCell ref="AE6:AF6"/>
  </mergeCells>
  <phoneticPr fontId="40" type="noConversion"/>
  <conditionalFormatting sqref="B15">
    <cfRule type="expression" dxfId="1" priority="1">
      <formula>$G15="Đã hoàn thành"</formula>
    </cfRule>
    <cfRule type="expression" dxfId="0" priority="2">
      <formula>$G15="Đang thực hiện"</formula>
    </cfRule>
  </conditionalFormatting>
  <pageMargins left="0.7" right="0.7" top="0.75" bottom="0.75" header="0.3" footer="0.3"/>
  <pageSetup paperSize="9" scale="2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52"/>
  <sheetViews>
    <sheetView view="pageBreakPreview" topLeftCell="A5" zoomScale="60" zoomScaleNormal="64" workbookViewId="0">
      <pane xSplit="2" ySplit="5" topLeftCell="U19" activePane="bottomRight" state="frozen"/>
      <selection activeCell="A5" sqref="A5"/>
      <selection pane="topRight" activeCell="C5" sqref="C5"/>
      <selection pane="bottomLeft" activeCell="A10" sqref="A10"/>
      <selection pane="bottomRight" activeCell="AI47" sqref="AI47"/>
    </sheetView>
  </sheetViews>
  <sheetFormatPr defaultColWidth="9.109375" defaultRowHeight="15.6"/>
  <cols>
    <col min="1" max="1" width="9.109375" style="718"/>
    <col min="2" max="2" width="37.109375" style="719" customWidth="1"/>
    <col min="3" max="3" width="18.109375" style="720" customWidth="1"/>
    <col min="4" max="4" width="10.33203125" style="720" customWidth="1"/>
    <col min="5" max="5" width="6.21875" style="720" customWidth="1"/>
    <col min="6" max="6" width="7.6640625" style="720" customWidth="1"/>
    <col min="7" max="7" width="9.109375" style="720"/>
    <col min="8" max="9" width="12.33203125" style="720" customWidth="1"/>
    <col min="10" max="10" width="12" style="720" customWidth="1"/>
    <col min="11" max="12" width="12.6640625" style="720" customWidth="1"/>
    <col min="13" max="14" width="11.21875" style="720" customWidth="1"/>
    <col min="15" max="17" width="10.109375" style="720" customWidth="1"/>
    <col min="18" max="18" width="12.21875" style="720" customWidth="1"/>
    <col min="19" max="21" width="14" style="720" customWidth="1"/>
    <col min="22" max="22" width="14.77734375" style="720" customWidth="1"/>
    <col min="23" max="24" width="15" style="720" customWidth="1"/>
    <col min="25" max="27" width="10.109375" style="720" customWidth="1"/>
    <col min="28" max="28" width="12.109375" style="720" customWidth="1"/>
    <col min="29" max="29" width="13.88671875" style="720" customWidth="1"/>
    <col min="30" max="30" width="13.6640625" style="720" customWidth="1"/>
    <col min="31" max="32" width="13.88671875" style="720" customWidth="1"/>
    <col min="33" max="35" width="14.88671875" style="720" customWidth="1"/>
    <col min="36" max="36" width="13.109375" style="720" customWidth="1"/>
    <col min="37" max="37" width="15.21875" style="720" customWidth="1"/>
    <col min="38" max="38" width="9.109375" style="720"/>
    <col min="39" max="39" width="10.33203125" style="720" customWidth="1"/>
    <col min="40" max="40" width="11.6640625" style="720" customWidth="1"/>
    <col min="41" max="41" width="19.21875" style="720" customWidth="1"/>
    <col min="42" max="42" width="8.77734375" style="720" customWidth="1"/>
    <col min="43" max="16384" width="9.109375" style="720"/>
  </cols>
  <sheetData>
    <row r="1" spans="1:42" s="716" customFormat="1">
      <c r="A1" s="908" t="s">
        <v>59</v>
      </c>
      <c r="B1" s="908"/>
      <c r="C1" s="908"/>
      <c r="D1" s="908"/>
      <c r="E1" s="908"/>
      <c r="F1" s="908"/>
      <c r="G1" s="908"/>
      <c r="H1" s="908"/>
      <c r="I1" s="908"/>
      <c r="J1" s="908"/>
      <c r="K1" s="908"/>
      <c r="L1" s="908"/>
      <c r="M1" s="908"/>
      <c r="N1" s="908"/>
      <c r="O1" s="908"/>
      <c r="P1" s="908"/>
      <c r="Q1" s="908"/>
      <c r="R1" s="908"/>
      <c r="S1" s="908"/>
      <c r="T1" s="908"/>
      <c r="U1" s="908"/>
      <c r="V1" s="908"/>
      <c r="W1" s="908"/>
      <c r="X1" s="908"/>
      <c r="Y1" s="908"/>
      <c r="Z1" s="908"/>
      <c r="AA1" s="908"/>
      <c r="AB1" s="908"/>
      <c r="AC1" s="908"/>
      <c r="AD1" s="908"/>
      <c r="AE1" s="908"/>
      <c r="AF1" s="908"/>
      <c r="AG1" s="908"/>
      <c r="AH1" s="908"/>
      <c r="AI1" s="908"/>
      <c r="AJ1" s="908"/>
      <c r="AK1" s="908"/>
      <c r="AL1" s="908"/>
      <c r="AM1" s="908"/>
      <c r="AN1" s="908"/>
      <c r="AO1" s="908"/>
      <c r="AP1" s="908"/>
    </row>
    <row r="2" spans="1:42" s="716" customFormat="1">
      <c r="A2" s="908" t="s">
        <v>60</v>
      </c>
      <c r="B2" s="908"/>
      <c r="C2" s="908"/>
      <c r="D2" s="908"/>
      <c r="E2" s="908"/>
      <c r="F2" s="908"/>
      <c r="G2" s="908"/>
      <c r="H2" s="908"/>
      <c r="I2" s="908"/>
      <c r="J2" s="908"/>
      <c r="K2" s="908"/>
      <c r="L2" s="908"/>
      <c r="M2" s="908"/>
      <c r="N2" s="908"/>
      <c r="O2" s="908"/>
      <c r="P2" s="908"/>
      <c r="Q2" s="908"/>
      <c r="R2" s="908"/>
      <c r="S2" s="908"/>
      <c r="T2" s="908"/>
      <c r="U2" s="908"/>
      <c r="V2" s="908"/>
      <c r="W2" s="908"/>
      <c r="X2" s="908"/>
      <c r="Y2" s="908"/>
      <c r="Z2" s="908"/>
      <c r="AA2" s="908"/>
      <c r="AB2" s="908"/>
      <c r="AC2" s="908"/>
      <c r="AD2" s="908"/>
      <c r="AE2" s="908"/>
      <c r="AF2" s="908"/>
      <c r="AG2" s="908"/>
      <c r="AH2" s="908"/>
      <c r="AI2" s="908"/>
      <c r="AJ2" s="908"/>
      <c r="AK2" s="908"/>
      <c r="AL2" s="908"/>
      <c r="AM2" s="908"/>
      <c r="AN2" s="908"/>
      <c r="AO2" s="908"/>
      <c r="AP2" s="908"/>
    </row>
    <row r="3" spans="1:42" s="717" customFormat="1">
      <c r="A3" s="909" t="str">
        <f>+'NSTW 21-25'!A3:AP3</f>
        <v>(Kèm theo Báo cáo số            /BC-UBND ngày        /      /2025 của UBND huyện Tủa Chùa)</v>
      </c>
      <c r="B3" s="909"/>
      <c r="C3" s="909"/>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909"/>
      <c r="AO3" s="909"/>
      <c r="AP3" s="909"/>
    </row>
    <row r="4" spans="1:42">
      <c r="A4" s="753"/>
      <c r="B4" s="754"/>
      <c r="C4" s="755"/>
      <c r="D4" s="755"/>
      <c r="E4" s="755"/>
      <c r="F4" s="755"/>
      <c r="G4" s="755"/>
      <c r="H4" s="755"/>
      <c r="I4" s="755"/>
      <c r="J4" s="755"/>
      <c r="K4" s="755"/>
      <c r="L4" s="755"/>
      <c r="M4" s="755"/>
      <c r="N4" s="755"/>
      <c r="O4" s="755"/>
      <c r="P4" s="755"/>
      <c r="Q4" s="755"/>
      <c r="R4" s="755"/>
      <c r="S4" s="755"/>
      <c r="T4" s="755"/>
      <c r="U4" s="755"/>
      <c r="V4" s="755"/>
      <c r="W4" s="755"/>
      <c r="X4" s="755"/>
      <c r="Y4" s="755"/>
      <c r="Z4" s="755"/>
      <c r="AA4" s="755"/>
      <c r="AB4" s="755"/>
      <c r="AC4" s="755"/>
      <c r="AD4" s="755"/>
      <c r="AE4" s="755"/>
      <c r="AF4" s="755"/>
      <c r="AG4" s="755"/>
      <c r="AH4" s="755"/>
      <c r="AI4" s="755"/>
      <c r="AJ4" s="755"/>
      <c r="AK4" s="755"/>
      <c r="AL4" s="755"/>
      <c r="AM4" s="755"/>
      <c r="AN4" s="910" t="s">
        <v>49</v>
      </c>
      <c r="AO4" s="910"/>
      <c r="AP4" s="910"/>
    </row>
    <row r="5" spans="1:42" ht="48.75" customHeight="1">
      <c r="A5" s="886" t="s">
        <v>16</v>
      </c>
      <c r="B5" s="886" t="s">
        <v>0</v>
      </c>
      <c r="C5" s="886" t="s">
        <v>17</v>
      </c>
      <c r="D5" s="886" t="s">
        <v>20</v>
      </c>
      <c r="E5" s="887" t="s">
        <v>1</v>
      </c>
      <c r="F5" s="886" t="s">
        <v>18</v>
      </c>
      <c r="G5" s="886" t="s">
        <v>19</v>
      </c>
      <c r="H5" s="886" t="s">
        <v>2</v>
      </c>
      <c r="I5" s="886" t="s">
        <v>3</v>
      </c>
      <c r="J5" s="886"/>
      <c r="K5" s="886" t="s">
        <v>22</v>
      </c>
      <c r="L5" s="886"/>
      <c r="M5" s="886" t="s">
        <v>4</v>
      </c>
      <c r="N5" s="886"/>
      <c r="O5" s="886" t="s">
        <v>56</v>
      </c>
      <c r="P5" s="886"/>
      <c r="Q5" s="886"/>
      <c r="R5" s="886"/>
      <c r="S5" s="886"/>
      <c r="T5" s="886"/>
      <c r="U5" s="886"/>
      <c r="V5" s="886"/>
      <c r="W5" s="886"/>
      <c r="X5" s="886"/>
      <c r="Y5" s="886" t="s">
        <v>57</v>
      </c>
      <c r="Z5" s="886"/>
      <c r="AA5" s="886"/>
      <c r="AB5" s="886"/>
      <c r="AC5" s="886"/>
      <c r="AD5" s="886"/>
      <c r="AE5" s="886"/>
      <c r="AF5" s="886"/>
      <c r="AG5" s="886"/>
      <c r="AH5" s="886"/>
      <c r="AI5" s="892" t="s">
        <v>674</v>
      </c>
      <c r="AJ5" s="894"/>
      <c r="AK5" s="893"/>
      <c r="AL5" s="886" t="s">
        <v>31</v>
      </c>
      <c r="AM5" s="886"/>
      <c r="AN5" s="886" t="s">
        <v>30</v>
      </c>
      <c r="AO5" s="887" t="s">
        <v>39</v>
      </c>
      <c r="AP5" s="886" t="s">
        <v>32</v>
      </c>
    </row>
    <row r="6" spans="1:42" ht="45" customHeight="1">
      <c r="A6" s="886"/>
      <c r="B6" s="886"/>
      <c r="C6" s="886"/>
      <c r="D6" s="886"/>
      <c r="E6" s="888"/>
      <c r="F6" s="886"/>
      <c r="G6" s="886"/>
      <c r="H6" s="886"/>
      <c r="I6" s="886" t="s">
        <v>7</v>
      </c>
      <c r="J6" s="886" t="s">
        <v>58</v>
      </c>
      <c r="K6" s="886" t="s">
        <v>7</v>
      </c>
      <c r="L6" s="886" t="s">
        <v>58</v>
      </c>
      <c r="M6" s="886" t="s">
        <v>7</v>
      </c>
      <c r="N6" s="886" t="s">
        <v>58</v>
      </c>
      <c r="O6" s="892">
        <v>2021</v>
      </c>
      <c r="P6" s="893"/>
      <c r="Q6" s="886">
        <v>2022</v>
      </c>
      <c r="R6" s="886"/>
      <c r="S6" s="886">
        <v>2023</v>
      </c>
      <c r="T6" s="886"/>
      <c r="U6" s="886">
        <v>2024</v>
      </c>
      <c r="V6" s="886"/>
      <c r="W6" s="892">
        <v>2025</v>
      </c>
      <c r="X6" s="893"/>
      <c r="Y6" s="892">
        <v>2021</v>
      </c>
      <c r="Z6" s="893"/>
      <c r="AA6" s="886">
        <v>2022</v>
      </c>
      <c r="AB6" s="886"/>
      <c r="AC6" s="886">
        <v>2023</v>
      </c>
      <c r="AD6" s="886"/>
      <c r="AE6" s="886">
        <v>2024</v>
      </c>
      <c r="AF6" s="886"/>
      <c r="AG6" s="892" t="s">
        <v>671</v>
      </c>
      <c r="AH6" s="893"/>
      <c r="AI6" s="887" t="s">
        <v>28</v>
      </c>
      <c r="AJ6" s="892" t="s">
        <v>29</v>
      </c>
      <c r="AK6" s="893"/>
      <c r="AL6" s="886" t="s">
        <v>7</v>
      </c>
      <c r="AM6" s="886" t="s">
        <v>58</v>
      </c>
      <c r="AN6" s="886"/>
      <c r="AO6" s="888"/>
      <c r="AP6" s="886"/>
    </row>
    <row r="7" spans="1:42" ht="62.4">
      <c r="A7" s="886"/>
      <c r="B7" s="886"/>
      <c r="C7" s="886"/>
      <c r="D7" s="886"/>
      <c r="E7" s="889"/>
      <c r="F7" s="886"/>
      <c r="G7" s="886"/>
      <c r="H7" s="886"/>
      <c r="I7" s="886"/>
      <c r="J7" s="886"/>
      <c r="K7" s="886"/>
      <c r="L7" s="886"/>
      <c r="M7" s="886"/>
      <c r="N7" s="886"/>
      <c r="O7" s="740" t="s">
        <v>24</v>
      </c>
      <c r="P7" s="740" t="s">
        <v>9</v>
      </c>
      <c r="Q7" s="740" t="s">
        <v>10</v>
      </c>
      <c r="R7" s="740" t="s">
        <v>11</v>
      </c>
      <c r="S7" s="740" t="s">
        <v>12</v>
      </c>
      <c r="T7" s="740" t="s">
        <v>13</v>
      </c>
      <c r="U7" s="740" t="s">
        <v>25</v>
      </c>
      <c r="V7" s="740" t="s">
        <v>14</v>
      </c>
      <c r="W7" s="740" t="s">
        <v>26</v>
      </c>
      <c r="X7" s="740" t="s">
        <v>15</v>
      </c>
      <c r="Y7" s="740" t="s">
        <v>24</v>
      </c>
      <c r="Z7" s="740" t="s">
        <v>9</v>
      </c>
      <c r="AA7" s="740" t="s">
        <v>10</v>
      </c>
      <c r="AB7" s="740" t="s">
        <v>11</v>
      </c>
      <c r="AC7" s="740" t="s">
        <v>12</v>
      </c>
      <c r="AD7" s="740" t="s">
        <v>13</v>
      </c>
      <c r="AE7" s="740" t="s">
        <v>25</v>
      </c>
      <c r="AF7" s="740" t="s">
        <v>14</v>
      </c>
      <c r="AG7" s="740" t="s">
        <v>26</v>
      </c>
      <c r="AH7" s="740" t="s">
        <v>15</v>
      </c>
      <c r="AI7" s="889"/>
      <c r="AJ7" s="740" t="s">
        <v>26</v>
      </c>
      <c r="AK7" s="740" t="s">
        <v>15</v>
      </c>
      <c r="AL7" s="886"/>
      <c r="AM7" s="886"/>
      <c r="AN7" s="886"/>
      <c r="AO7" s="889"/>
      <c r="AP7" s="886"/>
    </row>
    <row r="8" spans="1:42">
      <c r="A8" s="756">
        <v>1</v>
      </c>
      <c r="B8" s="661">
        <v>2</v>
      </c>
      <c r="C8" s="756">
        <v>3</v>
      </c>
      <c r="D8" s="756">
        <v>4</v>
      </c>
      <c r="E8" s="756">
        <v>5</v>
      </c>
      <c r="F8" s="756">
        <v>6</v>
      </c>
      <c r="G8" s="756">
        <v>7</v>
      </c>
      <c r="H8" s="756">
        <v>8</v>
      </c>
      <c r="I8" s="756">
        <v>9</v>
      </c>
      <c r="J8" s="756">
        <v>10</v>
      </c>
      <c r="K8" s="756">
        <v>11</v>
      </c>
      <c r="L8" s="756">
        <v>12</v>
      </c>
      <c r="M8" s="756">
        <v>13</v>
      </c>
      <c r="N8" s="756">
        <v>14</v>
      </c>
      <c r="O8" s="756">
        <v>15</v>
      </c>
      <c r="P8" s="756">
        <v>16</v>
      </c>
      <c r="Q8" s="756">
        <v>17</v>
      </c>
      <c r="R8" s="756">
        <v>18</v>
      </c>
      <c r="S8" s="756">
        <v>19</v>
      </c>
      <c r="T8" s="756">
        <v>20</v>
      </c>
      <c r="U8" s="756">
        <v>21</v>
      </c>
      <c r="V8" s="756">
        <v>22</v>
      </c>
      <c r="W8" s="756">
        <v>23</v>
      </c>
      <c r="X8" s="756">
        <v>24</v>
      </c>
      <c r="Y8" s="756">
        <v>25</v>
      </c>
      <c r="Z8" s="756">
        <v>26</v>
      </c>
      <c r="AA8" s="756">
        <v>27</v>
      </c>
      <c r="AB8" s="756">
        <v>28</v>
      </c>
      <c r="AC8" s="756">
        <v>29</v>
      </c>
      <c r="AD8" s="756">
        <v>30</v>
      </c>
      <c r="AE8" s="756">
        <v>31</v>
      </c>
      <c r="AF8" s="756">
        <v>32</v>
      </c>
      <c r="AG8" s="756">
        <v>33</v>
      </c>
      <c r="AH8" s="756">
        <v>34</v>
      </c>
      <c r="AI8" s="756" t="s">
        <v>33</v>
      </c>
      <c r="AJ8" s="756" t="s">
        <v>34</v>
      </c>
      <c r="AK8" s="756" t="s">
        <v>35</v>
      </c>
      <c r="AL8" s="756">
        <v>38</v>
      </c>
      <c r="AM8" s="756">
        <v>39</v>
      </c>
      <c r="AN8" s="756">
        <v>40</v>
      </c>
      <c r="AO8" s="756">
        <v>41</v>
      </c>
      <c r="AP8" s="756">
        <v>42</v>
      </c>
    </row>
    <row r="9" spans="1:42" s="716" customFormat="1" ht="49.5" customHeight="1">
      <c r="A9" s="757"/>
      <c r="B9" s="740" t="s">
        <v>76</v>
      </c>
      <c r="C9" s="757"/>
      <c r="D9" s="757"/>
      <c r="E9" s="757"/>
      <c r="F9" s="757"/>
      <c r="G9" s="757"/>
      <c r="H9" s="757"/>
      <c r="I9" s="758">
        <f t="shared" ref="I9:AM9" si="0">+I10+I41+I47</f>
        <v>211534</v>
      </c>
      <c r="J9" s="758">
        <f t="shared" si="0"/>
        <v>205894</v>
      </c>
      <c r="K9" s="758">
        <f t="shared" si="0"/>
        <v>0</v>
      </c>
      <c r="L9" s="758">
        <f t="shared" si="0"/>
        <v>0</v>
      </c>
      <c r="M9" s="758">
        <f t="shared" si="0"/>
        <v>205904</v>
      </c>
      <c r="N9" s="758">
        <f t="shared" si="0"/>
        <v>205904</v>
      </c>
      <c r="O9" s="759">
        <f t="shared" si="0"/>
        <v>0</v>
      </c>
      <c r="P9" s="759">
        <f t="shared" si="0"/>
        <v>0</v>
      </c>
      <c r="Q9" s="759">
        <f t="shared" si="0"/>
        <v>0</v>
      </c>
      <c r="R9" s="759">
        <f t="shared" si="0"/>
        <v>481.42099999999999</v>
      </c>
      <c r="S9" s="759">
        <f t="shared" si="0"/>
        <v>1518.579</v>
      </c>
      <c r="T9" s="759">
        <f t="shared" si="0"/>
        <v>11066.015000000001</v>
      </c>
      <c r="U9" s="759">
        <f t="shared" si="0"/>
        <v>4931.9849999999997</v>
      </c>
      <c r="V9" s="759">
        <f t="shared" si="0"/>
        <v>38546.046600000001</v>
      </c>
      <c r="W9" s="759">
        <f t="shared" si="0"/>
        <v>10683.9534</v>
      </c>
      <c r="X9" s="759">
        <f t="shared" si="0"/>
        <v>138676</v>
      </c>
      <c r="Y9" s="759">
        <f t="shared" si="0"/>
        <v>0</v>
      </c>
      <c r="Z9" s="759">
        <f t="shared" si="0"/>
        <v>0</v>
      </c>
      <c r="AA9" s="759">
        <f t="shared" si="0"/>
        <v>0</v>
      </c>
      <c r="AB9" s="759">
        <f t="shared" si="0"/>
        <v>481.42099999999999</v>
      </c>
      <c r="AC9" s="759">
        <f t="shared" si="0"/>
        <v>1518.579</v>
      </c>
      <c r="AD9" s="759">
        <f t="shared" si="0"/>
        <v>11066.014000000001</v>
      </c>
      <c r="AE9" s="759">
        <f t="shared" si="0"/>
        <v>4931.9849999999997</v>
      </c>
      <c r="AF9" s="759">
        <f t="shared" si="0"/>
        <v>38546.046600000001</v>
      </c>
      <c r="AG9" s="759">
        <f t="shared" si="0"/>
        <v>2563.5084000000002</v>
      </c>
      <c r="AH9" s="759">
        <f t="shared" si="0"/>
        <v>51393.796632999998</v>
      </c>
      <c r="AI9" s="759">
        <f t="shared" si="0"/>
        <v>95402.648367000016</v>
      </c>
      <c r="AJ9" s="759">
        <f t="shared" si="0"/>
        <v>8120.4449999999997</v>
      </c>
      <c r="AK9" s="759">
        <f t="shared" si="0"/>
        <v>87282.203367000009</v>
      </c>
      <c r="AL9" s="759">
        <f t="shared" si="0"/>
        <v>0</v>
      </c>
      <c r="AM9" s="759">
        <f t="shared" si="0"/>
        <v>0</v>
      </c>
      <c r="AN9" s="758">
        <f>SUM(AN42:AN52)</f>
        <v>0</v>
      </c>
      <c r="AO9" s="758">
        <f>SUM(AO42:AO52)</f>
        <v>0</v>
      </c>
      <c r="AP9" s="757"/>
    </row>
    <row r="10" spans="1:42" s="724" customFormat="1" ht="59.25" customHeight="1">
      <c r="A10" s="757" t="s">
        <v>36</v>
      </c>
      <c r="B10" s="676" t="s">
        <v>61</v>
      </c>
      <c r="C10" s="760"/>
      <c r="D10" s="760"/>
      <c r="E10" s="760"/>
      <c r="F10" s="760"/>
      <c r="G10" s="760"/>
      <c r="H10" s="760"/>
      <c r="I10" s="761">
        <f>+I11</f>
        <v>126604</v>
      </c>
      <c r="J10" s="761">
        <f t="shared" ref="J10:AM10" si="1">+J11</f>
        <v>120964</v>
      </c>
      <c r="K10" s="761">
        <f t="shared" si="1"/>
        <v>0</v>
      </c>
      <c r="L10" s="761">
        <f t="shared" si="1"/>
        <v>0</v>
      </c>
      <c r="M10" s="761">
        <f t="shared" si="1"/>
        <v>120964</v>
      </c>
      <c r="N10" s="761">
        <f t="shared" si="1"/>
        <v>120964</v>
      </c>
      <c r="O10" s="761">
        <f t="shared" si="1"/>
        <v>0</v>
      </c>
      <c r="P10" s="761">
        <f t="shared" si="1"/>
        <v>0</v>
      </c>
      <c r="Q10" s="761">
        <f t="shared" si="1"/>
        <v>0</v>
      </c>
      <c r="R10" s="761">
        <f t="shared" si="1"/>
        <v>0</v>
      </c>
      <c r="S10" s="761">
        <f t="shared" si="1"/>
        <v>0</v>
      </c>
      <c r="T10" s="761">
        <f t="shared" si="1"/>
        <v>367.37599999999998</v>
      </c>
      <c r="U10" s="761">
        <f t="shared" si="1"/>
        <v>282.62400000000002</v>
      </c>
      <c r="V10" s="761">
        <f t="shared" si="1"/>
        <v>17566.682000000001</v>
      </c>
      <c r="W10" s="761">
        <f t="shared" si="1"/>
        <v>3733.3179999999998</v>
      </c>
      <c r="X10" s="761">
        <f t="shared" si="1"/>
        <v>99014</v>
      </c>
      <c r="Y10" s="761">
        <f t="shared" si="1"/>
        <v>0</v>
      </c>
      <c r="Z10" s="761">
        <f t="shared" si="1"/>
        <v>0</v>
      </c>
      <c r="AA10" s="761">
        <f t="shared" si="1"/>
        <v>0</v>
      </c>
      <c r="AB10" s="761">
        <f t="shared" si="1"/>
        <v>0</v>
      </c>
      <c r="AC10" s="761">
        <f t="shared" si="1"/>
        <v>0</v>
      </c>
      <c r="AD10" s="761">
        <f t="shared" si="1"/>
        <v>367.37599999999998</v>
      </c>
      <c r="AE10" s="761">
        <f t="shared" si="1"/>
        <v>282.62400000000002</v>
      </c>
      <c r="AF10" s="761">
        <f t="shared" si="1"/>
        <v>17566.682000000001</v>
      </c>
      <c r="AG10" s="761">
        <f t="shared" si="1"/>
        <v>0</v>
      </c>
      <c r="AH10" s="761">
        <f t="shared" si="1"/>
        <v>41988.561000000002</v>
      </c>
      <c r="AI10" s="761">
        <f t="shared" si="1"/>
        <v>60758.757000000005</v>
      </c>
      <c r="AJ10" s="761">
        <f t="shared" si="1"/>
        <v>3733.3179999999998</v>
      </c>
      <c r="AK10" s="761">
        <f t="shared" si="1"/>
        <v>57025.439000000006</v>
      </c>
      <c r="AL10" s="761">
        <f t="shared" si="1"/>
        <v>0</v>
      </c>
      <c r="AM10" s="761">
        <f t="shared" si="1"/>
        <v>0</v>
      </c>
      <c r="AN10" s="762"/>
      <c r="AO10" s="762"/>
      <c r="AP10" s="762"/>
    </row>
    <row r="11" spans="1:42" s="721" customFormat="1" ht="30" customHeight="1">
      <c r="A11" s="763" t="s">
        <v>40</v>
      </c>
      <c r="B11" s="679" t="s">
        <v>41</v>
      </c>
      <c r="C11" s="764"/>
      <c r="D11" s="764"/>
      <c r="E11" s="764"/>
      <c r="F11" s="764"/>
      <c r="G11" s="764"/>
      <c r="H11" s="764"/>
      <c r="I11" s="765">
        <f t="shared" ref="I11:AM11" si="2">SUM(I12:I40)</f>
        <v>126604</v>
      </c>
      <c r="J11" s="765">
        <f t="shared" si="2"/>
        <v>120964</v>
      </c>
      <c r="K11" s="766">
        <f t="shared" si="2"/>
        <v>0</v>
      </c>
      <c r="L11" s="767">
        <f t="shared" si="2"/>
        <v>0</v>
      </c>
      <c r="M11" s="765">
        <f t="shared" si="2"/>
        <v>120964</v>
      </c>
      <c r="N11" s="765">
        <f t="shared" si="2"/>
        <v>120964</v>
      </c>
      <c r="O11" s="767">
        <f t="shared" si="2"/>
        <v>0</v>
      </c>
      <c r="P11" s="767">
        <f t="shared" si="2"/>
        <v>0</v>
      </c>
      <c r="Q11" s="767">
        <f t="shared" si="2"/>
        <v>0</v>
      </c>
      <c r="R11" s="767">
        <f t="shared" si="2"/>
        <v>0</v>
      </c>
      <c r="S11" s="767">
        <f t="shared" si="2"/>
        <v>0</v>
      </c>
      <c r="T11" s="767">
        <f t="shared" si="2"/>
        <v>367.37599999999998</v>
      </c>
      <c r="U11" s="767">
        <f t="shared" si="2"/>
        <v>282.62400000000002</v>
      </c>
      <c r="V11" s="767">
        <f t="shared" si="2"/>
        <v>17566.682000000001</v>
      </c>
      <c r="W11" s="767">
        <f t="shared" si="2"/>
        <v>3733.3179999999998</v>
      </c>
      <c r="X11" s="767">
        <f t="shared" si="2"/>
        <v>99014</v>
      </c>
      <c r="Y11" s="767">
        <f t="shared" si="2"/>
        <v>0</v>
      </c>
      <c r="Z11" s="767">
        <f t="shared" si="2"/>
        <v>0</v>
      </c>
      <c r="AA11" s="767">
        <f t="shared" si="2"/>
        <v>0</v>
      </c>
      <c r="AB11" s="767">
        <f t="shared" si="2"/>
        <v>0</v>
      </c>
      <c r="AC11" s="767">
        <f t="shared" si="2"/>
        <v>0</v>
      </c>
      <c r="AD11" s="767">
        <f t="shared" si="2"/>
        <v>367.37599999999998</v>
      </c>
      <c r="AE11" s="767">
        <f t="shared" si="2"/>
        <v>282.62400000000002</v>
      </c>
      <c r="AF11" s="767">
        <f t="shared" si="2"/>
        <v>17566.682000000001</v>
      </c>
      <c r="AG11" s="767">
        <f t="shared" si="2"/>
        <v>0</v>
      </c>
      <c r="AH11" s="767">
        <f t="shared" si="2"/>
        <v>41988.561000000002</v>
      </c>
      <c r="AI11" s="767">
        <f t="shared" si="2"/>
        <v>60758.757000000005</v>
      </c>
      <c r="AJ11" s="767">
        <f t="shared" si="2"/>
        <v>3733.3179999999998</v>
      </c>
      <c r="AK11" s="767">
        <f t="shared" si="2"/>
        <v>57025.439000000006</v>
      </c>
      <c r="AL11" s="767">
        <f t="shared" si="2"/>
        <v>0</v>
      </c>
      <c r="AM11" s="767">
        <f t="shared" si="2"/>
        <v>0</v>
      </c>
      <c r="AN11" s="768"/>
      <c r="AO11" s="768"/>
      <c r="AP11" s="768"/>
    </row>
    <row r="12" spans="1:42" s="721" customFormat="1" ht="48" customHeight="1">
      <c r="A12" s="769">
        <v>1</v>
      </c>
      <c r="B12" s="654" t="s">
        <v>190</v>
      </c>
      <c r="C12" s="661" t="s">
        <v>449</v>
      </c>
      <c r="D12" s="661" t="s">
        <v>612</v>
      </c>
      <c r="E12" s="661" t="s">
        <v>46</v>
      </c>
      <c r="F12" s="655">
        <v>2023</v>
      </c>
      <c r="G12" s="655" t="s">
        <v>191</v>
      </c>
      <c r="H12" s="656" t="s">
        <v>192</v>
      </c>
      <c r="I12" s="770">
        <v>25662</v>
      </c>
      <c r="J12" s="770">
        <f>+M12</f>
        <v>20022</v>
      </c>
      <c r="K12" s="771"/>
      <c r="L12" s="771"/>
      <c r="M12" s="770">
        <f t="shared" ref="M12:M39" si="3">SUM(O12:X12)</f>
        <v>20022</v>
      </c>
      <c r="N12" s="770">
        <f t="shared" ref="N12:N39" si="4">+M12</f>
        <v>20022</v>
      </c>
      <c r="O12" s="768"/>
      <c r="P12" s="768"/>
      <c r="Q12" s="768"/>
      <c r="R12" s="768"/>
      <c r="S12" s="768"/>
      <c r="T12" s="762">
        <v>367.37599999999998</v>
      </c>
      <c r="U12" s="772">
        <v>282.62400000000002</v>
      </c>
      <c r="V12" s="772">
        <v>10000</v>
      </c>
      <c r="W12" s="772">
        <v>0</v>
      </c>
      <c r="X12" s="772">
        <v>9372</v>
      </c>
      <c r="Y12" s="772"/>
      <c r="Z12" s="772"/>
      <c r="AA12" s="772"/>
      <c r="AB12" s="772"/>
      <c r="AC12" s="772"/>
      <c r="AD12" s="762">
        <v>367.37599999999998</v>
      </c>
      <c r="AE12" s="772">
        <v>282.62400000000002</v>
      </c>
      <c r="AF12" s="772">
        <v>10000</v>
      </c>
      <c r="AG12" s="772">
        <v>0</v>
      </c>
      <c r="AH12" s="773">
        <v>4014.0659999999998</v>
      </c>
      <c r="AI12" s="774">
        <f>+AJ12+AK12</f>
        <v>5357.9340000000002</v>
      </c>
      <c r="AJ12" s="775">
        <f>+W12-AG12</f>
        <v>0</v>
      </c>
      <c r="AK12" s="774">
        <f>+X12-AH12</f>
        <v>5357.9340000000002</v>
      </c>
      <c r="AL12" s="768"/>
      <c r="AM12" s="768"/>
      <c r="AN12" s="768"/>
      <c r="AO12" s="882" t="s">
        <v>670</v>
      </c>
      <c r="AP12" s="768"/>
    </row>
    <row r="13" spans="1:42" s="721" customFormat="1" ht="46.8">
      <c r="A13" s="776">
        <v>2</v>
      </c>
      <c r="B13" s="660" t="s">
        <v>249</v>
      </c>
      <c r="C13" s="661" t="s">
        <v>448</v>
      </c>
      <c r="D13" s="661" t="s">
        <v>612</v>
      </c>
      <c r="E13" s="661" t="s">
        <v>46</v>
      </c>
      <c r="F13" s="655">
        <v>2023</v>
      </c>
      <c r="G13" s="770" t="s">
        <v>243</v>
      </c>
      <c r="H13" s="770" t="s">
        <v>250</v>
      </c>
      <c r="I13" s="770">
        <v>9373</v>
      </c>
      <c r="J13" s="770">
        <f>+I13</f>
        <v>9373</v>
      </c>
      <c r="K13" s="764"/>
      <c r="L13" s="764"/>
      <c r="M13" s="772">
        <f t="shared" si="3"/>
        <v>9373</v>
      </c>
      <c r="N13" s="772">
        <f t="shared" si="4"/>
        <v>9373</v>
      </c>
      <c r="O13" s="768"/>
      <c r="P13" s="768"/>
      <c r="Q13" s="768"/>
      <c r="R13" s="768"/>
      <c r="S13" s="768"/>
      <c r="T13" s="768"/>
      <c r="U13" s="768"/>
      <c r="V13" s="762">
        <v>2717.0520000000001</v>
      </c>
      <c r="W13" s="772">
        <v>282.94799999999998</v>
      </c>
      <c r="X13" s="772">
        <v>6373</v>
      </c>
      <c r="Y13" s="762"/>
      <c r="Z13" s="762"/>
      <c r="AA13" s="762"/>
      <c r="AB13" s="762"/>
      <c r="AC13" s="807"/>
      <c r="AD13" s="762"/>
      <c r="AE13" s="762"/>
      <c r="AF13" s="762">
        <v>2717.0520000000001</v>
      </c>
      <c r="AG13" s="772">
        <v>0</v>
      </c>
      <c r="AH13" s="772">
        <v>0</v>
      </c>
      <c r="AI13" s="774">
        <f t="shared" ref="AI13:AI40" si="5">+AJ13+AK13</f>
        <v>6655.9480000000003</v>
      </c>
      <c r="AJ13" s="775">
        <f t="shared" ref="AJ13:AJ40" si="6">+W13-AG13</f>
        <v>282.94799999999998</v>
      </c>
      <c r="AK13" s="774">
        <f t="shared" ref="AK13:AK40" si="7">+X13-AH13</f>
        <v>6373</v>
      </c>
      <c r="AL13" s="768"/>
      <c r="AM13" s="768"/>
      <c r="AN13" s="768"/>
      <c r="AO13" s="883"/>
      <c r="AP13" s="768"/>
    </row>
    <row r="14" spans="1:42" s="721" customFormat="1" ht="46.8">
      <c r="A14" s="769">
        <v>3</v>
      </c>
      <c r="B14" s="660" t="s">
        <v>251</v>
      </c>
      <c r="C14" s="661" t="s">
        <v>448</v>
      </c>
      <c r="D14" s="661" t="s">
        <v>612</v>
      </c>
      <c r="E14" s="661" t="s">
        <v>46</v>
      </c>
      <c r="F14" s="655">
        <v>2023</v>
      </c>
      <c r="G14" s="770" t="s">
        <v>243</v>
      </c>
      <c r="H14" s="770" t="s">
        <v>252</v>
      </c>
      <c r="I14" s="770">
        <v>2335</v>
      </c>
      <c r="J14" s="770">
        <f t="shared" ref="J14:J39" si="8">+I14</f>
        <v>2335</v>
      </c>
      <c r="K14" s="764"/>
      <c r="L14" s="764"/>
      <c r="M14" s="772">
        <f t="shared" si="3"/>
        <v>2335</v>
      </c>
      <c r="N14" s="772">
        <f t="shared" si="4"/>
        <v>2335</v>
      </c>
      <c r="O14" s="768"/>
      <c r="P14" s="768"/>
      <c r="Q14" s="768"/>
      <c r="R14" s="768"/>
      <c r="S14" s="768"/>
      <c r="T14" s="768"/>
      <c r="U14" s="768"/>
      <c r="V14" s="762">
        <v>1118.547</v>
      </c>
      <c r="W14" s="772">
        <v>1181.453</v>
      </c>
      <c r="X14" s="772">
        <v>35</v>
      </c>
      <c r="Y14" s="762"/>
      <c r="Z14" s="762"/>
      <c r="AA14" s="762"/>
      <c r="AB14" s="762"/>
      <c r="AC14" s="762"/>
      <c r="AD14" s="762"/>
      <c r="AE14" s="762"/>
      <c r="AF14" s="762">
        <v>1118.547</v>
      </c>
      <c r="AG14" s="772">
        <v>0</v>
      </c>
      <c r="AH14" s="772">
        <v>0</v>
      </c>
      <c r="AI14" s="774">
        <f t="shared" si="5"/>
        <v>1216.453</v>
      </c>
      <c r="AJ14" s="775">
        <f t="shared" si="6"/>
        <v>1181.453</v>
      </c>
      <c r="AK14" s="774">
        <f t="shared" si="7"/>
        <v>35</v>
      </c>
      <c r="AL14" s="768"/>
      <c r="AM14" s="768"/>
      <c r="AN14" s="768"/>
      <c r="AO14" s="883"/>
      <c r="AP14" s="768"/>
    </row>
    <row r="15" spans="1:42" s="721" customFormat="1" ht="46.8">
      <c r="A15" s="776">
        <v>4</v>
      </c>
      <c r="B15" s="660" t="s">
        <v>253</v>
      </c>
      <c r="C15" s="661" t="s">
        <v>448</v>
      </c>
      <c r="D15" s="661" t="s">
        <v>612</v>
      </c>
      <c r="E15" s="661" t="s">
        <v>46</v>
      </c>
      <c r="F15" s="655">
        <v>2023</v>
      </c>
      <c r="G15" s="770" t="s">
        <v>243</v>
      </c>
      <c r="H15" s="770" t="s">
        <v>254</v>
      </c>
      <c r="I15" s="770">
        <v>1830</v>
      </c>
      <c r="J15" s="770">
        <f t="shared" si="8"/>
        <v>1830</v>
      </c>
      <c r="K15" s="764"/>
      <c r="L15" s="764"/>
      <c r="M15" s="772">
        <f t="shared" si="3"/>
        <v>1830</v>
      </c>
      <c r="N15" s="772">
        <f t="shared" si="4"/>
        <v>1830</v>
      </c>
      <c r="O15" s="768"/>
      <c r="P15" s="768"/>
      <c r="Q15" s="768"/>
      <c r="R15" s="768"/>
      <c r="S15" s="768"/>
      <c r="T15" s="768"/>
      <c r="U15" s="768"/>
      <c r="V15" s="762">
        <v>922.56600000000003</v>
      </c>
      <c r="W15" s="772">
        <v>877.43399999999997</v>
      </c>
      <c r="X15" s="772">
        <v>30</v>
      </c>
      <c r="Y15" s="762"/>
      <c r="Z15" s="762"/>
      <c r="AA15" s="762"/>
      <c r="AB15" s="762"/>
      <c r="AC15" s="762"/>
      <c r="AD15" s="762"/>
      <c r="AE15" s="762"/>
      <c r="AF15" s="762">
        <v>922.56600000000003</v>
      </c>
      <c r="AG15" s="772">
        <v>0</v>
      </c>
      <c r="AH15" s="772">
        <v>0</v>
      </c>
      <c r="AI15" s="774">
        <f t="shared" si="5"/>
        <v>907.43399999999997</v>
      </c>
      <c r="AJ15" s="775">
        <f t="shared" si="6"/>
        <v>877.43399999999997</v>
      </c>
      <c r="AK15" s="774">
        <f t="shared" si="7"/>
        <v>30</v>
      </c>
      <c r="AL15" s="768"/>
      <c r="AM15" s="768"/>
      <c r="AN15" s="768"/>
      <c r="AO15" s="883"/>
      <c r="AP15" s="768"/>
    </row>
    <row r="16" spans="1:42" s="721" customFormat="1" ht="46.8">
      <c r="A16" s="769">
        <v>5</v>
      </c>
      <c r="B16" s="660" t="s">
        <v>255</v>
      </c>
      <c r="C16" s="661" t="s">
        <v>448</v>
      </c>
      <c r="D16" s="661" t="s">
        <v>612</v>
      </c>
      <c r="E16" s="661" t="s">
        <v>46</v>
      </c>
      <c r="F16" s="655">
        <v>2023</v>
      </c>
      <c r="G16" s="770" t="s">
        <v>243</v>
      </c>
      <c r="H16" s="770" t="s">
        <v>256</v>
      </c>
      <c r="I16" s="770">
        <v>4060</v>
      </c>
      <c r="J16" s="770">
        <f t="shared" si="8"/>
        <v>4060</v>
      </c>
      <c r="K16" s="764"/>
      <c r="L16" s="764"/>
      <c r="M16" s="772">
        <f t="shared" si="3"/>
        <v>4060</v>
      </c>
      <c r="N16" s="772">
        <f t="shared" si="4"/>
        <v>4060</v>
      </c>
      <c r="O16" s="768"/>
      <c r="P16" s="768"/>
      <c r="Q16" s="768"/>
      <c r="R16" s="768"/>
      <c r="S16" s="768"/>
      <c r="T16" s="768"/>
      <c r="U16" s="768"/>
      <c r="V16" s="762">
        <v>1855.117</v>
      </c>
      <c r="W16" s="772">
        <v>144.88300000000001</v>
      </c>
      <c r="X16" s="772">
        <v>2060</v>
      </c>
      <c r="Y16" s="762"/>
      <c r="Z16" s="762"/>
      <c r="AA16" s="762"/>
      <c r="AB16" s="762"/>
      <c r="AC16" s="762"/>
      <c r="AD16" s="762"/>
      <c r="AE16" s="762"/>
      <c r="AF16" s="762">
        <v>1855.117</v>
      </c>
      <c r="AG16" s="772">
        <v>0</v>
      </c>
      <c r="AH16" s="772">
        <v>0</v>
      </c>
      <c r="AI16" s="774">
        <f t="shared" si="5"/>
        <v>2204.8829999999998</v>
      </c>
      <c r="AJ16" s="775">
        <f t="shared" si="6"/>
        <v>144.88300000000001</v>
      </c>
      <c r="AK16" s="774">
        <f t="shared" si="7"/>
        <v>2060</v>
      </c>
      <c r="AL16" s="768"/>
      <c r="AM16" s="768"/>
      <c r="AN16" s="768"/>
      <c r="AO16" s="883"/>
      <c r="AP16" s="768"/>
    </row>
    <row r="17" spans="1:42" s="721" customFormat="1" ht="46.8">
      <c r="A17" s="776">
        <v>6</v>
      </c>
      <c r="B17" s="660" t="s">
        <v>257</v>
      </c>
      <c r="C17" s="661" t="s">
        <v>448</v>
      </c>
      <c r="D17" s="661" t="s">
        <v>612</v>
      </c>
      <c r="E17" s="661" t="s">
        <v>46</v>
      </c>
      <c r="F17" s="655">
        <v>2023</v>
      </c>
      <c r="G17" s="770" t="s">
        <v>243</v>
      </c>
      <c r="H17" s="770" t="s">
        <v>258</v>
      </c>
      <c r="I17" s="770">
        <v>2280</v>
      </c>
      <c r="J17" s="770">
        <f t="shared" si="8"/>
        <v>2280</v>
      </c>
      <c r="K17" s="764"/>
      <c r="L17" s="764"/>
      <c r="M17" s="772">
        <f t="shared" si="3"/>
        <v>2280</v>
      </c>
      <c r="N17" s="772">
        <f t="shared" si="4"/>
        <v>2280</v>
      </c>
      <c r="O17" s="768"/>
      <c r="P17" s="768"/>
      <c r="Q17" s="768"/>
      <c r="R17" s="768"/>
      <c r="S17" s="768"/>
      <c r="T17" s="768"/>
      <c r="U17" s="768"/>
      <c r="V17" s="762">
        <v>953.4</v>
      </c>
      <c r="W17" s="772">
        <v>1246.5999999999999</v>
      </c>
      <c r="X17" s="772">
        <v>80</v>
      </c>
      <c r="Y17" s="762"/>
      <c r="Z17" s="762"/>
      <c r="AA17" s="762"/>
      <c r="AB17" s="762"/>
      <c r="AC17" s="762"/>
      <c r="AD17" s="762"/>
      <c r="AE17" s="762"/>
      <c r="AF17" s="762">
        <v>953.4</v>
      </c>
      <c r="AG17" s="772">
        <v>0</v>
      </c>
      <c r="AH17" s="773">
        <v>5.7759999999999998</v>
      </c>
      <c r="AI17" s="774">
        <f t="shared" si="5"/>
        <v>1320.8239999999998</v>
      </c>
      <c r="AJ17" s="775">
        <f t="shared" si="6"/>
        <v>1246.5999999999999</v>
      </c>
      <c r="AK17" s="774">
        <f t="shared" si="7"/>
        <v>74.224000000000004</v>
      </c>
      <c r="AL17" s="768"/>
      <c r="AM17" s="768"/>
      <c r="AN17" s="768"/>
      <c r="AO17" s="883"/>
      <c r="AP17" s="768"/>
    </row>
    <row r="18" spans="1:42" s="721" customFormat="1" ht="46.8">
      <c r="A18" s="769">
        <v>7</v>
      </c>
      <c r="B18" s="777" t="s">
        <v>265</v>
      </c>
      <c r="C18" s="661" t="s">
        <v>448</v>
      </c>
      <c r="D18" s="661" t="s">
        <v>624</v>
      </c>
      <c r="E18" s="661" t="s">
        <v>46</v>
      </c>
      <c r="F18" s="655">
        <v>2024</v>
      </c>
      <c r="G18" s="778" t="s">
        <v>196</v>
      </c>
      <c r="H18" s="778" t="s">
        <v>266</v>
      </c>
      <c r="I18" s="779">
        <v>1650</v>
      </c>
      <c r="J18" s="770">
        <f t="shared" si="8"/>
        <v>1650</v>
      </c>
      <c r="K18" s="764"/>
      <c r="L18" s="764"/>
      <c r="M18" s="772">
        <f t="shared" si="3"/>
        <v>1650</v>
      </c>
      <c r="N18" s="772">
        <f t="shared" si="4"/>
        <v>1650</v>
      </c>
      <c r="O18" s="768"/>
      <c r="P18" s="768"/>
      <c r="Q18" s="768"/>
      <c r="R18" s="768"/>
      <c r="S18" s="768"/>
      <c r="T18" s="768"/>
      <c r="U18" s="768"/>
      <c r="V18" s="762"/>
      <c r="W18" s="772">
        <v>0</v>
      </c>
      <c r="X18" s="772">
        <v>1650</v>
      </c>
      <c r="Y18" s="762"/>
      <c r="Z18" s="762"/>
      <c r="AA18" s="762"/>
      <c r="AB18" s="762"/>
      <c r="AC18" s="762"/>
      <c r="AD18" s="762"/>
      <c r="AE18" s="762"/>
      <c r="AF18" s="762"/>
      <c r="AG18" s="772">
        <v>0</v>
      </c>
      <c r="AH18" s="773">
        <v>1571.915</v>
      </c>
      <c r="AI18" s="774">
        <f t="shared" si="5"/>
        <v>78.085000000000036</v>
      </c>
      <c r="AJ18" s="775">
        <f t="shared" si="6"/>
        <v>0</v>
      </c>
      <c r="AK18" s="774">
        <f t="shared" si="7"/>
        <v>78.085000000000036</v>
      </c>
      <c r="AL18" s="768"/>
      <c r="AM18" s="768"/>
      <c r="AN18" s="768"/>
      <c r="AO18" s="883"/>
      <c r="AP18" s="768"/>
    </row>
    <row r="19" spans="1:42" s="721" customFormat="1" ht="46.8">
      <c r="A19" s="776">
        <v>8</v>
      </c>
      <c r="B19" s="777" t="s">
        <v>267</v>
      </c>
      <c r="C19" s="661" t="s">
        <v>448</v>
      </c>
      <c r="D19" s="661" t="s">
        <v>615</v>
      </c>
      <c r="E19" s="661" t="s">
        <v>46</v>
      </c>
      <c r="F19" s="655">
        <v>2024</v>
      </c>
      <c r="G19" s="778" t="s">
        <v>196</v>
      </c>
      <c r="H19" s="778" t="s">
        <v>268</v>
      </c>
      <c r="I19" s="779">
        <v>1450</v>
      </c>
      <c r="J19" s="770">
        <f t="shared" si="8"/>
        <v>1450</v>
      </c>
      <c r="K19" s="764"/>
      <c r="L19" s="764"/>
      <c r="M19" s="772">
        <f t="shared" si="3"/>
        <v>1450</v>
      </c>
      <c r="N19" s="772">
        <f t="shared" si="4"/>
        <v>1450</v>
      </c>
      <c r="O19" s="768"/>
      <c r="P19" s="768"/>
      <c r="Q19" s="768"/>
      <c r="R19" s="768"/>
      <c r="S19" s="768"/>
      <c r="T19" s="768"/>
      <c r="U19" s="768"/>
      <c r="V19" s="762"/>
      <c r="W19" s="772">
        <v>0</v>
      </c>
      <c r="X19" s="772">
        <v>1450</v>
      </c>
      <c r="Y19" s="762"/>
      <c r="Z19" s="762"/>
      <c r="AA19" s="762"/>
      <c r="AB19" s="762"/>
      <c r="AC19" s="762"/>
      <c r="AD19" s="762"/>
      <c r="AE19" s="762"/>
      <c r="AF19" s="762"/>
      <c r="AG19" s="772">
        <v>0</v>
      </c>
      <c r="AH19" s="773">
        <v>1354.326</v>
      </c>
      <c r="AI19" s="774">
        <f t="shared" si="5"/>
        <v>95.673999999999978</v>
      </c>
      <c r="AJ19" s="775">
        <f t="shared" si="6"/>
        <v>0</v>
      </c>
      <c r="AK19" s="774">
        <f t="shared" si="7"/>
        <v>95.673999999999978</v>
      </c>
      <c r="AL19" s="768"/>
      <c r="AM19" s="768"/>
      <c r="AN19" s="768"/>
      <c r="AO19" s="883"/>
      <c r="AP19" s="768"/>
    </row>
    <row r="20" spans="1:42" s="721" customFormat="1" ht="46.8">
      <c r="A20" s="769">
        <v>9</v>
      </c>
      <c r="B20" s="777" t="s">
        <v>269</v>
      </c>
      <c r="C20" s="661" t="s">
        <v>448</v>
      </c>
      <c r="D20" s="661" t="s">
        <v>628</v>
      </c>
      <c r="E20" s="661" t="s">
        <v>46</v>
      </c>
      <c r="F20" s="655">
        <v>2024</v>
      </c>
      <c r="G20" s="778" t="s">
        <v>196</v>
      </c>
      <c r="H20" s="778" t="s">
        <v>270</v>
      </c>
      <c r="I20" s="779">
        <f>+J20</f>
        <v>3063</v>
      </c>
      <c r="J20" s="770">
        <f>+M20</f>
        <v>3063</v>
      </c>
      <c r="K20" s="764"/>
      <c r="L20" s="764"/>
      <c r="M20" s="772">
        <f t="shared" si="3"/>
        <v>3063</v>
      </c>
      <c r="N20" s="772">
        <f t="shared" si="4"/>
        <v>3063</v>
      </c>
      <c r="O20" s="768"/>
      <c r="P20" s="768"/>
      <c r="Q20" s="768"/>
      <c r="R20" s="768"/>
      <c r="S20" s="768"/>
      <c r="T20" s="768"/>
      <c r="U20" s="768"/>
      <c r="V20" s="762"/>
      <c r="W20" s="772">
        <v>0</v>
      </c>
      <c r="X20" s="772">
        <v>3063</v>
      </c>
      <c r="Y20" s="762"/>
      <c r="Z20" s="762"/>
      <c r="AA20" s="762"/>
      <c r="AB20" s="762"/>
      <c r="AC20" s="762"/>
      <c r="AD20" s="762"/>
      <c r="AE20" s="762"/>
      <c r="AF20" s="762"/>
      <c r="AG20" s="772">
        <v>0</v>
      </c>
      <c r="AH20" s="773">
        <v>1122.4949999999999</v>
      </c>
      <c r="AI20" s="774">
        <f t="shared" si="5"/>
        <v>1940.5050000000001</v>
      </c>
      <c r="AJ20" s="775">
        <f t="shared" si="6"/>
        <v>0</v>
      </c>
      <c r="AK20" s="774">
        <f t="shared" si="7"/>
        <v>1940.5050000000001</v>
      </c>
      <c r="AL20" s="768"/>
      <c r="AM20" s="768"/>
      <c r="AN20" s="768"/>
      <c r="AO20" s="883"/>
      <c r="AP20" s="768"/>
    </row>
    <row r="21" spans="1:42" s="721" customFormat="1" ht="62.4">
      <c r="A21" s="776">
        <v>10</v>
      </c>
      <c r="B21" s="777" t="s">
        <v>274</v>
      </c>
      <c r="C21" s="661" t="s">
        <v>448</v>
      </c>
      <c r="D21" s="661" t="s">
        <v>624</v>
      </c>
      <c r="E21" s="661" t="s">
        <v>46</v>
      </c>
      <c r="F21" s="655">
        <v>2024</v>
      </c>
      <c r="G21" s="778" t="s">
        <v>196</v>
      </c>
      <c r="H21" s="778" t="s">
        <v>275</v>
      </c>
      <c r="I21" s="779">
        <v>4000</v>
      </c>
      <c r="J21" s="770">
        <f t="shared" si="8"/>
        <v>4000</v>
      </c>
      <c r="K21" s="764"/>
      <c r="L21" s="764"/>
      <c r="M21" s="772">
        <f t="shared" si="3"/>
        <v>4000</v>
      </c>
      <c r="N21" s="772">
        <f t="shared" si="4"/>
        <v>4000</v>
      </c>
      <c r="O21" s="768"/>
      <c r="P21" s="768"/>
      <c r="Q21" s="768"/>
      <c r="R21" s="768"/>
      <c r="S21" s="768"/>
      <c r="T21" s="768"/>
      <c r="U21" s="768"/>
      <c r="V21" s="762"/>
      <c r="W21" s="772">
        <v>0</v>
      </c>
      <c r="X21" s="772">
        <v>4000</v>
      </c>
      <c r="Y21" s="762"/>
      <c r="Z21" s="762"/>
      <c r="AA21" s="762"/>
      <c r="AB21" s="762"/>
      <c r="AC21" s="762"/>
      <c r="AD21" s="762"/>
      <c r="AE21" s="762"/>
      <c r="AF21" s="762"/>
      <c r="AG21" s="772">
        <v>0</v>
      </c>
      <c r="AH21" s="773">
        <v>2864.6570000000002</v>
      </c>
      <c r="AI21" s="774">
        <f t="shared" si="5"/>
        <v>1135.3429999999998</v>
      </c>
      <c r="AJ21" s="775">
        <f t="shared" si="6"/>
        <v>0</v>
      </c>
      <c r="AK21" s="774">
        <f t="shared" si="7"/>
        <v>1135.3429999999998</v>
      </c>
      <c r="AL21" s="768"/>
      <c r="AM21" s="768"/>
      <c r="AN21" s="768"/>
      <c r="AO21" s="883"/>
      <c r="AP21" s="768"/>
    </row>
    <row r="22" spans="1:42" s="721" customFormat="1" ht="46.8">
      <c r="A22" s="769">
        <v>11</v>
      </c>
      <c r="B22" s="777" t="s">
        <v>277</v>
      </c>
      <c r="C22" s="661" t="s">
        <v>448</v>
      </c>
      <c r="D22" s="661" t="s">
        <v>629</v>
      </c>
      <c r="E22" s="661" t="s">
        <v>46</v>
      </c>
      <c r="F22" s="655">
        <v>2024</v>
      </c>
      <c r="G22" s="778" t="s">
        <v>196</v>
      </c>
      <c r="H22" s="778" t="s">
        <v>278</v>
      </c>
      <c r="I22" s="779">
        <v>1500</v>
      </c>
      <c r="J22" s="770">
        <f t="shared" si="8"/>
        <v>1500</v>
      </c>
      <c r="K22" s="764"/>
      <c r="L22" s="764"/>
      <c r="M22" s="772">
        <f t="shared" si="3"/>
        <v>1500</v>
      </c>
      <c r="N22" s="772">
        <f t="shared" si="4"/>
        <v>1500</v>
      </c>
      <c r="O22" s="768"/>
      <c r="P22" s="768"/>
      <c r="Q22" s="768"/>
      <c r="R22" s="768"/>
      <c r="S22" s="768"/>
      <c r="T22" s="768"/>
      <c r="U22" s="768"/>
      <c r="V22" s="762"/>
      <c r="W22" s="772">
        <v>0</v>
      </c>
      <c r="X22" s="772">
        <v>1500</v>
      </c>
      <c r="Y22" s="762"/>
      <c r="Z22" s="762"/>
      <c r="AA22" s="762"/>
      <c r="AB22" s="762"/>
      <c r="AC22" s="762"/>
      <c r="AD22" s="762"/>
      <c r="AE22" s="762"/>
      <c r="AF22" s="762"/>
      <c r="AG22" s="772">
        <v>0</v>
      </c>
      <c r="AH22" s="773">
        <v>442.64699999999999</v>
      </c>
      <c r="AI22" s="774">
        <f t="shared" si="5"/>
        <v>1057.3530000000001</v>
      </c>
      <c r="AJ22" s="775">
        <f t="shared" si="6"/>
        <v>0</v>
      </c>
      <c r="AK22" s="774">
        <f t="shared" si="7"/>
        <v>1057.3530000000001</v>
      </c>
      <c r="AL22" s="768"/>
      <c r="AM22" s="768"/>
      <c r="AN22" s="768"/>
      <c r="AO22" s="883"/>
      <c r="AP22" s="768"/>
    </row>
    <row r="23" spans="1:42" s="721" customFormat="1" ht="46.8">
      <c r="A23" s="776">
        <v>12</v>
      </c>
      <c r="B23" s="777" t="s">
        <v>284</v>
      </c>
      <c r="C23" s="661" t="s">
        <v>448</v>
      </c>
      <c r="D23" s="661" t="s">
        <v>631</v>
      </c>
      <c r="E23" s="661" t="s">
        <v>46</v>
      </c>
      <c r="F23" s="655">
        <v>2024</v>
      </c>
      <c r="G23" s="778" t="s">
        <v>196</v>
      </c>
      <c r="H23" s="778" t="s">
        <v>285</v>
      </c>
      <c r="I23" s="779">
        <v>2500</v>
      </c>
      <c r="J23" s="770">
        <f t="shared" si="8"/>
        <v>2500</v>
      </c>
      <c r="K23" s="764"/>
      <c r="L23" s="764"/>
      <c r="M23" s="772">
        <f t="shared" si="3"/>
        <v>2500</v>
      </c>
      <c r="N23" s="772">
        <f t="shared" si="4"/>
        <v>2500</v>
      </c>
      <c r="O23" s="768"/>
      <c r="P23" s="768"/>
      <c r="Q23" s="768"/>
      <c r="R23" s="768"/>
      <c r="S23" s="768"/>
      <c r="T23" s="768"/>
      <c r="U23" s="768"/>
      <c r="V23" s="762"/>
      <c r="W23" s="772">
        <v>0</v>
      </c>
      <c r="X23" s="772">
        <v>2500</v>
      </c>
      <c r="Y23" s="762"/>
      <c r="Z23" s="762"/>
      <c r="AA23" s="762"/>
      <c r="AB23" s="762"/>
      <c r="AC23" s="762"/>
      <c r="AD23" s="762"/>
      <c r="AE23" s="762"/>
      <c r="AF23" s="762"/>
      <c r="AG23" s="772">
        <v>0</v>
      </c>
      <c r="AH23" s="773">
        <v>1082.365</v>
      </c>
      <c r="AI23" s="774">
        <f t="shared" si="5"/>
        <v>1417.635</v>
      </c>
      <c r="AJ23" s="775">
        <f t="shared" si="6"/>
        <v>0</v>
      </c>
      <c r="AK23" s="774">
        <f t="shared" si="7"/>
        <v>1417.635</v>
      </c>
      <c r="AL23" s="768"/>
      <c r="AM23" s="768"/>
      <c r="AN23" s="768"/>
      <c r="AO23" s="883"/>
      <c r="AP23" s="768"/>
    </row>
    <row r="24" spans="1:42" s="721" customFormat="1" ht="46.8">
      <c r="A24" s="769">
        <v>13</v>
      </c>
      <c r="B24" s="777" t="s">
        <v>287</v>
      </c>
      <c r="C24" s="661" t="s">
        <v>448</v>
      </c>
      <c r="D24" s="661" t="s">
        <v>631</v>
      </c>
      <c r="E24" s="661" t="s">
        <v>46</v>
      </c>
      <c r="F24" s="655">
        <v>2024</v>
      </c>
      <c r="G24" s="778" t="s">
        <v>196</v>
      </c>
      <c r="H24" s="778" t="s">
        <v>288</v>
      </c>
      <c r="I24" s="779">
        <v>1700</v>
      </c>
      <c r="J24" s="770">
        <f t="shared" si="8"/>
        <v>1700</v>
      </c>
      <c r="K24" s="764"/>
      <c r="L24" s="764"/>
      <c r="M24" s="772">
        <f t="shared" si="3"/>
        <v>1700</v>
      </c>
      <c r="N24" s="772">
        <f t="shared" si="4"/>
        <v>1700</v>
      </c>
      <c r="O24" s="768"/>
      <c r="P24" s="768"/>
      <c r="Q24" s="768"/>
      <c r="R24" s="768"/>
      <c r="S24" s="768"/>
      <c r="T24" s="768"/>
      <c r="U24" s="768"/>
      <c r="V24" s="762"/>
      <c r="W24" s="772">
        <v>0</v>
      </c>
      <c r="X24" s="772">
        <v>1700</v>
      </c>
      <c r="Y24" s="762"/>
      <c r="Z24" s="762"/>
      <c r="AA24" s="762"/>
      <c r="AB24" s="762"/>
      <c r="AC24" s="762"/>
      <c r="AD24" s="762"/>
      <c r="AE24" s="762"/>
      <c r="AF24" s="762"/>
      <c r="AG24" s="772">
        <v>0</v>
      </c>
      <c r="AH24" s="773">
        <v>533.18899999999996</v>
      </c>
      <c r="AI24" s="774">
        <f t="shared" si="5"/>
        <v>1166.8110000000001</v>
      </c>
      <c r="AJ24" s="775">
        <f t="shared" si="6"/>
        <v>0</v>
      </c>
      <c r="AK24" s="774">
        <f t="shared" si="7"/>
        <v>1166.8110000000001</v>
      </c>
      <c r="AL24" s="768"/>
      <c r="AM24" s="768"/>
      <c r="AN24" s="768"/>
      <c r="AO24" s="883"/>
      <c r="AP24" s="768"/>
    </row>
    <row r="25" spans="1:42" s="721" customFormat="1" ht="46.8">
      <c r="A25" s="776">
        <v>14</v>
      </c>
      <c r="B25" s="777" t="s">
        <v>296</v>
      </c>
      <c r="C25" s="661" t="s">
        <v>448</v>
      </c>
      <c r="D25" s="661" t="s">
        <v>612</v>
      </c>
      <c r="E25" s="661" t="s">
        <v>46</v>
      </c>
      <c r="F25" s="655">
        <v>2024</v>
      </c>
      <c r="G25" s="778" t="s">
        <v>196</v>
      </c>
      <c r="H25" s="780" t="s">
        <v>297</v>
      </c>
      <c r="I25" s="779">
        <v>5400</v>
      </c>
      <c r="J25" s="770">
        <f t="shared" si="8"/>
        <v>5400</v>
      </c>
      <c r="K25" s="764"/>
      <c r="L25" s="764"/>
      <c r="M25" s="772">
        <f t="shared" si="3"/>
        <v>5400</v>
      </c>
      <c r="N25" s="772">
        <f t="shared" si="4"/>
        <v>5400</v>
      </c>
      <c r="O25" s="768"/>
      <c r="P25" s="768"/>
      <c r="Q25" s="768"/>
      <c r="R25" s="768"/>
      <c r="S25" s="768"/>
      <c r="T25" s="768"/>
      <c r="U25" s="768"/>
      <c r="V25" s="762"/>
      <c r="W25" s="772">
        <v>0</v>
      </c>
      <c r="X25" s="772">
        <v>5400</v>
      </c>
      <c r="Y25" s="762"/>
      <c r="Z25" s="762"/>
      <c r="AA25" s="762"/>
      <c r="AB25" s="762"/>
      <c r="AC25" s="762"/>
      <c r="AD25" s="762"/>
      <c r="AE25" s="762"/>
      <c r="AF25" s="762"/>
      <c r="AG25" s="772">
        <v>0</v>
      </c>
      <c r="AH25" s="773">
        <v>1329.133</v>
      </c>
      <c r="AI25" s="774">
        <f t="shared" si="5"/>
        <v>4070.8670000000002</v>
      </c>
      <c r="AJ25" s="775">
        <f t="shared" si="6"/>
        <v>0</v>
      </c>
      <c r="AK25" s="774">
        <f t="shared" si="7"/>
        <v>4070.8670000000002</v>
      </c>
      <c r="AL25" s="768"/>
      <c r="AM25" s="768"/>
      <c r="AN25" s="768"/>
      <c r="AO25" s="883"/>
      <c r="AP25" s="768"/>
    </row>
    <row r="26" spans="1:42" s="721" customFormat="1" ht="46.8">
      <c r="A26" s="769">
        <v>15</v>
      </c>
      <c r="B26" s="777" t="s">
        <v>298</v>
      </c>
      <c r="C26" s="661" t="s">
        <v>448</v>
      </c>
      <c r="D26" s="661" t="s">
        <v>612</v>
      </c>
      <c r="E26" s="661" t="s">
        <v>46</v>
      </c>
      <c r="F26" s="655">
        <v>2024</v>
      </c>
      <c r="G26" s="778" t="s">
        <v>196</v>
      </c>
      <c r="H26" s="780" t="s">
        <v>299</v>
      </c>
      <c r="I26" s="779">
        <v>7200</v>
      </c>
      <c r="J26" s="770">
        <f t="shared" si="8"/>
        <v>7200</v>
      </c>
      <c r="K26" s="764"/>
      <c r="L26" s="764"/>
      <c r="M26" s="772">
        <f t="shared" si="3"/>
        <v>7200</v>
      </c>
      <c r="N26" s="772">
        <f t="shared" si="4"/>
        <v>7200</v>
      </c>
      <c r="O26" s="768"/>
      <c r="P26" s="768"/>
      <c r="Q26" s="768"/>
      <c r="R26" s="768"/>
      <c r="S26" s="768"/>
      <c r="T26" s="768"/>
      <c r="U26" s="768"/>
      <c r="V26" s="762"/>
      <c r="W26" s="772">
        <v>0</v>
      </c>
      <c r="X26" s="772">
        <v>7200</v>
      </c>
      <c r="Y26" s="762"/>
      <c r="Z26" s="762"/>
      <c r="AA26" s="762"/>
      <c r="AB26" s="762"/>
      <c r="AC26" s="762"/>
      <c r="AD26" s="762"/>
      <c r="AE26" s="762"/>
      <c r="AF26" s="762"/>
      <c r="AG26" s="772">
        <v>0</v>
      </c>
      <c r="AH26" s="773">
        <v>1437.5219999999999</v>
      </c>
      <c r="AI26" s="774">
        <f t="shared" si="5"/>
        <v>5762.4780000000001</v>
      </c>
      <c r="AJ26" s="775">
        <f t="shared" si="6"/>
        <v>0</v>
      </c>
      <c r="AK26" s="774">
        <f t="shared" si="7"/>
        <v>5762.4780000000001</v>
      </c>
      <c r="AL26" s="768"/>
      <c r="AM26" s="768"/>
      <c r="AN26" s="768"/>
      <c r="AO26" s="883"/>
      <c r="AP26" s="768"/>
    </row>
    <row r="27" spans="1:42" s="721" customFormat="1" ht="46.8">
      <c r="A27" s="776">
        <v>16</v>
      </c>
      <c r="B27" s="777" t="s">
        <v>301</v>
      </c>
      <c r="C27" s="661" t="s">
        <v>448</v>
      </c>
      <c r="D27" s="661" t="s">
        <v>612</v>
      </c>
      <c r="E27" s="661" t="s">
        <v>46</v>
      </c>
      <c r="F27" s="655">
        <v>2024</v>
      </c>
      <c r="G27" s="778" t="s">
        <v>196</v>
      </c>
      <c r="H27" s="778" t="s">
        <v>302</v>
      </c>
      <c r="I27" s="779">
        <v>1500</v>
      </c>
      <c r="J27" s="770">
        <f t="shared" si="8"/>
        <v>1500</v>
      </c>
      <c r="K27" s="764"/>
      <c r="L27" s="764"/>
      <c r="M27" s="772">
        <f t="shared" si="3"/>
        <v>1500</v>
      </c>
      <c r="N27" s="772">
        <f t="shared" si="4"/>
        <v>1500</v>
      </c>
      <c r="O27" s="768"/>
      <c r="P27" s="768"/>
      <c r="Q27" s="768"/>
      <c r="R27" s="768"/>
      <c r="S27" s="768"/>
      <c r="T27" s="768"/>
      <c r="U27" s="768"/>
      <c r="V27" s="762"/>
      <c r="W27" s="772">
        <v>0</v>
      </c>
      <c r="X27" s="772">
        <v>1500</v>
      </c>
      <c r="Y27" s="762"/>
      <c r="Z27" s="762"/>
      <c r="AA27" s="762"/>
      <c r="AB27" s="762"/>
      <c r="AC27" s="762"/>
      <c r="AD27" s="762"/>
      <c r="AE27" s="762"/>
      <c r="AF27" s="762"/>
      <c r="AG27" s="772">
        <v>0</v>
      </c>
      <c r="AH27" s="773">
        <v>468.53399999999999</v>
      </c>
      <c r="AI27" s="774">
        <f t="shared" si="5"/>
        <v>1031.4659999999999</v>
      </c>
      <c r="AJ27" s="775">
        <f t="shared" si="6"/>
        <v>0</v>
      </c>
      <c r="AK27" s="774">
        <f t="shared" si="7"/>
        <v>1031.4659999999999</v>
      </c>
      <c r="AL27" s="768"/>
      <c r="AM27" s="768"/>
      <c r="AN27" s="768"/>
      <c r="AO27" s="883"/>
      <c r="AP27" s="768"/>
    </row>
    <row r="28" spans="1:42" s="721" customFormat="1" ht="46.8">
      <c r="A28" s="769">
        <v>17</v>
      </c>
      <c r="B28" s="777" t="s">
        <v>304</v>
      </c>
      <c r="C28" s="661" t="s">
        <v>448</v>
      </c>
      <c r="D28" s="661" t="s">
        <v>611</v>
      </c>
      <c r="E28" s="661" t="s">
        <v>46</v>
      </c>
      <c r="F28" s="655">
        <v>2024</v>
      </c>
      <c r="G28" s="778" t="s">
        <v>196</v>
      </c>
      <c r="H28" s="778" t="s">
        <v>305</v>
      </c>
      <c r="I28" s="779">
        <v>1300</v>
      </c>
      <c r="J28" s="770">
        <f t="shared" si="8"/>
        <v>1300</v>
      </c>
      <c r="K28" s="764"/>
      <c r="L28" s="764"/>
      <c r="M28" s="772">
        <f t="shared" si="3"/>
        <v>1300</v>
      </c>
      <c r="N28" s="772">
        <f t="shared" si="4"/>
        <v>1300</v>
      </c>
      <c r="O28" s="768"/>
      <c r="P28" s="768"/>
      <c r="Q28" s="768"/>
      <c r="R28" s="768"/>
      <c r="S28" s="768"/>
      <c r="T28" s="768"/>
      <c r="U28" s="768"/>
      <c r="V28" s="762"/>
      <c r="W28" s="772">
        <v>0</v>
      </c>
      <c r="X28" s="772">
        <v>1300</v>
      </c>
      <c r="Y28" s="762"/>
      <c r="Z28" s="762"/>
      <c r="AA28" s="762"/>
      <c r="AB28" s="762"/>
      <c r="AC28" s="762"/>
      <c r="AD28" s="762"/>
      <c r="AE28" s="762"/>
      <c r="AF28" s="762"/>
      <c r="AG28" s="772">
        <v>0</v>
      </c>
      <c r="AH28" s="773">
        <v>408.2</v>
      </c>
      <c r="AI28" s="774">
        <f t="shared" si="5"/>
        <v>891.8</v>
      </c>
      <c r="AJ28" s="775">
        <f t="shared" si="6"/>
        <v>0</v>
      </c>
      <c r="AK28" s="774">
        <f t="shared" si="7"/>
        <v>891.8</v>
      </c>
      <c r="AL28" s="768"/>
      <c r="AM28" s="768"/>
      <c r="AN28" s="768"/>
      <c r="AO28" s="883"/>
      <c r="AP28" s="768"/>
    </row>
    <row r="29" spans="1:42" s="721" customFormat="1" ht="46.8">
      <c r="A29" s="776">
        <v>18</v>
      </c>
      <c r="B29" s="777" t="s">
        <v>307</v>
      </c>
      <c r="C29" s="661" t="s">
        <v>448</v>
      </c>
      <c r="D29" s="661" t="s">
        <v>611</v>
      </c>
      <c r="E29" s="661" t="s">
        <v>46</v>
      </c>
      <c r="F29" s="655">
        <v>2024</v>
      </c>
      <c r="G29" s="778" t="s">
        <v>196</v>
      </c>
      <c r="H29" s="781" t="s">
        <v>308</v>
      </c>
      <c r="I29" s="779">
        <v>1300</v>
      </c>
      <c r="J29" s="770">
        <f t="shared" si="8"/>
        <v>1300</v>
      </c>
      <c r="K29" s="764"/>
      <c r="L29" s="764"/>
      <c r="M29" s="772">
        <f t="shared" si="3"/>
        <v>1300</v>
      </c>
      <c r="N29" s="772">
        <f t="shared" si="4"/>
        <v>1300</v>
      </c>
      <c r="O29" s="768"/>
      <c r="P29" s="768"/>
      <c r="Q29" s="768"/>
      <c r="R29" s="768"/>
      <c r="S29" s="768"/>
      <c r="T29" s="768"/>
      <c r="U29" s="768"/>
      <c r="V29" s="762"/>
      <c r="W29" s="772">
        <v>0</v>
      </c>
      <c r="X29" s="772">
        <v>1300</v>
      </c>
      <c r="Y29" s="762"/>
      <c r="Z29" s="762"/>
      <c r="AA29" s="762"/>
      <c r="AB29" s="762"/>
      <c r="AC29" s="762"/>
      <c r="AD29" s="762"/>
      <c r="AE29" s="762"/>
      <c r="AF29" s="762"/>
      <c r="AG29" s="772">
        <v>0</v>
      </c>
      <c r="AH29" s="773">
        <v>406.7</v>
      </c>
      <c r="AI29" s="774">
        <f t="shared" si="5"/>
        <v>893.3</v>
      </c>
      <c r="AJ29" s="775">
        <f t="shared" si="6"/>
        <v>0</v>
      </c>
      <c r="AK29" s="774">
        <f t="shared" si="7"/>
        <v>893.3</v>
      </c>
      <c r="AL29" s="768"/>
      <c r="AM29" s="768"/>
      <c r="AN29" s="768"/>
      <c r="AO29" s="883"/>
      <c r="AP29" s="768"/>
    </row>
    <row r="30" spans="1:42" s="721" customFormat="1" ht="46.8">
      <c r="A30" s="769">
        <v>19</v>
      </c>
      <c r="B30" s="777" t="s">
        <v>310</v>
      </c>
      <c r="C30" s="661" t="s">
        <v>448</v>
      </c>
      <c r="D30" s="661" t="s">
        <v>629</v>
      </c>
      <c r="E30" s="661" t="s">
        <v>46</v>
      </c>
      <c r="F30" s="655">
        <v>2024</v>
      </c>
      <c r="G30" s="778" t="s">
        <v>196</v>
      </c>
      <c r="H30" s="778" t="s">
        <v>311</v>
      </c>
      <c r="I30" s="779">
        <v>5400</v>
      </c>
      <c r="J30" s="770">
        <f t="shared" si="8"/>
        <v>5400</v>
      </c>
      <c r="K30" s="764"/>
      <c r="L30" s="764"/>
      <c r="M30" s="772">
        <f t="shared" si="3"/>
        <v>5400</v>
      </c>
      <c r="N30" s="772">
        <f t="shared" si="4"/>
        <v>5400</v>
      </c>
      <c r="O30" s="768"/>
      <c r="P30" s="768"/>
      <c r="Q30" s="768"/>
      <c r="R30" s="768"/>
      <c r="S30" s="768"/>
      <c r="T30" s="768"/>
      <c r="U30" s="768"/>
      <c r="V30" s="762"/>
      <c r="W30" s="772">
        <v>0</v>
      </c>
      <c r="X30" s="772">
        <v>5400</v>
      </c>
      <c r="Y30" s="762"/>
      <c r="Z30" s="762"/>
      <c r="AA30" s="762"/>
      <c r="AB30" s="762"/>
      <c r="AC30" s="762"/>
      <c r="AD30" s="762"/>
      <c r="AE30" s="762"/>
      <c r="AF30" s="762"/>
      <c r="AG30" s="772">
        <v>0</v>
      </c>
      <c r="AH30" s="773">
        <v>1488.896</v>
      </c>
      <c r="AI30" s="774">
        <f t="shared" si="5"/>
        <v>3911.1040000000003</v>
      </c>
      <c r="AJ30" s="775">
        <f t="shared" si="6"/>
        <v>0</v>
      </c>
      <c r="AK30" s="774">
        <f t="shared" si="7"/>
        <v>3911.1040000000003</v>
      </c>
      <c r="AL30" s="768"/>
      <c r="AM30" s="768"/>
      <c r="AN30" s="768"/>
      <c r="AO30" s="883"/>
      <c r="AP30" s="768"/>
    </row>
    <row r="31" spans="1:42" s="721" customFormat="1" ht="46.8">
      <c r="A31" s="776">
        <v>20</v>
      </c>
      <c r="B31" s="777" t="s">
        <v>313</v>
      </c>
      <c r="C31" s="661" t="s">
        <v>448</v>
      </c>
      <c r="D31" s="661" t="s">
        <v>611</v>
      </c>
      <c r="E31" s="661" t="s">
        <v>46</v>
      </c>
      <c r="F31" s="655">
        <v>2024</v>
      </c>
      <c r="G31" s="778" t="s">
        <v>196</v>
      </c>
      <c r="H31" s="778" t="s">
        <v>314</v>
      </c>
      <c r="I31" s="779">
        <v>4202</v>
      </c>
      <c r="J31" s="770">
        <f t="shared" si="8"/>
        <v>4202</v>
      </c>
      <c r="K31" s="764"/>
      <c r="L31" s="764"/>
      <c r="M31" s="772">
        <f t="shared" si="3"/>
        <v>4202</v>
      </c>
      <c r="N31" s="772">
        <f t="shared" si="4"/>
        <v>4202</v>
      </c>
      <c r="O31" s="768"/>
      <c r="P31" s="768"/>
      <c r="Q31" s="768"/>
      <c r="R31" s="768"/>
      <c r="S31" s="768"/>
      <c r="T31" s="768"/>
      <c r="U31" s="768"/>
      <c r="V31" s="762"/>
      <c r="W31" s="772">
        <v>0</v>
      </c>
      <c r="X31" s="772">
        <v>4202</v>
      </c>
      <c r="Y31" s="762"/>
      <c r="Z31" s="762"/>
      <c r="AA31" s="762"/>
      <c r="AB31" s="762"/>
      <c r="AC31" s="762"/>
      <c r="AD31" s="762"/>
      <c r="AE31" s="762"/>
      <c r="AF31" s="762"/>
      <c r="AG31" s="772">
        <v>0</v>
      </c>
      <c r="AH31" s="773">
        <v>1370.5889999999999</v>
      </c>
      <c r="AI31" s="774">
        <f t="shared" si="5"/>
        <v>2831.4110000000001</v>
      </c>
      <c r="AJ31" s="775">
        <f t="shared" si="6"/>
        <v>0</v>
      </c>
      <c r="AK31" s="774">
        <f t="shared" si="7"/>
        <v>2831.4110000000001</v>
      </c>
      <c r="AL31" s="768"/>
      <c r="AM31" s="768"/>
      <c r="AN31" s="768"/>
      <c r="AO31" s="883"/>
      <c r="AP31" s="768"/>
    </row>
    <row r="32" spans="1:42" s="721" customFormat="1" ht="46.8">
      <c r="A32" s="769">
        <v>21</v>
      </c>
      <c r="B32" s="777" t="s">
        <v>316</v>
      </c>
      <c r="C32" s="661" t="s">
        <v>448</v>
      </c>
      <c r="D32" s="661" t="s">
        <v>631</v>
      </c>
      <c r="E32" s="661" t="s">
        <v>46</v>
      </c>
      <c r="F32" s="655">
        <v>2024</v>
      </c>
      <c r="G32" s="778" t="s">
        <v>196</v>
      </c>
      <c r="H32" s="778" t="s">
        <v>317</v>
      </c>
      <c r="I32" s="779">
        <v>3400</v>
      </c>
      <c r="J32" s="770">
        <f t="shared" si="8"/>
        <v>3400</v>
      </c>
      <c r="K32" s="764"/>
      <c r="L32" s="764"/>
      <c r="M32" s="772">
        <f t="shared" si="3"/>
        <v>3400</v>
      </c>
      <c r="N32" s="772">
        <f t="shared" si="4"/>
        <v>3400</v>
      </c>
      <c r="O32" s="768"/>
      <c r="P32" s="768"/>
      <c r="Q32" s="768"/>
      <c r="R32" s="768"/>
      <c r="S32" s="768"/>
      <c r="T32" s="768"/>
      <c r="U32" s="768"/>
      <c r="V32" s="762"/>
      <c r="W32" s="772">
        <v>0</v>
      </c>
      <c r="X32" s="772">
        <v>3400</v>
      </c>
      <c r="Y32" s="762"/>
      <c r="Z32" s="762"/>
      <c r="AA32" s="762"/>
      <c r="AB32" s="762"/>
      <c r="AC32" s="762"/>
      <c r="AD32" s="762"/>
      <c r="AE32" s="762"/>
      <c r="AF32" s="762"/>
      <c r="AG32" s="772">
        <v>0</v>
      </c>
      <c r="AH32" s="773">
        <v>1124.6859999999999</v>
      </c>
      <c r="AI32" s="774">
        <f t="shared" si="5"/>
        <v>2275.3140000000003</v>
      </c>
      <c r="AJ32" s="775">
        <f t="shared" si="6"/>
        <v>0</v>
      </c>
      <c r="AK32" s="774">
        <f t="shared" si="7"/>
        <v>2275.3140000000003</v>
      </c>
      <c r="AL32" s="768"/>
      <c r="AM32" s="768"/>
      <c r="AN32" s="768"/>
      <c r="AO32" s="883"/>
      <c r="AP32" s="768"/>
    </row>
    <row r="33" spans="1:42" s="721" customFormat="1" ht="46.8">
      <c r="A33" s="776">
        <v>22</v>
      </c>
      <c r="B33" s="777" t="s">
        <v>319</v>
      </c>
      <c r="C33" s="661" t="s">
        <v>448</v>
      </c>
      <c r="D33" s="661" t="s">
        <v>611</v>
      </c>
      <c r="E33" s="661" t="s">
        <v>46</v>
      </c>
      <c r="F33" s="655">
        <v>2024</v>
      </c>
      <c r="G33" s="778" t="s">
        <v>196</v>
      </c>
      <c r="H33" s="781" t="s">
        <v>320</v>
      </c>
      <c r="I33" s="779">
        <v>1300</v>
      </c>
      <c r="J33" s="770">
        <f t="shared" si="8"/>
        <v>1300</v>
      </c>
      <c r="K33" s="764"/>
      <c r="L33" s="764"/>
      <c r="M33" s="772">
        <f t="shared" si="3"/>
        <v>1300</v>
      </c>
      <c r="N33" s="772">
        <f t="shared" si="4"/>
        <v>1300</v>
      </c>
      <c r="O33" s="768"/>
      <c r="P33" s="768"/>
      <c r="Q33" s="768"/>
      <c r="R33" s="768"/>
      <c r="S33" s="768"/>
      <c r="T33" s="768"/>
      <c r="U33" s="768"/>
      <c r="V33" s="762"/>
      <c r="W33" s="772">
        <v>0</v>
      </c>
      <c r="X33" s="772">
        <v>1300</v>
      </c>
      <c r="Y33" s="762"/>
      <c r="Z33" s="762"/>
      <c r="AA33" s="762"/>
      <c r="AB33" s="762"/>
      <c r="AC33" s="762"/>
      <c r="AD33" s="762"/>
      <c r="AE33" s="762"/>
      <c r="AF33" s="762"/>
      <c r="AG33" s="772">
        <v>0</v>
      </c>
      <c r="AH33" s="773">
        <v>1221.1890000000001</v>
      </c>
      <c r="AI33" s="774">
        <f t="shared" si="5"/>
        <v>78.810999999999922</v>
      </c>
      <c r="AJ33" s="775">
        <f t="shared" si="6"/>
        <v>0</v>
      </c>
      <c r="AK33" s="774">
        <f t="shared" si="7"/>
        <v>78.810999999999922</v>
      </c>
      <c r="AL33" s="768"/>
      <c r="AM33" s="768"/>
      <c r="AN33" s="768"/>
      <c r="AO33" s="883"/>
      <c r="AP33" s="768"/>
    </row>
    <row r="34" spans="1:42" s="721" customFormat="1" ht="46.8">
      <c r="A34" s="769">
        <v>23</v>
      </c>
      <c r="B34" s="777" t="s">
        <v>322</v>
      </c>
      <c r="C34" s="661" t="s">
        <v>448</v>
      </c>
      <c r="D34" s="661" t="s">
        <v>632</v>
      </c>
      <c r="E34" s="661" t="s">
        <v>46</v>
      </c>
      <c r="F34" s="655">
        <v>2024</v>
      </c>
      <c r="G34" s="778" t="s">
        <v>196</v>
      </c>
      <c r="H34" s="778" t="s">
        <v>323</v>
      </c>
      <c r="I34" s="779">
        <v>2800</v>
      </c>
      <c r="J34" s="770">
        <f t="shared" si="8"/>
        <v>2800</v>
      </c>
      <c r="K34" s="764"/>
      <c r="L34" s="764"/>
      <c r="M34" s="772">
        <f t="shared" si="3"/>
        <v>2800</v>
      </c>
      <c r="N34" s="772">
        <f t="shared" si="4"/>
        <v>2800</v>
      </c>
      <c r="O34" s="768"/>
      <c r="P34" s="768"/>
      <c r="Q34" s="768"/>
      <c r="R34" s="768"/>
      <c r="S34" s="768"/>
      <c r="T34" s="768"/>
      <c r="U34" s="768"/>
      <c r="V34" s="762"/>
      <c r="W34" s="772">
        <v>0</v>
      </c>
      <c r="X34" s="772">
        <v>2800</v>
      </c>
      <c r="Y34" s="762"/>
      <c r="Z34" s="762"/>
      <c r="AA34" s="762"/>
      <c r="AB34" s="762"/>
      <c r="AC34" s="762"/>
      <c r="AD34" s="762"/>
      <c r="AE34" s="762"/>
      <c r="AF34" s="762"/>
      <c r="AG34" s="772">
        <v>0</v>
      </c>
      <c r="AH34" s="773">
        <v>2724.0329999999999</v>
      </c>
      <c r="AI34" s="774">
        <f t="shared" si="5"/>
        <v>75.967000000000098</v>
      </c>
      <c r="AJ34" s="775">
        <f t="shared" si="6"/>
        <v>0</v>
      </c>
      <c r="AK34" s="774">
        <f t="shared" si="7"/>
        <v>75.967000000000098</v>
      </c>
      <c r="AL34" s="768"/>
      <c r="AM34" s="768"/>
      <c r="AN34" s="768"/>
      <c r="AO34" s="883"/>
      <c r="AP34" s="768"/>
    </row>
    <row r="35" spans="1:42" s="721" customFormat="1" ht="46.8">
      <c r="A35" s="776">
        <v>24</v>
      </c>
      <c r="B35" s="777" t="s">
        <v>325</v>
      </c>
      <c r="C35" s="661" t="s">
        <v>448</v>
      </c>
      <c r="D35" s="661" t="s">
        <v>629</v>
      </c>
      <c r="E35" s="661" t="s">
        <v>46</v>
      </c>
      <c r="F35" s="655">
        <v>2024</v>
      </c>
      <c r="G35" s="778" t="s">
        <v>196</v>
      </c>
      <c r="H35" s="778" t="s">
        <v>326</v>
      </c>
      <c r="I35" s="779">
        <v>6484</v>
      </c>
      <c r="J35" s="770">
        <f t="shared" si="8"/>
        <v>6484</v>
      </c>
      <c r="K35" s="764"/>
      <c r="L35" s="764"/>
      <c r="M35" s="772">
        <f t="shared" si="3"/>
        <v>6484</v>
      </c>
      <c r="N35" s="772">
        <f t="shared" si="4"/>
        <v>6484</v>
      </c>
      <c r="O35" s="768"/>
      <c r="P35" s="768"/>
      <c r="Q35" s="768"/>
      <c r="R35" s="768"/>
      <c r="S35" s="768"/>
      <c r="T35" s="768"/>
      <c r="U35" s="768"/>
      <c r="V35" s="762"/>
      <c r="W35" s="772">
        <v>0</v>
      </c>
      <c r="X35" s="772">
        <v>6484</v>
      </c>
      <c r="Y35" s="762"/>
      <c r="Z35" s="762"/>
      <c r="AA35" s="762"/>
      <c r="AB35" s="762"/>
      <c r="AC35" s="762"/>
      <c r="AD35" s="762"/>
      <c r="AE35" s="762"/>
      <c r="AF35" s="762"/>
      <c r="AG35" s="772">
        <v>0</v>
      </c>
      <c r="AH35" s="773">
        <v>459.47300000000001</v>
      </c>
      <c r="AI35" s="774">
        <f t="shared" si="5"/>
        <v>6024.527</v>
      </c>
      <c r="AJ35" s="775">
        <f t="shared" si="6"/>
        <v>0</v>
      </c>
      <c r="AK35" s="774">
        <f t="shared" si="7"/>
        <v>6024.527</v>
      </c>
      <c r="AL35" s="768"/>
      <c r="AM35" s="768"/>
      <c r="AN35" s="768"/>
      <c r="AO35" s="883"/>
      <c r="AP35" s="768"/>
    </row>
    <row r="36" spans="1:42" s="721" customFormat="1" ht="46.8">
      <c r="A36" s="769">
        <v>25</v>
      </c>
      <c r="B36" s="777" t="s">
        <v>328</v>
      </c>
      <c r="C36" s="661" t="s">
        <v>448</v>
      </c>
      <c r="D36" s="661" t="s">
        <v>611</v>
      </c>
      <c r="E36" s="661" t="s">
        <v>46</v>
      </c>
      <c r="F36" s="655">
        <v>2024</v>
      </c>
      <c r="G36" s="778" t="s">
        <v>196</v>
      </c>
      <c r="H36" s="778" t="s">
        <v>329</v>
      </c>
      <c r="I36" s="779">
        <v>8356</v>
      </c>
      <c r="J36" s="770">
        <f t="shared" si="8"/>
        <v>8356</v>
      </c>
      <c r="K36" s="764"/>
      <c r="L36" s="764"/>
      <c r="M36" s="772">
        <f t="shared" si="3"/>
        <v>8356</v>
      </c>
      <c r="N36" s="772">
        <f t="shared" si="4"/>
        <v>8356</v>
      </c>
      <c r="O36" s="768"/>
      <c r="P36" s="768"/>
      <c r="Q36" s="768"/>
      <c r="R36" s="768"/>
      <c r="S36" s="768"/>
      <c r="T36" s="768"/>
      <c r="U36" s="768"/>
      <c r="V36" s="762"/>
      <c r="W36" s="772">
        <v>0</v>
      </c>
      <c r="X36" s="772">
        <v>8356</v>
      </c>
      <c r="Y36" s="762"/>
      <c r="Z36" s="762"/>
      <c r="AA36" s="762"/>
      <c r="AB36" s="762"/>
      <c r="AC36" s="762"/>
      <c r="AD36" s="762"/>
      <c r="AE36" s="762"/>
      <c r="AF36" s="762"/>
      <c r="AG36" s="772">
        <v>0</v>
      </c>
      <c r="AH36" s="773">
        <v>4630.5709999999999</v>
      </c>
      <c r="AI36" s="774">
        <f t="shared" si="5"/>
        <v>3725.4290000000001</v>
      </c>
      <c r="AJ36" s="775">
        <f t="shared" si="6"/>
        <v>0</v>
      </c>
      <c r="AK36" s="774">
        <f t="shared" si="7"/>
        <v>3725.4290000000001</v>
      </c>
      <c r="AL36" s="768"/>
      <c r="AM36" s="768"/>
      <c r="AN36" s="768"/>
      <c r="AO36" s="883"/>
      <c r="AP36" s="768"/>
    </row>
    <row r="37" spans="1:42" s="721" customFormat="1" ht="46.8">
      <c r="A37" s="776">
        <v>26</v>
      </c>
      <c r="B37" s="777" t="s">
        <v>331</v>
      </c>
      <c r="C37" s="661" t="s">
        <v>448</v>
      </c>
      <c r="D37" s="661" t="s">
        <v>627</v>
      </c>
      <c r="E37" s="661" t="s">
        <v>46</v>
      </c>
      <c r="F37" s="655">
        <v>2024</v>
      </c>
      <c r="G37" s="778" t="s">
        <v>196</v>
      </c>
      <c r="H37" s="778" t="s">
        <v>332</v>
      </c>
      <c r="I37" s="779">
        <v>2516</v>
      </c>
      <c r="J37" s="770">
        <f t="shared" si="8"/>
        <v>2516</v>
      </c>
      <c r="K37" s="764"/>
      <c r="L37" s="764"/>
      <c r="M37" s="772">
        <f t="shared" si="3"/>
        <v>2516</v>
      </c>
      <c r="N37" s="772">
        <f t="shared" si="4"/>
        <v>2516</v>
      </c>
      <c r="O37" s="768"/>
      <c r="P37" s="768"/>
      <c r="Q37" s="768"/>
      <c r="R37" s="768"/>
      <c r="S37" s="768"/>
      <c r="T37" s="768"/>
      <c r="U37" s="768"/>
      <c r="V37" s="762"/>
      <c r="W37" s="772">
        <v>0</v>
      </c>
      <c r="X37" s="772">
        <v>2516</v>
      </c>
      <c r="Y37" s="762"/>
      <c r="Z37" s="762"/>
      <c r="AA37" s="762"/>
      <c r="AB37" s="762"/>
      <c r="AC37" s="762"/>
      <c r="AD37" s="762"/>
      <c r="AE37" s="762"/>
      <c r="AF37" s="762"/>
      <c r="AG37" s="772">
        <v>0</v>
      </c>
      <c r="AH37" s="773">
        <v>1043.492</v>
      </c>
      <c r="AI37" s="774">
        <f t="shared" si="5"/>
        <v>1472.508</v>
      </c>
      <c r="AJ37" s="775">
        <f t="shared" si="6"/>
        <v>0</v>
      </c>
      <c r="AK37" s="774">
        <f t="shared" si="7"/>
        <v>1472.508</v>
      </c>
      <c r="AL37" s="768"/>
      <c r="AM37" s="768"/>
      <c r="AN37" s="768"/>
      <c r="AO37" s="883"/>
      <c r="AP37" s="768"/>
    </row>
    <row r="38" spans="1:42" s="721" customFormat="1" ht="46.8">
      <c r="A38" s="769">
        <v>27</v>
      </c>
      <c r="B38" s="777" t="s">
        <v>334</v>
      </c>
      <c r="C38" s="661" t="s">
        <v>448</v>
      </c>
      <c r="D38" s="661" t="s">
        <v>633</v>
      </c>
      <c r="E38" s="661" t="s">
        <v>46</v>
      </c>
      <c r="F38" s="655">
        <v>2024</v>
      </c>
      <c r="G38" s="778" t="s">
        <v>196</v>
      </c>
      <c r="H38" s="778" t="s">
        <v>335</v>
      </c>
      <c r="I38" s="779">
        <v>4525</v>
      </c>
      <c r="J38" s="770">
        <f t="shared" si="8"/>
        <v>4525</v>
      </c>
      <c r="K38" s="764"/>
      <c r="L38" s="764"/>
      <c r="M38" s="772">
        <f t="shared" si="3"/>
        <v>4525</v>
      </c>
      <c r="N38" s="772">
        <f t="shared" si="4"/>
        <v>4525</v>
      </c>
      <c r="O38" s="768"/>
      <c r="P38" s="768"/>
      <c r="Q38" s="768"/>
      <c r="R38" s="768"/>
      <c r="S38" s="768"/>
      <c r="T38" s="768"/>
      <c r="U38" s="768"/>
      <c r="V38" s="762"/>
      <c r="W38" s="772">
        <v>0</v>
      </c>
      <c r="X38" s="772">
        <v>4525</v>
      </c>
      <c r="Y38" s="762"/>
      <c r="Z38" s="762"/>
      <c r="AA38" s="762"/>
      <c r="AB38" s="762"/>
      <c r="AC38" s="762"/>
      <c r="AD38" s="762"/>
      <c r="AE38" s="762"/>
      <c r="AF38" s="762"/>
      <c r="AG38" s="772">
        <v>0</v>
      </c>
      <c r="AH38" s="773">
        <v>4412.2719999999999</v>
      </c>
      <c r="AI38" s="774">
        <f t="shared" si="5"/>
        <v>112.72800000000007</v>
      </c>
      <c r="AJ38" s="775">
        <f t="shared" si="6"/>
        <v>0</v>
      </c>
      <c r="AK38" s="774">
        <f t="shared" si="7"/>
        <v>112.72800000000007</v>
      </c>
      <c r="AL38" s="768"/>
      <c r="AM38" s="768"/>
      <c r="AN38" s="768"/>
      <c r="AO38" s="883"/>
      <c r="AP38" s="768"/>
    </row>
    <row r="39" spans="1:42" s="721" customFormat="1" ht="46.8">
      <c r="A39" s="776">
        <v>28</v>
      </c>
      <c r="B39" s="777" t="s">
        <v>337</v>
      </c>
      <c r="C39" s="661" t="s">
        <v>448</v>
      </c>
      <c r="D39" s="661" t="s">
        <v>615</v>
      </c>
      <c r="E39" s="661" t="s">
        <v>46</v>
      </c>
      <c r="F39" s="655">
        <v>2024</v>
      </c>
      <c r="G39" s="778" t="s">
        <v>196</v>
      </c>
      <c r="H39" s="778" t="s">
        <v>338</v>
      </c>
      <c r="I39" s="779">
        <v>5328</v>
      </c>
      <c r="J39" s="770">
        <f t="shared" si="8"/>
        <v>5328</v>
      </c>
      <c r="K39" s="764"/>
      <c r="L39" s="764"/>
      <c r="M39" s="772">
        <f t="shared" si="3"/>
        <v>5328</v>
      </c>
      <c r="N39" s="772">
        <f t="shared" si="4"/>
        <v>5328</v>
      </c>
      <c r="O39" s="768"/>
      <c r="P39" s="768"/>
      <c r="Q39" s="768"/>
      <c r="R39" s="768"/>
      <c r="S39" s="768"/>
      <c r="T39" s="768"/>
      <c r="U39" s="768"/>
      <c r="V39" s="762"/>
      <c r="W39" s="772">
        <v>0</v>
      </c>
      <c r="X39" s="772">
        <v>5328</v>
      </c>
      <c r="Y39" s="762"/>
      <c r="Z39" s="762"/>
      <c r="AA39" s="762"/>
      <c r="AB39" s="762"/>
      <c r="AC39" s="762"/>
      <c r="AD39" s="762"/>
      <c r="AE39" s="762"/>
      <c r="AF39" s="762"/>
      <c r="AG39" s="772">
        <v>0</v>
      </c>
      <c r="AH39" s="773">
        <v>3627.5239999999999</v>
      </c>
      <c r="AI39" s="774">
        <f t="shared" si="5"/>
        <v>1700.4760000000001</v>
      </c>
      <c r="AJ39" s="775">
        <f t="shared" si="6"/>
        <v>0</v>
      </c>
      <c r="AK39" s="774">
        <f t="shared" si="7"/>
        <v>1700.4760000000001</v>
      </c>
      <c r="AL39" s="768"/>
      <c r="AM39" s="768"/>
      <c r="AN39" s="768"/>
      <c r="AO39" s="883"/>
      <c r="AP39" s="768"/>
    </row>
    <row r="40" spans="1:42" ht="62.4">
      <c r="A40" s="769">
        <v>29</v>
      </c>
      <c r="B40" s="777" t="s">
        <v>634</v>
      </c>
      <c r="C40" s="661" t="s">
        <v>635</v>
      </c>
      <c r="D40" s="661" t="s">
        <v>636</v>
      </c>
      <c r="E40" s="661" t="s">
        <v>46</v>
      </c>
      <c r="F40" s="655">
        <v>2024</v>
      </c>
      <c r="G40" s="778" t="s">
        <v>196</v>
      </c>
      <c r="H40" s="778" t="s">
        <v>637</v>
      </c>
      <c r="I40" s="782">
        <v>4190</v>
      </c>
      <c r="J40" s="782">
        <v>4190</v>
      </c>
      <c r="K40" s="768"/>
      <c r="L40" s="768"/>
      <c r="M40" s="782">
        <v>4190</v>
      </c>
      <c r="N40" s="782">
        <v>4190</v>
      </c>
      <c r="O40" s="768"/>
      <c r="P40" s="768"/>
      <c r="Q40" s="768"/>
      <c r="R40" s="768"/>
      <c r="S40" s="768"/>
      <c r="T40" s="768"/>
      <c r="U40" s="768"/>
      <c r="V40" s="768"/>
      <c r="W40" s="768"/>
      <c r="X40" s="782">
        <f>+N40</f>
        <v>4190</v>
      </c>
      <c r="Y40" s="768"/>
      <c r="Z40" s="768"/>
      <c r="AA40" s="768"/>
      <c r="AB40" s="768"/>
      <c r="AC40" s="768"/>
      <c r="AD40" s="768"/>
      <c r="AE40" s="768"/>
      <c r="AF40" s="768"/>
      <c r="AG40" s="768"/>
      <c r="AH40" s="773">
        <v>2844.3110000000001</v>
      </c>
      <c r="AI40" s="774">
        <f t="shared" si="5"/>
        <v>1345.6889999999999</v>
      </c>
      <c r="AJ40" s="775">
        <f t="shared" si="6"/>
        <v>0</v>
      </c>
      <c r="AK40" s="774">
        <f t="shared" si="7"/>
        <v>1345.6889999999999</v>
      </c>
      <c r="AL40" s="768"/>
      <c r="AM40" s="768"/>
      <c r="AN40" s="768"/>
      <c r="AO40" s="884"/>
      <c r="AP40" s="768"/>
    </row>
    <row r="41" spans="1:42" s="723" customFormat="1" ht="31.2">
      <c r="A41" s="740" t="s">
        <v>642</v>
      </c>
      <c r="B41" s="783" t="s">
        <v>638</v>
      </c>
      <c r="C41" s="740"/>
      <c r="D41" s="676"/>
      <c r="E41" s="740"/>
      <c r="F41" s="784"/>
      <c r="G41" s="784"/>
      <c r="H41" s="785"/>
      <c r="I41" s="786">
        <f>+I42</f>
        <v>70500</v>
      </c>
      <c r="J41" s="786">
        <f t="shared" ref="J41:AK41" si="9">+J42</f>
        <v>70500</v>
      </c>
      <c r="K41" s="786">
        <f t="shared" si="9"/>
        <v>0</v>
      </c>
      <c r="L41" s="786">
        <f t="shared" si="9"/>
        <v>0</v>
      </c>
      <c r="M41" s="786">
        <f t="shared" si="9"/>
        <v>70510</v>
      </c>
      <c r="N41" s="786">
        <f t="shared" si="9"/>
        <v>70510</v>
      </c>
      <c r="O41" s="786">
        <f t="shared" si="9"/>
        <v>0</v>
      </c>
      <c r="P41" s="786">
        <f t="shared" si="9"/>
        <v>0</v>
      </c>
      <c r="Q41" s="786">
        <f t="shared" si="9"/>
        <v>0</v>
      </c>
      <c r="R41" s="786">
        <f t="shared" si="9"/>
        <v>481.42099999999999</v>
      </c>
      <c r="S41" s="786">
        <f t="shared" si="9"/>
        <v>1518.579</v>
      </c>
      <c r="T41" s="786">
        <f t="shared" si="9"/>
        <v>10698.639000000001</v>
      </c>
      <c r="U41" s="786">
        <f t="shared" si="9"/>
        <v>3341.3609999999999</v>
      </c>
      <c r="V41" s="786">
        <f t="shared" si="9"/>
        <v>20979.364600000001</v>
      </c>
      <c r="W41" s="786">
        <f t="shared" si="9"/>
        <v>6950.6354000000001</v>
      </c>
      <c r="X41" s="786">
        <f t="shared" si="9"/>
        <v>26540</v>
      </c>
      <c r="Y41" s="786">
        <f t="shared" si="9"/>
        <v>0</v>
      </c>
      <c r="Z41" s="786">
        <f t="shared" si="9"/>
        <v>0</v>
      </c>
      <c r="AA41" s="786">
        <f t="shared" si="9"/>
        <v>0</v>
      </c>
      <c r="AB41" s="786">
        <f t="shared" si="9"/>
        <v>481.42099999999999</v>
      </c>
      <c r="AC41" s="786">
        <f t="shared" si="9"/>
        <v>1518.579</v>
      </c>
      <c r="AD41" s="786">
        <f t="shared" si="9"/>
        <v>10698.638000000001</v>
      </c>
      <c r="AE41" s="786">
        <f t="shared" si="9"/>
        <v>3341.3609999999999</v>
      </c>
      <c r="AF41" s="786">
        <f t="shared" si="9"/>
        <v>20979.364600000001</v>
      </c>
      <c r="AG41" s="786">
        <f t="shared" si="9"/>
        <v>2563.5084000000002</v>
      </c>
      <c r="AH41" s="786">
        <f t="shared" si="9"/>
        <v>2209.9890719999999</v>
      </c>
      <c r="AI41" s="786">
        <f t="shared" si="9"/>
        <v>28717.137928</v>
      </c>
      <c r="AJ41" s="786">
        <f t="shared" si="9"/>
        <v>4387.1269999999995</v>
      </c>
      <c r="AK41" s="786">
        <f t="shared" si="9"/>
        <v>24330.010928</v>
      </c>
      <c r="AL41" s="787"/>
      <c r="AM41" s="787"/>
      <c r="AN41" s="787"/>
      <c r="AO41" s="788"/>
      <c r="AP41" s="787"/>
    </row>
    <row r="42" spans="1:42" s="722" customFormat="1" ht="31.2" customHeight="1">
      <c r="A42" s="763" t="s">
        <v>40</v>
      </c>
      <c r="B42" s="679" t="s">
        <v>41</v>
      </c>
      <c r="C42" s="661"/>
      <c r="D42" s="680"/>
      <c r="E42" s="661"/>
      <c r="F42" s="658"/>
      <c r="G42" s="658"/>
      <c r="H42" s="656"/>
      <c r="I42" s="789">
        <f t="shared" ref="I42:AK42" si="10">+SUM(I43:I46)</f>
        <v>70500</v>
      </c>
      <c r="J42" s="789">
        <f t="shared" si="10"/>
        <v>70500</v>
      </c>
      <c r="K42" s="789">
        <f t="shared" si="10"/>
        <v>0</v>
      </c>
      <c r="L42" s="789">
        <f t="shared" si="10"/>
        <v>0</v>
      </c>
      <c r="M42" s="789">
        <f t="shared" si="10"/>
        <v>70510</v>
      </c>
      <c r="N42" s="789">
        <f t="shared" si="10"/>
        <v>70510</v>
      </c>
      <c r="O42" s="790">
        <f t="shared" si="10"/>
        <v>0</v>
      </c>
      <c r="P42" s="790">
        <f t="shared" si="10"/>
        <v>0</v>
      </c>
      <c r="Q42" s="790">
        <f t="shared" si="10"/>
        <v>0</v>
      </c>
      <c r="R42" s="790">
        <f t="shared" si="10"/>
        <v>481.42099999999999</v>
      </c>
      <c r="S42" s="790">
        <f t="shared" si="10"/>
        <v>1518.579</v>
      </c>
      <c r="T42" s="790">
        <f t="shared" si="10"/>
        <v>10698.639000000001</v>
      </c>
      <c r="U42" s="790">
        <f t="shared" si="10"/>
        <v>3341.3609999999999</v>
      </c>
      <c r="V42" s="790">
        <f t="shared" si="10"/>
        <v>20979.364600000001</v>
      </c>
      <c r="W42" s="790">
        <f t="shared" si="10"/>
        <v>6950.6354000000001</v>
      </c>
      <c r="X42" s="790">
        <f t="shared" si="10"/>
        <v>26540</v>
      </c>
      <c r="Y42" s="790">
        <f t="shared" si="10"/>
        <v>0</v>
      </c>
      <c r="Z42" s="790">
        <f t="shared" si="10"/>
        <v>0</v>
      </c>
      <c r="AA42" s="790">
        <f t="shared" si="10"/>
        <v>0</v>
      </c>
      <c r="AB42" s="790">
        <f t="shared" si="10"/>
        <v>481.42099999999999</v>
      </c>
      <c r="AC42" s="790">
        <f t="shared" si="10"/>
        <v>1518.579</v>
      </c>
      <c r="AD42" s="790">
        <f t="shared" si="10"/>
        <v>10698.638000000001</v>
      </c>
      <c r="AE42" s="790">
        <f t="shared" si="10"/>
        <v>3341.3609999999999</v>
      </c>
      <c r="AF42" s="790">
        <f t="shared" si="10"/>
        <v>20979.364600000001</v>
      </c>
      <c r="AG42" s="790">
        <f t="shared" si="10"/>
        <v>2563.5084000000002</v>
      </c>
      <c r="AH42" s="790">
        <f t="shared" si="10"/>
        <v>2209.9890719999999</v>
      </c>
      <c r="AI42" s="790">
        <f t="shared" si="10"/>
        <v>28717.137928</v>
      </c>
      <c r="AJ42" s="790">
        <f t="shared" si="10"/>
        <v>4387.1269999999995</v>
      </c>
      <c r="AK42" s="790">
        <f t="shared" si="10"/>
        <v>24330.010928</v>
      </c>
      <c r="AL42" s="762"/>
      <c r="AM42" s="762"/>
      <c r="AN42" s="762"/>
      <c r="AO42" s="756"/>
      <c r="AP42" s="762"/>
    </row>
    <row r="43" spans="1:42" s="721" customFormat="1" ht="62.4" customHeight="1">
      <c r="A43" s="661">
        <v>1</v>
      </c>
      <c r="B43" s="791" t="s">
        <v>231</v>
      </c>
      <c r="C43" s="661" t="s">
        <v>449</v>
      </c>
      <c r="D43" s="661" t="s">
        <v>624</v>
      </c>
      <c r="E43" s="661" t="s">
        <v>46</v>
      </c>
      <c r="F43" s="658">
        <v>2022</v>
      </c>
      <c r="G43" s="658" t="s">
        <v>232</v>
      </c>
      <c r="H43" s="656" t="s">
        <v>233</v>
      </c>
      <c r="I43" s="659">
        <v>30000</v>
      </c>
      <c r="J43" s="659">
        <f>+I43</f>
        <v>30000</v>
      </c>
      <c r="K43" s="766"/>
      <c r="L43" s="765"/>
      <c r="M43" s="792">
        <f t="shared" ref="M43:M46" si="11">SUM(O43:X43)</f>
        <v>30000</v>
      </c>
      <c r="N43" s="792">
        <f t="shared" ref="N43:N46" si="12">+M43</f>
        <v>30000</v>
      </c>
      <c r="O43" s="793"/>
      <c r="P43" s="793"/>
      <c r="Q43" s="793"/>
      <c r="R43" s="793">
        <v>481.42099999999999</v>
      </c>
      <c r="S43" s="793">
        <v>1518.579</v>
      </c>
      <c r="T43" s="793">
        <v>5080</v>
      </c>
      <c r="U43" s="793"/>
      <c r="V43" s="794">
        <v>2866.4915999999998</v>
      </c>
      <c r="W43" s="794">
        <v>2563.5084000000002</v>
      </c>
      <c r="X43" s="794">
        <v>17490</v>
      </c>
      <c r="Y43" s="793"/>
      <c r="Z43" s="807"/>
      <c r="AA43" s="725"/>
      <c r="AB43" s="793">
        <v>481.42099999999999</v>
      </c>
      <c r="AC43" s="793">
        <v>1518.579</v>
      </c>
      <c r="AD43" s="793">
        <v>5080</v>
      </c>
      <c r="AE43" s="793"/>
      <c r="AF43" s="793">
        <f>+V43</f>
        <v>2866.4915999999998</v>
      </c>
      <c r="AG43" s="794">
        <v>2563.5084000000002</v>
      </c>
      <c r="AH43" s="794">
        <v>1975.6756</v>
      </c>
      <c r="AI43" s="774">
        <f t="shared" ref="AI43" si="13">+AJ43+AK43</f>
        <v>15514.3244</v>
      </c>
      <c r="AJ43" s="775">
        <f t="shared" ref="AJ43" si="14">+W43-AG43</f>
        <v>0</v>
      </c>
      <c r="AK43" s="774">
        <f t="shared" ref="AK43" si="15">+X43-AH43</f>
        <v>15514.3244</v>
      </c>
      <c r="AL43" s="768"/>
      <c r="AM43" s="768"/>
      <c r="AN43" s="768"/>
      <c r="AO43" s="882" t="s">
        <v>670</v>
      </c>
      <c r="AP43" s="768"/>
    </row>
    <row r="44" spans="1:42" s="721" customFormat="1" ht="62.4" customHeight="1">
      <c r="A44" s="661">
        <v>2</v>
      </c>
      <c r="B44" s="795" t="s">
        <v>237</v>
      </c>
      <c r="C44" s="661" t="s">
        <v>448</v>
      </c>
      <c r="D44" s="661" t="s">
        <v>627</v>
      </c>
      <c r="E44" s="661" t="s">
        <v>46</v>
      </c>
      <c r="F44" s="658">
        <v>2023</v>
      </c>
      <c r="G44" s="658" t="s">
        <v>191</v>
      </c>
      <c r="H44" s="661" t="s">
        <v>238</v>
      </c>
      <c r="I44" s="796">
        <v>18000</v>
      </c>
      <c r="J44" s="659">
        <f t="shared" ref="J44:J46" si="16">+I44</f>
        <v>18000</v>
      </c>
      <c r="K44" s="765"/>
      <c r="L44" s="765"/>
      <c r="M44" s="792">
        <f t="shared" si="11"/>
        <v>18000</v>
      </c>
      <c r="N44" s="792">
        <f t="shared" si="12"/>
        <v>18000</v>
      </c>
      <c r="O44" s="793"/>
      <c r="P44" s="793"/>
      <c r="Q44" s="793"/>
      <c r="R44" s="793"/>
      <c r="S44" s="793">
        <v>0</v>
      </c>
      <c r="T44" s="793">
        <v>2398.1</v>
      </c>
      <c r="U44" s="793">
        <v>101.9</v>
      </c>
      <c r="V44" s="793">
        <v>8000</v>
      </c>
      <c r="W44" s="794">
        <v>0</v>
      </c>
      <c r="X44" s="794">
        <v>7500</v>
      </c>
      <c r="Y44" s="793"/>
      <c r="Z44" s="793"/>
      <c r="AA44" s="793"/>
      <c r="AB44" s="793"/>
      <c r="AC44" s="793">
        <v>0</v>
      </c>
      <c r="AD44" s="793">
        <v>2398.1</v>
      </c>
      <c r="AE44" s="793">
        <v>101.9</v>
      </c>
      <c r="AF44" s="793">
        <v>8000</v>
      </c>
      <c r="AG44" s="794">
        <v>0</v>
      </c>
      <c r="AH44" s="794">
        <v>234.31347199999999</v>
      </c>
      <c r="AI44" s="774">
        <f t="shared" ref="AI44:AI46" si="17">+AJ44+AK44</f>
        <v>7265.6865280000002</v>
      </c>
      <c r="AJ44" s="775">
        <f t="shared" ref="AJ44:AJ46" si="18">+W44-AG44</f>
        <v>0</v>
      </c>
      <c r="AK44" s="774">
        <f t="shared" ref="AK44:AK46" si="19">+X44-AH44</f>
        <v>7265.6865280000002</v>
      </c>
      <c r="AL44" s="768"/>
      <c r="AM44" s="768"/>
      <c r="AN44" s="768"/>
      <c r="AO44" s="883"/>
      <c r="AP44" s="768"/>
    </row>
    <row r="45" spans="1:42" s="721" customFormat="1" ht="62.4">
      <c r="A45" s="661">
        <v>3</v>
      </c>
      <c r="B45" s="791" t="s">
        <v>239</v>
      </c>
      <c r="C45" s="661" t="s">
        <v>448</v>
      </c>
      <c r="D45" s="661" t="s">
        <v>639</v>
      </c>
      <c r="E45" s="661" t="s">
        <v>46</v>
      </c>
      <c r="F45" s="658">
        <v>2023</v>
      </c>
      <c r="G45" s="658" t="s">
        <v>191</v>
      </c>
      <c r="H45" s="778" t="s">
        <v>240</v>
      </c>
      <c r="I45" s="796">
        <v>8500</v>
      </c>
      <c r="J45" s="659">
        <f t="shared" si="16"/>
        <v>8500</v>
      </c>
      <c r="K45" s="765"/>
      <c r="L45" s="765"/>
      <c r="M45" s="792">
        <f t="shared" si="11"/>
        <v>8500</v>
      </c>
      <c r="N45" s="792">
        <f t="shared" si="12"/>
        <v>8500</v>
      </c>
      <c r="O45" s="793"/>
      <c r="P45" s="793"/>
      <c r="Q45" s="793"/>
      <c r="R45" s="793"/>
      <c r="S45" s="793"/>
      <c r="T45" s="793">
        <v>2600</v>
      </c>
      <c r="U45" s="793"/>
      <c r="V45" s="793">
        <v>3966.7959999999998</v>
      </c>
      <c r="W45" s="794">
        <v>1033.204</v>
      </c>
      <c r="X45" s="794">
        <v>900</v>
      </c>
      <c r="Y45" s="793"/>
      <c r="Z45" s="793"/>
      <c r="AA45" s="793"/>
      <c r="AB45" s="793"/>
      <c r="AC45" s="793"/>
      <c r="AD45" s="793">
        <v>2599.9989999999998</v>
      </c>
      <c r="AE45" s="793"/>
      <c r="AF45" s="793">
        <v>3966.7959999999998</v>
      </c>
      <c r="AG45" s="794">
        <v>0</v>
      </c>
      <c r="AH45" s="794">
        <v>0</v>
      </c>
      <c r="AI45" s="774">
        <f t="shared" si="17"/>
        <v>1933.204</v>
      </c>
      <c r="AJ45" s="775">
        <f t="shared" si="18"/>
        <v>1033.204</v>
      </c>
      <c r="AK45" s="774">
        <f t="shared" si="19"/>
        <v>900</v>
      </c>
      <c r="AL45" s="768"/>
      <c r="AM45" s="768"/>
      <c r="AN45" s="768"/>
      <c r="AO45" s="883"/>
      <c r="AP45" s="768"/>
    </row>
    <row r="46" spans="1:42" s="717" customFormat="1" ht="60" customHeight="1">
      <c r="A46" s="661">
        <v>4</v>
      </c>
      <c r="B46" s="795" t="s">
        <v>241</v>
      </c>
      <c r="C46" s="661" t="s">
        <v>448</v>
      </c>
      <c r="D46" s="661" t="s">
        <v>640</v>
      </c>
      <c r="E46" s="661" t="s">
        <v>46</v>
      </c>
      <c r="F46" s="658">
        <v>2023</v>
      </c>
      <c r="G46" s="658" t="s">
        <v>191</v>
      </c>
      <c r="H46" s="778" t="s">
        <v>242</v>
      </c>
      <c r="I46" s="796">
        <v>14000</v>
      </c>
      <c r="J46" s="659">
        <f t="shared" si="16"/>
        <v>14000</v>
      </c>
      <c r="K46" s="797"/>
      <c r="L46" s="797"/>
      <c r="M46" s="792">
        <f t="shared" si="11"/>
        <v>14010</v>
      </c>
      <c r="N46" s="792">
        <f t="shared" si="12"/>
        <v>14010</v>
      </c>
      <c r="O46" s="793"/>
      <c r="P46" s="793"/>
      <c r="Q46" s="793"/>
      <c r="R46" s="793"/>
      <c r="S46" s="793"/>
      <c r="T46" s="793">
        <v>620.53899999999999</v>
      </c>
      <c r="U46" s="793">
        <v>3239.4609999999998</v>
      </c>
      <c r="V46" s="793">
        <v>6146.0770000000002</v>
      </c>
      <c r="W46" s="794">
        <v>3353.9229999999998</v>
      </c>
      <c r="X46" s="794">
        <v>650</v>
      </c>
      <c r="Y46" s="793"/>
      <c r="Z46" s="793"/>
      <c r="AA46" s="793"/>
      <c r="AB46" s="793"/>
      <c r="AC46" s="793"/>
      <c r="AD46" s="793">
        <v>620.53899999999999</v>
      </c>
      <c r="AE46" s="793">
        <v>3239.4609999999998</v>
      </c>
      <c r="AF46" s="793">
        <v>6146.0770000000002</v>
      </c>
      <c r="AG46" s="794">
        <v>0</v>
      </c>
      <c r="AH46" s="794">
        <v>0</v>
      </c>
      <c r="AI46" s="774">
        <f t="shared" si="17"/>
        <v>4003.9229999999998</v>
      </c>
      <c r="AJ46" s="775">
        <f t="shared" si="18"/>
        <v>3353.9229999999998</v>
      </c>
      <c r="AK46" s="774">
        <f t="shared" si="19"/>
        <v>650</v>
      </c>
      <c r="AL46" s="768"/>
      <c r="AM46" s="768"/>
      <c r="AN46" s="768"/>
      <c r="AO46" s="883"/>
      <c r="AP46" s="768"/>
    </row>
    <row r="47" spans="1:42" s="723" customFormat="1" ht="46.8">
      <c r="A47" s="740" t="s">
        <v>53</v>
      </c>
      <c r="B47" s="783" t="s">
        <v>641</v>
      </c>
      <c r="C47" s="740"/>
      <c r="D47" s="676"/>
      <c r="E47" s="740"/>
      <c r="F47" s="784"/>
      <c r="G47" s="784"/>
      <c r="H47" s="785"/>
      <c r="I47" s="786">
        <f>+I48</f>
        <v>14430</v>
      </c>
      <c r="J47" s="786">
        <f t="shared" ref="J47:AK47" si="20">+J48</f>
        <v>14430</v>
      </c>
      <c r="K47" s="786">
        <f t="shared" si="20"/>
        <v>0</v>
      </c>
      <c r="L47" s="786">
        <f t="shared" si="20"/>
        <v>0</v>
      </c>
      <c r="M47" s="786">
        <f t="shared" si="20"/>
        <v>14430</v>
      </c>
      <c r="N47" s="786">
        <f t="shared" si="20"/>
        <v>14430</v>
      </c>
      <c r="O47" s="786">
        <f t="shared" si="20"/>
        <v>0</v>
      </c>
      <c r="P47" s="786">
        <f t="shared" si="20"/>
        <v>0</v>
      </c>
      <c r="Q47" s="786">
        <f t="shared" si="20"/>
        <v>0</v>
      </c>
      <c r="R47" s="786">
        <f t="shared" si="20"/>
        <v>0</v>
      </c>
      <c r="S47" s="786">
        <f t="shared" si="20"/>
        <v>0</v>
      </c>
      <c r="T47" s="786">
        <f t="shared" si="20"/>
        <v>0</v>
      </c>
      <c r="U47" s="786">
        <f t="shared" si="20"/>
        <v>1308</v>
      </c>
      <c r="V47" s="786">
        <f t="shared" si="20"/>
        <v>0</v>
      </c>
      <c r="W47" s="786">
        <f t="shared" si="20"/>
        <v>0</v>
      </c>
      <c r="X47" s="786">
        <f t="shared" si="20"/>
        <v>13122</v>
      </c>
      <c r="Y47" s="786">
        <f t="shared" si="20"/>
        <v>0</v>
      </c>
      <c r="Z47" s="786">
        <f t="shared" si="20"/>
        <v>0</v>
      </c>
      <c r="AA47" s="786">
        <f t="shared" si="20"/>
        <v>0</v>
      </c>
      <c r="AB47" s="786">
        <f t="shared" si="20"/>
        <v>0</v>
      </c>
      <c r="AC47" s="786">
        <f t="shared" si="20"/>
        <v>0</v>
      </c>
      <c r="AD47" s="786">
        <f t="shared" si="20"/>
        <v>0</v>
      </c>
      <c r="AE47" s="786">
        <f t="shared" si="20"/>
        <v>1308</v>
      </c>
      <c r="AF47" s="786">
        <f t="shared" si="20"/>
        <v>0</v>
      </c>
      <c r="AG47" s="786">
        <f t="shared" si="20"/>
        <v>0</v>
      </c>
      <c r="AH47" s="786">
        <f t="shared" si="20"/>
        <v>7195.2465609999999</v>
      </c>
      <c r="AI47" s="786">
        <f t="shared" si="20"/>
        <v>5926.7534390000001</v>
      </c>
      <c r="AJ47" s="786">
        <f t="shared" si="20"/>
        <v>0</v>
      </c>
      <c r="AK47" s="786">
        <f t="shared" si="20"/>
        <v>5926.7534390000001</v>
      </c>
      <c r="AL47" s="787"/>
      <c r="AM47" s="787"/>
      <c r="AN47" s="787"/>
      <c r="AO47" s="788"/>
      <c r="AP47" s="787"/>
    </row>
    <row r="48" spans="1:42" s="721" customFormat="1" ht="30" customHeight="1">
      <c r="A48" s="763" t="s">
        <v>40</v>
      </c>
      <c r="B48" s="679" t="s">
        <v>41</v>
      </c>
      <c r="C48" s="661"/>
      <c r="D48" s="680"/>
      <c r="E48" s="661"/>
      <c r="F48" s="658"/>
      <c r="G48" s="658"/>
      <c r="H48" s="656"/>
      <c r="I48" s="789">
        <f t="shared" ref="I48:AK48" si="21">SUM(I49:I52)</f>
        <v>14430</v>
      </c>
      <c r="J48" s="789">
        <f t="shared" si="21"/>
        <v>14430</v>
      </c>
      <c r="K48" s="789">
        <f t="shared" si="21"/>
        <v>0</v>
      </c>
      <c r="L48" s="789">
        <f t="shared" si="21"/>
        <v>0</v>
      </c>
      <c r="M48" s="789">
        <f t="shared" si="21"/>
        <v>14430</v>
      </c>
      <c r="N48" s="789">
        <f t="shared" si="21"/>
        <v>14430</v>
      </c>
      <c r="O48" s="789">
        <f t="shared" si="21"/>
        <v>0</v>
      </c>
      <c r="P48" s="789">
        <f t="shared" si="21"/>
        <v>0</v>
      </c>
      <c r="Q48" s="789">
        <f t="shared" si="21"/>
        <v>0</v>
      </c>
      <c r="R48" s="789">
        <f t="shared" si="21"/>
        <v>0</v>
      </c>
      <c r="S48" s="789">
        <f t="shared" si="21"/>
        <v>0</v>
      </c>
      <c r="T48" s="789">
        <f t="shared" si="21"/>
        <v>0</v>
      </c>
      <c r="U48" s="789">
        <f t="shared" si="21"/>
        <v>1308</v>
      </c>
      <c r="V48" s="789">
        <f t="shared" si="21"/>
        <v>0</v>
      </c>
      <c r="W48" s="789">
        <f t="shared" si="21"/>
        <v>0</v>
      </c>
      <c r="X48" s="789">
        <f t="shared" si="21"/>
        <v>13122</v>
      </c>
      <c r="Y48" s="789">
        <f t="shared" si="21"/>
        <v>0</v>
      </c>
      <c r="Z48" s="789">
        <f t="shared" si="21"/>
        <v>0</v>
      </c>
      <c r="AA48" s="789">
        <f t="shared" si="21"/>
        <v>0</v>
      </c>
      <c r="AB48" s="789">
        <f t="shared" si="21"/>
        <v>0</v>
      </c>
      <c r="AC48" s="789">
        <f t="shared" si="21"/>
        <v>0</v>
      </c>
      <c r="AD48" s="789">
        <f t="shared" si="21"/>
        <v>0</v>
      </c>
      <c r="AE48" s="789">
        <f t="shared" si="21"/>
        <v>1308</v>
      </c>
      <c r="AF48" s="789">
        <f t="shared" si="21"/>
        <v>0</v>
      </c>
      <c r="AG48" s="789">
        <f t="shared" si="21"/>
        <v>0</v>
      </c>
      <c r="AH48" s="789">
        <f t="shared" si="21"/>
        <v>7195.2465609999999</v>
      </c>
      <c r="AI48" s="789">
        <f t="shared" si="21"/>
        <v>5926.7534390000001</v>
      </c>
      <c r="AJ48" s="789">
        <f t="shared" si="21"/>
        <v>0</v>
      </c>
      <c r="AK48" s="789">
        <f t="shared" si="21"/>
        <v>5926.7534390000001</v>
      </c>
      <c r="AL48" s="768"/>
      <c r="AM48" s="768"/>
      <c r="AN48" s="768"/>
      <c r="AO48" s="798"/>
      <c r="AP48" s="768"/>
    </row>
    <row r="49" spans="1:42" s="721" customFormat="1" ht="31.2" customHeight="1">
      <c r="A49" s="799" t="s">
        <v>89</v>
      </c>
      <c r="B49" s="800" t="s">
        <v>218</v>
      </c>
      <c r="C49" s="661" t="s">
        <v>448</v>
      </c>
      <c r="D49" s="661" t="s">
        <v>613</v>
      </c>
      <c r="E49" s="661" t="s">
        <v>46</v>
      </c>
      <c r="F49" s="656">
        <v>2024</v>
      </c>
      <c r="G49" s="656" t="s">
        <v>196</v>
      </c>
      <c r="H49" s="656" t="s">
        <v>219</v>
      </c>
      <c r="I49" s="801">
        <v>2430</v>
      </c>
      <c r="J49" s="801">
        <f t="shared" ref="J49:J52" si="22">+I49</f>
        <v>2430</v>
      </c>
      <c r="K49" s="802"/>
      <c r="L49" s="764"/>
      <c r="M49" s="772">
        <f>SUM(O49:X49)</f>
        <v>2430</v>
      </c>
      <c r="N49" s="772">
        <f>+M49</f>
        <v>2430</v>
      </c>
      <c r="O49" s="775"/>
      <c r="P49" s="775"/>
      <c r="Q49" s="775"/>
      <c r="R49" s="775"/>
      <c r="S49" s="775"/>
      <c r="T49" s="775"/>
      <c r="U49" s="775">
        <v>730</v>
      </c>
      <c r="V49" s="775"/>
      <c r="W49" s="772">
        <v>0</v>
      </c>
      <c r="X49" s="772">
        <v>1700</v>
      </c>
      <c r="Y49" s="803"/>
      <c r="Z49" s="803"/>
      <c r="AA49" s="803"/>
      <c r="AB49" s="803"/>
      <c r="AC49" s="808"/>
      <c r="AD49" s="775"/>
      <c r="AE49" s="725">
        <v>730</v>
      </c>
      <c r="AF49" s="803"/>
      <c r="AG49" s="773">
        <v>0</v>
      </c>
      <c r="AH49" s="773">
        <v>1592.777</v>
      </c>
      <c r="AI49" s="774">
        <f t="shared" ref="AI49:AI52" si="23">+AJ49+AK49</f>
        <v>107.22299999999996</v>
      </c>
      <c r="AJ49" s="775">
        <f t="shared" ref="AJ49:AJ52" si="24">+W49-AG49</f>
        <v>0</v>
      </c>
      <c r="AK49" s="774">
        <f t="shared" ref="AK49:AK52" si="25">+X49-AH49</f>
        <v>107.22299999999996</v>
      </c>
      <c r="AL49" s="768"/>
      <c r="AM49" s="768"/>
      <c r="AN49" s="768"/>
      <c r="AO49" s="882" t="s">
        <v>670</v>
      </c>
      <c r="AP49" s="768"/>
    </row>
    <row r="50" spans="1:42" s="721" customFormat="1" ht="46.8">
      <c r="A50" s="799" t="s">
        <v>131</v>
      </c>
      <c r="B50" s="800" t="s">
        <v>220</v>
      </c>
      <c r="C50" s="661" t="s">
        <v>448</v>
      </c>
      <c r="D50" s="661" t="s">
        <v>613</v>
      </c>
      <c r="E50" s="661" t="s">
        <v>46</v>
      </c>
      <c r="F50" s="656">
        <v>2024</v>
      </c>
      <c r="G50" s="656" t="s">
        <v>196</v>
      </c>
      <c r="H50" s="656" t="s">
        <v>221</v>
      </c>
      <c r="I50" s="801">
        <v>5000</v>
      </c>
      <c r="J50" s="801">
        <f t="shared" si="22"/>
        <v>5000</v>
      </c>
      <c r="K50" s="764"/>
      <c r="L50" s="764"/>
      <c r="M50" s="772">
        <f t="shared" ref="M50:M52" si="26">SUM(O50:X50)</f>
        <v>5000</v>
      </c>
      <c r="N50" s="772">
        <f t="shared" ref="N50:N52" si="27">+M50</f>
        <v>5000</v>
      </c>
      <c r="O50" s="775"/>
      <c r="P50" s="775"/>
      <c r="Q50" s="775"/>
      <c r="R50" s="775"/>
      <c r="S50" s="775"/>
      <c r="T50" s="775"/>
      <c r="U50" s="775">
        <v>578</v>
      </c>
      <c r="V50" s="775"/>
      <c r="W50" s="772">
        <v>0</v>
      </c>
      <c r="X50" s="772">
        <v>4422</v>
      </c>
      <c r="Y50" s="803"/>
      <c r="Z50" s="803"/>
      <c r="AA50" s="803"/>
      <c r="AB50" s="803"/>
      <c r="AC50" s="803"/>
      <c r="AD50" s="803"/>
      <c r="AE50" s="725">
        <v>578</v>
      </c>
      <c r="AF50" s="803"/>
      <c r="AG50" s="773">
        <v>0</v>
      </c>
      <c r="AH50" s="773">
        <v>2089.3725610000001</v>
      </c>
      <c r="AI50" s="774">
        <f t="shared" si="23"/>
        <v>2332.6274389999999</v>
      </c>
      <c r="AJ50" s="775">
        <f t="shared" si="24"/>
        <v>0</v>
      </c>
      <c r="AK50" s="774">
        <f t="shared" si="25"/>
        <v>2332.6274389999999</v>
      </c>
      <c r="AL50" s="768"/>
      <c r="AM50" s="768"/>
      <c r="AN50" s="768"/>
      <c r="AO50" s="883"/>
      <c r="AP50" s="768"/>
    </row>
    <row r="51" spans="1:42" s="721" customFormat="1" ht="46.8">
      <c r="A51" s="799" t="s">
        <v>134</v>
      </c>
      <c r="B51" s="800" t="s">
        <v>225</v>
      </c>
      <c r="C51" s="661" t="s">
        <v>448</v>
      </c>
      <c r="D51" s="661" t="s">
        <v>613</v>
      </c>
      <c r="E51" s="661" t="s">
        <v>46</v>
      </c>
      <c r="F51" s="656">
        <v>2025</v>
      </c>
      <c r="G51" s="656" t="s">
        <v>196</v>
      </c>
      <c r="H51" s="656" t="s">
        <v>226</v>
      </c>
      <c r="I51" s="801">
        <v>3000</v>
      </c>
      <c r="J51" s="801">
        <f t="shared" si="22"/>
        <v>3000</v>
      </c>
      <c r="K51" s="764"/>
      <c r="L51" s="764"/>
      <c r="M51" s="772">
        <f t="shared" si="26"/>
        <v>3000</v>
      </c>
      <c r="N51" s="772">
        <f t="shared" si="27"/>
        <v>3000</v>
      </c>
      <c r="O51" s="775"/>
      <c r="P51" s="775"/>
      <c r="Q51" s="775"/>
      <c r="R51" s="775"/>
      <c r="S51" s="775"/>
      <c r="T51" s="775"/>
      <c r="U51" s="775"/>
      <c r="V51" s="775"/>
      <c r="W51" s="772">
        <v>0</v>
      </c>
      <c r="X51" s="772">
        <v>3000</v>
      </c>
      <c r="Y51" s="803"/>
      <c r="Z51" s="803"/>
      <c r="AA51" s="803"/>
      <c r="AB51" s="803"/>
      <c r="AC51" s="803"/>
      <c r="AD51" s="803"/>
      <c r="AE51" s="803"/>
      <c r="AF51" s="803"/>
      <c r="AG51" s="773">
        <v>0</v>
      </c>
      <c r="AH51" s="773">
        <v>942.69399999999996</v>
      </c>
      <c r="AI51" s="774">
        <f t="shared" si="23"/>
        <v>2057.306</v>
      </c>
      <c r="AJ51" s="775">
        <f t="shared" si="24"/>
        <v>0</v>
      </c>
      <c r="AK51" s="774">
        <f t="shared" si="25"/>
        <v>2057.306</v>
      </c>
      <c r="AL51" s="768"/>
      <c r="AM51" s="768"/>
      <c r="AN51" s="768"/>
      <c r="AO51" s="883"/>
      <c r="AP51" s="768"/>
    </row>
    <row r="52" spans="1:42" s="721" customFormat="1" ht="46.8">
      <c r="A52" s="799" t="s">
        <v>137</v>
      </c>
      <c r="B52" s="800" t="s">
        <v>229</v>
      </c>
      <c r="C52" s="661" t="s">
        <v>448</v>
      </c>
      <c r="D52" s="661" t="s">
        <v>613</v>
      </c>
      <c r="E52" s="661" t="s">
        <v>46</v>
      </c>
      <c r="F52" s="656">
        <v>2025</v>
      </c>
      <c r="G52" s="656" t="s">
        <v>196</v>
      </c>
      <c r="H52" s="656" t="s">
        <v>230</v>
      </c>
      <c r="I52" s="801">
        <v>4000</v>
      </c>
      <c r="J52" s="801">
        <f t="shared" si="22"/>
        <v>4000</v>
      </c>
      <c r="K52" s="764"/>
      <c r="L52" s="764"/>
      <c r="M52" s="772">
        <f t="shared" si="26"/>
        <v>4000</v>
      </c>
      <c r="N52" s="772">
        <f t="shared" si="27"/>
        <v>4000</v>
      </c>
      <c r="O52" s="775"/>
      <c r="P52" s="775"/>
      <c r="Q52" s="775"/>
      <c r="R52" s="775"/>
      <c r="S52" s="775"/>
      <c r="T52" s="775"/>
      <c r="U52" s="775"/>
      <c r="V52" s="775"/>
      <c r="W52" s="772">
        <v>0</v>
      </c>
      <c r="X52" s="772">
        <v>4000</v>
      </c>
      <c r="Y52" s="803"/>
      <c r="Z52" s="803"/>
      <c r="AA52" s="803"/>
      <c r="AB52" s="803"/>
      <c r="AC52" s="803"/>
      <c r="AD52" s="803"/>
      <c r="AE52" s="803"/>
      <c r="AF52" s="803"/>
      <c r="AG52" s="773">
        <v>0</v>
      </c>
      <c r="AH52" s="773">
        <v>2570.4029999999998</v>
      </c>
      <c r="AI52" s="774">
        <f t="shared" si="23"/>
        <v>1429.5970000000002</v>
      </c>
      <c r="AJ52" s="775">
        <f t="shared" si="24"/>
        <v>0</v>
      </c>
      <c r="AK52" s="774">
        <f t="shared" si="25"/>
        <v>1429.5970000000002</v>
      </c>
      <c r="AL52" s="768"/>
      <c r="AM52" s="768"/>
      <c r="AN52" s="768"/>
      <c r="AO52" s="883"/>
      <c r="AP52" s="768"/>
    </row>
  </sheetData>
  <mergeCells count="45">
    <mergeCell ref="A1:AP1"/>
    <mergeCell ref="A2:AP2"/>
    <mergeCell ref="A3:AP3"/>
    <mergeCell ref="AN4:AP4"/>
    <mergeCell ref="A5:A7"/>
    <mergeCell ref="B5:B7"/>
    <mergeCell ref="C5:C7"/>
    <mergeCell ref="D5:D7"/>
    <mergeCell ref="E5:E7"/>
    <mergeCell ref="F5:F7"/>
    <mergeCell ref="O5:X5"/>
    <mergeCell ref="I6:I7"/>
    <mergeCell ref="J6:J7"/>
    <mergeCell ref="K6:K7"/>
    <mergeCell ref="L6:L7"/>
    <mergeCell ref="G5:G7"/>
    <mergeCell ref="H5:H7"/>
    <mergeCell ref="I5:J5"/>
    <mergeCell ref="K5:L5"/>
    <mergeCell ref="M5:N5"/>
    <mergeCell ref="AP5:AP7"/>
    <mergeCell ref="AI6:AI7"/>
    <mergeCell ref="AJ6:AK6"/>
    <mergeCell ref="AL6:AL7"/>
    <mergeCell ref="AM6:AM7"/>
    <mergeCell ref="Y5:AH5"/>
    <mergeCell ref="AI5:AK5"/>
    <mergeCell ref="AL5:AM5"/>
    <mergeCell ref="AN5:AN7"/>
    <mergeCell ref="AO5:AO7"/>
    <mergeCell ref="AG6:AH6"/>
    <mergeCell ref="M6:M7"/>
    <mergeCell ref="N6:N7"/>
    <mergeCell ref="O6:P6"/>
    <mergeCell ref="Q6:R6"/>
    <mergeCell ref="S6:T6"/>
    <mergeCell ref="U6:V6"/>
    <mergeCell ref="AO12:AO40"/>
    <mergeCell ref="AO43:AO46"/>
    <mergeCell ref="AO49:AO52"/>
    <mergeCell ref="W6:X6"/>
    <mergeCell ref="Y6:Z6"/>
    <mergeCell ref="AA6:AB6"/>
    <mergeCell ref="AC6:AD6"/>
    <mergeCell ref="AE6:AF6"/>
  </mergeCells>
  <phoneticPr fontId="40" type="noConversion"/>
  <pageMargins left="0.7" right="0.7" top="0.75" bottom="0.75" header="0.3" footer="0.3"/>
  <pageSetup paperSize="9" scale="2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Sheet1</vt:lpstr>
      <vt:lpstr>Sheet7 (2)</vt:lpstr>
      <vt:lpstr>Sheet5 (2)</vt:lpstr>
      <vt:lpstr>Sheet9 (2)</vt:lpstr>
      <vt:lpstr>Sheet4</vt:lpstr>
      <vt:lpstr>Sheet2</vt:lpstr>
      <vt:lpstr>NSDP21-25</vt:lpstr>
      <vt:lpstr>NSTW 21-25</vt:lpstr>
      <vt:lpstr>CTMTQG21-25</vt:lpstr>
      <vt:lpstr>'NSDP21-25'!Print_Area</vt:lpstr>
      <vt:lpstr>'CTMTQG21-25'!Print_Titles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2025-06-10T02:22:08Z</cp:lastPrinted>
  <dcterms:created xsi:type="dcterms:W3CDTF">2025-04-29T06:59:40Z</dcterms:created>
  <dcterms:modified xsi:type="dcterms:W3CDTF">2025-06-18T00:56:25Z</dcterms:modified>
</cp:coreProperties>
</file>