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2023\H.TUA CHUA\QHCT KHU PHIA NAM\7 10 nhiem vu qhct nam TC (1)\du toan\"/>
    </mc:Choice>
  </mc:AlternateContent>
  <xr:revisionPtr revIDLastSave="0" documentId="13_ncr:1_{E63C8BB4-0486-4581-9FB1-074A10C2457C}" xr6:coauthVersionLast="36" xr6:coauthVersionMax="47" xr10:uidLastSave="{00000000-0000-0000-0000-000000000000}"/>
  <bookViews>
    <workbookView xWindow="28680" yWindow="0" windowWidth="29040" windowHeight="15840" tabRatio="822" activeTab="15" xr2:uid="{00000000-000D-0000-FFFF-FFFF00000000}"/>
  </bookViews>
  <sheets>
    <sheet name="Tiên lượng" sheetId="1" r:id="rId1"/>
    <sheet name="Giá VL" sheetId="2" r:id="rId2"/>
    <sheet name="THVL" sheetId="3" state="hidden" r:id="rId3"/>
    <sheet name="Cước ô tô" sheetId="4" state="hidden" r:id="rId4"/>
    <sheet name="Cước sông" sheetId="5" state="hidden" r:id="rId5"/>
    <sheet name="Cước TC" sheetId="6" state="hidden" r:id="rId6"/>
    <sheet name="Giá NC" sheetId="7" r:id="rId7"/>
    <sheet name="THNC" sheetId="8" state="hidden" r:id="rId8"/>
    <sheet name="Tính giá NC" sheetId="9" state="hidden" r:id="rId9"/>
    <sheet name="Giá Máy" sheetId="10" r:id="rId10"/>
    <sheet name="THM" sheetId="11" state="hidden" r:id="rId11"/>
    <sheet name="Bù giá CM" sheetId="12" state="hidden" r:id="rId12"/>
    <sheet name="Tính giá CM" sheetId="13" state="hidden" r:id="rId13"/>
    <sheet name="THNL" sheetId="14" state="hidden" r:id="rId14"/>
    <sheet name="THTL" sheetId="15" state="hidden" r:id="rId15"/>
    <sheet name="THKPHM" sheetId="16" r:id="rId16"/>
    <sheet name="THKP_TT11_2021" sheetId="17" state="hidden" r:id="rId17"/>
    <sheet name="Chiết tính" sheetId="18" r:id="rId18"/>
    <sheet name="ĐGTH" sheetId="19" r:id="rId19"/>
    <sheet name="GGTXD" sheetId="20" state="hidden" r:id="rId20"/>
    <sheet name="PTVT" sheetId="21" r:id="rId21"/>
    <sheet name="THDGDT" sheetId="22" state="hidden" r:id="rId22"/>
    <sheet name="THCPXD" sheetId="23" state="hidden" r:id="rId23"/>
    <sheet name="THCPTB" sheetId="24" state="hidden" r:id="rId24"/>
    <sheet name="HM chung" sheetId="25" state="hidden" r:id="rId25"/>
    <sheet name="Bìa ngoài" sheetId="26" state="hidden" r:id="rId26"/>
    <sheet name="Bìa trong" sheetId="27" state="hidden" r:id="rId27"/>
    <sheet name="Thuyết minh" sheetId="28" state="hidden" r:id="rId28"/>
    <sheet name="Thông tin" sheetId="29" r:id="rId29"/>
    <sheet name="Nội suy" sheetId="30" state="hidden" r:id="rId30"/>
    <sheet name="Lương nhân công" sheetId="31" state="hidden" r:id="rId31"/>
    <sheet name="Tổng hợp VT" sheetId="32" r:id="rId32"/>
    <sheet name="Chiết tính rút gọn" sheetId="33" state="hidden" r:id="rId33"/>
    <sheet name="ĐGTH rút gọn" sheetId="34" state="hidden" r:id="rId34"/>
    <sheet name="Giá vữa" sheetId="35" state="hidden" r:id="rId35"/>
    <sheet name="Tra định mức" sheetId="36" state="hidden" r:id="rId36"/>
    <sheet name="QT_PL08b" sheetId="37" state="hidden" r:id="rId37"/>
    <sheet name="QT_PL03a" sheetId="38" state="hidden" r:id="rId38"/>
    <sheet name="QT_PL03b" sheetId="39" state="hidden" r:id="rId39"/>
    <sheet name="QT_PL04" sheetId="40" state="hidden" r:id="rId40"/>
    <sheet name="QT_PL05" sheetId="41" state="hidden" r:id="rId41"/>
    <sheet name="QT_PL06" sheetId="42" state="hidden" r:id="rId42"/>
  </sheets>
  <definedNames>
    <definedName name="capCongTrinh">'Tra định mức'!$B$229:$B$233</definedName>
    <definedName name="loaiCongTrinh">'Tra định mức'!$B$48:$B$52</definedName>
    <definedName name="loaiThietKe">'Tra định mức'!$W$228:$W$230</definedName>
    <definedName name="_xlnm.Print_Area" localSheetId="11">'Bù giá CM'!$A$1:$M$3</definedName>
    <definedName name="_xlnm.Print_Area" localSheetId="19">GGTXD!$B:$H</definedName>
    <definedName name="_xlnm.Print_Area" localSheetId="0">'Tiên lượng'!$A$1:$X$18</definedName>
    <definedName name="_xlnm.Print_Area" localSheetId="16">THKP_TT11_2021!$A$1:$I$73</definedName>
    <definedName name="_xlnm.Print_Area" localSheetId="10">THM!$A$1:$AH$121</definedName>
    <definedName name="_xlnm.Print_Area" localSheetId="13">THNL!$A$1:$O$1</definedName>
    <definedName name="_xlnm.Print_Area" localSheetId="14">THTL!$A$1:$O$6</definedName>
    <definedName name="_xlnm.Print_Titles" localSheetId="3">'Cước ô tô'!$7:$8</definedName>
    <definedName name="_xlnm.Print_Titles" localSheetId="4">'Cước sông'!$5:$6</definedName>
    <definedName name="_xlnm.Print_Titles" localSheetId="17">'Chiết tính'!$5:$5</definedName>
    <definedName name="_xlnm.Print_Titles" localSheetId="32">'Chiết tính rút gọn'!$5:$5</definedName>
    <definedName name="_xlnm.Print_Titles" localSheetId="18">ĐGTH!$5:$5</definedName>
    <definedName name="_xlnm.Print_Titles" localSheetId="1">'Giá VL'!$4:$4</definedName>
    <definedName name="_xlnm.Print_Titles" localSheetId="20">PTVT!$4:$5</definedName>
    <definedName name="_xlnm.Print_Titles" localSheetId="0">'Tiên lượng'!$4:$5</definedName>
    <definedName name="_xlnm.Print_Titles" localSheetId="23">THCPTB!$10:$11</definedName>
    <definedName name="_xlnm.Print_Titles" localSheetId="22">THCPXD!$10:$10</definedName>
    <definedName name="_xlnm.Print_Titles" localSheetId="21">THDGDT!$10:$10</definedName>
    <definedName name="_xlnm.Print_Titles" localSheetId="10">THM!$4:$5</definedName>
    <definedName name="_xlnm.Print_Titles" localSheetId="7">THNC!$4:$5</definedName>
    <definedName name="_xlnm.Print_Titles" localSheetId="2">THVL!$4:$5</definedName>
    <definedName name="StartInfo_CongTrinh">'Thông tin'!$A$3</definedName>
    <definedName name="StartInfo_HangMuc">'Thông tin'!$A$31</definedName>
    <definedName name="StartInfo_MauTHKPHM">'Thông tin'!$A$57</definedName>
    <definedName name="StartInfo_SoLieuTinhGiaNC">'Thông tin'!$A$39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E63" i="29" l="1"/>
  <c r="N26" i="40"/>
  <c r="L26" i="40"/>
  <c r="K26" i="40"/>
  <c r="E21" i="38"/>
  <c r="D21" i="38"/>
  <c r="C21" i="38"/>
  <c r="B21" i="38"/>
  <c r="E20" i="38"/>
  <c r="D20" i="38"/>
  <c r="C20" i="38"/>
  <c r="B20" i="38"/>
  <c r="E19" i="38"/>
  <c r="D19" i="38"/>
  <c r="C19" i="38"/>
  <c r="B19" i="38"/>
  <c r="E18" i="38"/>
  <c r="D18" i="38"/>
  <c r="C18" i="38"/>
  <c r="B18" i="38"/>
  <c r="M23" i="37"/>
  <c r="E22" i="37"/>
  <c r="D22" i="37"/>
  <c r="C22" i="37"/>
  <c r="B22" i="37"/>
  <c r="E21" i="37"/>
  <c r="D21" i="37"/>
  <c r="C21" i="37"/>
  <c r="B21" i="37"/>
  <c r="E20" i="37"/>
  <c r="D20" i="37"/>
  <c r="C20" i="37"/>
  <c r="B20" i="37"/>
  <c r="E19" i="37"/>
  <c r="D19" i="37"/>
  <c r="C19" i="37"/>
  <c r="B19" i="37"/>
  <c r="L436" i="36"/>
  <c r="J436" i="36"/>
  <c r="K436" i="36" s="1"/>
  <c r="K438" i="36" s="1"/>
  <c r="B417" i="36"/>
  <c r="B416" i="36"/>
  <c r="B415" i="36"/>
  <c r="B414" i="36"/>
  <c r="J403" i="36"/>
  <c r="I403" i="36"/>
  <c r="I402" i="36"/>
  <c r="H402" i="36"/>
  <c r="J402" i="36" s="1"/>
  <c r="B395" i="36"/>
  <c r="B394" i="36"/>
  <c r="B393" i="36"/>
  <c r="B392" i="36"/>
  <c r="B391" i="36"/>
  <c r="B383" i="36"/>
  <c r="B382" i="36"/>
  <c r="B381" i="36"/>
  <c r="B380" i="36"/>
  <c r="B379" i="36"/>
  <c r="B371" i="36"/>
  <c r="B370" i="36"/>
  <c r="B369" i="36"/>
  <c r="B368" i="36"/>
  <c r="B367" i="36"/>
  <c r="B359" i="36"/>
  <c r="B358" i="36"/>
  <c r="B357" i="36"/>
  <c r="B356" i="36"/>
  <c r="B355" i="36"/>
  <c r="K347" i="36"/>
  <c r="L346" i="36"/>
  <c r="K346" i="36"/>
  <c r="J346" i="36"/>
  <c r="B339" i="36"/>
  <c r="B338" i="36"/>
  <c r="B337" i="36"/>
  <c r="B336" i="36"/>
  <c r="B335" i="36"/>
  <c r="B327" i="36"/>
  <c r="B326" i="36"/>
  <c r="B325" i="36"/>
  <c r="B324" i="36"/>
  <c r="B323" i="36"/>
  <c r="B315" i="36"/>
  <c r="B314" i="36"/>
  <c r="B313" i="36"/>
  <c r="B312" i="36"/>
  <c r="B311" i="36"/>
  <c r="B303" i="36"/>
  <c r="B302" i="36"/>
  <c r="B301" i="36"/>
  <c r="B300" i="36"/>
  <c r="B299" i="36"/>
  <c r="S291" i="36"/>
  <c r="R291" i="36"/>
  <c r="T291" i="36" s="1"/>
  <c r="S290" i="36"/>
  <c r="R290" i="36"/>
  <c r="T290" i="36" s="1"/>
  <c r="S289" i="36"/>
  <c r="R289" i="36"/>
  <c r="T289" i="36" s="1"/>
  <c r="S288" i="36"/>
  <c r="S287" i="36"/>
  <c r="S285" i="36"/>
  <c r="R285" i="36"/>
  <c r="T285" i="36" s="1"/>
  <c r="S284" i="36"/>
  <c r="T284" i="36" s="1"/>
  <c r="R284" i="36"/>
  <c r="S283" i="36"/>
  <c r="S282" i="36"/>
  <c r="S281" i="36"/>
  <c r="B279" i="36"/>
  <c r="S278" i="36"/>
  <c r="R278" i="36"/>
  <c r="T277" i="36"/>
  <c r="S277" i="36"/>
  <c r="R277" i="36"/>
  <c r="S276" i="36"/>
  <c r="R276" i="36"/>
  <c r="T276" i="36" s="1"/>
  <c r="S275" i="36"/>
  <c r="T275" i="36" s="1"/>
  <c r="S274" i="36"/>
  <c r="R274" i="36"/>
  <c r="T274" i="36" s="1"/>
  <c r="S272" i="36"/>
  <c r="R272" i="36"/>
  <c r="T272" i="36" s="1"/>
  <c r="S271" i="36"/>
  <c r="S270" i="36"/>
  <c r="T270" i="36" s="1"/>
  <c r="R270" i="36"/>
  <c r="S269" i="36"/>
  <c r="T269" i="36" s="1"/>
  <c r="R269" i="36"/>
  <c r="S268" i="36"/>
  <c r="R268" i="36"/>
  <c r="B266" i="36"/>
  <c r="R275" i="36" s="1"/>
  <c r="S265" i="36"/>
  <c r="R265" i="36"/>
  <c r="T265" i="36" s="1"/>
  <c r="S264" i="36"/>
  <c r="S263" i="36"/>
  <c r="R263" i="36"/>
  <c r="T263" i="36" s="1"/>
  <c r="T262" i="36"/>
  <c r="S262" i="36"/>
  <c r="S261" i="36"/>
  <c r="R261" i="36"/>
  <c r="T261" i="36" s="1"/>
  <c r="S259" i="36"/>
  <c r="R259" i="36"/>
  <c r="T259" i="36" s="1"/>
  <c r="S258" i="36"/>
  <c r="S257" i="36"/>
  <c r="R257" i="36"/>
  <c r="T257" i="36" s="1"/>
  <c r="S256" i="36"/>
  <c r="R256" i="36"/>
  <c r="T256" i="36" s="1"/>
  <c r="S255" i="36"/>
  <c r="R255" i="36"/>
  <c r="T255" i="36" s="1"/>
  <c r="B253" i="36"/>
  <c r="R262" i="36" s="1"/>
  <c r="S252" i="36"/>
  <c r="S251" i="36"/>
  <c r="R251" i="36"/>
  <c r="T251" i="36" s="1"/>
  <c r="T250" i="36"/>
  <c r="S250" i="36"/>
  <c r="R250" i="36"/>
  <c r="S249" i="36"/>
  <c r="S248" i="36"/>
  <c r="S246" i="36"/>
  <c r="S245" i="36"/>
  <c r="R245" i="36"/>
  <c r="T245" i="36" s="1"/>
  <c r="S244" i="36"/>
  <c r="S243" i="36"/>
  <c r="T242" i="36"/>
  <c r="S242" i="36"/>
  <c r="R242" i="36"/>
  <c r="B240" i="36"/>
  <c r="S239" i="36"/>
  <c r="S238" i="36"/>
  <c r="R238" i="36"/>
  <c r="T238" i="36" s="1"/>
  <c r="S237" i="36"/>
  <c r="R237" i="36"/>
  <c r="T237" i="36" s="1"/>
  <c r="S236" i="36"/>
  <c r="S235" i="36"/>
  <c r="S233" i="36"/>
  <c r="S232" i="36"/>
  <c r="R232" i="36"/>
  <c r="T231" i="36"/>
  <c r="S231" i="36"/>
  <c r="R231" i="36"/>
  <c r="S230" i="36"/>
  <c r="S229" i="36"/>
  <c r="B227" i="36"/>
  <c r="B219" i="36"/>
  <c r="B218" i="36"/>
  <c r="B217" i="36"/>
  <c r="B216" i="36"/>
  <c r="B215" i="36"/>
  <c r="B207" i="36"/>
  <c r="B206" i="36"/>
  <c r="B205" i="36"/>
  <c r="B204" i="36"/>
  <c r="B203" i="36"/>
  <c r="B195" i="36"/>
  <c r="B194" i="36"/>
  <c r="B193" i="36"/>
  <c r="B192" i="36"/>
  <c r="B191" i="36"/>
  <c r="B183" i="36"/>
  <c r="B182" i="36"/>
  <c r="B181" i="36"/>
  <c r="B180" i="36"/>
  <c r="B179" i="36"/>
  <c r="B167" i="36"/>
  <c r="B166" i="36"/>
  <c r="B165" i="36"/>
  <c r="B164" i="36"/>
  <c r="B163" i="36"/>
  <c r="B161" i="36"/>
  <c r="B160" i="36"/>
  <c r="B159" i="36"/>
  <c r="B158" i="36"/>
  <c r="B157" i="36"/>
  <c r="B148" i="36"/>
  <c r="B147" i="36"/>
  <c r="B146" i="36"/>
  <c r="B145" i="36"/>
  <c r="B144" i="36"/>
  <c r="B142" i="36"/>
  <c r="B141" i="36"/>
  <c r="B140" i="36"/>
  <c r="B139" i="36"/>
  <c r="B138" i="36"/>
  <c r="B98" i="36"/>
  <c r="B97" i="36"/>
  <c r="B96" i="36"/>
  <c r="B95" i="36"/>
  <c r="B83" i="36"/>
  <c r="B82" i="36"/>
  <c r="B81" i="36"/>
  <c r="B80" i="36"/>
  <c r="B79" i="36"/>
  <c r="B77" i="36"/>
  <c r="B76" i="36"/>
  <c r="B75" i="36"/>
  <c r="B74" i="36"/>
  <c r="B73" i="36"/>
  <c r="B64" i="36"/>
  <c r="B63" i="36"/>
  <c r="B62" i="36"/>
  <c r="B61" i="36"/>
  <c r="B60" i="36"/>
  <c r="B58" i="36"/>
  <c r="B57" i="36"/>
  <c r="B56" i="36"/>
  <c r="B55" i="36"/>
  <c r="B54" i="36"/>
  <c r="C2" i="36"/>
  <c r="C1" i="36"/>
  <c r="F10" i="34"/>
  <c r="M10" i="34" s="1"/>
  <c r="E10" i="34"/>
  <c r="D10" i="34"/>
  <c r="C10" i="34"/>
  <c r="F9" i="34"/>
  <c r="E9" i="34"/>
  <c r="D9" i="34"/>
  <c r="C9" i="34"/>
  <c r="F8" i="34"/>
  <c r="E8" i="34"/>
  <c r="D8" i="34"/>
  <c r="C8" i="34"/>
  <c r="M7" i="34"/>
  <c r="F7" i="34"/>
  <c r="E7" i="34"/>
  <c r="D7" i="34"/>
  <c r="C7" i="34"/>
  <c r="I54" i="33"/>
  <c r="G54" i="33"/>
  <c r="I53" i="33"/>
  <c r="G53" i="33"/>
  <c r="F53" i="33"/>
  <c r="E53" i="33"/>
  <c r="I52" i="33"/>
  <c r="G52" i="33"/>
  <c r="F52" i="33"/>
  <c r="E52" i="33"/>
  <c r="I50" i="33"/>
  <c r="H50" i="33"/>
  <c r="G50" i="33"/>
  <c r="J50" i="33" s="1"/>
  <c r="F50" i="33"/>
  <c r="E50" i="33"/>
  <c r="I49" i="33"/>
  <c r="H49" i="33"/>
  <c r="J49" i="33" s="1"/>
  <c r="J48" i="33" s="1"/>
  <c r="I10" i="34" s="1"/>
  <c r="N10" i="34" s="1"/>
  <c r="G49" i="33"/>
  <c r="F49" i="33"/>
  <c r="E49" i="33"/>
  <c r="I47" i="33"/>
  <c r="I46" i="33"/>
  <c r="G46" i="33"/>
  <c r="F46" i="33"/>
  <c r="E46" i="33"/>
  <c r="I45" i="33"/>
  <c r="G45" i="33"/>
  <c r="F45" i="33"/>
  <c r="E45" i="33"/>
  <c r="F43" i="33"/>
  <c r="E43" i="33"/>
  <c r="D43" i="33"/>
  <c r="C43" i="33"/>
  <c r="I42" i="33"/>
  <c r="G42" i="33"/>
  <c r="I41" i="33"/>
  <c r="H41" i="33"/>
  <c r="J41" i="33" s="1"/>
  <c r="G41" i="33"/>
  <c r="F41" i="33"/>
  <c r="E41" i="33"/>
  <c r="I40" i="33"/>
  <c r="H40" i="33"/>
  <c r="G40" i="33"/>
  <c r="F40" i="33"/>
  <c r="E40" i="33"/>
  <c r="I38" i="33"/>
  <c r="G38" i="33"/>
  <c r="F38" i="33"/>
  <c r="E38" i="33"/>
  <c r="I37" i="33"/>
  <c r="G37" i="33"/>
  <c r="F37" i="33"/>
  <c r="E37" i="33"/>
  <c r="I35" i="33"/>
  <c r="I34" i="33"/>
  <c r="G34" i="33"/>
  <c r="F34" i="33"/>
  <c r="E34" i="33"/>
  <c r="I33" i="33"/>
  <c r="G33" i="33"/>
  <c r="F33" i="33"/>
  <c r="E33" i="33"/>
  <c r="F31" i="33"/>
  <c r="E31" i="33"/>
  <c r="D31" i="33"/>
  <c r="C31" i="33"/>
  <c r="I30" i="33"/>
  <c r="I29" i="33"/>
  <c r="H29" i="33"/>
  <c r="G29" i="33"/>
  <c r="J29" i="33" s="1"/>
  <c r="F29" i="33"/>
  <c r="E29" i="33"/>
  <c r="I27" i="33"/>
  <c r="G27" i="33"/>
  <c r="F27" i="33"/>
  <c r="E27" i="33"/>
  <c r="I26" i="33"/>
  <c r="G26" i="33"/>
  <c r="F26" i="33"/>
  <c r="E26" i="33"/>
  <c r="I24" i="33"/>
  <c r="G24" i="33"/>
  <c r="I23" i="33"/>
  <c r="G23" i="33"/>
  <c r="F23" i="33"/>
  <c r="E23" i="33"/>
  <c r="F21" i="33"/>
  <c r="E21" i="33"/>
  <c r="D21" i="33"/>
  <c r="C21" i="33"/>
  <c r="I20" i="33"/>
  <c r="I19" i="33"/>
  <c r="G19" i="33"/>
  <c r="F19" i="33"/>
  <c r="E19" i="33"/>
  <c r="I17" i="33"/>
  <c r="G17" i="33"/>
  <c r="F17" i="33"/>
  <c r="E17" i="33"/>
  <c r="I16" i="33"/>
  <c r="G16" i="33"/>
  <c r="F16" i="33"/>
  <c r="E16" i="33"/>
  <c r="I14" i="33"/>
  <c r="I13" i="33"/>
  <c r="H13" i="33"/>
  <c r="G13" i="33"/>
  <c r="F13" i="33"/>
  <c r="E13" i="33"/>
  <c r="I12" i="33"/>
  <c r="G12" i="33"/>
  <c r="F12" i="33"/>
  <c r="E12" i="33"/>
  <c r="I11" i="33"/>
  <c r="G11" i="33"/>
  <c r="F11" i="33"/>
  <c r="E11" i="33"/>
  <c r="I10" i="33"/>
  <c r="G10" i="33"/>
  <c r="F10" i="33"/>
  <c r="E10" i="33"/>
  <c r="I9" i="33"/>
  <c r="G9" i="33"/>
  <c r="F9" i="33"/>
  <c r="E9" i="33"/>
  <c r="I8" i="33"/>
  <c r="G8" i="33"/>
  <c r="F8" i="33"/>
  <c r="E8" i="33"/>
  <c r="F6" i="33"/>
  <c r="E6" i="33"/>
  <c r="D6" i="33"/>
  <c r="C6" i="33"/>
  <c r="G22" i="32"/>
  <c r="H22" i="32" s="1"/>
  <c r="G21" i="32"/>
  <c r="J20" i="32"/>
  <c r="J16" i="32"/>
  <c r="G7" i="32"/>
  <c r="H7" i="32" s="1"/>
  <c r="J6" i="32"/>
  <c r="E72" i="29"/>
  <c r="E70" i="29"/>
  <c r="E69" i="29"/>
  <c r="E67" i="29"/>
  <c r="G78" i="18" s="1"/>
  <c r="E66" i="29"/>
  <c r="E65" i="29"/>
  <c r="E62" i="29"/>
  <c r="E60" i="29"/>
  <c r="G77" i="18" s="1"/>
  <c r="E59" i="29"/>
  <c r="B48" i="29"/>
  <c r="B49" i="29" s="1"/>
  <c r="B50" i="29" s="1"/>
  <c r="B51" i="29" s="1"/>
  <c r="B52" i="29" s="1"/>
  <c r="B53" i="29" s="1"/>
  <c r="B55" i="29" s="1"/>
  <c r="B56" i="29" s="1"/>
  <c r="B57" i="29" s="1"/>
  <c r="B58" i="29" s="1"/>
  <c r="B59" i="29" s="1"/>
  <c r="B60" i="29" s="1"/>
  <c r="B61" i="29" s="1"/>
  <c r="B62" i="29" s="1"/>
  <c r="B63" i="29" s="1"/>
  <c r="B64" i="29" s="1"/>
  <c r="B65" i="29" s="1"/>
  <c r="B66" i="29" s="1"/>
  <c r="B67" i="29" s="1"/>
  <c r="B68" i="29" s="1"/>
  <c r="B69" i="29" s="1"/>
  <c r="B70" i="29" s="1"/>
  <c r="B71" i="29" s="1"/>
  <c r="B72" i="29" s="1"/>
  <c r="B73" i="29" s="1"/>
  <c r="B74" i="29" s="1"/>
  <c r="B75" i="29" s="1"/>
  <c r="B76" i="29" s="1"/>
  <c r="B77" i="29" s="1"/>
  <c r="B78" i="29" s="1"/>
  <c r="B79" i="29" s="1"/>
  <c r="B80" i="29" s="1"/>
  <c r="B81" i="29" s="1"/>
  <c r="B82" i="29" s="1"/>
  <c r="B83" i="29" s="1"/>
  <c r="B84" i="29" s="1"/>
  <c r="B85" i="29" s="1"/>
  <c r="B86" i="29" s="1"/>
  <c r="B87" i="29" s="1"/>
  <c r="B88" i="29" s="1"/>
  <c r="B89" i="29" s="1"/>
  <c r="B90" i="29" s="1"/>
  <c r="B91" i="29" s="1"/>
  <c r="B92" i="29" s="1"/>
  <c r="B93" i="29" s="1"/>
  <c r="B94" i="29" s="1"/>
  <c r="B46" i="29"/>
  <c r="B44" i="29"/>
  <c r="B42" i="29"/>
  <c r="B40" i="29"/>
  <c r="B38" i="29"/>
  <c r="B36" i="29"/>
  <c r="B34" i="29"/>
  <c r="B8" i="29"/>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7" i="29"/>
  <c r="B6" i="29"/>
  <c r="G16" i="25"/>
  <c r="H16" i="25" s="1"/>
  <c r="G15" i="25"/>
  <c r="H15" i="25" s="1"/>
  <c r="G14" i="25"/>
  <c r="H14" i="25" s="1"/>
  <c r="H13" i="25"/>
  <c r="G13" i="25"/>
  <c r="G12" i="25"/>
  <c r="H12" i="25" s="1"/>
  <c r="G11" i="25"/>
  <c r="H11" i="25" s="1"/>
  <c r="G10" i="25"/>
  <c r="F9" i="25"/>
  <c r="E8" i="25"/>
  <c r="E6" i="25"/>
  <c r="K17" i="24"/>
  <c r="J17" i="24"/>
  <c r="G11" i="17" s="1"/>
  <c r="I17" i="24"/>
  <c r="H16" i="24"/>
  <c r="H15" i="24"/>
  <c r="H14" i="24"/>
  <c r="H13" i="24"/>
  <c r="H12" i="24"/>
  <c r="B8" i="24"/>
  <c r="G12" i="23"/>
  <c r="H54" i="21"/>
  <c r="G54" i="21"/>
  <c r="P53" i="21"/>
  <c r="L53" i="21"/>
  <c r="J53" i="21"/>
  <c r="H53" i="21"/>
  <c r="E53" i="21"/>
  <c r="D53" i="21"/>
  <c r="L52" i="21"/>
  <c r="L54" i="21" s="1"/>
  <c r="K52" i="21"/>
  <c r="J52" i="21"/>
  <c r="H52" i="21"/>
  <c r="E52" i="21"/>
  <c r="D52" i="21"/>
  <c r="L50" i="21"/>
  <c r="M50" i="21" s="1"/>
  <c r="J50" i="21"/>
  <c r="K50" i="21" s="1"/>
  <c r="H50" i="21"/>
  <c r="E50" i="21"/>
  <c r="D50" i="21"/>
  <c r="L49" i="21"/>
  <c r="J49" i="21"/>
  <c r="H49" i="21"/>
  <c r="E49" i="21"/>
  <c r="D49" i="21"/>
  <c r="L47" i="21"/>
  <c r="M47" i="21" s="1"/>
  <c r="H47" i="21"/>
  <c r="G47" i="21"/>
  <c r="M46" i="21"/>
  <c r="L46" i="21"/>
  <c r="J46" i="21"/>
  <c r="J47" i="21" s="1"/>
  <c r="K27" i="3" s="1"/>
  <c r="H46" i="21"/>
  <c r="E46" i="21"/>
  <c r="D46" i="21"/>
  <c r="L45" i="21"/>
  <c r="J45" i="21"/>
  <c r="H45" i="21"/>
  <c r="E45" i="21"/>
  <c r="D45" i="21"/>
  <c r="F43" i="21"/>
  <c r="I47" i="21" s="1"/>
  <c r="E43" i="21"/>
  <c r="D43" i="21"/>
  <c r="C43" i="21"/>
  <c r="J42" i="21"/>
  <c r="K42" i="21" s="1"/>
  <c r="H42" i="21"/>
  <c r="G42" i="21"/>
  <c r="P41" i="21"/>
  <c r="L41" i="21"/>
  <c r="J41" i="21"/>
  <c r="H41" i="21"/>
  <c r="M41" i="21" s="1"/>
  <c r="E41" i="21"/>
  <c r="D41" i="21"/>
  <c r="L40" i="21"/>
  <c r="M40" i="21" s="1"/>
  <c r="K40" i="21"/>
  <c r="J40" i="21"/>
  <c r="H40" i="21"/>
  <c r="E40" i="21"/>
  <c r="D40" i="21"/>
  <c r="L38" i="21"/>
  <c r="J38" i="21"/>
  <c r="K38" i="21" s="1"/>
  <c r="I38" i="21"/>
  <c r="H38" i="21"/>
  <c r="E38" i="21"/>
  <c r="D38" i="21"/>
  <c r="L37" i="21"/>
  <c r="M37" i="21" s="1"/>
  <c r="K37" i="21"/>
  <c r="J37" i="21"/>
  <c r="H37" i="21"/>
  <c r="E37" i="21"/>
  <c r="D37" i="21"/>
  <c r="J35" i="21"/>
  <c r="K26" i="3" s="1"/>
  <c r="H35" i="21"/>
  <c r="G35" i="21"/>
  <c r="P34" i="21"/>
  <c r="Q34" i="21" s="1"/>
  <c r="M34" i="21"/>
  <c r="L34" i="21"/>
  <c r="L35" i="21" s="1"/>
  <c r="J34" i="21"/>
  <c r="H34" i="21"/>
  <c r="K34" i="21" s="1"/>
  <c r="E34" i="21"/>
  <c r="D34" i="21"/>
  <c r="L33" i="21"/>
  <c r="J33" i="21"/>
  <c r="H33" i="21"/>
  <c r="E33" i="21"/>
  <c r="D33" i="21"/>
  <c r="F31" i="21"/>
  <c r="E31" i="21"/>
  <c r="D31" i="21"/>
  <c r="C31" i="21"/>
  <c r="Q30" i="21"/>
  <c r="H30" i="21"/>
  <c r="G30" i="21"/>
  <c r="P29" i="21"/>
  <c r="P30" i="21" s="1"/>
  <c r="L29" i="21"/>
  <c r="L30" i="21" s="1"/>
  <c r="J29" i="21"/>
  <c r="J30" i="21" s="1"/>
  <c r="K30" i="21" s="1"/>
  <c r="H29" i="21"/>
  <c r="E29" i="21"/>
  <c r="D29" i="21"/>
  <c r="M27" i="21"/>
  <c r="L27" i="21"/>
  <c r="J27" i="21"/>
  <c r="K27" i="21" s="1"/>
  <c r="I27" i="21"/>
  <c r="H27" i="21"/>
  <c r="E27" i="21"/>
  <c r="D27" i="21"/>
  <c r="L26" i="21"/>
  <c r="J26" i="21"/>
  <c r="H26" i="21"/>
  <c r="M26" i="21" s="1"/>
  <c r="E26" i="21"/>
  <c r="D26" i="21"/>
  <c r="M24" i="21"/>
  <c r="M22" i="21" s="1"/>
  <c r="L24" i="21"/>
  <c r="H24" i="21"/>
  <c r="G24" i="21"/>
  <c r="M23" i="21"/>
  <c r="L23" i="21"/>
  <c r="J23" i="21"/>
  <c r="J24" i="21" s="1"/>
  <c r="H23" i="21"/>
  <c r="E23" i="21"/>
  <c r="D23" i="21"/>
  <c r="F21" i="21"/>
  <c r="E21" i="21"/>
  <c r="D21" i="21"/>
  <c r="C21" i="21"/>
  <c r="L20" i="21"/>
  <c r="J20" i="21"/>
  <c r="K17" i="11" s="1"/>
  <c r="H20" i="21"/>
  <c r="G20" i="21"/>
  <c r="L19" i="21"/>
  <c r="J19" i="21"/>
  <c r="H19" i="21"/>
  <c r="M19" i="21" s="1"/>
  <c r="E19" i="21"/>
  <c r="D19" i="21"/>
  <c r="P17" i="21"/>
  <c r="L17" i="21"/>
  <c r="J17" i="21"/>
  <c r="I17" i="21"/>
  <c r="H17" i="21"/>
  <c r="E17" i="21"/>
  <c r="D17" i="21"/>
  <c r="P16" i="21"/>
  <c r="L16" i="21"/>
  <c r="M16" i="21" s="1"/>
  <c r="J16" i="21"/>
  <c r="K16" i="21" s="1"/>
  <c r="I16" i="21"/>
  <c r="H16" i="21"/>
  <c r="E16" i="21"/>
  <c r="D16" i="21"/>
  <c r="H14" i="21"/>
  <c r="G14" i="21"/>
  <c r="G14" i="33" s="1"/>
  <c r="Q13" i="21"/>
  <c r="P13" i="21"/>
  <c r="L13" i="21"/>
  <c r="M13" i="21" s="1"/>
  <c r="J13" i="21"/>
  <c r="K13" i="21" s="1"/>
  <c r="H13" i="21"/>
  <c r="I13" i="21" s="1"/>
  <c r="E13" i="21"/>
  <c r="D13" i="21"/>
  <c r="L12" i="21"/>
  <c r="M12" i="21" s="1"/>
  <c r="J12" i="21"/>
  <c r="K12" i="21" s="1"/>
  <c r="H12" i="21"/>
  <c r="E12" i="21"/>
  <c r="D12" i="21"/>
  <c r="L11" i="21"/>
  <c r="J11" i="21"/>
  <c r="H11" i="21"/>
  <c r="I11" i="21" s="1"/>
  <c r="E11" i="21"/>
  <c r="D11" i="21"/>
  <c r="P10" i="21"/>
  <c r="Q10" i="21" s="1"/>
  <c r="L10" i="21"/>
  <c r="M10" i="21" s="1"/>
  <c r="J10" i="21"/>
  <c r="K10" i="21" s="1"/>
  <c r="H10" i="21"/>
  <c r="E10" i="21"/>
  <c r="D10" i="21"/>
  <c r="L9" i="21"/>
  <c r="J9" i="21"/>
  <c r="H9" i="21"/>
  <c r="E9" i="21"/>
  <c r="D9" i="21"/>
  <c r="L8" i="21"/>
  <c r="M8" i="21" s="1"/>
  <c r="K8" i="21"/>
  <c r="J8" i="21"/>
  <c r="H8" i="21"/>
  <c r="E8" i="21"/>
  <c r="D8" i="21"/>
  <c r="F6" i="21"/>
  <c r="I19" i="21" s="1"/>
  <c r="E6" i="21"/>
  <c r="D6" i="21"/>
  <c r="C6" i="21"/>
  <c r="F9" i="19"/>
  <c r="E9" i="19"/>
  <c r="D9" i="19"/>
  <c r="C9" i="19"/>
  <c r="F8" i="19"/>
  <c r="E8" i="19"/>
  <c r="D8" i="19"/>
  <c r="C8" i="19"/>
  <c r="F7" i="19"/>
  <c r="E7" i="19"/>
  <c r="D7" i="19"/>
  <c r="C7" i="19"/>
  <c r="F6" i="19"/>
  <c r="E6" i="19"/>
  <c r="D6" i="19"/>
  <c r="C6" i="19"/>
  <c r="G107" i="18"/>
  <c r="G104" i="18"/>
  <c r="G103" i="18"/>
  <c r="I96" i="18"/>
  <c r="G96" i="18"/>
  <c r="I95" i="18"/>
  <c r="G95" i="18"/>
  <c r="F95" i="18"/>
  <c r="E95" i="18"/>
  <c r="I94" i="18"/>
  <c r="H94" i="18"/>
  <c r="J94" i="18" s="1"/>
  <c r="G94" i="18"/>
  <c r="F94" i="18"/>
  <c r="E94" i="18"/>
  <c r="I92" i="18"/>
  <c r="G92" i="18"/>
  <c r="F92" i="18"/>
  <c r="E92" i="18"/>
  <c r="I91" i="18"/>
  <c r="G91" i="18"/>
  <c r="F91" i="18"/>
  <c r="E91" i="18"/>
  <c r="I89" i="18"/>
  <c r="I88" i="18"/>
  <c r="G88" i="18"/>
  <c r="F88" i="18"/>
  <c r="E88" i="18"/>
  <c r="I87" i="18"/>
  <c r="G87" i="18"/>
  <c r="F87" i="18"/>
  <c r="E87" i="18"/>
  <c r="F85" i="18"/>
  <c r="E85" i="18"/>
  <c r="D85" i="18"/>
  <c r="C85" i="18"/>
  <c r="G72" i="18"/>
  <c r="I70" i="18"/>
  <c r="G70" i="18"/>
  <c r="I69" i="18"/>
  <c r="H69" i="18"/>
  <c r="J69" i="18" s="1"/>
  <c r="G69" i="18"/>
  <c r="F69" i="18"/>
  <c r="E69" i="18"/>
  <c r="I68" i="18"/>
  <c r="G68" i="18"/>
  <c r="F68" i="18"/>
  <c r="E68" i="18"/>
  <c r="I66" i="18"/>
  <c r="H66" i="18"/>
  <c r="G66" i="18"/>
  <c r="F66" i="18"/>
  <c r="E66" i="18"/>
  <c r="I65" i="18"/>
  <c r="G65" i="18"/>
  <c r="F65" i="18"/>
  <c r="E65" i="18"/>
  <c r="I63" i="18"/>
  <c r="I62" i="18"/>
  <c r="G62" i="18"/>
  <c r="F62" i="18"/>
  <c r="E62" i="18"/>
  <c r="I61" i="18"/>
  <c r="G61" i="18"/>
  <c r="F61" i="18"/>
  <c r="E61" i="18"/>
  <c r="F59" i="18"/>
  <c r="E59" i="18"/>
  <c r="D59" i="18"/>
  <c r="C59" i="18"/>
  <c r="G57" i="18"/>
  <c r="G55" i="18"/>
  <c r="G52" i="18"/>
  <c r="G51" i="18"/>
  <c r="G49" i="18"/>
  <c r="I44" i="18"/>
  <c r="G44" i="18"/>
  <c r="I43" i="18"/>
  <c r="J43" i="18" s="1"/>
  <c r="H43" i="18"/>
  <c r="G43" i="18"/>
  <c r="F43" i="18"/>
  <c r="E43" i="18"/>
  <c r="I41" i="18"/>
  <c r="G41" i="18"/>
  <c r="F41" i="18"/>
  <c r="E41" i="18"/>
  <c r="I40" i="18"/>
  <c r="G40" i="18"/>
  <c r="F40" i="18"/>
  <c r="E40" i="18"/>
  <c r="I38" i="18"/>
  <c r="G38" i="18"/>
  <c r="I37" i="18"/>
  <c r="G37" i="18"/>
  <c r="F37" i="18"/>
  <c r="E37" i="18"/>
  <c r="F35" i="18"/>
  <c r="E35" i="18"/>
  <c r="D35" i="18"/>
  <c r="C35" i="18"/>
  <c r="G28" i="18"/>
  <c r="G27" i="18"/>
  <c r="I20" i="18"/>
  <c r="G20" i="18"/>
  <c r="I19" i="18"/>
  <c r="G19" i="18"/>
  <c r="F19" i="18"/>
  <c r="E19" i="18"/>
  <c r="I17" i="18"/>
  <c r="G17" i="18"/>
  <c r="F17" i="18"/>
  <c r="E17" i="18"/>
  <c r="I16" i="18"/>
  <c r="G16" i="18"/>
  <c r="F16" i="18"/>
  <c r="E16" i="18"/>
  <c r="I14" i="18"/>
  <c r="I13" i="18"/>
  <c r="H13" i="18"/>
  <c r="J13" i="18" s="1"/>
  <c r="G13" i="18"/>
  <c r="F13" i="18"/>
  <c r="E13" i="18"/>
  <c r="I12" i="18"/>
  <c r="G12" i="18"/>
  <c r="F12" i="18"/>
  <c r="E12" i="18"/>
  <c r="I11" i="18"/>
  <c r="G11" i="18"/>
  <c r="F11" i="18"/>
  <c r="E11" i="18"/>
  <c r="I10" i="18"/>
  <c r="G10" i="18"/>
  <c r="F10" i="18"/>
  <c r="E10" i="18"/>
  <c r="I9" i="18"/>
  <c r="G9" i="18"/>
  <c r="F9" i="18"/>
  <c r="E9" i="18"/>
  <c r="I8" i="18"/>
  <c r="G8" i="18"/>
  <c r="F8" i="18"/>
  <c r="E8" i="18"/>
  <c r="F6" i="18"/>
  <c r="E6" i="18"/>
  <c r="D6" i="18"/>
  <c r="C6" i="18"/>
  <c r="F56" i="17"/>
  <c r="F53" i="17"/>
  <c r="G50" i="17"/>
  <c r="F45" i="17"/>
  <c r="F43" i="17"/>
  <c r="F42" i="17"/>
  <c r="H41" i="17"/>
  <c r="G41" i="17"/>
  <c r="F41" i="17"/>
  <c r="F40" i="17"/>
  <c r="H39" i="17"/>
  <c r="G39" i="17"/>
  <c r="F39" i="17"/>
  <c r="F38" i="17"/>
  <c r="F37" i="17"/>
  <c r="F36" i="17"/>
  <c r="G31" i="17"/>
  <c r="H31" i="17" s="1"/>
  <c r="C28" i="17"/>
  <c r="H27" i="17"/>
  <c r="G27" i="17"/>
  <c r="H19" i="17"/>
  <c r="G19" i="17"/>
  <c r="F16" i="17"/>
  <c r="G16" i="17" s="1"/>
  <c r="F15" i="17"/>
  <c r="G14" i="17"/>
  <c r="H14" i="17" s="1"/>
  <c r="H11" i="17"/>
  <c r="F11" i="17"/>
  <c r="F48" i="17" s="1"/>
  <c r="H9" i="17"/>
  <c r="G9" i="17"/>
  <c r="F9" i="17"/>
  <c r="J12" i="16"/>
  <c r="I12" i="16"/>
  <c r="H1" i="16"/>
  <c r="I5" i="16" s="1"/>
  <c r="U20" i="11"/>
  <c r="M19" i="11"/>
  <c r="I19" i="11"/>
  <c r="H19" i="11"/>
  <c r="G19" i="11"/>
  <c r="J19" i="11" s="1"/>
  <c r="F19" i="11"/>
  <c r="E19" i="11"/>
  <c r="C19" i="11"/>
  <c r="K18" i="11"/>
  <c r="I18" i="11"/>
  <c r="H18" i="11"/>
  <c r="J18" i="11" s="1"/>
  <c r="G18" i="11"/>
  <c r="F18" i="11"/>
  <c r="E18" i="11"/>
  <c r="C18" i="11"/>
  <c r="M17" i="11"/>
  <c r="O17" i="11" s="1"/>
  <c r="I17" i="11"/>
  <c r="H17" i="11"/>
  <c r="G17" i="11"/>
  <c r="J17" i="11" s="1"/>
  <c r="F17" i="11"/>
  <c r="E17" i="11"/>
  <c r="C17" i="11"/>
  <c r="X16" i="11"/>
  <c r="M16" i="11"/>
  <c r="R16" i="11" s="1"/>
  <c r="I16" i="11"/>
  <c r="J16" i="11" s="1"/>
  <c r="H16" i="11"/>
  <c r="G16" i="11"/>
  <c r="F16" i="11"/>
  <c r="E16" i="11"/>
  <c r="C16" i="11"/>
  <c r="I14" i="11"/>
  <c r="H14" i="11"/>
  <c r="G14" i="11"/>
  <c r="J14" i="11" s="1"/>
  <c r="F14" i="11"/>
  <c r="E14" i="11"/>
  <c r="C14" i="11"/>
  <c r="R13" i="11"/>
  <c r="O13" i="11"/>
  <c r="M13" i="11"/>
  <c r="K13" i="11"/>
  <c r="J13" i="11"/>
  <c r="E13" i="11"/>
  <c r="D13" i="11"/>
  <c r="I12" i="11"/>
  <c r="H12" i="11"/>
  <c r="G12" i="11"/>
  <c r="F12" i="11"/>
  <c r="E12" i="11"/>
  <c r="C12" i="11"/>
  <c r="I11" i="11"/>
  <c r="J11" i="11" s="1"/>
  <c r="H11" i="11"/>
  <c r="G11" i="11"/>
  <c r="F11" i="11"/>
  <c r="E11" i="11"/>
  <c r="C11" i="11"/>
  <c r="R10" i="11"/>
  <c r="M10" i="11"/>
  <c r="O10" i="11" s="1"/>
  <c r="K10" i="11"/>
  <c r="E10" i="11"/>
  <c r="D10" i="11"/>
  <c r="I9" i="11"/>
  <c r="H9" i="11"/>
  <c r="G9" i="11"/>
  <c r="J9" i="11" s="1"/>
  <c r="F9" i="11"/>
  <c r="E9" i="11"/>
  <c r="C9" i="11"/>
  <c r="I8" i="11"/>
  <c r="H8" i="11"/>
  <c r="G8" i="11"/>
  <c r="J8" i="11" s="1"/>
  <c r="F8" i="11"/>
  <c r="E8" i="11"/>
  <c r="C8" i="11"/>
  <c r="I7" i="11"/>
  <c r="J7" i="11" s="1"/>
  <c r="H7" i="11"/>
  <c r="G7" i="11"/>
  <c r="F7" i="11"/>
  <c r="E7" i="11"/>
  <c r="C7" i="11"/>
  <c r="X6" i="11"/>
  <c r="M6" i="11"/>
  <c r="R6" i="11" s="1"/>
  <c r="K6" i="11"/>
  <c r="E6" i="11"/>
  <c r="D6" i="11"/>
  <c r="O7" i="10"/>
  <c r="N7" i="10"/>
  <c r="V13" i="11" s="1"/>
  <c r="J7" i="10"/>
  <c r="O6" i="10"/>
  <c r="H68" i="18" s="1"/>
  <c r="N6" i="10"/>
  <c r="V10" i="11" s="1"/>
  <c r="J6" i="10"/>
  <c r="O5" i="10"/>
  <c r="N5" i="10"/>
  <c r="V6" i="11" s="1"/>
  <c r="J5" i="10"/>
  <c r="N10" i="9"/>
  <c r="M10" i="9"/>
  <c r="L10" i="9"/>
  <c r="K10" i="9"/>
  <c r="J10" i="9"/>
  <c r="I10" i="9"/>
  <c r="H10" i="9"/>
  <c r="G10" i="9"/>
  <c r="O9" i="9"/>
  <c r="N9" i="9"/>
  <c r="M9" i="9"/>
  <c r="K9" i="9"/>
  <c r="J9" i="9"/>
  <c r="P9" i="9" s="1"/>
  <c r="Q9" i="9" s="1"/>
  <c r="I9" i="9"/>
  <c r="H9" i="9"/>
  <c r="G9" i="9"/>
  <c r="L9" i="9" s="1"/>
  <c r="I15" i="8"/>
  <c r="H15" i="8"/>
  <c r="G15" i="8"/>
  <c r="J15" i="8" s="1"/>
  <c r="J11" i="8" s="1"/>
  <c r="F15" i="8"/>
  <c r="E15" i="8"/>
  <c r="C15" i="8"/>
  <c r="A15" i="8"/>
  <c r="I14" i="8"/>
  <c r="H14" i="8"/>
  <c r="G14" i="8"/>
  <c r="J14" i="8" s="1"/>
  <c r="F14" i="8"/>
  <c r="E14" i="8"/>
  <c r="C14" i="8"/>
  <c r="A14" i="8"/>
  <c r="U16" i="8" s="1"/>
  <c r="I13" i="8"/>
  <c r="J13" i="8" s="1"/>
  <c r="H13" i="8"/>
  <c r="G13" i="8"/>
  <c r="F13" i="8"/>
  <c r="E13" i="8"/>
  <c r="C13" i="8"/>
  <c r="A13" i="8"/>
  <c r="I12" i="8"/>
  <c r="J12" i="8" s="1"/>
  <c r="H12" i="8"/>
  <c r="G12" i="8"/>
  <c r="F12" i="8"/>
  <c r="E12" i="8"/>
  <c r="C12" i="8"/>
  <c r="A12" i="8"/>
  <c r="X11" i="8"/>
  <c r="Z11" i="8" s="1"/>
  <c r="R11" i="8"/>
  <c r="M11" i="8"/>
  <c r="O11" i="8" s="1"/>
  <c r="K11" i="8"/>
  <c r="E11" i="8"/>
  <c r="D11" i="8"/>
  <c r="I10" i="8"/>
  <c r="H10" i="8"/>
  <c r="G10" i="8"/>
  <c r="J10" i="8" s="1"/>
  <c r="F10" i="8"/>
  <c r="E10" i="8"/>
  <c r="C10" i="8"/>
  <c r="A10" i="8"/>
  <c r="I9" i="8"/>
  <c r="J9" i="8" s="1"/>
  <c r="H9" i="8"/>
  <c r="G9" i="8"/>
  <c r="F9" i="8"/>
  <c r="E9" i="8"/>
  <c r="C9" i="8"/>
  <c r="A9" i="8"/>
  <c r="I8" i="8"/>
  <c r="H8" i="8"/>
  <c r="G8" i="8"/>
  <c r="J8" i="8" s="1"/>
  <c r="F8" i="8"/>
  <c r="E8" i="8"/>
  <c r="C8" i="8"/>
  <c r="A8" i="8"/>
  <c r="W16" i="8" s="1"/>
  <c r="I7" i="8"/>
  <c r="H7" i="8"/>
  <c r="G7" i="8"/>
  <c r="J7" i="8" s="1"/>
  <c r="F7" i="8"/>
  <c r="E7" i="8"/>
  <c r="C7" i="8"/>
  <c r="A7" i="8"/>
  <c r="R6" i="8"/>
  <c r="M6" i="8"/>
  <c r="O6" i="8" s="1"/>
  <c r="K6" i="8"/>
  <c r="E6" i="8"/>
  <c r="D6" i="8"/>
  <c r="K6" i="7"/>
  <c r="J6" i="7"/>
  <c r="K5" i="7"/>
  <c r="J5" i="7"/>
  <c r="U29" i="3"/>
  <c r="I28" i="3"/>
  <c r="J28" i="3" s="1"/>
  <c r="H28" i="3"/>
  <c r="G28" i="3"/>
  <c r="F28" i="3"/>
  <c r="E28" i="3"/>
  <c r="C28" i="3"/>
  <c r="M27" i="3"/>
  <c r="I27" i="3"/>
  <c r="H27" i="3"/>
  <c r="G27" i="3"/>
  <c r="F27" i="3"/>
  <c r="E27" i="3"/>
  <c r="C27" i="3"/>
  <c r="M26" i="3"/>
  <c r="R26" i="3" s="1"/>
  <c r="I26" i="3"/>
  <c r="H26" i="3"/>
  <c r="J26" i="3" s="1"/>
  <c r="G26" i="3"/>
  <c r="F26" i="3"/>
  <c r="E26" i="3"/>
  <c r="C26" i="3"/>
  <c r="M25" i="3"/>
  <c r="R25" i="3" s="1"/>
  <c r="I25" i="3"/>
  <c r="H25" i="3"/>
  <c r="G25" i="3"/>
  <c r="F25" i="3"/>
  <c r="E25" i="3"/>
  <c r="C25" i="3"/>
  <c r="J23" i="3"/>
  <c r="J22" i="3" s="1"/>
  <c r="I23" i="3"/>
  <c r="H23" i="3"/>
  <c r="G23" i="3"/>
  <c r="F23" i="3"/>
  <c r="E23" i="3"/>
  <c r="C23" i="3"/>
  <c r="M22" i="3"/>
  <c r="K22" i="3"/>
  <c r="F22" i="3"/>
  <c r="E22" i="3"/>
  <c r="I21" i="3"/>
  <c r="J21" i="3" s="1"/>
  <c r="J20" i="3" s="1"/>
  <c r="H21" i="3"/>
  <c r="G21" i="3"/>
  <c r="F21" i="3"/>
  <c r="E21" i="3"/>
  <c r="C21" i="3"/>
  <c r="R20" i="3"/>
  <c r="M20" i="3"/>
  <c r="O20" i="3" s="1"/>
  <c r="K20" i="3"/>
  <c r="F20" i="3"/>
  <c r="E20" i="3"/>
  <c r="I19" i="3"/>
  <c r="H19" i="3"/>
  <c r="G19" i="3"/>
  <c r="F19" i="3"/>
  <c r="E19" i="3"/>
  <c r="C19" i="3"/>
  <c r="J18" i="3"/>
  <c r="I18" i="3"/>
  <c r="H18" i="3"/>
  <c r="G18" i="3"/>
  <c r="F18" i="3"/>
  <c r="E18" i="3"/>
  <c r="C18" i="3"/>
  <c r="J17" i="3"/>
  <c r="I17" i="3"/>
  <c r="H17" i="3"/>
  <c r="G17" i="3"/>
  <c r="F17" i="3"/>
  <c r="E17" i="3"/>
  <c r="C17" i="3"/>
  <c r="I16" i="3"/>
  <c r="H16" i="3"/>
  <c r="G16" i="3"/>
  <c r="J16" i="3" s="1"/>
  <c r="F16" i="3"/>
  <c r="E16" i="3"/>
  <c r="C16" i="3"/>
  <c r="R15" i="3"/>
  <c r="M15" i="3"/>
  <c r="O15" i="3" s="1"/>
  <c r="K15" i="3"/>
  <c r="F15" i="3"/>
  <c r="E15" i="3"/>
  <c r="I14" i="3"/>
  <c r="J14" i="3" s="1"/>
  <c r="J13" i="3" s="1"/>
  <c r="AA13" i="3" s="1"/>
  <c r="H14" i="3"/>
  <c r="G14" i="3"/>
  <c r="F14" i="3"/>
  <c r="E14" i="3"/>
  <c r="C14" i="3"/>
  <c r="X13" i="3"/>
  <c r="Z13" i="3" s="1"/>
  <c r="M13" i="3"/>
  <c r="R13" i="3" s="1"/>
  <c r="S13" i="3" s="1"/>
  <c r="K13" i="3"/>
  <c r="F13" i="3"/>
  <c r="E13" i="3"/>
  <c r="I12" i="3"/>
  <c r="H12" i="3"/>
  <c r="G12" i="3"/>
  <c r="J12" i="3" s="1"/>
  <c r="J11" i="3" s="1"/>
  <c r="F12" i="3"/>
  <c r="E12" i="3"/>
  <c r="C12" i="3"/>
  <c r="M11" i="3"/>
  <c r="K11" i="3"/>
  <c r="F11" i="3"/>
  <c r="E11" i="3"/>
  <c r="I10" i="3"/>
  <c r="H10" i="3"/>
  <c r="G10" i="3"/>
  <c r="J10" i="3" s="1"/>
  <c r="F10" i="3"/>
  <c r="E10" i="3"/>
  <c r="C10" i="3"/>
  <c r="I9" i="3"/>
  <c r="J9" i="3" s="1"/>
  <c r="H9" i="3"/>
  <c r="G9" i="3"/>
  <c r="F9" i="3"/>
  <c r="E9" i="3"/>
  <c r="C9" i="3"/>
  <c r="O8" i="3"/>
  <c r="M8" i="3"/>
  <c r="R8" i="3" s="1"/>
  <c r="K8" i="3"/>
  <c r="F8" i="3"/>
  <c r="E8" i="3"/>
  <c r="J7" i="3"/>
  <c r="J6" i="3" s="1"/>
  <c r="S6" i="3" s="1"/>
  <c r="I7" i="3"/>
  <c r="H7" i="3"/>
  <c r="G7" i="3"/>
  <c r="F7" i="3"/>
  <c r="E7" i="3"/>
  <c r="C7" i="3"/>
  <c r="R6" i="3"/>
  <c r="O6" i="3"/>
  <c r="M6" i="3"/>
  <c r="K6" i="3"/>
  <c r="F6" i="3"/>
  <c r="E6" i="3"/>
  <c r="U11" i="2"/>
  <c r="V11" i="2" s="1"/>
  <c r="L11" i="2"/>
  <c r="U10" i="2"/>
  <c r="V10" i="2" s="1"/>
  <c r="L10" i="2"/>
  <c r="V9" i="2"/>
  <c r="U9" i="2"/>
  <c r="L9" i="2"/>
  <c r="U8" i="2"/>
  <c r="V8" i="2" s="1"/>
  <c r="L8" i="2"/>
  <c r="U7" i="2"/>
  <c r="V7" i="2" s="1"/>
  <c r="L7" i="2"/>
  <c r="U6" i="2"/>
  <c r="V6" i="2" s="1"/>
  <c r="L6" i="2"/>
  <c r="U5" i="2"/>
  <c r="V5" i="2" s="1"/>
  <c r="L5" i="2"/>
  <c r="L16" i="1"/>
  <c r="L15" i="1"/>
  <c r="L14" i="1"/>
  <c r="L13" i="1"/>
  <c r="L12" i="1"/>
  <c r="L11" i="1"/>
  <c r="U10" i="1"/>
  <c r="R10" i="1"/>
  <c r="Q10" i="1"/>
  <c r="P10" i="1"/>
  <c r="T10" i="1" s="1"/>
  <c r="O10" i="1"/>
  <c r="S10" i="1" s="1"/>
  <c r="N10" i="1"/>
  <c r="L10" i="1"/>
  <c r="U9" i="1"/>
  <c r="T9" i="1"/>
  <c r="R9" i="1"/>
  <c r="Q9" i="1"/>
  <c r="P9" i="1"/>
  <c r="O9" i="1"/>
  <c r="S9" i="1" s="1"/>
  <c r="N9" i="1"/>
  <c r="L9" i="1"/>
  <c r="U8" i="1"/>
  <c r="T8" i="1"/>
  <c r="S8" i="1"/>
  <c r="R8" i="1"/>
  <c r="Q8" i="1"/>
  <c r="P8" i="1"/>
  <c r="O8" i="1"/>
  <c r="N8" i="1"/>
  <c r="L8" i="1"/>
  <c r="U7" i="1"/>
  <c r="T7" i="1"/>
  <c r="S7" i="1"/>
  <c r="R7" i="1"/>
  <c r="Q7" i="1"/>
  <c r="P7" i="1"/>
  <c r="O7" i="1"/>
  <c r="N7" i="1"/>
  <c r="L7" i="1"/>
  <c r="B2" i="1"/>
  <c r="J19" i="3" l="1"/>
  <c r="J15" i="3" s="1"/>
  <c r="J27" i="3"/>
  <c r="L27" i="3" s="1"/>
  <c r="J12" i="11"/>
  <c r="J10" i="11" s="1"/>
  <c r="W28" i="3"/>
  <c r="L28" i="3"/>
  <c r="AA20" i="3"/>
  <c r="P20" i="3"/>
  <c r="L20" i="3"/>
  <c r="Y20" i="3"/>
  <c r="N20" i="3"/>
  <c r="S20" i="3"/>
  <c r="H44" i="18"/>
  <c r="J44" i="18" s="1"/>
  <c r="J42" i="18" s="1"/>
  <c r="N11" i="3"/>
  <c r="L11" i="3"/>
  <c r="Y11" i="3"/>
  <c r="L13" i="11"/>
  <c r="P13" i="11"/>
  <c r="S13" i="11"/>
  <c r="W13" i="11"/>
  <c r="S19" i="11"/>
  <c r="Y19" i="11"/>
  <c r="W19" i="11"/>
  <c r="N19" i="11"/>
  <c r="G15" i="17"/>
  <c r="U17" i="1"/>
  <c r="F16" i="16" s="1"/>
  <c r="J6" i="8"/>
  <c r="J6" i="11"/>
  <c r="H15" i="17"/>
  <c r="K35" i="21"/>
  <c r="O22" i="3"/>
  <c r="P22" i="3" s="1"/>
  <c r="R22" i="3"/>
  <c r="S22" i="3" s="1"/>
  <c r="Y26" i="3"/>
  <c r="W26" i="3"/>
  <c r="S26" i="3"/>
  <c r="L26" i="3"/>
  <c r="AA12" i="8"/>
  <c r="N13" i="11"/>
  <c r="R19" i="11"/>
  <c r="G47" i="18"/>
  <c r="G99" i="18"/>
  <c r="G73" i="18"/>
  <c r="G23" i="18"/>
  <c r="P6" i="3"/>
  <c r="J8" i="3"/>
  <c r="N22" i="3"/>
  <c r="W17" i="11"/>
  <c r="P17" i="11"/>
  <c r="L17" i="11"/>
  <c r="N17" i="11"/>
  <c r="I37" i="21"/>
  <c r="I40" i="21"/>
  <c r="I42" i="21"/>
  <c r="I34" i="21"/>
  <c r="I33" i="21"/>
  <c r="I41" i="21"/>
  <c r="I35" i="21"/>
  <c r="H8" i="33"/>
  <c r="G13" i="32"/>
  <c r="H13" i="32" s="1"/>
  <c r="X22" i="3"/>
  <c r="Z22" i="3" s="1"/>
  <c r="AA22" i="3" s="1"/>
  <c r="P8" i="21"/>
  <c r="H8" i="18"/>
  <c r="J8" i="18" s="1"/>
  <c r="S16" i="11"/>
  <c r="W16" i="11"/>
  <c r="J15" i="11"/>
  <c r="L16" i="11"/>
  <c r="N16" i="11"/>
  <c r="Y16" i="11"/>
  <c r="P16" i="11"/>
  <c r="N26" i="3"/>
  <c r="G42" i="17"/>
  <c r="H42" i="17"/>
  <c r="J45" i="33"/>
  <c r="H61" i="18"/>
  <c r="J61" i="18" s="1"/>
  <c r="H33" i="33"/>
  <c r="P45" i="21"/>
  <c r="G8" i="32"/>
  <c r="X8" i="3"/>
  <c r="Z8" i="3" s="1"/>
  <c r="P33" i="21"/>
  <c r="P35" i="21" s="1"/>
  <c r="X26" i="3" s="1"/>
  <c r="Z26" i="3" s="1"/>
  <c r="AA26" i="3" s="1"/>
  <c r="H87" i="18"/>
  <c r="O26" i="3"/>
  <c r="P26" i="3" s="1"/>
  <c r="H43" i="17"/>
  <c r="H45" i="33"/>
  <c r="I4" i="16"/>
  <c r="R27" i="3"/>
  <c r="S27" i="3" s="1"/>
  <c r="O27" i="3"/>
  <c r="P27" i="3" s="1"/>
  <c r="H9" i="33"/>
  <c r="J9" i="33" s="1"/>
  <c r="H9" i="18"/>
  <c r="J9" i="18" s="1"/>
  <c r="P9" i="21"/>
  <c r="G9" i="32"/>
  <c r="H9" i="32" s="1"/>
  <c r="X11" i="3"/>
  <c r="Z11" i="3" s="1"/>
  <c r="AA11" i="3" s="1"/>
  <c r="Q9" i="21"/>
  <c r="M9" i="21"/>
  <c r="K9" i="21"/>
  <c r="L11" i="8"/>
  <c r="P11" i="8"/>
  <c r="N11" i="8"/>
  <c r="AA11" i="8"/>
  <c r="S11" i="8"/>
  <c r="AA13" i="8"/>
  <c r="H45" i="17"/>
  <c r="G45" i="17"/>
  <c r="I9" i="21"/>
  <c r="H19" i="18"/>
  <c r="J19" i="18" s="1"/>
  <c r="X13" i="11"/>
  <c r="Z13" i="11" s="1"/>
  <c r="AA13" i="11" s="1"/>
  <c r="H19" i="33"/>
  <c r="J19" i="33" s="1"/>
  <c r="P19" i="21"/>
  <c r="P20" i="21" s="1"/>
  <c r="X17" i="11" s="1"/>
  <c r="G23" i="32"/>
  <c r="H23" i="32" s="1"/>
  <c r="J62" i="18"/>
  <c r="J14" i="21"/>
  <c r="K28" i="3" s="1"/>
  <c r="H65" i="18"/>
  <c r="H37" i="33"/>
  <c r="J37" i="33" s="1"/>
  <c r="J36" i="33" s="1"/>
  <c r="I9" i="34" s="1"/>
  <c r="N9" i="34" s="1"/>
  <c r="G18" i="32"/>
  <c r="H18" i="32" s="1"/>
  <c r="H91" i="18"/>
  <c r="J91" i="18" s="1"/>
  <c r="J90" i="18" s="1"/>
  <c r="J98" i="18" s="1"/>
  <c r="P49" i="21"/>
  <c r="H40" i="18"/>
  <c r="J40" i="18" s="1"/>
  <c r="J39" i="18" s="1"/>
  <c r="J46" i="18" s="1"/>
  <c r="H16" i="18"/>
  <c r="J16" i="18" s="1"/>
  <c r="J15" i="18" s="1"/>
  <c r="J22" i="18" s="1"/>
  <c r="H16" i="33"/>
  <c r="J16" i="33" s="1"/>
  <c r="P37" i="21"/>
  <c r="Q37" i="21" s="1"/>
  <c r="P26" i="21"/>
  <c r="Q26" i="21" s="1"/>
  <c r="Q25" i="21" s="1"/>
  <c r="H26" i="33"/>
  <c r="L6" i="3"/>
  <c r="N6" i="3"/>
  <c r="L18" i="11"/>
  <c r="W18" i="11"/>
  <c r="J438" i="36"/>
  <c r="C54" i="17" s="1"/>
  <c r="F54" i="17" s="1"/>
  <c r="H54" i="17" s="1"/>
  <c r="L437" i="36"/>
  <c r="L438" i="36"/>
  <c r="Y11" i="8"/>
  <c r="AA14" i="8"/>
  <c r="J34" i="33"/>
  <c r="K437" i="36"/>
  <c r="J437" i="36" s="1"/>
  <c r="C55" i="17" s="1"/>
  <c r="F55" i="17" s="1"/>
  <c r="G12" i="32"/>
  <c r="H12" i="32" s="1"/>
  <c r="P12" i="21"/>
  <c r="Q12" i="21" s="1"/>
  <c r="X20" i="3"/>
  <c r="Z20" i="3" s="1"/>
  <c r="H12" i="18"/>
  <c r="J12" i="18" s="1"/>
  <c r="H12" i="33"/>
  <c r="J12" i="33" s="1"/>
  <c r="J25" i="3"/>
  <c r="Q45" i="21"/>
  <c r="M45" i="21"/>
  <c r="M44" i="21" s="1"/>
  <c r="K45" i="21"/>
  <c r="K24" i="21"/>
  <c r="K25" i="3"/>
  <c r="O25" i="3" s="1"/>
  <c r="Y13" i="3"/>
  <c r="N13" i="3"/>
  <c r="L13" i="3"/>
  <c r="G48" i="17"/>
  <c r="H48" i="17" s="1"/>
  <c r="O190" i="36"/>
  <c r="N378" i="36"/>
  <c r="N334" i="36"/>
  <c r="L155" i="36"/>
  <c r="L136" i="36"/>
  <c r="K354" i="36"/>
  <c r="O202" i="36"/>
  <c r="L46" i="36"/>
  <c r="O298" i="36"/>
  <c r="G214" i="36"/>
  <c r="L71" i="36"/>
  <c r="O310" i="36"/>
  <c r="C7" i="36"/>
  <c r="C6" i="36"/>
  <c r="N322" i="36"/>
  <c r="O178" i="36"/>
  <c r="N226" i="36"/>
  <c r="Q53" i="21"/>
  <c r="M53" i="21"/>
  <c r="K53" i="21"/>
  <c r="K51" i="21" s="1"/>
  <c r="J26" i="33"/>
  <c r="H42" i="33"/>
  <c r="J42" i="33" s="1"/>
  <c r="J40" i="33"/>
  <c r="L347" i="36"/>
  <c r="J347" i="36"/>
  <c r="T17" i="1"/>
  <c r="F12" i="16" s="1"/>
  <c r="L22" i="3"/>
  <c r="F28" i="17"/>
  <c r="G40" i="17"/>
  <c r="H40" i="17" s="1"/>
  <c r="G56" i="17"/>
  <c r="H56" i="17" s="1"/>
  <c r="J17" i="18"/>
  <c r="J68" i="18"/>
  <c r="I26" i="21"/>
  <c r="I30" i="21"/>
  <c r="I23" i="21"/>
  <c r="I29" i="21"/>
  <c r="I24" i="21"/>
  <c r="G63" i="18"/>
  <c r="G35" i="33"/>
  <c r="M35" i="21"/>
  <c r="H11" i="33"/>
  <c r="J11" i="33" s="1"/>
  <c r="G10" i="32"/>
  <c r="H10" i="32" s="1"/>
  <c r="P11" i="21"/>
  <c r="Q11" i="21" s="1"/>
  <c r="H11" i="18"/>
  <c r="J11" i="18" s="1"/>
  <c r="J87" i="18"/>
  <c r="M49" i="21"/>
  <c r="M48" i="21" s="1"/>
  <c r="K49" i="21"/>
  <c r="K48" i="21" s="1"/>
  <c r="Q49" i="21"/>
  <c r="Q48" i="21" s="1"/>
  <c r="R17" i="11"/>
  <c r="S17" i="11" s="1"/>
  <c r="M9" i="34"/>
  <c r="F18" i="17"/>
  <c r="Q29" i="21"/>
  <c r="Q28" i="21" s="1"/>
  <c r="M29" i="21"/>
  <c r="K29" i="21"/>
  <c r="K28" i="21" s="1"/>
  <c r="H21" i="32"/>
  <c r="H16" i="17"/>
  <c r="O10" i="9"/>
  <c r="P10" i="9" s="1"/>
  <c r="Q10" i="9" s="1"/>
  <c r="W27" i="3"/>
  <c r="G36" i="17"/>
  <c r="H36" i="17" s="1"/>
  <c r="K20" i="21"/>
  <c r="G14" i="18"/>
  <c r="K14" i="21"/>
  <c r="Q41" i="21"/>
  <c r="K41" i="21"/>
  <c r="M11" i="21"/>
  <c r="K11" i="21"/>
  <c r="K46" i="21"/>
  <c r="F17" i="17"/>
  <c r="AA15" i="8"/>
  <c r="H17" i="18"/>
  <c r="P38" i="21"/>
  <c r="Q38" i="21" s="1"/>
  <c r="P27" i="21"/>
  <c r="H92" i="18"/>
  <c r="J92" i="18" s="1"/>
  <c r="H38" i="33"/>
  <c r="J38" i="33" s="1"/>
  <c r="G17" i="32"/>
  <c r="H27" i="33"/>
  <c r="J27" i="33" s="1"/>
  <c r="X6" i="8"/>
  <c r="Z6" i="8" s="1"/>
  <c r="AA8" i="8" s="1"/>
  <c r="P50" i="21"/>
  <c r="Q50" i="21" s="1"/>
  <c r="H17" i="33"/>
  <c r="J17" i="33" s="1"/>
  <c r="H41" i="18"/>
  <c r="Z6" i="11"/>
  <c r="J66" i="18"/>
  <c r="M52" i="21"/>
  <c r="M51" i="21" s="1"/>
  <c r="G101" i="18"/>
  <c r="G25" i="18"/>
  <c r="G75" i="18"/>
  <c r="H50" i="17"/>
  <c r="G98" i="18"/>
  <c r="G22" i="18"/>
  <c r="G46" i="18"/>
  <c r="R11" i="3"/>
  <c r="S11" i="3" s="1"/>
  <c r="O11" i="3"/>
  <c r="P11" i="3" s="1"/>
  <c r="K17" i="21"/>
  <c r="K15" i="21" s="1"/>
  <c r="Q17" i="21"/>
  <c r="M17" i="21"/>
  <c r="M15" i="21" s="1"/>
  <c r="M25" i="21"/>
  <c r="M38" i="21"/>
  <c r="M36" i="21" s="1"/>
  <c r="H10" i="33"/>
  <c r="J10" i="33" s="1"/>
  <c r="H10" i="18"/>
  <c r="J10" i="18" s="1"/>
  <c r="X6" i="3"/>
  <c r="Z6" i="3" s="1"/>
  <c r="AA6" i="3" s="1"/>
  <c r="K39" i="21"/>
  <c r="G43" i="17"/>
  <c r="T232" i="36"/>
  <c r="H96" i="18"/>
  <c r="J96" i="18" s="1"/>
  <c r="N390" i="36"/>
  <c r="K366" i="36"/>
  <c r="R17" i="1"/>
  <c r="S17" i="1"/>
  <c r="O6" i="11"/>
  <c r="J13" i="33"/>
  <c r="H34" i="33"/>
  <c r="P46" i="21"/>
  <c r="Q46" i="21" s="1"/>
  <c r="H88" i="18"/>
  <c r="J88" i="18" s="1"/>
  <c r="L14" i="21"/>
  <c r="M28" i="3" s="1"/>
  <c r="Q33" i="21"/>
  <c r="M33" i="21"/>
  <c r="I53" i="21"/>
  <c r="R239" i="36"/>
  <c r="T239" i="36" s="1"/>
  <c r="R235" i="36"/>
  <c r="T235" i="36" s="1"/>
  <c r="R233" i="36"/>
  <c r="T233" i="36" s="1"/>
  <c r="T278" i="36"/>
  <c r="H62" i="18"/>
  <c r="K26" i="21"/>
  <c r="K25" i="21" s="1"/>
  <c r="K47" i="21"/>
  <c r="G89" i="18"/>
  <c r="G47" i="33"/>
  <c r="I50" i="21"/>
  <c r="G11" i="32"/>
  <c r="H11" i="32" s="1"/>
  <c r="R229" i="36"/>
  <c r="T229" i="36" s="1"/>
  <c r="R281" i="36"/>
  <c r="T281" i="36" s="1"/>
  <c r="R287" i="36"/>
  <c r="T287" i="36" s="1"/>
  <c r="R283" i="36"/>
  <c r="T283" i="36" s="1"/>
  <c r="R282" i="36"/>
  <c r="T282" i="36" s="1"/>
  <c r="J41" i="18"/>
  <c r="K23" i="21"/>
  <c r="K33" i="21"/>
  <c r="K32" i="21" s="1"/>
  <c r="G83" i="18"/>
  <c r="G109" i="18"/>
  <c r="G33" i="18"/>
  <c r="H23" i="33"/>
  <c r="H24" i="33" s="1"/>
  <c r="J24" i="33" s="1"/>
  <c r="G37" i="17"/>
  <c r="H37" i="17" s="1"/>
  <c r="G9" i="25"/>
  <c r="H10" i="25"/>
  <c r="H9" i="25" s="1"/>
  <c r="O13" i="3"/>
  <c r="P13" i="3" s="1"/>
  <c r="G38" i="17"/>
  <c r="H38" i="17" s="1"/>
  <c r="I20" i="21"/>
  <c r="I14" i="21"/>
  <c r="I8" i="21"/>
  <c r="I12" i="21"/>
  <c r="H95" i="18"/>
  <c r="J95" i="18" s="1"/>
  <c r="H53" i="33"/>
  <c r="J53" i="33" s="1"/>
  <c r="Q16" i="21"/>
  <c r="Q15" i="21" s="1"/>
  <c r="K19" i="21"/>
  <c r="H30" i="33"/>
  <c r="H46" i="33"/>
  <c r="J46" i="33" s="1"/>
  <c r="R246" i="36"/>
  <c r="T246" i="36" s="1"/>
  <c r="R243" i="36"/>
  <c r="T243" i="36" s="1"/>
  <c r="R249" i="36"/>
  <c r="T249" i="36" s="1"/>
  <c r="R244" i="36"/>
  <c r="T244" i="36" s="1"/>
  <c r="R252" i="36"/>
  <c r="T252" i="36" s="1"/>
  <c r="I45" i="21"/>
  <c r="I52" i="21"/>
  <c r="I46" i="21"/>
  <c r="I49" i="21"/>
  <c r="I54" i="21"/>
  <c r="P52" i="21"/>
  <c r="P54" i="21" s="1"/>
  <c r="X19" i="11" s="1"/>
  <c r="H52" i="33"/>
  <c r="X10" i="11"/>
  <c r="Z10" i="11" s="1"/>
  <c r="K16" i="11"/>
  <c r="O16" i="11" s="1"/>
  <c r="I10" i="21"/>
  <c r="K36" i="21"/>
  <c r="Q54" i="21"/>
  <c r="K54" i="21"/>
  <c r="M54" i="21"/>
  <c r="R230" i="36"/>
  <c r="T230" i="36" s="1"/>
  <c r="R236" i="36"/>
  <c r="T236" i="36" s="1"/>
  <c r="L42" i="21"/>
  <c r="X15" i="3"/>
  <c r="Z15" i="3" s="1"/>
  <c r="G20" i="33"/>
  <c r="M20" i="21"/>
  <c r="M18" i="21" s="1"/>
  <c r="P23" i="21"/>
  <c r="P40" i="21"/>
  <c r="G31" i="18"/>
  <c r="G81" i="18"/>
  <c r="R288" i="36"/>
  <c r="T288" i="36" s="1"/>
  <c r="H37" i="18"/>
  <c r="J37" i="18" s="1"/>
  <c r="M8" i="34"/>
  <c r="M11" i="34" s="1"/>
  <c r="R248" i="36"/>
  <c r="T248" i="36" s="1"/>
  <c r="G30" i="33"/>
  <c r="J30" i="33" s="1"/>
  <c r="J28" i="33" s="1"/>
  <c r="J8" i="34" s="1"/>
  <c r="O8" i="34" s="1"/>
  <c r="M30" i="21"/>
  <c r="Q27" i="21"/>
  <c r="R271" i="36"/>
  <c r="T271" i="36" s="1"/>
  <c r="G53" i="17"/>
  <c r="H53" i="17" s="1"/>
  <c r="J65" i="18"/>
  <c r="J64" i="18" s="1"/>
  <c r="J72" i="18" s="1"/>
  <c r="J33" i="33"/>
  <c r="Q52" i="21"/>
  <c r="J54" i="21"/>
  <c r="K19" i="11" s="1"/>
  <c r="L19" i="11" s="1"/>
  <c r="T268" i="36"/>
  <c r="H403" i="36"/>
  <c r="R264" i="36"/>
  <c r="T264" i="36" s="1"/>
  <c r="R258" i="36"/>
  <c r="T258" i="36" s="1"/>
  <c r="W10" i="11" l="1"/>
  <c r="S10" i="11"/>
  <c r="P10" i="11"/>
  <c r="L10" i="11"/>
  <c r="N10" i="11"/>
  <c r="L15" i="3"/>
  <c r="S15" i="3"/>
  <c r="N15" i="3"/>
  <c r="P15" i="3"/>
  <c r="AA15" i="3"/>
  <c r="AA10" i="11"/>
  <c r="N27" i="3"/>
  <c r="G55" i="17"/>
  <c r="H55" i="17" s="1"/>
  <c r="H14" i="18"/>
  <c r="J7" i="18"/>
  <c r="H70" i="18"/>
  <c r="J70" i="18" s="1"/>
  <c r="J67" i="18"/>
  <c r="N136" i="36"/>
  <c r="M136" i="36"/>
  <c r="N155" i="36"/>
  <c r="M155" i="36"/>
  <c r="Z17" i="11"/>
  <c r="AA17" i="11" s="1"/>
  <c r="Y17" i="11"/>
  <c r="Q20" i="21"/>
  <c r="J25" i="33"/>
  <c r="I8" i="34" s="1"/>
  <c r="N8" i="34" s="1"/>
  <c r="O378" i="36"/>
  <c r="P378" i="36"/>
  <c r="H20" i="32"/>
  <c r="H89" i="18"/>
  <c r="J86" i="18"/>
  <c r="Q190" i="36"/>
  <c r="P190" i="36"/>
  <c r="H20" i="18"/>
  <c r="J20" i="18" s="1"/>
  <c r="J18" i="18" s="1"/>
  <c r="G20" i="32"/>
  <c r="Q36" i="21"/>
  <c r="M42" i="21"/>
  <c r="M39" i="21" s="1"/>
  <c r="M18" i="11"/>
  <c r="H20" i="33"/>
  <c r="J20" i="33" s="1"/>
  <c r="J18" i="33" s="1"/>
  <c r="J7" i="34" s="1"/>
  <c r="O7" i="34" s="1"/>
  <c r="J15" i="33"/>
  <c r="I7" i="34" s="1"/>
  <c r="N7" i="34" s="1"/>
  <c r="Y15" i="3"/>
  <c r="Q40" i="21"/>
  <c r="P42" i="21"/>
  <c r="R28" i="3"/>
  <c r="S28" i="3" s="1"/>
  <c r="O28" i="3"/>
  <c r="P28" i="3" s="1"/>
  <c r="J39" i="33"/>
  <c r="J9" i="34" s="1"/>
  <c r="O9" i="34" s="1"/>
  <c r="J89" i="18"/>
  <c r="S6" i="8"/>
  <c r="S16" i="8" s="1"/>
  <c r="Y6" i="8"/>
  <c r="Y16" i="8" s="1"/>
  <c r="L6" i="8"/>
  <c r="L16" i="8" s="1"/>
  <c r="N6" i="8"/>
  <c r="N16" i="8" s="1"/>
  <c r="AA6" i="8"/>
  <c r="AA16" i="8" s="1"/>
  <c r="F13" i="16" s="1"/>
  <c r="P6" i="8"/>
  <c r="P16" i="8" s="1"/>
  <c r="P322" i="36"/>
  <c r="O322" i="36"/>
  <c r="G18" i="17"/>
  <c r="H18" i="17" s="1"/>
  <c r="J27" i="36"/>
  <c r="J114" i="36"/>
  <c r="J34" i="36"/>
  <c r="M124" i="36"/>
  <c r="M17" i="36"/>
  <c r="J107" i="36"/>
  <c r="O390" i="36"/>
  <c r="P390" i="36"/>
  <c r="J94" i="36"/>
  <c r="I413" i="36"/>
  <c r="P14" i="21"/>
  <c r="Q8" i="21"/>
  <c r="H38" i="18"/>
  <c r="J38" i="18" s="1"/>
  <c r="J36" i="18" s="1"/>
  <c r="J45" i="18" s="1"/>
  <c r="J63" i="18"/>
  <c r="J60" i="18" s="1"/>
  <c r="J71" i="18" s="1"/>
  <c r="P310" i="36"/>
  <c r="Q310" i="36"/>
  <c r="K44" i="21"/>
  <c r="H8" i="32"/>
  <c r="H6" i="32" s="1"/>
  <c r="G6" i="32"/>
  <c r="Q19" i="21"/>
  <c r="Q18" i="21" s="1"/>
  <c r="K18" i="21"/>
  <c r="Z16" i="11"/>
  <c r="AA16" i="11" s="1"/>
  <c r="Q35" i="21"/>
  <c r="N71" i="36"/>
  <c r="M71" i="36"/>
  <c r="K7" i="21"/>
  <c r="P47" i="21"/>
  <c r="N28" i="3"/>
  <c r="Q23" i="21"/>
  <c r="P24" i="21"/>
  <c r="M28" i="21"/>
  <c r="Y6" i="11"/>
  <c r="S6" i="11"/>
  <c r="AA6" i="11"/>
  <c r="W6" i="11"/>
  <c r="N6" i="11"/>
  <c r="L6" i="11"/>
  <c r="P6" i="11"/>
  <c r="P20" i="11" s="1"/>
  <c r="W15" i="11"/>
  <c r="F8" i="16"/>
  <c r="M14" i="21"/>
  <c r="M7" i="21" s="1"/>
  <c r="Q298" i="36"/>
  <c r="P298" i="36"/>
  <c r="W25" i="3"/>
  <c r="W24" i="3" s="1"/>
  <c r="W29" i="3" s="1"/>
  <c r="S25" i="3"/>
  <c r="S24" i="3" s="1"/>
  <c r="J24" i="3"/>
  <c r="P25" i="3"/>
  <c r="L25" i="3"/>
  <c r="L24" i="3" s="1"/>
  <c r="N25" i="3"/>
  <c r="H63" i="18"/>
  <c r="O19" i="11"/>
  <c r="P19" i="11" s="1"/>
  <c r="L366" i="36"/>
  <c r="M366" i="36"/>
  <c r="Y22" i="3"/>
  <c r="N46" i="36"/>
  <c r="M46" i="36"/>
  <c r="H28" i="17"/>
  <c r="G28" i="17"/>
  <c r="J14" i="18"/>
  <c r="AA7" i="8"/>
  <c r="AA10" i="8"/>
  <c r="F14" i="16"/>
  <c r="F11" i="16" s="1"/>
  <c r="F21" i="16" s="1"/>
  <c r="H47" i="33"/>
  <c r="Q32" i="21"/>
  <c r="O334" i="36"/>
  <c r="P334" i="36"/>
  <c r="Y6" i="3"/>
  <c r="J47" i="33"/>
  <c r="J44" i="33" s="1"/>
  <c r="L15" i="11"/>
  <c r="P226" i="36"/>
  <c r="O226" i="36"/>
  <c r="Y13" i="11"/>
  <c r="Q178" i="36"/>
  <c r="P178" i="36"/>
  <c r="S8" i="3"/>
  <c r="L8" i="3"/>
  <c r="AA8" i="3"/>
  <c r="Y8" i="3"/>
  <c r="N8" i="3"/>
  <c r="P8" i="3"/>
  <c r="H17" i="32"/>
  <c r="H16" i="32" s="1"/>
  <c r="G16" i="32"/>
  <c r="P29" i="3"/>
  <c r="I214" i="36"/>
  <c r="H214" i="36"/>
  <c r="H35" i="33"/>
  <c r="J35" i="33" s="1"/>
  <c r="J32" i="33" s="1"/>
  <c r="J8" i="33"/>
  <c r="H14" i="33"/>
  <c r="J14" i="33" s="1"/>
  <c r="K22" i="21"/>
  <c r="Q51" i="21"/>
  <c r="J52" i="33"/>
  <c r="H54" i="33"/>
  <c r="J54" i="33" s="1"/>
  <c r="J93" i="18"/>
  <c r="P202" i="36"/>
  <c r="Q202" i="36"/>
  <c r="Y10" i="11"/>
  <c r="Z19" i="11"/>
  <c r="AA19" i="11" s="1"/>
  <c r="J23" i="33"/>
  <c r="J22" i="33" s="1"/>
  <c r="M32" i="21"/>
  <c r="G17" i="17"/>
  <c r="H17" i="17" s="1"/>
  <c r="M354" i="36"/>
  <c r="L354" i="36"/>
  <c r="AA9" i="8"/>
  <c r="N24" i="3" l="1"/>
  <c r="N29" i="3" s="1"/>
  <c r="L29" i="3"/>
  <c r="J73" i="18"/>
  <c r="J74" i="18" s="1"/>
  <c r="J47" i="18"/>
  <c r="J48" i="18" s="1"/>
  <c r="G10" i="34"/>
  <c r="G9" i="34"/>
  <c r="J31" i="33"/>
  <c r="K34" i="36"/>
  <c r="K35" i="36" s="1"/>
  <c r="L34" i="36"/>
  <c r="K114" i="36"/>
  <c r="K115" i="36" s="1"/>
  <c r="L114" i="36"/>
  <c r="L20" i="11"/>
  <c r="L27" i="36"/>
  <c r="K27" i="36"/>
  <c r="K28" i="36" s="1"/>
  <c r="P338" i="36"/>
  <c r="P339" i="36"/>
  <c r="N339" i="36"/>
  <c r="N338" i="36"/>
  <c r="N336" i="36"/>
  <c r="P335" i="36"/>
  <c r="P337" i="36"/>
  <c r="P336" i="36"/>
  <c r="W20" i="11"/>
  <c r="O18" i="11"/>
  <c r="P18" i="11" s="1"/>
  <c r="R18" i="11"/>
  <c r="S18" i="11" s="1"/>
  <c r="S15" i="11" s="1"/>
  <c r="S20" i="11" s="1"/>
  <c r="N18" i="11"/>
  <c r="N15" i="11" s="1"/>
  <c r="N20" i="11" s="1"/>
  <c r="H217" i="36"/>
  <c r="H216" i="36"/>
  <c r="H215" i="36"/>
  <c r="H218" i="36"/>
  <c r="H219" i="36"/>
  <c r="G219" i="36" s="1"/>
  <c r="O339" i="36"/>
  <c r="O338" i="36"/>
  <c r="O335" i="36"/>
  <c r="N335" i="36" s="1"/>
  <c r="C32" i="17" s="1"/>
  <c r="F32" i="17" s="1"/>
  <c r="O337" i="36"/>
  <c r="N337" i="36" s="1"/>
  <c r="O336" i="36"/>
  <c r="Q312" i="36"/>
  <c r="O311" i="36"/>
  <c r="C24" i="17" s="1"/>
  <c r="F24" i="17" s="1"/>
  <c r="Q314" i="36"/>
  <c r="O314" i="36"/>
  <c r="Q313" i="36"/>
  <c r="O313" i="36"/>
  <c r="O312" i="36"/>
  <c r="Q311" i="36"/>
  <c r="Q315" i="36"/>
  <c r="L356" i="36"/>
  <c r="L358" i="36"/>
  <c r="L357" i="36"/>
  <c r="L359" i="36"/>
  <c r="K359" i="36" s="1"/>
  <c r="L355" i="36"/>
  <c r="I217" i="36"/>
  <c r="G216" i="36"/>
  <c r="I218" i="36"/>
  <c r="G218" i="36"/>
  <c r="G217" i="36"/>
  <c r="I215" i="36"/>
  <c r="G215" i="36"/>
  <c r="C22" i="17" s="1"/>
  <c r="F22" i="17" s="1"/>
  <c r="I219" i="36"/>
  <c r="I216" i="36"/>
  <c r="P312" i="36"/>
  <c r="P311" i="36"/>
  <c r="P315" i="36"/>
  <c r="O315" i="36" s="1"/>
  <c r="P313" i="36"/>
  <c r="P314" i="36"/>
  <c r="O327" i="36"/>
  <c r="O326" i="36"/>
  <c r="O325" i="36"/>
  <c r="O323" i="36"/>
  <c r="O324" i="36"/>
  <c r="N324" i="36" s="1"/>
  <c r="P284" i="36"/>
  <c r="P265" i="36"/>
  <c r="N251" i="36"/>
  <c r="U251" i="36" s="1"/>
  <c r="P244" i="36"/>
  <c r="P281" i="36"/>
  <c r="P262" i="36"/>
  <c r="N248" i="36"/>
  <c r="U248" i="36" s="1"/>
  <c r="P290" i="36"/>
  <c r="N276" i="36"/>
  <c r="U276" i="36" s="1"/>
  <c r="P269" i="36"/>
  <c r="N255" i="36"/>
  <c r="U255" i="36" s="1"/>
  <c r="P250" i="36"/>
  <c r="P229" i="36"/>
  <c r="P287" i="36"/>
  <c r="P246" i="36"/>
  <c r="P278" i="36"/>
  <c r="N264" i="36"/>
  <c r="U264" i="36" s="1"/>
  <c r="P257" i="36"/>
  <c r="P238" i="36"/>
  <c r="P272" i="36"/>
  <c r="N245" i="36"/>
  <c r="U245" i="36" s="1"/>
  <c r="P231" i="36"/>
  <c r="P282" i="36"/>
  <c r="P268" i="36"/>
  <c r="P258" i="36"/>
  <c r="P249" i="36"/>
  <c r="P239" i="36"/>
  <c r="N231" i="36"/>
  <c r="U231" i="36" s="1"/>
  <c r="N290" i="36"/>
  <c r="U290" i="36" s="1"/>
  <c r="P285" i="36"/>
  <c r="P276" i="36"/>
  <c r="N258" i="36"/>
  <c r="U258" i="36" s="1"/>
  <c r="N249" i="36"/>
  <c r="U249" i="36" s="1"/>
  <c r="N239" i="36"/>
  <c r="U239" i="36" s="1"/>
  <c r="P271" i="36"/>
  <c r="N259" i="36"/>
  <c r="U259" i="36" s="1"/>
  <c r="P270" i="36"/>
  <c r="P248" i="36"/>
  <c r="N282" i="36"/>
  <c r="U282" i="36" s="1"/>
  <c r="P230" i="36"/>
  <c r="P288" i="36"/>
  <c r="P275" i="36"/>
  <c r="P252" i="36"/>
  <c r="P242" i="36"/>
  <c r="P236" i="36"/>
  <c r="P263" i="36"/>
  <c r="P235" i="36"/>
  <c r="N262" i="36"/>
  <c r="U262" i="36" s="1"/>
  <c r="N229" i="36"/>
  <c r="U229" i="36" s="1"/>
  <c r="N281" i="36"/>
  <c r="U281" i="36" s="1"/>
  <c r="N269" i="36"/>
  <c r="U269" i="36" s="1"/>
  <c r="P274" i="36"/>
  <c r="P251" i="36"/>
  <c r="P289" i="36"/>
  <c r="N274" i="36"/>
  <c r="U274" i="36" s="1"/>
  <c r="P264" i="36"/>
  <c r="P256" i="36"/>
  <c r="N289" i="36"/>
  <c r="U289" i="36" s="1"/>
  <c r="P232" i="36"/>
  <c r="N268" i="36"/>
  <c r="U268" i="36" s="1"/>
  <c r="P243" i="36"/>
  <c r="P291" i="36"/>
  <c r="P259" i="36"/>
  <c r="P277" i="36"/>
  <c r="N250" i="36"/>
  <c r="U250" i="36" s="1"/>
  <c r="N238" i="36"/>
  <c r="U238" i="36" s="1"/>
  <c r="P255" i="36"/>
  <c r="P233" i="36"/>
  <c r="P261" i="36"/>
  <c r="N278" i="36"/>
  <c r="U278" i="36" s="1"/>
  <c r="P245" i="36"/>
  <c r="P283" i="36"/>
  <c r="N275" i="36"/>
  <c r="U275" i="36" s="1"/>
  <c r="P237" i="36"/>
  <c r="M357" i="36"/>
  <c r="M356" i="36"/>
  <c r="M355" i="36"/>
  <c r="M358" i="36"/>
  <c r="K358" i="36"/>
  <c r="K357" i="36"/>
  <c r="M359" i="36"/>
  <c r="K356" i="36"/>
  <c r="K355" i="36"/>
  <c r="C35" i="17" s="1"/>
  <c r="F35" i="17" s="1"/>
  <c r="X28" i="3"/>
  <c r="Q14" i="21"/>
  <c r="Q7" i="21" s="1"/>
  <c r="P193" i="36"/>
  <c r="P192" i="36"/>
  <c r="P195" i="36"/>
  <c r="P194" i="36"/>
  <c r="P191" i="36"/>
  <c r="J21" i="18"/>
  <c r="X27" i="3"/>
  <c r="Q47" i="21"/>
  <c r="Q44" i="21" s="1"/>
  <c r="L94" i="36"/>
  <c r="K94" i="36"/>
  <c r="J97" i="18"/>
  <c r="Q205" i="36"/>
  <c r="O207" i="36"/>
  <c r="Q207" i="36"/>
  <c r="O203" i="36"/>
  <c r="C21" i="17" s="1"/>
  <c r="F21" i="17" s="1"/>
  <c r="Q206" i="36"/>
  <c r="Q204" i="36"/>
  <c r="Q203" i="36"/>
  <c r="O195" i="36"/>
  <c r="Q193" i="36"/>
  <c r="O193" i="36"/>
  <c r="O192" i="36"/>
  <c r="Q195" i="36"/>
  <c r="Q194" i="36"/>
  <c r="O194" i="36"/>
  <c r="O191" i="36"/>
  <c r="C20" i="17" s="1"/>
  <c r="F20" i="17" s="1"/>
  <c r="Q192" i="36"/>
  <c r="Q191" i="36"/>
  <c r="P206" i="36"/>
  <c r="O206" i="36" s="1"/>
  <c r="P205" i="36"/>
  <c r="O205" i="36" s="1"/>
  <c r="P204" i="36"/>
  <c r="O204" i="36" s="1"/>
  <c r="P207" i="36"/>
  <c r="P203" i="36"/>
  <c r="M81" i="36"/>
  <c r="L81" i="36" s="1"/>
  <c r="M75" i="36"/>
  <c r="L75" i="36" s="1"/>
  <c r="M167" i="36"/>
  <c r="L167" i="36" s="1"/>
  <c r="M161" i="36"/>
  <c r="M157" i="36"/>
  <c r="M74" i="36"/>
  <c r="L74" i="36" s="1"/>
  <c r="M164" i="36"/>
  <c r="M73" i="36"/>
  <c r="M163" i="36"/>
  <c r="M80" i="36"/>
  <c r="M165" i="36"/>
  <c r="M82" i="36"/>
  <c r="L82" i="36" s="1"/>
  <c r="M79" i="36"/>
  <c r="L79" i="36" s="1"/>
  <c r="M160" i="36"/>
  <c r="L160" i="36" s="1"/>
  <c r="M77" i="36"/>
  <c r="M158" i="36"/>
  <c r="L158" i="36" s="1"/>
  <c r="M84" i="36"/>
  <c r="M168" i="36"/>
  <c r="M83" i="36"/>
  <c r="M166" i="36"/>
  <c r="L166" i="36" s="1"/>
  <c r="M159" i="36"/>
  <c r="M76" i="36"/>
  <c r="L76" i="36" s="1"/>
  <c r="K107" i="36"/>
  <c r="K108" i="36" s="1"/>
  <c r="L107" i="36"/>
  <c r="Q183" i="36"/>
  <c r="Q182" i="36"/>
  <c r="Q181" i="36"/>
  <c r="Q180" i="36"/>
  <c r="Q179" i="36"/>
  <c r="O179" i="36"/>
  <c r="C12" i="17" s="1"/>
  <c r="F12" i="17" s="1"/>
  <c r="O181" i="36"/>
  <c r="O183" i="36"/>
  <c r="O17" i="36"/>
  <c r="N17" i="36"/>
  <c r="X18" i="11"/>
  <c r="Q42" i="21"/>
  <c r="N379" i="36"/>
  <c r="C44" i="17" s="1"/>
  <c r="F44" i="17" s="1"/>
  <c r="N383" i="36"/>
  <c r="P382" i="36"/>
  <c r="P381" i="36"/>
  <c r="P380" i="36"/>
  <c r="P379" i="36"/>
  <c r="P383" i="36"/>
  <c r="M367" i="36"/>
  <c r="K367" i="36"/>
  <c r="M371" i="36"/>
  <c r="K368" i="36"/>
  <c r="M368" i="36"/>
  <c r="M369" i="36"/>
  <c r="K371" i="36"/>
  <c r="M370" i="36"/>
  <c r="J7" i="33"/>
  <c r="L370" i="36"/>
  <c r="K370" i="36" s="1"/>
  <c r="L369" i="36"/>
  <c r="K369" i="36" s="1"/>
  <c r="L367" i="36"/>
  <c r="L368" i="36"/>
  <c r="L371" i="36"/>
  <c r="N11" i="34"/>
  <c r="P323" i="36"/>
  <c r="P327" i="36"/>
  <c r="P326" i="36"/>
  <c r="N327" i="36"/>
  <c r="N326" i="36"/>
  <c r="P325" i="36"/>
  <c r="N325" i="36"/>
  <c r="P324" i="36"/>
  <c r="N323" i="36"/>
  <c r="C30" i="17" s="1"/>
  <c r="X25" i="3"/>
  <c r="Q24" i="21"/>
  <c r="Q22" i="21"/>
  <c r="J21" i="33"/>
  <c r="G8" i="34"/>
  <c r="K413" i="36"/>
  <c r="J413" i="36"/>
  <c r="S29" i="3"/>
  <c r="P301" i="36"/>
  <c r="P302" i="36"/>
  <c r="P299" i="36"/>
  <c r="O299" i="36" s="1"/>
  <c r="C23" i="17" s="1"/>
  <c r="F23" i="17" s="1"/>
  <c r="P303" i="36"/>
  <c r="P300" i="36"/>
  <c r="O300" i="36" s="1"/>
  <c r="P391" i="36"/>
  <c r="N395" i="36"/>
  <c r="P395" i="36"/>
  <c r="N394" i="36"/>
  <c r="P394" i="36"/>
  <c r="P393" i="36"/>
  <c r="P392" i="36"/>
  <c r="N391" i="36"/>
  <c r="P182" i="36"/>
  <c r="O182" i="36" s="1"/>
  <c r="P180" i="36"/>
  <c r="O180" i="36" s="1"/>
  <c r="P181" i="36"/>
  <c r="P179" i="36"/>
  <c r="P183" i="36"/>
  <c r="O301" i="36"/>
  <c r="Q302" i="36"/>
  <c r="O302" i="36"/>
  <c r="Q301" i="36"/>
  <c r="Q299" i="36"/>
  <c r="Q303" i="36"/>
  <c r="Q300" i="36"/>
  <c r="O303" i="36"/>
  <c r="N163" i="36"/>
  <c r="N157" i="36"/>
  <c r="N167" i="36"/>
  <c r="N161" i="36"/>
  <c r="L80" i="36"/>
  <c r="N166" i="36"/>
  <c r="N160" i="36"/>
  <c r="L73" i="36"/>
  <c r="N74" i="36"/>
  <c r="N164" i="36"/>
  <c r="L157" i="36"/>
  <c r="C52" i="17" s="1"/>
  <c r="F52" i="17" s="1"/>
  <c r="N81" i="36"/>
  <c r="N80" i="36"/>
  <c r="L83" i="36"/>
  <c r="L165" i="36"/>
  <c r="N73" i="36"/>
  <c r="L164" i="36"/>
  <c r="N82" i="36"/>
  <c r="L163" i="36"/>
  <c r="L161" i="36"/>
  <c r="N79" i="36"/>
  <c r="L77" i="36"/>
  <c r="N165" i="36"/>
  <c r="N77" i="36"/>
  <c r="N83" i="36"/>
  <c r="N158" i="36"/>
  <c r="N75" i="36"/>
  <c r="N159" i="36"/>
  <c r="L159" i="36"/>
  <c r="N76" i="36"/>
  <c r="O391" i="36"/>
  <c r="O395" i="36"/>
  <c r="O394" i="36"/>
  <c r="O393" i="36"/>
  <c r="N393" i="36" s="1"/>
  <c r="O392" i="36"/>
  <c r="N392" i="36" s="1"/>
  <c r="J51" i="33"/>
  <c r="J10" i="34" s="1"/>
  <c r="O10" i="34" s="1"/>
  <c r="O11" i="34" s="1"/>
  <c r="M51" i="36"/>
  <c r="L51" i="36" s="1"/>
  <c r="M63" i="36"/>
  <c r="M57" i="36"/>
  <c r="L57" i="36" s="1"/>
  <c r="M62" i="36"/>
  <c r="M56" i="36"/>
  <c r="M49" i="36"/>
  <c r="L49" i="36" s="1"/>
  <c r="M61" i="36"/>
  <c r="M55" i="36"/>
  <c r="M48" i="36"/>
  <c r="M144" i="36"/>
  <c r="M52" i="36"/>
  <c r="L52" i="36" s="1"/>
  <c r="M149" i="36"/>
  <c r="L149" i="36" s="1"/>
  <c r="M142" i="36"/>
  <c r="L142" i="36" s="1"/>
  <c r="M141" i="36"/>
  <c r="L141" i="36" s="1"/>
  <c r="M58" i="36"/>
  <c r="M148" i="36"/>
  <c r="L148" i="36" s="1"/>
  <c r="M147" i="36"/>
  <c r="L147" i="36" s="1"/>
  <c r="M65" i="36"/>
  <c r="L65" i="36" s="1"/>
  <c r="M139" i="36"/>
  <c r="L139" i="36" s="1"/>
  <c r="M64" i="36"/>
  <c r="L64" i="36" s="1"/>
  <c r="M145" i="36"/>
  <c r="L145" i="36" s="1"/>
  <c r="M60" i="36"/>
  <c r="M138" i="36"/>
  <c r="M50" i="36"/>
  <c r="M140" i="36"/>
  <c r="M146" i="36"/>
  <c r="M54" i="36"/>
  <c r="O288" i="36"/>
  <c r="N288" i="36" s="1"/>
  <c r="U288" i="36" s="1"/>
  <c r="O248" i="36"/>
  <c r="O284" i="36"/>
  <c r="N284" i="36" s="1"/>
  <c r="U284" i="36" s="1"/>
  <c r="O265" i="36"/>
  <c r="N265" i="36" s="1"/>
  <c r="U265" i="36" s="1"/>
  <c r="O244" i="36"/>
  <c r="N244" i="36" s="1"/>
  <c r="U244" i="36" s="1"/>
  <c r="O272" i="36"/>
  <c r="N272" i="36" s="1"/>
  <c r="U272" i="36" s="1"/>
  <c r="O232" i="36"/>
  <c r="N232" i="36" s="1"/>
  <c r="U232" i="36" s="1"/>
  <c r="O290" i="36"/>
  <c r="O269" i="36"/>
  <c r="O250" i="36"/>
  <c r="O229" i="36"/>
  <c r="O261" i="36"/>
  <c r="N261" i="36" s="1"/>
  <c r="U261" i="36" s="1"/>
  <c r="O291" i="36"/>
  <c r="N291" i="36" s="1"/>
  <c r="U291" i="36" s="1"/>
  <c r="O263" i="36"/>
  <c r="N263" i="36" s="1"/>
  <c r="U263" i="36" s="1"/>
  <c r="O255" i="36"/>
  <c r="O236" i="36"/>
  <c r="N236" i="36" s="1"/>
  <c r="U236" i="36" s="1"/>
  <c r="O231" i="36"/>
  <c r="O282" i="36"/>
  <c r="O268" i="36"/>
  <c r="O235" i="36"/>
  <c r="N235" i="36" s="1"/>
  <c r="U235" i="36" s="1"/>
  <c r="O285" i="36"/>
  <c r="N285" i="36" s="1"/>
  <c r="U285" i="36" s="1"/>
  <c r="O276" i="36"/>
  <c r="O262" i="36"/>
  <c r="O264" i="36"/>
  <c r="O252" i="36"/>
  <c r="N252" i="36" s="1"/>
  <c r="U252" i="36" s="1"/>
  <c r="O242" i="36"/>
  <c r="N242" i="36" s="1"/>
  <c r="U242" i="36" s="1"/>
  <c r="O270" i="36"/>
  <c r="N270" i="36" s="1"/>
  <c r="U270" i="36" s="1"/>
  <c r="O275" i="36"/>
  <c r="O258" i="36"/>
  <c r="O281" i="36"/>
  <c r="O246" i="36"/>
  <c r="N246" i="36" s="1"/>
  <c r="U246" i="36" s="1"/>
  <c r="O239" i="36"/>
  <c r="O287" i="36"/>
  <c r="N287" i="36" s="1"/>
  <c r="U287" i="36" s="1"/>
  <c r="O257" i="36"/>
  <c r="N257" i="36" s="1"/>
  <c r="U257" i="36" s="1"/>
  <c r="O289" i="36"/>
  <c r="O249" i="36"/>
  <c r="O251" i="36"/>
  <c r="O243" i="36"/>
  <c r="N243" i="36" s="1"/>
  <c r="U243" i="36" s="1"/>
  <c r="O259" i="36"/>
  <c r="O238" i="36"/>
  <c r="O230" i="36"/>
  <c r="N230" i="36" s="1"/>
  <c r="U230" i="36" s="1"/>
  <c r="O277" i="36"/>
  <c r="N277" i="36" s="1"/>
  <c r="U277" i="36" s="1"/>
  <c r="O271" i="36"/>
  <c r="N271" i="36" s="1"/>
  <c r="U271" i="36" s="1"/>
  <c r="O233" i="36"/>
  <c r="N233" i="36" s="1"/>
  <c r="U233" i="36" s="1"/>
  <c r="O278" i="36"/>
  <c r="O237" i="36"/>
  <c r="N237" i="36" s="1"/>
  <c r="U237" i="36" s="1"/>
  <c r="C29" i="17" s="1"/>
  <c r="F29" i="17" s="1"/>
  <c r="O283" i="36"/>
  <c r="N283" i="36" s="1"/>
  <c r="U283" i="36" s="1"/>
  <c r="O245" i="36"/>
  <c r="O256" i="36"/>
  <c r="N256" i="36" s="1"/>
  <c r="U256" i="36" s="1"/>
  <c r="O274" i="36"/>
  <c r="L146" i="36"/>
  <c r="L140" i="36"/>
  <c r="N63" i="36"/>
  <c r="N57" i="36"/>
  <c r="N49" i="36"/>
  <c r="N144" i="36"/>
  <c r="N138" i="36"/>
  <c r="L62" i="36"/>
  <c r="L56" i="36"/>
  <c r="L138" i="36"/>
  <c r="C51" i="17" s="1"/>
  <c r="F51" i="17" s="1"/>
  <c r="L61" i="36"/>
  <c r="N52" i="36"/>
  <c r="L144" i="36"/>
  <c r="N60" i="36"/>
  <c r="N142" i="36"/>
  <c r="L60" i="36"/>
  <c r="N51" i="36"/>
  <c r="N50" i="36"/>
  <c r="N58" i="36"/>
  <c r="L48" i="36"/>
  <c r="N148" i="36"/>
  <c r="N140" i="36"/>
  <c r="L58" i="36"/>
  <c r="N147" i="36"/>
  <c r="N55" i="36"/>
  <c r="N139" i="36"/>
  <c r="N56" i="36"/>
  <c r="N64" i="36"/>
  <c r="N146" i="36"/>
  <c r="L55" i="36"/>
  <c r="N61" i="36"/>
  <c r="N145" i="36"/>
  <c r="L50" i="36"/>
  <c r="N141" i="36"/>
  <c r="N62" i="36"/>
  <c r="N48" i="36"/>
  <c r="L63" i="36"/>
  <c r="N54" i="36"/>
  <c r="L54" i="36"/>
  <c r="O124" i="36"/>
  <c r="N124" i="36"/>
  <c r="Q39" i="21"/>
  <c r="O380" i="36"/>
  <c r="N380" i="36" s="1"/>
  <c r="O382" i="36"/>
  <c r="N382" i="36" s="1"/>
  <c r="O381" i="36"/>
  <c r="N381" i="36" s="1"/>
  <c r="O379" i="36"/>
  <c r="O383" i="36"/>
  <c r="G29" i="17" l="1"/>
  <c r="H29" i="17" s="1"/>
  <c r="G32" i="17"/>
  <c r="H32" i="17" s="1"/>
  <c r="G23" i="17"/>
  <c r="H23" i="17" s="1"/>
  <c r="J78" i="18"/>
  <c r="K8" i="34"/>
  <c r="L8" i="34"/>
  <c r="P8" i="34" s="1"/>
  <c r="G44" i="17"/>
  <c r="H44" i="17" s="1"/>
  <c r="F58" i="17"/>
  <c r="H58" i="17" s="1"/>
  <c r="G21" i="17"/>
  <c r="H21" i="17" s="1"/>
  <c r="Z28" i="3"/>
  <c r="AA28" i="3" s="1"/>
  <c r="Y28" i="3"/>
  <c r="J35" i="36"/>
  <c r="L35" i="36"/>
  <c r="J6" i="33"/>
  <c r="G7" i="34"/>
  <c r="F47" i="17"/>
  <c r="F46" i="17"/>
  <c r="G35" i="17"/>
  <c r="H35" i="17" s="1"/>
  <c r="Z25" i="3"/>
  <c r="AA25" i="3" s="1"/>
  <c r="Y25" i="3"/>
  <c r="Z18" i="11"/>
  <c r="AA18" i="11" s="1"/>
  <c r="AA15" i="11" s="1"/>
  <c r="AA20" i="11" s="1"/>
  <c r="F17" i="16" s="1"/>
  <c r="F18" i="16" s="1"/>
  <c r="F15" i="16" s="1"/>
  <c r="Y18" i="11"/>
  <c r="Y15" i="11" s="1"/>
  <c r="Y20" i="11" s="1"/>
  <c r="N18" i="36"/>
  <c r="N125" i="36"/>
  <c r="O18" i="36"/>
  <c r="M18" i="36"/>
  <c r="O125" i="36"/>
  <c r="M125" i="36"/>
  <c r="F25" i="17"/>
  <c r="G24" i="17"/>
  <c r="H24" i="17" s="1"/>
  <c r="G52" i="17"/>
  <c r="H52" i="17"/>
  <c r="G12" i="17"/>
  <c r="Z27" i="3"/>
  <c r="AA27" i="3" s="1"/>
  <c r="Y27" i="3"/>
  <c r="J75" i="18"/>
  <c r="G22" i="17"/>
  <c r="H22" i="17" s="1"/>
  <c r="J43" i="33"/>
  <c r="L28" i="36"/>
  <c r="J28" i="36"/>
  <c r="J76" i="18"/>
  <c r="J80" i="18" s="1"/>
  <c r="J99" i="18"/>
  <c r="J100" i="18" s="1"/>
  <c r="J101" i="18" s="1"/>
  <c r="J96" i="36"/>
  <c r="J95" i="36"/>
  <c r="L97" i="36"/>
  <c r="L98" i="36"/>
  <c r="L96" i="36"/>
  <c r="L95" i="36"/>
  <c r="J77" i="18"/>
  <c r="C26" i="17"/>
  <c r="F26" i="17" s="1"/>
  <c r="F30" i="17"/>
  <c r="L9" i="34"/>
  <c r="P9" i="34" s="1"/>
  <c r="K9" i="34"/>
  <c r="K10" i="34"/>
  <c r="L10" i="34"/>
  <c r="P10" i="34" s="1"/>
  <c r="K96" i="36"/>
  <c r="K97" i="36"/>
  <c r="J97" i="36" s="1"/>
  <c r="K98" i="36"/>
  <c r="J98" i="36" s="1"/>
  <c r="K95" i="36"/>
  <c r="G20" i="17"/>
  <c r="G51" i="17"/>
  <c r="H51" i="17"/>
  <c r="J23" i="18"/>
  <c r="J24" i="18" s="1"/>
  <c r="J25" i="18" s="1"/>
  <c r="J26" i="18" s="1"/>
  <c r="J49" i="18"/>
  <c r="J50" i="18" s="1"/>
  <c r="J417" i="36"/>
  <c r="J418" i="36"/>
  <c r="I418" i="36" s="1"/>
  <c r="J416" i="36"/>
  <c r="J419" i="36"/>
  <c r="I419" i="36" s="1"/>
  <c r="J415" i="36"/>
  <c r="J414" i="36"/>
  <c r="I414" i="36" s="1"/>
  <c r="C57" i="17" s="1"/>
  <c r="F57" i="17" s="1"/>
  <c r="I417" i="36"/>
  <c r="I416" i="36"/>
  <c r="I415" i="36"/>
  <c r="K417" i="36"/>
  <c r="K416" i="36"/>
  <c r="K419" i="36"/>
  <c r="K418" i="36"/>
  <c r="K415" i="36"/>
  <c r="K414" i="36"/>
  <c r="L108" i="36"/>
  <c r="J108" i="36"/>
  <c r="J115" i="36"/>
  <c r="L115" i="36"/>
  <c r="G57" i="17" l="1"/>
  <c r="H57" i="17" s="1"/>
  <c r="H49" i="17" s="1"/>
  <c r="F49" i="17"/>
  <c r="J81" i="18"/>
  <c r="J82" i="18" s="1"/>
  <c r="J102" i="18"/>
  <c r="J106" i="18" s="1"/>
  <c r="J104" i="18"/>
  <c r="J103" i="18"/>
  <c r="J51" i="18"/>
  <c r="J54" i="18" s="1"/>
  <c r="AA24" i="3"/>
  <c r="AA29" i="3" s="1"/>
  <c r="F9" i="16" s="1"/>
  <c r="F10" i="16" s="1"/>
  <c r="F7" i="16" s="1"/>
  <c r="F19" i="16" s="1"/>
  <c r="G46" i="17"/>
  <c r="H46" i="17" s="1"/>
  <c r="H20" i="17"/>
  <c r="G25" i="17"/>
  <c r="H25" i="17" s="1"/>
  <c r="J27" i="18"/>
  <c r="J30" i="18" s="1"/>
  <c r="Y24" i="3"/>
  <c r="Y29" i="3" s="1"/>
  <c r="G30" i="17"/>
  <c r="H30" i="17" s="1"/>
  <c r="G26" i="17"/>
  <c r="H26" i="17"/>
  <c r="J28" i="18"/>
  <c r="J52" i="18"/>
  <c r="G49" i="17"/>
  <c r="G47" i="17"/>
  <c r="H47" i="17"/>
  <c r="F13" i="17"/>
  <c r="H12" i="17"/>
  <c r="K7" i="34"/>
  <c r="L7" i="34"/>
  <c r="J31" i="18" l="1"/>
  <c r="J32" i="18" s="1"/>
  <c r="J55" i="18"/>
  <c r="J56" i="18"/>
  <c r="J83" i="18"/>
  <c r="J84" i="18" s="1"/>
  <c r="L11" i="34"/>
  <c r="P7" i="34"/>
  <c r="P11" i="34" s="1"/>
  <c r="F22" i="16"/>
  <c r="F23" i="16" s="1"/>
  <c r="F24" i="16" s="1"/>
  <c r="F26" i="16" s="1"/>
  <c r="F60" i="17"/>
  <c r="H13" i="17"/>
  <c r="H65" i="17"/>
  <c r="J107" i="18"/>
  <c r="J108" i="18" s="1"/>
  <c r="J109" i="18" l="1"/>
  <c r="J110" i="18" s="1"/>
  <c r="I20" i="38"/>
  <c r="J21" i="37"/>
  <c r="G8" i="19"/>
  <c r="H8" i="19" s="1"/>
  <c r="J33" i="18"/>
  <c r="J34" i="18"/>
  <c r="H60" i="17"/>
  <c r="H59" i="17" s="1"/>
  <c r="H62" i="17" s="1"/>
  <c r="G60" i="17"/>
  <c r="G59" i="17" s="1"/>
  <c r="F59" i="17"/>
  <c r="F62" i="17" s="1"/>
  <c r="F27" i="16"/>
  <c r="F25" i="16"/>
  <c r="J57" i="18"/>
  <c r="J58" i="18" s="1"/>
  <c r="I19" i="38" l="1"/>
  <c r="J20" i="37"/>
  <c r="G7" i="19"/>
  <c r="H7" i="19" s="1"/>
  <c r="J22" i="37"/>
  <c r="G9" i="19"/>
  <c r="H9" i="19" s="1"/>
  <c r="I21" i="38"/>
  <c r="H63" i="17"/>
  <c r="C61" i="17"/>
  <c r="F6" i="25"/>
  <c r="D11" i="23"/>
  <c r="F29" i="16"/>
  <c r="F8" i="25"/>
  <c r="J19" i="37"/>
  <c r="G6" i="19"/>
  <c r="H6" i="19" s="1"/>
  <c r="H10" i="19" s="1"/>
  <c r="I18" i="38"/>
  <c r="N21" i="37"/>
  <c r="P21" i="37"/>
  <c r="O21" i="37"/>
  <c r="L21" i="37"/>
  <c r="N20" i="38"/>
  <c r="M20" i="38"/>
  <c r="L20" i="38"/>
  <c r="K20" i="38"/>
  <c r="N18" i="38" l="1"/>
  <c r="M18" i="38"/>
  <c r="K18" i="38"/>
  <c r="L18" i="38"/>
  <c r="J11" i="22"/>
  <c r="J12" i="22" s="1"/>
  <c r="D8" i="20"/>
  <c r="P19" i="37"/>
  <c r="O19" i="37"/>
  <c r="L19" i="37"/>
  <c r="L23" i="37" s="1"/>
  <c r="N19" i="37"/>
  <c r="G8" i="25"/>
  <c r="G7" i="25" s="1"/>
  <c r="F7" i="25"/>
  <c r="F30" i="16"/>
  <c r="F31" i="16" s="1"/>
  <c r="E11" i="23"/>
  <c r="E12" i="23" s="1"/>
  <c r="D12" i="23"/>
  <c r="F11" i="23"/>
  <c r="L21" i="38"/>
  <c r="N21" i="38"/>
  <c r="M21" i="38"/>
  <c r="K21" i="38"/>
  <c r="O22" i="37"/>
  <c r="P22" i="37"/>
  <c r="N22" i="37"/>
  <c r="L22" i="37"/>
  <c r="P20" i="37"/>
  <c r="N20" i="37"/>
  <c r="O20" i="37"/>
  <c r="L20" i="37"/>
  <c r="F5" i="25"/>
  <c r="G6" i="25"/>
  <c r="G5" i="25" s="1"/>
  <c r="G17" i="25" s="1"/>
  <c r="N19" i="38"/>
  <c r="M19" i="38"/>
  <c r="L19" i="38"/>
  <c r="K19" i="38"/>
  <c r="F32" i="16" l="1"/>
  <c r="F33" i="16" s="1"/>
  <c r="F12" i="23"/>
  <c r="H11" i="23"/>
  <c r="H12" i="23" s="1"/>
  <c r="F17" i="25"/>
  <c r="H8" i="25"/>
  <c r="H7" i="25" s="1"/>
  <c r="N23" i="37"/>
  <c r="D7" i="20"/>
  <c r="E8" i="20"/>
  <c r="E7" i="20" s="1"/>
  <c r="L22" i="38"/>
  <c r="K22" i="38"/>
  <c r="O23" i="37"/>
  <c r="P23" i="37"/>
  <c r="M22" i="38"/>
  <c r="H6" i="25"/>
  <c r="H5" i="25" s="1"/>
  <c r="H17" i="25" s="1"/>
  <c r="N22" i="38"/>
  <c r="G33" i="17" l="1"/>
  <c r="D10" i="20"/>
  <c r="D11" i="20"/>
  <c r="F8" i="20"/>
  <c r="F7" i="20" s="1"/>
  <c r="E10" i="20" l="1"/>
  <c r="D9" i="20"/>
  <c r="E11" i="20"/>
  <c r="F11" i="20" s="1"/>
  <c r="D14" i="20" l="1"/>
  <c r="D15" i="20"/>
  <c r="E9" i="20"/>
  <c r="F10" i="20"/>
  <c r="F9" i="20" s="1"/>
  <c r="E15" i="20" l="1"/>
  <c r="F15" i="20" s="1"/>
  <c r="D13" i="20"/>
  <c r="D16" i="20" s="1"/>
  <c r="G34" i="17" s="1"/>
  <c r="G13" i="17" s="1"/>
  <c r="G62" i="17" s="1"/>
  <c r="E14" i="20"/>
  <c r="E13" i="20" l="1"/>
  <c r="E16" i="20" s="1"/>
  <c r="F14" i="20"/>
  <c r="F13" i="20" s="1"/>
  <c r="F16" i="20" s="1"/>
</calcChain>
</file>

<file path=xl/sharedStrings.xml><?xml version="1.0" encoding="utf-8"?>
<sst xmlns="http://schemas.openxmlformats.org/spreadsheetml/2006/main" count="2955" uniqueCount="1003">
  <si>
    <t>Chi phí thiết bị (Gtb):</t>
  </si>
  <si>
    <t>Gdghsdt</t>
  </si>
  <si>
    <t>CHI PHÍ GIÁN TIẾP</t>
  </si>
  <si>
    <t>Số đề nghị tạm ứng, thanh toán khối lượng hoàn thành kỳ này (gồm cả thu hồi tạm ứng)</t>
  </si>
  <si>
    <t>Hao phí</t>
  </si>
  <si>
    <t>Khảo sát địa hình tỷ lệ 1/500</t>
  </si>
  <si>
    <t>Ghqkt</t>
  </si>
  <si>
    <t>Cước nội bộ</t>
  </si>
  <si>
    <t>CÔNG TRÌNH</t>
  </si>
  <si>
    <t>Vốn còn lại kế hoạch năm trước</t>
  </si>
  <si>
    <t>Thi công</t>
  </si>
  <si>
    <t>Máy toàn đạc điện tử TS06 hoặc loại tương tự</t>
  </si>
  <si>
    <t>.... , ngày .… tháng …. năm …...</t>
  </si>
  <si>
    <t>BẢNG DỰ TOÁN HẠNG MỤC CÔNG TRÌNH</t>
  </si>
  <si>
    <t>GSLD$</t>
  </si>
  <si>
    <t>&lt;= 1</t>
  </si>
  <si>
    <t>4.2.5</t>
  </si>
  <si>
    <t>NCTKT79^</t>
  </si>
  <si>
    <t>Sau thuế</t>
  </si>
  <si>
    <t>- Định mức xây dựng theo Thông tư số 12/2021/TT-BXD  ngày 31/8/2021 của Bộ Xây dựng ban hành định mức xây dựng.</t>
  </si>
  <si>
    <t>NCKT79^</t>
  </si>
  <si>
    <t>Cấp I</t>
  </si>
  <si>
    <t>Chi phí xây dựng (chưa có thuế GTGT) của giá gói thầu được duyệt (tỷ đồng)</t>
  </si>
  <si>
    <t>Chi phí thiết kế kỹ thuật (Thông tư 12/2021/TT-BXD)</t>
  </si>
  <si>
    <t>5.2.1</t>
  </si>
  <si>
    <t>Gbcnckt</t>
  </si>
  <si>
    <t>Cận dưới</t>
  </si>
  <si>
    <t>Số dư tạm ứng của hạng mục đề nghị thanh toán…………đồng.</t>
  </si>
  <si>
    <t>Theo bảng tổng hợp chi phí thiết bị</t>
  </si>
  <si>
    <t>Tổng mức đầu tư x tỷ lệ</t>
  </si>
  <si>
    <t>Chi phí lập hồ sơ mời quan tâm, hồ sơ mời sơ tuyển (Nghị định 63/2014/NĐ-CP)</t>
  </si>
  <si>
    <t>THEO HỢP ĐỒNG BAN ĐẦU □       NGOÀI HỢP ĐỒNG BAN ĐẦU □</t>
  </si>
  <si>
    <t>hs phụ cấp khu vực nhân công</t>
  </si>
  <si>
    <t>CF.11620</t>
  </si>
  <si>
    <t>II.) NHÂN CÔNG</t>
  </si>
  <si>
    <t>Trong đó chia ra:</t>
  </si>
  <si>
    <t>Vật tư</t>
  </si>
  <si>
    <t>1.2</t>
  </si>
  <si>
    <t>1</t>
  </si>
  <si>
    <t>BẢNG ĐƠN GIÁ TỔNG HỢP</t>
  </si>
  <si>
    <t>GIÁ TRỊ
SAU THUẾ</t>
  </si>
  <si>
    <t>TTDT79^</t>
  </si>
  <si>
    <t>Hệ số phụ cấp thu hút</t>
  </si>
  <si>
    <t>- Vốn trong nước…………...tại :……………………………………….</t>
  </si>
  <si>
    <t>4,24</t>
  </si>
  <si>
    <t xml:space="preserve"> - Chênh lệch máy thi công</t>
  </si>
  <si>
    <t>Thanh toán</t>
  </si>
  <si>
    <t>Giá TB</t>
  </si>
  <si>
    <t>ĐỊA ĐIỂM:</t>
  </si>
  <si>
    <t>6</t>
  </si>
  <si>
    <t>Hợp đồng số:      ngày      tháng      năm</t>
  </si>
  <si>
    <t>CK.11430</t>
  </si>
  <si>
    <t>Thành phần hao phí</t>
  </si>
  <si>
    <t>LTB79^</t>
  </si>
  <si>
    <t>Lương phụ</t>
  </si>
  <si>
    <t>4,29</t>
  </si>
  <si>
    <t>CPKT^</t>
  </si>
  <si>
    <t>- Bảng giá ca máy và thiết bị thi công theo quyết định số .../....../ QĐ-UBND ngày .../....../ của UBND tỉnh ....</t>
  </si>
  <si>
    <t>Chi phí thiết bị</t>
  </si>
  <si>
    <t>II.)</t>
  </si>
  <si>
    <t>Ghmc</t>
  </si>
  <si>
    <t>1.3.5</t>
  </si>
  <si>
    <t>Gdp1 + Gdp2</t>
  </si>
  <si>
    <t>Số CK</t>
  </si>
  <si>
    <t>BẢNG TỔNG HỢP VẬT LIỆU</t>
  </si>
  <si>
    <t>Cấp công trình</t>
  </si>
  <si>
    <t>Chi phí quản lý dự án (Gqlda):</t>
  </si>
  <si>
    <t>2.3.1</t>
  </si>
  <si>
    <t>hsBGM</t>
  </si>
  <si>
    <t>Chủ đầu tư</t>
  </si>
  <si>
    <t>Dài</t>
  </si>
  <si>
    <t>Chi phí khảo sát xây dựng (chưa có thuế GTGT) của giá gói thầu khảo sát xây dựng được duyệt (tỷ đồng)</t>
  </si>
  <si>
    <t>Chi phí sau thuế</t>
  </si>
  <si>
    <t>Chi phí hoàn trả mặt bằng và hạ tầng kỹ thuật</t>
  </si>
  <si>
    <t>Gxd.1</t>
  </si>
  <si>
    <t>hsvl</t>
  </si>
  <si>
    <t>Chi phí thẩm tra thiết kế công nghệ</t>
  </si>
  <si>
    <t>Cấp 1</t>
  </si>
  <si>
    <t>Tên vật tư</t>
  </si>
  <si>
    <t/>
  </si>
  <si>
    <t>CHMC</t>
  </si>
  <si>
    <t>Đinh+dây thép</t>
  </si>
  <si>
    <t>CHỦ ĐẦU TƯ</t>
  </si>
  <si>
    <t>Gxd x trước thuế x tỷ lệ</t>
  </si>
  <si>
    <t>1.2.1</t>
  </si>
  <si>
    <t>Công tác đo khống chế cao, thủy chuẩn kỹ thuật, cấp địa hình III</t>
  </si>
  <si>
    <t>TTTKXD79^</t>
  </si>
  <si>
    <t>Gtb</t>
  </si>
  <si>
    <t>Chi phí xây dựng</t>
  </si>
  <si>
    <t>(Ký, họ tên)</t>
  </si>
  <si>
    <t>Giá thành khảo sát xây dựng</t>
  </si>
  <si>
    <t>Thuộc kế hoạch vốn:</t>
  </si>
  <si>
    <t>CỘNG HOÀ XÃ HỘI CHỦ NGHĨA VIỆT NAM</t>
  </si>
  <si>
    <t>Glcnt</t>
  </si>
  <si>
    <t>Gst</t>
  </si>
  <si>
    <t>+ Vốn trong nước…………………………………….</t>
  </si>
  <si>
    <t>CK.11440</t>
  </si>
  <si>
    <t>Thành tiền</t>
  </si>
  <si>
    <t>PCCC^</t>
  </si>
  <si>
    <t xml:space="preserve"> - Đơn giá nhân công</t>
  </si>
  <si>
    <t>BẢNG ĐƠN GIÁ CHI TIẾT</t>
  </si>
  <si>
    <t xml:space="preserve">II. Giá trị dự toán: </t>
  </si>
  <si>
    <t>Chi phí giám sát công tác khảo sát xây dựng (Bảng 2.23 Thông tư 12/2021/TT-BXD)</t>
  </si>
  <si>
    <t>2.2.2</t>
  </si>
  <si>
    <t>NC x 70%</t>
  </si>
  <si>
    <t>Tên nhân công</t>
  </si>
  <si>
    <t>Loại công trình</t>
  </si>
  <si>
    <t>Chi phí thẩm định dự toán (Thông tư 210/2016/TT-BTC)</t>
  </si>
  <si>
    <t>Quy định mức thu, chế độ thu, nộp, quản lý và sử dụng phí thẩm tra thiết kế công trình xây dựng</t>
  </si>
  <si>
    <t>Chi phí giám sát lắp đặt thiết bị (Bảng 2.22 Thông tư 12/2021/TT-BXD)</t>
  </si>
  <si>
    <t>3.2</t>
  </si>
  <si>
    <t>Theo bảng tổng hợp nhân công</t>
  </si>
  <si>
    <t>M</t>
  </si>
  <si>
    <t>- Một số tài liệu khác có liên quan.</t>
  </si>
  <si>
    <t>Chi phí xây dựng trước thuế</t>
  </si>
  <si>
    <t>- Vốn ngoài nước………… ..tại………………………...........................</t>
  </si>
  <si>
    <t>TTDT75$</t>
  </si>
  <si>
    <t xml:space="preserve">(Áp dụng đối với các khoản thanh toán vốn đầu tư thuộc nguồn vốn ngân sách nhà nước, vốn ngoài nước - Theo Nghị định 11/2020/NĐ-CP ngày 20/01/2020) </t>
  </si>
  <si>
    <t>10</t>
  </si>
  <si>
    <t>điểm</t>
  </si>
  <si>
    <t>TKKT79^</t>
  </si>
  <si>
    <t>3.7</t>
  </si>
  <si>
    <t>Tên vật liệu</t>
  </si>
  <si>
    <t>3.2.3</t>
  </si>
  <si>
    <t>http://dutoaneta.vn</t>
  </si>
  <si>
    <t>HS phụ</t>
  </si>
  <si>
    <t>12592</t>
  </si>
  <si>
    <t>Số vốn đã thanh toán trong năm…</t>
  </si>
  <si>
    <t>Tỷ lệ %</t>
  </si>
  <si>
    <t>1. Phí thẩm tra thiết kế</t>
  </si>
  <si>
    <t>Theo bảng tổng hợp dự toán chi phí XD</t>
  </si>
  <si>
    <t>Kỹ sư bậc 4,0/8</t>
  </si>
  <si>
    <t>Glhsmqt79</t>
  </si>
  <si>
    <t>DienBien_2011SC_DG136, DienBien_2012KS_DG136, DienBien_2012LD_DG136, DienBien_2012SC_DG136, DienBien_2012XD_DG136, DienBien_2017CIDT_DG131, DienBien_2017KS_DG130, DienBien_2017LD_DG130, DienBien_2017SC_DG130, DienBien_2017TNVL_DG130, DienBien_2017XD_DG130, DienBien_2021CIDT_DG1999, DienBien_2021KS_DG2000, DienBien_2021LD_DG2000, DienBien_2021LDM_DG2000, DienBien_2021SC_DG2000, DienBien_2021TN_DG2000, DienBien_2021XD_DG2000, DienBien_DTLS, DinhMuc_2016_DM4970, DinhMuc_2019KS_DM10, DinhMuc_2019LD_DM10, DinhMuc_2019LDM_DM10, DinhMuc_2019SC_DM10, DinhMuc_2019TNVL_DM10, DinhMuc_2019XD_DM10, DinhMuc_2021KS_DM12, DinhMuc_2021LD_DM12, DinhMuc_2021LDM_DM12, DinhMuc_2021SC_DM12, DinhMuc_2021SC_DM12_PCB30, DinhMuc_2021TNVL_DM12, DinhMuc_2021XD_DM12, DinhMuc_2021XD_DM12_PCB30</t>
  </si>
  <si>
    <t>Bảng số 17: Định mức chi phí thẩm tra thiết kế xây dựng</t>
  </si>
  <si>
    <t>THM</t>
  </si>
  <si>
    <t>Gqlda</t>
  </si>
  <si>
    <t>N2407</t>
  </si>
  <si>
    <t>GXD(Dự toán gói thầu)</t>
  </si>
  <si>
    <t>Định mức thực tế</t>
  </si>
  <si>
    <t>Tỷ lệ</t>
  </si>
  <si>
    <t>+ Số vốn ứng trước kế hoạch năm sau là số vốn được thanh toán đến 31/1 năm sau.</t>
  </si>
  <si>
    <t>Gthamdinh</t>
  </si>
  <si>
    <t>(Gxd+Gtb) x trước thuế x tỷ lệ</t>
  </si>
  <si>
    <t>Chi phí khảo sát xây dựng trước thuế</t>
  </si>
  <si>
    <t>Chi phí kiểm tra công tác nghiệm thu công trình xây dựng (Thông tư 10/2021/TT-BXD)</t>
  </si>
  <si>
    <t>4.2.4</t>
  </si>
  <si>
    <t>Gtt</t>
  </si>
  <si>
    <t>Theo Thông tư số 09/2016/TT-BTC ngày 18 tháng 01 năm 2016 của Bộ Tài chính</t>
  </si>
  <si>
    <t>Tên dự án:                                                                  Mã dự án:</t>
  </si>
  <si>
    <t>2.3</t>
  </si>
  <si>
    <t>Tên vữa/ vật liệu</t>
  </si>
  <si>
    <t>CachThamDinh</t>
  </si>
  <si>
    <t>M2411</t>
  </si>
  <si>
    <t>Chi phí tư vấn đầu tư xây dựng (Gtv):</t>
  </si>
  <si>
    <t xml:space="preserve"> Chi phí lập hồ sơ mời thầu, hồ sơ yêu cầu (Nghị định 63/2014/NĐ-CP)</t>
  </si>
  <si>
    <t>Cách tính giá VL</t>
  </si>
  <si>
    <t>T x 5%</t>
  </si>
  <si>
    <t>Phụ lục 04</t>
  </si>
  <si>
    <t>(Theo Bảng tính giá ca máy)</t>
  </si>
  <si>
    <t>Phụ lục số 2: Phí thẩm định thiết kế kỹ thuật khi cơ quan chuyên môn về xây dựng mời tổ chức tư vấn, cá nhân cùng thẩm định</t>
  </si>
  <si>
    <t>Tổng mức đầu tư được duyệt:</t>
  </si>
  <si>
    <t>C1 + CLM</t>
  </si>
  <si>
    <t>Cột 6: vốn tạm ứng theo chế độ còn lại chưa thu hồi đến 31/1 năm sau.</t>
  </si>
  <si>
    <t>4,23</t>
  </si>
  <si>
    <t>Sổ đo</t>
  </si>
  <si>
    <t>Chi phí di chuyển máy, thiết bị, nhân công</t>
  </si>
  <si>
    <t>Thẩm tra, phê duyệt (%)</t>
  </si>
  <si>
    <t>Hệ số chi phí hạng mục chung</t>
  </si>
  <si>
    <t>TTKT79^</t>
  </si>
  <si>
    <t>Mã CV</t>
  </si>
  <si>
    <t>Kiểu chiết tính</t>
  </si>
  <si>
    <t>Loại công trình:</t>
  </si>
  <si>
    <t>QLDA79$</t>
  </si>
  <si>
    <t>Thành tiền HT</t>
  </si>
  <si>
    <t>Căn cứ xác định:</t>
  </si>
  <si>
    <t>hsLapPA</t>
  </si>
  <si>
    <t>Kế hoặc năm...</t>
  </si>
  <si>
    <t>HẠNG MỤC: Khảo sát địa hình tỷ lệ 1/500</t>
  </si>
  <si>
    <t>Bảng số 4: Định mức chi phí lập báo cáo kinh tế - kỹ thuật</t>
  </si>
  <si>
    <t>Chi phí lập báo cáo kết quả khảo sát xây dựng</t>
  </si>
  <si>
    <t>5.2</t>
  </si>
  <si>
    <t>Cách thẩm định:</t>
  </si>
  <si>
    <t>Kế toán trưởng</t>
  </si>
  <si>
    <t>Thực hiện kỳ này</t>
  </si>
  <si>
    <t>Chi phí thiết kế bản vẽ thi công (Bảng 2.4-2.13 Thông tư 12/2021/TT-BXD)</t>
  </si>
  <si>
    <t>SUM</t>
  </si>
  <si>
    <t>Bù NL</t>
  </si>
  <si>
    <t>M1393</t>
  </si>
  <si>
    <t xml:space="preserve"> - Vật liệu khác</t>
  </si>
  <si>
    <t>Gdp1</t>
  </si>
  <si>
    <t>Hệ số phụ cấp khoán trực tiếp</t>
  </si>
  <si>
    <t>Gtv11 x trước thuế x tỷ lệ</t>
  </si>
  <si>
    <t>VL + NC + M</t>
  </si>
  <si>
    <t>Cách tính giá NC</t>
  </si>
  <si>
    <t>Glpa</t>
  </si>
  <si>
    <t>Chi phí thẩm định hồ sơ mời quan tâm, hồ sơ mời sơ tuyển được tính bằng 0,03% giá gói thầu nhưng tối thiểu là 1.000.000 đồng và tối đa là 30.000.000 đồng</t>
  </si>
  <si>
    <t>Chênh lệch vốn thanh toán trong năm:</t>
  </si>
  <si>
    <t>Gst x 0%</t>
  </si>
  <si>
    <t>1.3.2</t>
  </si>
  <si>
    <t>Cước ô tô mới</t>
  </si>
  <si>
    <t>BẢNG TỔNG HỢP CHI PHÍ THIẾT BỊ</t>
  </si>
  <si>
    <t>I.)</t>
  </si>
  <si>
    <t>T + GT + TL</t>
  </si>
  <si>
    <t>Phụ lục số 03.b</t>
  </si>
  <si>
    <t>Bảng số 21: Định mức chi phí lập hồ sơ mời thầu, đánh giá hồ sơ dự thầu mua sắm vật tư, thiết bị</t>
  </si>
  <si>
    <t>Chi phí thí nghiệm vật liệu của nhà thầu</t>
  </si>
  <si>
    <t>VT</t>
  </si>
  <si>
    <t>(tỷ đồng)</t>
  </si>
  <si>
    <t>Chi phí chung</t>
  </si>
  <si>
    <t>TTQT09$</t>
  </si>
  <si>
    <t>Mã NC</t>
  </si>
  <si>
    <t>Bằng chữ:……………………………………………………………………………………….</t>
  </si>
  <si>
    <t>BẢNG XÁC ĐỊNH GIÁ TRỊ KHỐI LƯỢNG CÔNG VIỆC HOÀN THÀNH THEO HỢP ĐỒNG ĐỀ NGHỊ THANH TOÁN</t>
  </si>
  <si>
    <t>4,33</t>
  </si>
  <si>
    <t>Chi phí một số công tác không xác định được khối lượng từ thiết kế</t>
  </si>
  <si>
    <t>2.3.3</t>
  </si>
  <si>
    <t>Tổng mức đầu tư (Tỷ đồng)</t>
  </si>
  <si>
    <t>Hệ số chi phí chỗ ở tạm thời</t>
  </si>
  <si>
    <t>TTTK210$</t>
  </si>
  <si>
    <t>B</t>
  </si>
  <si>
    <t>4.3</t>
  </si>
  <si>
    <t xml:space="preserve"> - Nhân hệ số bù giá nhân công</t>
  </si>
  <si>
    <t>TTTK75$</t>
  </si>
  <si>
    <t>LXL79$</t>
  </si>
  <si>
    <t>G</t>
  </si>
  <si>
    <t>Một tỷ năm trăm ba mươi mốt triệu bốn trăm chín mươi bảy nghìn đồng</t>
  </si>
  <si>
    <t>Glnvks</t>
  </si>
  <si>
    <t>- Vốn ngoài nước: là số vốn ngoài nước được kéo dài thanh toán như vốn trong nước (như vốn vay của Cơ quan phát triển Pháp AFD...)</t>
  </si>
  <si>
    <t>Hệ số chi phí chung</t>
  </si>
  <si>
    <t>3.3.4</t>
  </si>
  <si>
    <t>&lt;=15</t>
  </si>
  <si>
    <t>- Nghị định 146/2017/NĐ-CP sửa đổi Nghị định 100/2016/NĐ-CP và Nghị định 12/2015/NĐ-CP về thuế GTGT, thuế TNDN.</t>
  </si>
  <si>
    <t>Chi phí bảo hiểm công trình (Thông tư 50/2022/TT-BTC)</t>
  </si>
  <si>
    <t>Chi phí an toàn lao động</t>
  </si>
  <si>
    <t>Gtkbv</t>
  </si>
  <si>
    <t>Nhân công</t>
  </si>
  <si>
    <t>Tình hình thanh toán vốn:</t>
  </si>
  <si>
    <t>Chi phí thẩm tra Báo cáo kinh tế - kỹ thuật (Thông tư 12/2021/TT-BXD)</t>
  </si>
  <si>
    <t>CLVL</t>
  </si>
  <si>
    <t>TL</t>
  </si>
  <si>
    <t>Chi phí lập nhiệm vụ khảo sát xây dựng</t>
  </si>
  <si>
    <t>Sơn trắng+đỏ</t>
  </si>
  <si>
    <t>III</t>
  </si>
  <si>
    <t>Ngày ... tháng ... năm 2016</t>
  </si>
  <si>
    <t>Bảng số 18: Định mức Chi phí thẩm tra dự toán công trình</t>
  </si>
  <si>
    <t>GIÁ TRỊ
TRƯỚC THUẾ</t>
  </si>
  <si>
    <t>Đơn giá TB</t>
  </si>
  <si>
    <t>Theo bảng tiên lượng</t>
  </si>
  <si>
    <t>4.3.5</t>
  </si>
  <si>
    <t>Glt+tt</t>
  </si>
  <si>
    <t>GGTXD (Dự toán gói thầu)</t>
  </si>
  <si>
    <t>Địa điểm xây dựng</t>
  </si>
  <si>
    <t>Đơn vị tính</t>
  </si>
  <si>
    <t>Chi phí lập báo cáo nghiên cứu khả thi (Bảng 2.2 Thông tư 12/2021/TT-BXD)</t>
  </si>
  <si>
    <t>BẢNG TỔNG HỢP MÁY</t>
  </si>
  <si>
    <t>2.2.4</t>
  </si>
  <si>
    <t>Gtmdt</t>
  </si>
  <si>
    <t>Vốn tạm ứng theo chế độ chưa thu hồi</t>
  </si>
  <si>
    <t>Chi phí khảo sát</t>
  </si>
  <si>
    <t>Điện Biên</t>
  </si>
  <si>
    <t>HM1</t>
  </si>
  <si>
    <t>5.3.1</t>
  </si>
  <si>
    <t>Xuất ra từ phiên bản</t>
  </si>
  <si>
    <t>4,10</t>
  </si>
  <si>
    <t>Cọc gỗ (4x4x40) cm</t>
  </si>
  <si>
    <t>Chi phí xây dựng và thiết bị (chưa có thuế GTGT) (tỷ đồng)</t>
  </si>
  <si>
    <t>QĐ phê duyệt phương án bồi thường, hỗ trợ và tái định cư</t>
  </si>
  <si>
    <t>LoaiThietKe</t>
  </si>
  <si>
    <t>Gxd+Gtb+Gqlda+Gtv+Gk+Gdp</t>
  </si>
  <si>
    <t>Bù giá</t>
  </si>
  <si>
    <t>I.) VẬT LIỆU</t>
  </si>
  <si>
    <t>hsVAT</t>
  </si>
  <si>
    <t>III.) MÁY THI CÔNG</t>
  </si>
  <si>
    <t>PCCC258$</t>
  </si>
  <si>
    <t>Gktruc</t>
  </si>
  <si>
    <t>Gthamtra</t>
  </si>
  <si>
    <t>(Gxd + Ghmc) x 5%</t>
  </si>
  <si>
    <t>2.2</t>
  </si>
  <si>
    <t>3.2.5</t>
  </si>
  <si>
    <t>Kiểu Tiên lượng</t>
  </si>
  <si>
    <t>T</t>
  </si>
  <si>
    <t>Ggsks</t>
  </si>
  <si>
    <t>Chi phí tư vấn (chưa có thuế GTGT) của giá gói thầu được duyệt (tỷ đồng)</t>
  </si>
  <si>
    <t>TDDA^</t>
  </si>
  <si>
    <t>Công trình hạ tầng kỹ thuật</t>
  </si>
  <si>
    <t>CLNC</t>
  </si>
  <si>
    <t>BẢNG TỔNG HỢP VẬT LIỆU - NHÂN CÔNG - MÁY THI CÔNG</t>
  </si>
  <si>
    <t>LÀM TRÒN</t>
  </si>
  <si>
    <t>Glhsyc79</t>
  </si>
  <si>
    <t>4.2.1</t>
  </si>
  <si>
    <t>GSLD79$</t>
  </si>
  <si>
    <t>Giá trị sau thuế</t>
  </si>
  <si>
    <t>Cpvks</t>
  </si>
  <si>
    <t>(T + GT + TL) x 3%</t>
  </si>
  <si>
    <t>Chi phí thẩm tra thiết kế bản vẽ thi công</t>
  </si>
  <si>
    <t>THUẾ GTGT</t>
  </si>
  <si>
    <t>Theo Thông tư số 75/2014/TT- BTC ngày 12 tháng 6 năm 2014 của Bộ Tài chính</t>
  </si>
  <si>
    <t>Dự án: Quy hoạch chi tiết tỷ lệ 1/500 trung tâm thị trấn Tủa Chùa, huyện Tủa Chùa.</t>
  </si>
  <si>
    <t>Gbommin</t>
  </si>
  <si>
    <t>^</t>
  </si>
  <si>
    <t>&lt;= 10</t>
  </si>
  <si>
    <t>TỔNG SỐ:</t>
  </si>
  <si>
    <t xml:space="preserve">Chi phí thi tuyển thiết kế kiến trúc </t>
  </si>
  <si>
    <t>Gtv</t>
  </si>
  <si>
    <t>LoaiCongTrinh</t>
  </si>
  <si>
    <t>STT</t>
  </si>
  <si>
    <t>5.2.2</t>
  </si>
  <si>
    <t>Thành tiền (đồng)</t>
  </si>
  <si>
    <t>GIẤY ĐỀ NGHỊ THANH TOÁN VỐN ĐẦU TƯ</t>
  </si>
  <si>
    <t>&lt;= 15</t>
  </si>
  <si>
    <t>Trực tiếp phí khác</t>
  </si>
  <si>
    <t>MSVT</t>
  </si>
  <si>
    <t>-</t>
  </si>
  <si>
    <t>NUYỀN VĂN A</t>
  </si>
  <si>
    <t>Thuế VAT:</t>
  </si>
  <si>
    <t>Độc lập- Tự do- Hạnh phúc</t>
  </si>
  <si>
    <t>Chi phí vật tư, thiết bị (chưa có thuế GTGT) của giá gói thầu được duyệt (tỷ đồng)</t>
  </si>
  <si>
    <t>4,20</t>
  </si>
  <si>
    <t>Chi phí các hạng Mục chung còn lại</t>
  </si>
  <si>
    <t>Chủ đầu tư:</t>
  </si>
  <si>
    <t>TỔNG CỘNG (1+2+3)</t>
  </si>
  <si>
    <t>Chi phí xây dựng (chưa có thuế GTGT) (tỷ đồng)</t>
  </si>
  <si>
    <t>1.3</t>
  </si>
  <si>
    <t>Gttdt</t>
  </si>
  <si>
    <t>2</t>
  </si>
  <si>
    <t>4,25</t>
  </si>
  <si>
    <t>Tổng chi phí gián tiếp</t>
  </si>
  <si>
    <t>Hệ số phụ cấp trách nhiệm</t>
  </si>
  <si>
    <t>Gtttktc</t>
  </si>
  <si>
    <t>hs riêng nhân công</t>
  </si>
  <si>
    <t>1.3.1</t>
  </si>
  <si>
    <t>7</t>
  </si>
  <si>
    <t>Cấp IV</t>
  </si>
  <si>
    <t>Đơn vị tính : đồng</t>
  </si>
  <si>
    <t>Cước biển</t>
  </si>
  <si>
    <t>Gtdhsmqt</t>
  </si>
  <si>
    <t>Vốn ứng trước kế hoạch năm sau (vốn trong nước)</t>
  </si>
  <si>
    <t>Tổng mức đầu tư không có chi phí giải phóng mặt bằng(Gxdct-Ggpmb):</t>
  </si>
  <si>
    <t>(Ký, ghi rõ họ tên)</t>
  </si>
  <si>
    <t>Giá trị dự toán:</t>
  </si>
  <si>
    <t>Loại thiết kế</t>
  </si>
  <si>
    <t>Bảng số 23: Định mức chi phí giám sát lắp đặt thiết bị</t>
  </si>
  <si>
    <t>Bảng số 2: Định mức chi phí lập báo cáo nghiên cứu tiền khả thi</t>
  </si>
  <si>
    <t>Phụ lục số 3: Phí thẩm tra thiết kế xây dựng công trình sử dụng nguồn vốn khác</t>
  </si>
  <si>
    <t>công</t>
  </si>
  <si>
    <t>KL máy</t>
  </si>
  <si>
    <t>Giá dự thầu</t>
  </si>
  <si>
    <t>5. Thanh toán thu hồi tạm ứng:</t>
  </si>
  <si>
    <t>Số tiền bằng chữ:………………………...(là số tiền đề nghị thanh toán kỳ này).</t>
  </si>
  <si>
    <t>Đơn vị tính: Đồng</t>
  </si>
  <si>
    <t>ĐV Tính</t>
  </si>
  <si>
    <t>Gtv1 x trước thuế x tỷ lệ</t>
  </si>
  <si>
    <t>Có tính</t>
  </si>
  <si>
    <t>(T+ GT) x 6,0%</t>
  </si>
  <si>
    <t>4.2</t>
  </si>
  <si>
    <t>Chi phí rà phá bom mìn, vật nổ</t>
  </si>
  <si>
    <t>Khối lượng</t>
  </si>
  <si>
    <t>Quy định mức thu, chế độ thu, nộp, quản lý và sử dụng phí thẩm định thiết kế kỹ thuật, phí thẩm định dự toán xây dựng</t>
  </si>
  <si>
    <t>Bảng số 20: Định mức chi phí lập hồ sơ mời thầu, đánh giá hồ sơ dự thầu thi công xây dựng</t>
  </si>
  <si>
    <t>Gtkkt</t>
  </si>
  <si>
    <t>TTTKXD79$</t>
  </si>
  <si>
    <t>Tổng mức đầu tư (Gxdct):</t>
  </si>
  <si>
    <t>CỘNG HÒA XÃ HỘI CHỦ NGHĨA VIỆT NAM</t>
  </si>
  <si>
    <t>&lt;=</t>
  </si>
  <si>
    <t>Đo vẽ chi tiết bản đồ địa hình trên cạn bằng  máy toàn đạc điện tử và máy thủy bình điện tử; bản đồ tỷ lệ 1/500, đường đồng mức 1m, cấp địa hình IV</t>
  </si>
  <si>
    <t>Độc hại</t>
  </si>
  <si>
    <t>Định mức chi phí kiểm toán độc lập Thông tư 10/2020/TT-BTC ngày 20 tháng 02 năm 2020</t>
  </si>
  <si>
    <t>Chi phí lập dự án</t>
  </si>
  <si>
    <t>Quy định mức thu, chế độ thu, nộp, quản lý và sử dụng phí thẩm định phê duyệt thiết kế phòng cháy chữa cháy</t>
  </si>
  <si>
    <t>Chi phí thẩm định hồ sơ mời thầu, hồ sơ yêu cầu (Nghị định 63/2014/NĐ-CP)</t>
  </si>
  <si>
    <t>3. Đơn giá:</t>
  </si>
  <si>
    <t>1.2.2</t>
  </si>
  <si>
    <t>Theo bảng dưới đây (khung nào không sử dụng thì gạch chéo)</t>
  </si>
  <si>
    <t>﻿Khảo sát địa hình tỷ lệ 1/500</t>
  </si>
  <si>
    <t>BẢNG TÍNH GIÁ VỮA</t>
  </si>
  <si>
    <t>1 ha</t>
  </si>
  <si>
    <t>Chi phí xây dựng nhà tạm tại hiện trường để ở và Điều hành thi công tại hiện trường</t>
  </si>
  <si>
    <t>Giá trị</t>
  </si>
  <si>
    <t>Cao</t>
  </si>
  <si>
    <t>Ggtxd</t>
  </si>
  <si>
    <t>Hệ số lán trại, nhà tạm</t>
  </si>
  <si>
    <t>Chi phí thẩm tra, phê duyệt quyết toán (Nghị định 99/2021/NĐ-CP)</t>
  </si>
  <si>
    <t>I</t>
  </si>
  <si>
    <t>2.2.3</t>
  </si>
  <si>
    <t>Khối lượng phát sinh so với hợp đồng ban đầu</t>
  </si>
  <si>
    <t>Đá 1x2</t>
  </si>
  <si>
    <t>Luỹ kế số vốn đã thanh toán từ khởi công đến cuối kỳ trước</t>
  </si>
  <si>
    <t>Tên thông tin</t>
  </si>
  <si>
    <t>Tổng cước</t>
  </si>
  <si>
    <t>Bảng số 19: Định mức chi phí lập hồ sơ mời thầu, đánh giá hồ sơ dự thầu tư vấn</t>
  </si>
  <si>
    <t>3.3</t>
  </si>
  <si>
    <t>hsBGNC</t>
  </si>
  <si>
    <t>hsHMC</t>
  </si>
  <si>
    <t>Chi phí thẩm định hồ sơ mời thầu, hồ sơ yêu cầu được tính bằng 0,05% giá gói thầu nhưng tối thiểu là 1.000.000 đồng và tối đa là 50.000.000 đồng</t>
  </si>
  <si>
    <t>Chi phí bảo vệ môi trường cho người lao động và môi trường xung quanh</t>
  </si>
  <si>
    <t>Thiết kế 3 bước (thiết kế kỹ thuật)</t>
  </si>
  <si>
    <t>10380</t>
  </si>
  <si>
    <t>11</t>
  </si>
  <si>
    <t>hsLapBC</t>
  </si>
  <si>
    <t>...</t>
  </si>
  <si>
    <t>Bảng số 16: Định mức chi phí thẩm tra báo cáo nghiên cứu khả thi</t>
  </si>
  <si>
    <t>Gttbcnctkt</t>
  </si>
  <si>
    <t>Chi phí thẩm định kết quả lựa chọn nhà thầu kể cả trường hợp không lựa chọn được nhà thầu được tính bằng 0,05% giá gói thầu nhưng tối thiểu là 1.000.000 đồng và tối đa là 50.000.000 đồng</t>
  </si>
  <si>
    <t>TTDT210$</t>
  </si>
  <si>
    <t>Chi phí khác phục vụ khảo sát</t>
  </si>
  <si>
    <t>Cước TC</t>
  </si>
  <si>
    <t>Chi phí đảm an toàn giao thông phục vụ thi công</t>
  </si>
  <si>
    <t>Diễn giải khối lượng</t>
  </si>
  <si>
    <t>Tên dự án:</t>
  </si>
  <si>
    <t>Glbc</t>
  </si>
  <si>
    <t>Dự toán gói thầu trước thuế x tỷ lệ</t>
  </si>
  <si>
    <t>Gtdkqnt</t>
  </si>
  <si>
    <t>Bảng số 3: Định mức chi phí lập báo cáo nghiên cứu khả thi</t>
  </si>
  <si>
    <t>Kính gửi: Kho bạc nhà nước ………………………..</t>
  </si>
  <si>
    <t>Bảng số 24: Định mức chi phí giám sát công tác khảo sát</t>
  </si>
  <si>
    <t>Chi phí cho Hội đồng tư vấn giải quyết kiến nghị của nhà thầu về kết quả</t>
  </si>
  <si>
    <t>Hội đồng đền bù GPMB</t>
  </si>
  <si>
    <t>Bộ thiết bị GPS G3100-R2 hoặc loại tương tự (3 máy)</t>
  </si>
  <si>
    <t>5.3.3</t>
  </si>
  <si>
    <t>hsLTNT</t>
  </si>
  <si>
    <t>Đơn giá thanh toán</t>
  </si>
  <si>
    <t>TCPDA</t>
  </si>
  <si>
    <t>CHỦ ĐẦU TƯ:</t>
  </si>
  <si>
    <t>Nội dung chi phí</t>
  </si>
  <si>
    <t>- Thuế giá trị gia tăng</t>
  </si>
  <si>
    <t>Phục cấp khu vực</t>
  </si>
  <si>
    <t>GiaTB</t>
  </si>
  <si>
    <t>TTDT75^</t>
  </si>
  <si>
    <t>Hệ số bù giá nhân công</t>
  </si>
  <si>
    <t>KÝ HIỆU</t>
  </si>
  <si>
    <t>Vật liệu</t>
  </si>
  <si>
    <t>II</t>
  </si>
  <si>
    <t>Chi phí thẩm tra dự toán công trình (Bảng 2.17 Thông tư 12/2021/TT-BXD)</t>
  </si>
  <si>
    <t>Ký hiệu</t>
  </si>
  <si>
    <t>Tên đơn vị thụ hưởng………………………………………………</t>
  </si>
  <si>
    <t>2.4</t>
  </si>
  <si>
    <t>CHI PHÍ HẠNG MỤC CHUNG</t>
  </si>
  <si>
    <t>Số liệu của Kho bạc nơi giao dịch:</t>
  </si>
  <si>
    <t>Hệ số phụ cấp lưu động</t>
  </si>
  <si>
    <t>Công trình giao thông</t>
  </si>
  <si>
    <t>[4]</t>
  </si>
  <si>
    <t>Dự toán được duyệt hoặc giá trị trúng thầu hoặc giá trị hợp đồng</t>
  </si>
  <si>
    <t>Phụ cấp lưu động</t>
  </si>
  <si>
    <t>Cấp III</t>
  </si>
  <si>
    <t>Độc lập - Tự do - Hạnh phúc</t>
  </si>
  <si>
    <t>Phụ lục 05</t>
  </si>
  <si>
    <t>Giá trị trước thuế</t>
  </si>
  <si>
    <t>Giá TB x HS</t>
  </si>
  <si>
    <t>Vật liệu khác</t>
  </si>
  <si>
    <t>III.)</t>
  </si>
  <si>
    <t>Công trình dân dụng</t>
  </si>
  <si>
    <t>TTTKT79$</t>
  </si>
  <si>
    <t>hsRM</t>
  </si>
  <si>
    <t>CÔNG TRÌNH:</t>
  </si>
  <si>
    <t>Thời gian xuất</t>
  </si>
  <si>
    <t>Vốn thanh toán trong năm (1+2+3)</t>
  </si>
  <si>
    <t>Nhà thầu:</t>
  </si>
  <si>
    <t>Năm…</t>
  </si>
  <si>
    <t>(Gxd+Gtb+Gqlda+Gtv+Gk) x trước thuế x tỷ lệ</t>
  </si>
  <si>
    <t>Các khoản phụ cấp</t>
  </si>
  <si>
    <t>ĐƠN VỊ LẬP</t>
  </si>
  <si>
    <t>Mẫu THKPHM</t>
  </si>
  <si>
    <t>Thanh toán khối lượng hoàn thành</t>
  </si>
  <si>
    <t>BẢNG TỔNG HỢP KINH PHÍ HẠNG MỤC</t>
  </si>
  <si>
    <t>Hệ số bù giá máy</t>
  </si>
  <si>
    <t>CHI PHÍ TRỰC TIẾP</t>
  </si>
  <si>
    <t>5.3</t>
  </si>
  <si>
    <t>Xi măng PCB30</t>
  </si>
  <si>
    <t>Công trình nông nghiệp và phát triển nông thôn</t>
  </si>
  <si>
    <t>Chênh lệch giá HT</t>
  </si>
  <si>
    <t>CÔNG TRÌNH: Dự án: Quy hoạch chi tiết tỷ lệ 1/500 trung tâm thị trấn Tủa Chùa, huyện Tủa Chùa.</t>
  </si>
  <si>
    <t>1.5</t>
  </si>
  <si>
    <t>CỘNG HẠNG MỤC</t>
  </si>
  <si>
    <t>Đơn vị: đồng</t>
  </si>
  <si>
    <t>04513</t>
  </si>
  <si>
    <t>IV</t>
  </si>
  <si>
    <t>Gdp2</t>
  </si>
  <si>
    <t>Loại công trình/
Loại thiết kế/
cấp công trình</t>
  </si>
  <si>
    <t>[Name]</t>
  </si>
  <si>
    <t>Cước sông</t>
  </si>
  <si>
    <t>Chi phí dự phòng (GDPXD1 + GDPXD2)</t>
  </si>
  <si>
    <t>Tên CK</t>
  </si>
  <si>
    <t>Ghi chú : + Số vốn thanh toán trong năm là số vốn được thanh toán theo niên độ NSNN theo quy định (đến hết 31/1năm sau).</t>
  </si>
  <si>
    <t>- Định mức dự toán công tác dịch vụ công ích công bố kèm theo văn bản số 590, 591, 592, 593, 594/QĐ-BXD ngày 30/05/2014 của Bộ xây dựng.</t>
  </si>
  <si>
    <t>Số tiền đề nghị:</t>
  </si>
  <si>
    <t>1.3.3</t>
  </si>
  <si>
    <t>9</t>
  </si>
  <si>
    <t>Chi phí vật liệu</t>
  </si>
  <si>
    <t>[5]</t>
  </si>
  <si>
    <t>Tổng mức đầu tư dự án (tỷ đồng)</t>
  </si>
  <si>
    <t>1. Các văn bản:</t>
  </si>
  <si>
    <t>Tổng số</t>
  </si>
  <si>
    <t>QLDA79^</t>
  </si>
  <si>
    <t>02551</t>
  </si>
  <si>
    <t>6. Giá trị đề nghị thanh toán kỳ này:</t>
  </si>
  <si>
    <t>cái</t>
  </si>
  <si>
    <t>Kho bạc nhà nước</t>
  </si>
  <si>
    <t>BẢNG GIÁ VẬT LIỆU</t>
  </si>
  <si>
    <t>&lt;=5</t>
  </si>
  <si>
    <t>Chi phí xây dựng của gói thầu</t>
  </si>
  <si>
    <t>Gdgtdmt</t>
  </si>
  <si>
    <t>Luỹ kế vốn thanh toán từ khởi công đến hết niên độ ngân sách năm kế hoạch:</t>
  </si>
  <si>
    <t xml:space="preserve"> - Đơn giá máy</t>
  </si>
  <si>
    <t>Tên công trình</t>
  </si>
  <si>
    <t>Tạm ứng</t>
  </si>
  <si>
    <t>2.3.4</t>
  </si>
  <si>
    <t>Số tiền bồi thường, hỗ trợ và tái định cư đã chi trả cho đơn vị thụ hưởng theo phương án được duyệt</t>
  </si>
  <si>
    <t>C</t>
  </si>
  <si>
    <t>Định mức chi phí kiểm toán độc lập</t>
  </si>
  <si>
    <t>Cận trên</t>
  </si>
  <si>
    <t>Chi phí lập hồ sơ mời thầu, đánh giá hồ sơ dự thầu mua sắm vật tư, thiết bị (Bảng 2.20 Thông tư 12/2021/TT-BXD)</t>
  </si>
  <si>
    <t>Gst+Gdp</t>
  </si>
  <si>
    <t>+ Vốn ngoài nước……………………………………</t>
  </si>
  <si>
    <t>ttqh</t>
  </si>
  <si>
    <t>HẠNG MỤC</t>
  </si>
  <si>
    <t>TTQT09^</t>
  </si>
  <si>
    <t>3.3.5</t>
  </si>
  <si>
    <t>7. Luỹ kế giá trị thanh toán:</t>
  </si>
  <si>
    <t>TỔNG CỘNG (CNT + CKKL + CK)</t>
  </si>
  <si>
    <t>ZV999</t>
  </si>
  <si>
    <t>Định mức khác</t>
  </si>
  <si>
    <t>Ko tính</t>
  </si>
  <si>
    <t>Thiết kế 2 bước (thiết kế bản vẽ thi công)</t>
  </si>
  <si>
    <t>TDDA209$</t>
  </si>
  <si>
    <t>hsnc</t>
  </si>
  <si>
    <t>1.2.4</t>
  </si>
  <si>
    <t>TTTK210^</t>
  </si>
  <si>
    <t>4.3.1</t>
  </si>
  <si>
    <t>Gdpxd1</t>
  </si>
  <si>
    <t>Hệ số điều chỉnh</t>
  </si>
  <si>
    <t>Thiết kế 3 bước</t>
  </si>
  <si>
    <t>KL phụ</t>
  </si>
  <si>
    <t>Gdpxd1 + Gdpxd2</t>
  </si>
  <si>
    <t>Bẵng chữ: Không đồng chẵn./.</t>
  </si>
  <si>
    <t>TTTK75^</t>
  </si>
  <si>
    <t>[6]</t>
  </si>
  <si>
    <t>-------------o0o-------------</t>
  </si>
  <si>
    <t>LXL79^</t>
  </si>
  <si>
    <t>Chi phí xây dựng (chưa có thuế GTGT) trong tổng mức đầu tư được duyệt hoặc giá gói thầu được duyệt (tỷ đồng)</t>
  </si>
  <si>
    <t>Các chi phí khác...</t>
  </si>
  <si>
    <t>Vốn TN</t>
  </si>
  <si>
    <t>Mã dự án đầu tư:</t>
  </si>
  <si>
    <t>2.2.5</t>
  </si>
  <si>
    <t>Thông tư số 210/2016/TT- BTC ngày 10/11/2016 của Bộ Tài chính
Thông tư số 27/2023/TT- BTC ngày 12/05/2023 của Bộ Tài chính</t>
  </si>
  <si>
    <t>Chi phí lập hồ sơ mời thầu, đánh giá hồ sơ dự thầu thi công xây dựng (Bảng 2.19 Thông tư 12/2021/TT-BXD)</t>
  </si>
  <si>
    <t>km</t>
  </si>
  <si>
    <t>5.3.2</t>
  </si>
  <si>
    <t xml:space="preserve"> - Nhân hệ số điều chỉnh</t>
  </si>
  <si>
    <t>Chi phí cho Hội đồng tư vấn giải quyết kiến nghị của nhà thầu (Nghị định 63/2014/NĐ-CP)</t>
  </si>
  <si>
    <t>3.5</t>
  </si>
  <si>
    <t>LHSTV79$</t>
  </si>
  <si>
    <t>Gttbcnckt</t>
  </si>
  <si>
    <t>Chi phí đánh giá hồ sơ dự thầu, hồ sơ đề xuất được tính bằng 0,1% giá gói thầu nhưng tối thiểu là 1.000.000 đồng và tối đa là 50.000.000 đồng.</t>
  </si>
  <si>
    <t>3.2.1</t>
  </si>
  <si>
    <t>Chi phí tư vấn đầu tư xây dựng</t>
  </si>
  <si>
    <t>- Công bố giá vật liệu xây dựng theo Công bố …/CB-SXD ngày …/…/ của Sở Xây dựng</t>
  </si>
  <si>
    <t>1. Tổng giá trị khối lượng phát sinh:</t>
  </si>
  <si>
    <t>Chi phí thẩm tra thiết kế xây dựng (Bảng 2.16 Thông tư 12/2021/TT-BXD)</t>
  </si>
  <si>
    <t>13</t>
  </si>
  <si>
    <t>ca</t>
  </si>
  <si>
    <t>Chi phí xây dựng (chưa có thuế GTGT) trong dự toán công trình hoặc dự toán gói thầu được duyệt (tỷ đồng)</t>
  </si>
  <si>
    <t>Cát vàng</t>
  </si>
  <si>
    <t>GXD</t>
  </si>
  <si>
    <t>Chi phí lập báo cáo nghiên cứu tiền khả thi (Bảng 2.1 Thông tư 12/2021/TT-BXD)</t>
  </si>
  <si>
    <t>Máy</t>
  </si>
  <si>
    <t>hsCPC</t>
  </si>
  <si>
    <t>C + Glt+tt</t>
  </si>
  <si>
    <t>Trách nhiệm</t>
  </si>
  <si>
    <t>Nghị định 63/2014/NĐ-CP</t>
  </si>
  <si>
    <t>Phụ lục số 1: Phí thẩm tra thiết kế xây dựng công trình sử dụng vốn ngân sách nhà nước do cơ quan quản lý nhà nước thực hiện toàn bộ công việc thẩm tra</t>
  </si>
  <si>
    <t>3. Số tiền đã thanh toán khối lượng hoàn thành đến cuối kỳ trước:</t>
  </si>
  <si>
    <t>KL thi công</t>
  </si>
  <si>
    <t>Quyết định đầu tư được duyệt (số, ngày, tháng, năm):</t>
  </si>
  <si>
    <t>Vốn ngoài nước</t>
  </si>
  <si>
    <t>Số: ......./.......</t>
  </si>
  <si>
    <t>4.2.2</t>
  </si>
  <si>
    <t>CÔNG TY CỔ PHẦN TIN HỌC ETA</t>
  </si>
  <si>
    <t>Quy định mức thu, chế độ thu, nộp, quản lý và sử dụng phí thẩm định dự án đầu tư xây dựng, phí thẩm định thiết kế cơ sở</t>
  </si>
  <si>
    <t>BẢNG GIÁ NHÂN CÔNG</t>
  </si>
  <si>
    <t>I. Căn cứ lập:</t>
  </si>
  <si>
    <t>CNT</t>
  </si>
  <si>
    <t>đồng</t>
  </si>
  <si>
    <t>Tên máy</t>
  </si>
  <si>
    <t>Theo hợp đồng</t>
  </si>
  <si>
    <t>Gtttk_BTC</t>
  </si>
  <si>
    <t>Chi phí thẩm tra tính hiệu quả và tính khả thi của dự án đầu tư</t>
  </si>
  <si>
    <t>Mã hiệu</t>
  </si>
  <si>
    <t>CPKT09$</t>
  </si>
  <si>
    <t xml:space="preserve">   - Khảo sát địa hình tỷ lệ 1/500</t>
  </si>
  <si>
    <t>Gks</t>
  </si>
  <si>
    <t>Chi phí thẩm định thiết kế (Thông tư 210/2016/TT-BTC)</t>
  </si>
  <si>
    <t>PCCC258^</t>
  </si>
  <si>
    <t>5.2.3</t>
  </si>
  <si>
    <t>10577</t>
  </si>
  <si>
    <t>Bù NG</t>
  </si>
  <si>
    <t>Chi phí quản lý dự án</t>
  </si>
  <si>
    <t>HỒ SƠ DỰ TOÁN</t>
  </si>
  <si>
    <t>THUẾ GIÁ TRỊ GIA TĂNG</t>
  </si>
  <si>
    <t>Ngày……. tháng….. năm….</t>
  </si>
  <si>
    <t>GGTXD</t>
  </si>
  <si>
    <t>NUYỀN VĂN B</t>
  </si>
  <si>
    <t xml:space="preserve"> - Hệ số điều chỉnh vật liệu</t>
  </si>
  <si>
    <t>2. Giá trị tạm ứng theo hợp đồng còn lại chưa thu hồi đến cuối kỳ trước:</t>
  </si>
  <si>
    <t>Kiểm toán ( %)</t>
  </si>
  <si>
    <t>Theo bảng tổng hợp máy</t>
  </si>
  <si>
    <t>GSLD79^</t>
  </si>
  <si>
    <t>hsKVM</t>
  </si>
  <si>
    <t>4,21</t>
  </si>
  <si>
    <t>Bảng số 22: Định mức chi phí giám sát thi công xây dựng</t>
  </si>
  <si>
    <t>1.4</t>
  </si>
  <si>
    <t>Chủ đầu tư:……</t>
  </si>
  <si>
    <t>3</t>
  </si>
  <si>
    <t>HẠNG MỤC:</t>
  </si>
  <si>
    <t>Theo Thông tư số 150/2014/TT- BTC ngày 10 tháng 10 năm 2014 của Bộ Tài chính</t>
  </si>
  <si>
    <t>Thông tư số 209/2016/TT-BTC ngày 10/11/2016 của Bộ Tài chính
Thông tư số 28/2023/TT-BTC ngày 12/05/2023 của Bộ Tài chính</t>
  </si>
  <si>
    <t>4,26</t>
  </si>
  <si>
    <t>Chi phí giám sát thi công xây dựng (Bảng 2.21 Thông tư 12/2021/TT-BXD)</t>
  </si>
  <si>
    <t>A1 +CLVL</t>
  </si>
  <si>
    <t>Công tác đo lưới khống chế mặt bằng, đường chuyền cấp II, Bộ thiết bị GPS (3 máy)</t>
  </si>
  <si>
    <t>Chi phí thẩm định hồ sơ mời quan tâm, hồ sơ mời sơ tuyển (Nghị định 63/2014/NĐ-CP)</t>
  </si>
  <si>
    <t>8</t>
  </si>
  <si>
    <t>- Chi phí một số công tác không xác định được khối lượng từ thiết kế</t>
  </si>
  <si>
    <t>CG.11330</t>
  </si>
  <si>
    <t>Hệ số Chi phí dự phòng</t>
  </si>
  <si>
    <t>hsCO</t>
  </si>
  <si>
    <t>quyển</t>
  </si>
  <si>
    <t>DinhMuc_2021KS_DM12  Thông tư 12/2021/TT-BXD ngày 31/8/2021 của Bộ Xây dựng</t>
  </si>
  <si>
    <t>BẢNG TỔNG HỢP NHÂN CÔNG LÁI MÁY</t>
  </si>
  <si>
    <t>Thuế giá trị gia tăng</t>
  </si>
  <si>
    <t>Theo Thông tư số 176/2011/TT-BTC ngày 6/12/2011 của Bộ Tài chính</t>
  </si>
  <si>
    <t>Kế toán trưởng          Thủ trưởng đơn vị</t>
  </si>
  <si>
    <t>(bảng tổng hợp dự toán gói thầu)</t>
  </si>
  <si>
    <t>CKKL</t>
  </si>
  <si>
    <t>05710</t>
  </si>
  <si>
    <t>Glhsmt</t>
  </si>
  <si>
    <t>- Căn cứ vào khối lượng xác định từ hồ sơ bản vẽ thiết kế.</t>
  </si>
  <si>
    <t>NGƯỜI CHỦ TRÌ</t>
  </si>
  <si>
    <t>Thuế VAT</t>
  </si>
  <si>
    <t>LBC79$</t>
  </si>
  <si>
    <t>Thẩm tra, phê duyệt quyết toán (%)</t>
  </si>
  <si>
    <t>TTQT^</t>
  </si>
  <si>
    <t>Định mức %</t>
  </si>
  <si>
    <t>Số liệu tính giá NC</t>
  </si>
  <si>
    <t>Số lượng</t>
  </si>
  <si>
    <t>GSTC79$</t>
  </si>
  <si>
    <t>BẢNG TỔNG HỢP DỰ TOÁN GÓI THẦU THI CÔNG XÂY DỰNG</t>
  </si>
  <si>
    <t>G+Glpa+Glbc</t>
  </si>
  <si>
    <t>(Ban hành kèm theo Thông tư số: 08/2016/TT-BTC ngày 18 tháng 01 năm 2016 của Bộ Tài chính)</t>
  </si>
  <si>
    <t>Đơn giá</t>
  </si>
  <si>
    <t>4,31</t>
  </si>
  <si>
    <t>Chi phí nhà tạm để ở và điều hành thi công, chi phí không xác định được khối lượng từ thiết kế</t>
  </si>
  <si>
    <t>BẢNG TÍNH GIÁ NHÂN CÔNG</t>
  </si>
  <si>
    <t>GIÁM ĐỐC</t>
  </si>
  <si>
    <t>Thanh toán trực tiếp cho hộ dân:</t>
  </si>
  <si>
    <t>1.2.3</t>
  </si>
  <si>
    <t>GTGT</t>
  </si>
  <si>
    <t>BẢNG PHÂN TÍCH VẬT TƯ</t>
  </si>
  <si>
    <t>Kế hoạch vốn trong năm</t>
  </si>
  <si>
    <t>Chi phí trước thuế</t>
  </si>
  <si>
    <t>Chi phí khảo sát xây dựng (Gks)</t>
  </si>
  <si>
    <t>kg</t>
  </si>
  <si>
    <t>TenCongTrinh</t>
  </si>
  <si>
    <t>...........</t>
  </si>
  <si>
    <t>Tổng lương và phụ cấp</t>
  </si>
  <si>
    <t>Phát sinh
so với hợp đồng ban đầu</t>
  </si>
  <si>
    <t>3.3.2</t>
  </si>
  <si>
    <t>- Thông tư số 12/2021/TT-BXD  ngày 31/8/2021 của Bộ Xây dựng ban hành định mức xây dựng.</t>
  </si>
  <si>
    <t>Glhsmqt</t>
  </si>
  <si>
    <t>B1 + CLNC</t>
  </si>
  <si>
    <t>Giá HT</t>
  </si>
  <si>
    <t>----------------------------------------</t>
  </si>
  <si>
    <t>Glapda</t>
  </si>
  <si>
    <t>Tên hạng mục</t>
  </si>
  <si>
    <t>Phụ lục số 2: Phí thẩm định dự toán xây dựng khi cơ quan chuyên môn về xây dựng mời tổ chức tư vấn, cá nhân cùng thẩm định</t>
  </si>
  <si>
    <t>3.4</t>
  </si>
  <si>
    <t>BẢNG GIÁ CA MÁY</t>
  </si>
  <si>
    <t>Đại diện chủ đầu tư</t>
  </si>
  <si>
    <t>GSKS79$</t>
  </si>
  <si>
    <t>Thiết kế 2 bước</t>
  </si>
  <si>
    <t>Theo Thông tư số 258/2016/TT-BTC ngày 11 tháng 11 năm 2016 của Bộ Tài chính</t>
  </si>
  <si>
    <t>Tên thiết bị</t>
  </si>
  <si>
    <t>Lũy kế đến hết kỳ này</t>
  </si>
  <si>
    <t>12</t>
  </si>
  <si>
    <t>Phụ lục số 1: Phí thẩm định thiết kế kỹ thuật</t>
  </si>
  <si>
    <t>Gdpxd</t>
  </si>
  <si>
    <t>4.3.3</t>
  </si>
  <si>
    <t>4. Luỹ kế giá trị khối lượng thực hiện đến cuối kỳ này:</t>
  </si>
  <si>
    <t>Hạng mục 1</t>
  </si>
  <si>
    <t>NK408</t>
  </si>
  <si>
    <t>Chi phí kiểm toán độc lập (Nghị định 99/2021/NĐ-CP)</t>
  </si>
  <si>
    <t>HM</t>
  </si>
  <si>
    <t>Luỹ kế giá trị khối lượng nghiệm thu của hạng mục đề nghị thanh toán:……………..…đồng.</t>
  </si>
  <si>
    <t>Trong đó:</t>
  </si>
  <si>
    <t>Gtt+GTGT</t>
  </si>
  <si>
    <t>TT</t>
  </si>
  <si>
    <t>BẢNG XÁC ĐỊNH GIÁ TRỊ KHỐI LƯỢNG CÔNG VIỆC PHÁT SINH NGOÀI HỢP ĐỒNG ĐỀ NGHỊ THANH TOÁN</t>
  </si>
  <si>
    <t>Luỹ kế đến hết kỳ trước</t>
  </si>
  <si>
    <t>NGUYỄN VĂN A</t>
  </si>
  <si>
    <t>Công trình công nghiệp</t>
  </si>
  <si>
    <t>NCTKT79$</t>
  </si>
  <si>
    <t>ngày 26 tháng 6 năm 2014</t>
  </si>
  <si>
    <t>VL phụ</t>
  </si>
  <si>
    <t xml:space="preserve">     II</t>
  </si>
  <si>
    <t>5.3.4</t>
  </si>
  <si>
    <t>Hệ số lương</t>
  </si>
  <si>
    <t>NCKT79$</t>
  </si>
  <si>
    <t>Tên gói thầu:</t>
  </si>
  <si>
    <t>Các chi phí hạng mục chung còn lại</t>
  </si>
  <si>
    <t xml:space="preserve"> - Chênh lệch nhân công</t>
  </si>
  <si>
    <t>Đơn giá gốc</t>
  </si>
  <si>
    <t>Thanh toán lần thứ:</t>
  </si>
  <si>
    <t>Gtttkcn</t>
  </si>
  <si>
    <t>2.5</t>
  </si>
  <si>
    <t>TTDT210^</t>
  </si>
  <si>
    <t>Căn cứ hợp đồng số:………………….ngày…. tháng….. năm………………………………………………………</t>
  </si>
  <si>
    <t>Chi phí thẩm định phê duyệt thiết kế về phòng cháy và chữa cháy (Thông tư 258/2016/TT-BTC)</t>
  </si>
  <si>
    <t>Thuế GTGT</t>
  </si>
  <si>
    <t>hsTTPK</t>
  </si>
  <si>
    <t>Nhân công bậc 4,0/7 - Nhóm 2</t>
  </si>
  <si>
    <t>Số tiền</t>
  </si>
  <si>
    <t>TTDT79$</t>
  </si>
  <si>
    <t>Thuộc nguồn vốn: (XDCB tập trung; CTMT….)……………………………………….............</t>
  </si>
  <si>
    <t>Giá gốc</t>
  </si>
  <si>
    <t>- Thông tư số 11/2021/TT-BXD ngày 31/8/2021 của Bộ Xây dựng hướng dẫn xác định và quản lý chi phí đầu tư xây dựng.</t>
  </si>
  <si>
    <t>Đơn giá bổ sung (nếu có)</t>
  </si>
  <si>
    <t>Phụ lục 03.a</t>
  </si>
  <si>
    <t>Phụ lục 06</t>
  </si>
  <si>
    <t xml:space="preserve">Chi phí dự phòng cho yếu tố khối lượng phát sinh </t>
  </si>
  <si>
    <t>………………………………………………………………………………………………….</t>
  </si>
  <si>
    <t>Cách tính giá Máy</t>
  </si>
  <si>
    <t>Tên vật tư / công tác</t>
  </si>
  <si>
    <t>THUYẾT MINH LẬP DỰ TOÁN</t>
  </si>
  <si>
    <t>Gbcnctkt</t>
  </si>
  <si>
    <t>hsTLTTT</t>
  </si>
  <si>
    <t>LTB79$</t>
  </si>
  <si>
    <t>Khối lượng phát sinh ngoài hợp đồng</t>
  </si>
  <si>
    <t>Biểu mức thu phí II - phí thẩm duyệt về phòng cháy, chữa cháy đối với dự án, công trình</t>
  </si>
  <si>
    <t>CPKT$</t>
  </si>
  <si>
    <t>Biểu mức tỷ lệ tính phí thẩm định phê duyệt thiết kế về phòng cháy và chữa cháy</t>
  </si>
  <si>
    <t>5. Thanh toán để thu hồi tạm ứng:</t>
  </si>
  <si>
    <t>Mã dự án đầu tư:……………………</t>
  </si>
  <si>
    <t>Năm 202..</t>
  </si>
  <si>
    <t>Tổng khối lượng phát sinh</t>
  </si>
  <si>
    <t>Tỉnh TP</t>
  </si>
  <si>
    <t>- Số trả đơn vị thụ hưởng (bằng số)…………………….</t>
  </si>
  <si>
    <t>5.2.5</t>
  </si>
  <si>
    <t>- Chuyển tiền bảo hành (bằng số)</t>
  </si>
  <si>
    <t>Chi phí Thẩm định báo cáo đánh giá tác động môi trường (Thông tư 195/2016/TT-BTC)</t>
  </si>
  <si>
    <t>m3</t>
  </si>
  <si>
    <t>1.1</t>
  </si>
  <si>
    <t>Thủ trưởng đơn vị</t>
  </si>
  <si>
    <t>Chi phí xây dựng sau thuế</t>
  </si>
  <si>
    <t xml:space="preserve"> - Đơn giá vật liệu</t>
  </si>
  <si>
    <t>Đơn vị tính: tỷ lệ %</t>
  </si>
  <si>
    <t>Số, ngày,_x000D_
tháng, năm</t>
  </si>
  <si>
    <t>Chi phí trực tiếp</t>
  </si>
  <si>
    <t>VL</t>
  </si>
  <si>
    <t>Chi phí khác</t>
  </si>
  <si>
    <t>TTTKT79^</t>
  </si>
  <si>
    <t>5</t>
  </si>
  <si>
    <t>Lương tối thiểu chung</t>
  </si>
  <si>
    <t>Bảng số 5-14: Định mức chi phí thiết kế kỹ thuật cho các loại công trình</t>
  </si>
  <si>
    <t>4,28</t>
  </si>
  <si>
    <t>Hệ số</t>
  </si>
  <si>
    <t>Trước thuế</t>
  </si>
  <si>
    <t>Chi phí thẩm tra báo cáo nghiên cứu tiền khả thi (Bảng 2.14 Thông tư 12/2021/TT-BXD)</t>
  </si>
  <si>
    <t>Gttdt_BTC</t>
  </si>
  <si>
    <t>Biên bản nghiệm thu số ….. ngày…..tháng…..năm.….</t>
  </si>
  <si>
    <t>Số tài khoản của chủ đầu tư:</t>
  </si>
  <si>
    <t>1.3.4</t>
  </si>
  <si>
    <t>2. Phí thẩm tra dự toán</t>
  </si>
  <si>
    <r>
      <t>Phiên bản mẫu xuất Excel:</t>
    </r>
    <r>
      <rPr>
        <sz val="11"/>
        <rFont val="Times New Roman"/>
        <family val="1"/>
      </rPr>
      <t xml:space="preserve"> </t>
    </r>
    <r>
      <rPr>
        <b/>
        <sz val="11"/>
        <color indexed="10"/>
        <rFont val="Times New Roman"/>
        <family val="1"/>
      </rPr>
      <t>2.0</t>
    </r>
  </si>
  <si>
    <t>Nhóm dự án</t>
  </si>
  <si>
    <t>Chi phí đánh giá hồ sơ dự thầu, hồ sơ đề xuất (Nghị định 63/2014/NĐ-CP)</t>
  </si>
  <si>
    <t>Rộng</t>
  </si>
  <si>
    <t>THU NHẬP CHỊU THUẾ TÍNH TRƯỚC</t>
  </si>
  <si>
    <t>Theo Thông tư số 19/2011/TT- BTC ngày 14 tháng 02 năm 2011 của Bộ Tài chính</t>
  </si>
  <si>
    <t>Hệ số phụ cấp độc hại</t>
  </si>
  <si>
    <t>4,30</t>
  </si>
  <si>
    <t>Cấp công trình:</t>
  </si>
  <si>
    <t>Chi phí xây dựng lán trại, nhà tạm</t>
  </si>
  <si>
    <t>Chênh lệch</t>
  </si>
  <si>
    <t>Hệ số riêng VL</t>
  </si>
  <si>
    <t>hsRVL</t>
  </si>
  <si>
    <t>Theo bảng tổng hợp vật liệu</t>
  </si>
  <si>
    <t>Chi phí hạng Mục chung</t>
  </si>
  <si>
    <t>2.3.5</t>
  </si>
  <si>
    <t>Hệ số phụ cấp khu vực máy</t>
  </si>
  <si>
    <t xml:space="preserve"> - Chênh lệch vật liệu</t>
  </si>
  <si>
    <t>Tên nhiên liệu / máy</t>
  </si>
  <si>
    <t>BẢNG KÊ XÁC NHẬN KHỐI LƯỢNG  CÔNG VIỆC BỒI THƯỜNG, HỖ TRỢ VÀ TÁI ĐỊNH CƯ ĐÃ THỰC HIỆN</t>
  </si>
  <si>
    <t>PCCC$</t>
  </si>
  <si>
    <t>01897</t>
  </si>
  <si>
    <t>Điện Biên, ngày ... tháng ... năm 2023</t>
  </si>
  <si>
    <t>Hệ số riêng máy</t>
  </si>
  <si>
    <t>NGƯỜI LẬP</t>
  </si>
  <si>
    <t>3.3.1</t>
  </si>
  <si>
    <t>hsKVNC</t>
  </si>
  <si>
    <t>NC</t>
  </si>
  <si>
    <t>- Nghị định số 141/2017/NĐ-CP ngày 07/12/2017 của Chính phủ quy định mức lương tối thiểu vùng đối với người lao động làm việc theo hợp đồng lao động</t>
  </si>
  <si>
    <t>- Nghị định số 72/2018/NĐ-CP ngày 01/07/2018 của Chính phủ quy định mức lương cơ sở đối với cán bộ, công chức, viên chức và lực lượng vũ trang</t>
  </si>
  <si>
    <t>Phụ lục số 1: Phí thẩm định dự toán xây dựng</t>
  </si>
  <si>
    <t>Ggstcxd x 20%</t>
  </si>
  <si>
    <t>Lương cơ bản</t>
  </si>
  <si>
    <t>- Thông tư số 13/2021/TT-BXD ngày 31/8/2021 của Bộ Xây dựng hướng dẫn phương pháp xác định các chỉ tiêu kinh tế kỹ thuật và đo bóc khối lượng công trình.</t>
  </si>
  <si>
    <t>Chi phí lập hồ sơ mời thầu, hồ sơ yêu cầu được tính bằng 0,1% giá gói thầu nhưng tối thiểu là 1.000.000 đồng và tối đa là 50.000.000 đồng;</t>
  </si>
  <si>
    <t>Đơn vị thực thiện</t>
  </si>
  <si>
    <t>Gxd x 2,5%</t>
  </si>
  <si>
    <t>Chi phí đánh giá hồ sơ quan tâm, hồ sơ dự sơ tuyển được tính bằng 0,05% giá gói thầu nhưng tối thiểu là 1.000.000 đồng và tối đa là 30.000.000 đồng</t>
  </si>
  <si>
    <t>TKKT79$</t>
  </si>
  <si>
    <t>GT</t>
  </si>
  <si>
    <t>BẢNG TỔNG HỢP CHI PHÍ XÂY DỰNG CÔNG TRÌNH</t>
  </si>
  <si>
    <t>HẠNG MỤC: ﻿Khảo sát địa hình tỷ lệ 1/500</t>
  </si>
  <si>
    <t>1.2.5</t>
  </si>
  <si>
    <t>Gxd trước thuế x tỷ lệ</t>
  </si>
  <si>
    <t>2. Định mức:</t>
  </si>
  <si>
    <t>Chi phí dự phòng cho yếu tố trượt giá</t>
  </si>
  <si>
    <t>4.3.2</t>
  </si>
  <si>
    <t>Gdpxd2</t>
  </si>
  <si>
    <t>Cấp đặc biệt</t>
  </si>
  <si>
    <t>Tổng số vốn theo kế hoạch còn lại chưa thanh toán</t>
  </si>
  <si>
    <t>- Nghị định số 10/2021/NĐ-CP ngày 09/02/2021 của Chính phủ về quản lý chi phí đầu tư xây dựng.</t>
  </si>
  <si>
    <t>2.2.1</t>
  </si>
  <si>
    <t>Chi phí bồi thường giải phóng mặt bằng, tái định cư (Ggpmb):</t>
  </si>
  <si>
    <t>Dự án: ................</t>
  </si>
  <si>
    <t>Bảng số 15: Định mức chi phí thẩm tra báo cáo nghiên cứu tiền khả thi</t>
  </si>
  <si>
    <t>Biểu mức thu phí thẩm định dự án đầu tư xây dựng</t>
  </si>
  <si>
    <t>hsRNC</t>
  </si>
  <si>
    <t>Hệ số không ổn định SX</t>
  </si>
  <si>
    <t>3.1</t>
  </si>
  <si>
    <t>Gtttkkt</t>
  </si>
  <si>
    <t>1. Giá trị hợp đồng:</t>
  </si>
  <si>
    <t>Không ổn định SX</t>
  </si>
  <si>
    <t>Chi phí lập hồ sơ mời quan tâm, đánh giá hồ sơ quan tâm</t>
  </si>
  <si>
    <t>Chứng chỉ KS định giá XD hạng …, số …</t>
  </si>
  <si>
    <t>(T + GT + TL) x 2%</t>
  </si>
  <si>
    <t>Vốn NN</t>
  </si>
  <si>
    <t>Chi phí xây dựng (Gxd):</t>
  </si>
  <si>
    <t>Quy định về quyết toán dự án hoàn thành thuộc nguồn vốn Nhà nước</t>
  </si>
  <si>
    <t>Thiết kế 1 bước</t>
  </si>
  <si>
    <t>- Đơn giá xây dựng công trình theo quyết định số .../....../QĐ-UBND ngày .../....../ của UBND tỉnh ....</t>
  </si>
  <si>
    <t>3.6</t>
  </si>
  <si>
    <t>TDDA209^</t>
  </si>
  <si>
    <t>3.2.2</t>
  </si>
  <si>
    <t xml:space="preserve"> - Máy khác</t>
  </si>
  <si>
    <t>Tên dự án, công trình:………………………………………………………..</t>
  </si>
  <si>
    <t>CapCongTrinh</t>
  </si>
  <si>
    <t>Gtmdt1</t>
  </si>
  <si>
    <t>Hệ số lương phụ</t>
  </si>
  <si>
    <t>Gbaohiem</t>
  </si>
  <si>
    <t>14</t>
  </si>
  <si>
    <t>Ghdtvgqkn</t>
  </si>
  <si>
    <t>Hệ số chi phí lập phương án kỹ thuật khảo sát xây dựng</t>
  </si>
  <si>
    <t>Chi phí lập hồ sơ mời quan tâm, hồ sơ mời sơ tuyển được tính bằng 0,05% giá gói thầu nhưng tối thiểu là 1.000.000 đồng và tối đa là 30.000.000 đồng</t>
  </si>
  <si>
    <t>Cách tính</t>
  </si>
  <si>
    <t>Chi phí thẩm tra báo cáo nghiên cứu khả thi (Bảng 2.15 Thông tư 12/2021/TT-BXD)</t>
  </si>
  <si>
    <t>Định mức chi phí thẩm tra, phê duyệt quyết toán</t>
  </si>
  <si>
    <t>Chi phí xây dựng (chưa có thuế GTGT) của giá gói thầu thi công xây dựng được duyệt (tỷ đồng)</t>
  </si>
  <si>
    <t>-------------------------</t>
  </si>
  <si>
    <t>Định mức chi phí quản lý dự án và tư vấn đầu tư xây dựng</t>
  </si>
  <si>
    <t>Thực hiện</t>
  </si>
  <si>
    <t>Chi phí thiết bị (chưa có thuế GTGT) của giá gói thầu mua sắm vật tư, thiết bị lắp đặt vào công trình được duyệt (tỷ đồng)</t>
  </si>
  <si>
    <t>Máy thủy bình điện tử</t>
  </si>
  <si>
    <t>(Gxd+Gtb) trước thuế x tỷ lệ</t>
  </si>
  <si>
    <t>A1</t>
  </si>
  <si>
    <t>2. Phí thẩm định dự toán xây dựng</t>
  </si>
  <si>
    <t>Hệ số phụ cấp khu vực</t>
  </si>
  <si>
    <t>Gxd</t>
  </si>
  <si>
    <t>Phụ lục bổ sung hợp đồng số … ngày … tháng … năm</t>
  </si>
  <si>
    <t>4.2.3</t>
  </si>
  <si>
    <t>Ggsldtb</t>
  </si>
  <si>
    <t>HT</t>
  </si>
  <si>
    <t>%</t>
  </si>
  <si>
    <t>State</t>
  </si>
  <si>
    <t>Đơn vị tính: đồng</t>
  </si>
  <si>
    <t>LHSTV79^</t>
  </si>
  <si>
    <t>Ghi chú</t>
  </si>
  <si>
    <t>Lương tối thiểu vùng</t>
  </si>
  <si>
    <t>MSCV</t>
  </si>
  <si>
    <t>TTKT79$</t>
  </si>
  <si>
    <t>Số:…</t>
  </si>
  <si>
    <t>Tổng cộng</t>
  </si>
  <si>
    <t>Bù NC</t>
  </si>
  <si>
    <t>- Đơn giá dịch vụ công ích đô thị theo quyết định số .../....../ QĐ-UBND ngày .../....../ của UBND tỉnh ....</t>
  </si>
  <si>
    <t>Chi phí dự phòng cho yếu tố khối lượng công việc phát sinh</t>
  </si>
  <si>
    <t>1. Phí thẩm định thiết kế kỹ thuật</t>
  </si>
  <si>
    <t>TỔNG CỘNG</t>
  </si>
  <si>
    <t>Khoán trực tiếp</t>
  </si>
  <si>
    <t>Cấp II</t>
  </si>
  <si>
    <t>CK</t>
  </si>
  <si>
    <t>Đơn vị</t>
  </si>
  <si>
    <t>Chi phí dự phòng</t>
  </si>
  <si>
    <t>5.2.4</t>
  </si>
  <si>
    <t>Vốn trong nước</t>
  </si>
  <si>
    <t>Bằng chữ: Một tỷ một trăm năm mươi sáu triệu bảy trăm chín mươi bốn nghìn không trăm bảy mươi mốt đồng chẵn./.</t>
  </si>
  <si>
    <t>Gxd x 1%</t>
  </si>
  <si>
    <t>Gk</t>
  </si>
  <si>
    <t>[1]</t>
  </si>
  <si>
    <t>Chủ đầu tư/Ban QLDA…………………mã số ĐVSDNS:….……………………………………………………………</t>
  </si>
  <si>
    <t>CƠ QUAN LẬP</t>
  </si>
  <si>
    <t>Số tài khoản đơn vị thụ hưởng…………………tại ……………….</t>
  </si>
  <si>
    <t>Tên công tác / vật tư</t>
  </si>
  <si>
    <t>Đơn giá HT</t>
  </si>
  <si>
    <t>Đại diện nhà thầu</t>
  </si>
  <si>
    <t>4,22</t>
  </si>
  <si>
    <t>Tổng số tiền đề nghị tạm ứng, thanh toán bằng số:……………………………………………..</t>
  </si>
  <si>
    <t>Gdghsqt</t>
  </si>
  <si>
    <t>4</t>
  </si>
  <si>
    <t>Phụ lục số 2: Phí thẩm tra thiết kế xây dựng công trình sử dụng vốn ngân sách nhà nước khi cơ quan quản lý nhà nước thuê tổ chức tư vấn, cá nhân cùng thẩm tra</t>
  </si>
  <si>
    <r>
      <t xml:space="preserve">Tổng mức đầu tư (tỷ đồng)
</t>
    </r>
    <r>
      <rPr>
        <b/>
        <i/>
        <sz val="12"/>
        <color indexed="8"/>
        <rFont val="Times New Roman"/>
        <family val="1"/>
      </rPr>
      <t>không bao gồm chi phí bồi thường giải phóng mặt bằng, hỗ trợ và tái định cư đã được phê duyệt trong dự án</t>
    </r>
  </si>
  <si>
    <t>auto</t>
  </si>
  <si>
    <t>Trong đó:   - Thu hồi tạm ứng (bằng số):………………………….</t>
  </si>
  <si>
    <t>CPKT09^</t>
  </si>
  <si>
    <t>ZM999</t>
  </si>
  <si>
    <t>Số liệu của chủ đầu tư:</t>
  </si>
  <si>
    <t>4,27</t>
  </si>
  <si>
    <t>(Theo thông báo giá ... của ... )</t>
  </si>
  <si>
    <t>Máy khác</t>
  </si>
  <si>
    <t>CLM</t>
  </si>
  <si>
    <t>Bằng chữ: Một tỷ năm trăm ba mươi mốt triệu bốn trăm chín mươi bảy nghìn đồng chẵn ./.</t>
  </si>
  <si>
    <t>BẢNG ĐỐI CHIẾU SỐ LIỆU THANH TOÁN VỐN ĐẦU TƯ NĂM...</t>
  </si>
  <si>
    <t>Gtdhsmt</t>
  </si>
  <si>
    <t>Gtdpccc</t>
  </si>
  <si>
    <t>Tên công việc</t>
  </si>
  <si>
    <t>B1</t>
  </si>
  <si>
    <t>Phụ lục VIII  - Thông tư 12/2021/TT-BXD ngày 31/08/2021 của Bộ xây dựng</t>
  </si>
  <si>
    <t>Máy thi công</t>
  </si>
  <si>
    <t>Thời gian khởi công - hoàn thành:</t>
  </si>
  <si>
    <t>Ggstcxd</t>
  </si>
  <si>
    <t>Hệ số tỷ lệ thuế tính trước</t>
  </si>
  <si>
    <t>TTQT$</t>
  </si>
  <si>
    <t>Gbcktkt</t>
  </si>
  <si>
    <t>Chi phí</t>
  </si>
  <si>
    <t>Hướng dẫn chế độ thu, nộp và quản lý sử dụng phí thẩm định dự án đầu tư xây dựng</t>
  </si>
  <si>
    <t>Cước VC</t>
  </si>
  <si>
    <t>Gttbcktkt_tk</t>
  </si>
  <si>
    <t>Căn cứ bảng xác định giá trị KLHT đề nghị thanh toán số…….ngày……..tháng……..năm……</t>
  </si>
  <si>
    <t>[2]</t>
  </si>
  <si>
    <t>Cước ô tô</t>
  </si>
  <si>
    <t>Tổng chi phí xây dựng</t>
  </si>
  <si>
    <t>4,32</t>
  </si>
  <si>
    <t>2.3.2</t>
  </si>
  <si>
    <t>Mẫu số 08b
Mã hiệu: ………..
Số: ………</t>
  </si>
  <si>
    <t>A</t>
  </si>
  <si>
    <t>&lt; 15</t>
  </si>
  <si>
    <t>- Vốn trong nước: là số vốn còn lại của KH năm trước được kéo dài thanh toán trong năm theo quy định cụ thể từng trường hợp (tối đa đến 31/1 năm sau)</t>
  </si>
  <si>
    <t>Bảng số 1: Định mức chi phí quản lý dự án</t>
  </si>
  <si>
    <t>Phí thẩm định dự án đầu tư xây dựng (Thông tư 209/2016/TT-BTC)</t>
  </si>
  <si>
    <t>LBC79^</t>
  </si>
  <si>
    <t>Chi phí nhân công</t>
  </si>
  <si>
    <t>Chi phí xây dựng nhà tạm tại hiện trường để ở và điều hành thi công</t>
  </si>
  <si>
    <t>Lương ngày công</t>
  </si>
  <si>
    <t>Glcldtb</t>
  </si>
  <si>
    <t>GXDgtxd</t>
  </si>
  <si>
    <t>Loại thiết kế:</t>
  </si>
  <si>
    <t>Chi phí đánh giá hồ sơ quan tâm, hồ sơ dự sơ tuyển (Nghị định 63/2014/NĐ-CP)</t>
  </si>
  <si>
    <t>C1</t>
  </si>
  <si>
    <t>CÔNG TRÌNH: Tên công trình</t>
  </si>
  <si>
    <t>Chi phí máy thi công</t>
  </si>
  <si>
    <t>Thu hút</t>
  </si>
  <si>
    <t>3.3.3</t>
  </si>
  <si>
    <t>Nội dung</t>
  </si>
  <si>
    <t>Chi phí lập báo cáo kinh tế - kỹ thuật (Bảng 2.3 Thông tư 12/2021/TT-BXD)</t>
  </si>
  <si>
    <t>GSTC79^</t>
  </si>
  <si>
    <t>hsDP</t>
  </si>
  <si>
    <t>Gói thầu: Dự án: Quy hoạch chi tiết tỷ lệ 1/500 trung tâm thị trấn Tủa Chùa, huyện Tủa Chùa.</t>
  </si>
  <si>
    <t>Lập báo cáo kết quả khảo sát xây dựng</t>
  </si>
  <si>
    <t>(Gtv21 + Gtv31) x trước thuế x tỷ lệ</t>
  </si>
  <si>
    <t>Gtb x trước thuế x tỷ lệ</t>
  </si>
  <si>
    <t>3.1.3.37</t>
  </si>
  <si>
    <t>Gkiemtoan</t>
  </si>
  <si>
    <t>Khoản mục chi phí</t>
  </si>
  <si>
    <t>Chi phí lập hồ sơ yêu cầu, đánh giá hồ sơ đề xuất</t>
  </si>
  <si>
    <t>Thanh toán cho các cơ quan, tổ chức:</t>
  </si>
  <si>
    <t>Định mức</t>
  </si>
  <si>
    <t>Chi phí lập phương án kỹ thuật khảo sát xây dựng</t>
  </si>
  <si>
    <t>Chiết tính theo giá</t>
  </si>
  <si>
    <t>hsm</t>
  </si>
  <si>
    <t>Gdp</t>
  </si>
  <si>
    <t>Quy định mức thu, chế độ thu, nộp, quản lý và sử dụng phí thẩm duyệt thiết kế về phòng cháy chữa cháy</t>
  </si>
  <si>
    <t>(Tổng mức đầu tư - Dự phòng) x tỷ lệ</t>
  </si>
  <si>
    <t>+ Số vốn kéo dài KH năm trước chuyển sang:</t>
  </si>
  <si>
    <t>Chi phí thẩm định kết quả lựa chọn nhà thầu (Nghị định 63/2014/NĐ-CP)</t>
  </si>
  <si>
    <t>TDDA$</t>
  </si>
  <si>
    <t>4.3.4</t>
  </si>
  <si>
    <t>Đo vẽ chi tiết bản đồ địa hình trên cạn bằng  máy toàn đạc điện tử và máy thủy bình điện tử; bản đồ tỷ lệ 1/500, đường đồng mức 1m, cấp địa hình III</t>
  </si>
  <si>
    <t>(Ký, ghi rõ họ tên chức vụ và đóng dấu)</t>
  </si>
  <si>
    <t>(Theo Bảng tính giá nhân công )</t>
  </si>
  <si>
    <t>[3]</t>
  </si>
  <si>
    <t>BẢNG TỔNG HỢP NHÂN CÔNG</t>
  </si>
  <si>
    <t>Chi phí xây dựng và chi phí thiết bị (chưa có thuế GTGT) (tỷ đồng)</t>
  </si>
  <si>
    <t>TỔNG HỢP TỔNG MỨC ĐẦU TƯ XÂY DỰNG</t>
  </si>
  <si>
    <t>BẢNG TỔNG HỢP GIÁ DỰ THẦU</t>
  </si>
  <si>
    <t>Ngày . . .tháng. . . năm 2016</t>
  </si>
  <si>
    <t>5.3.5</t>
  </si>
  <si>
    <t>M4110</t>
  </si>
  <si>
    <t>GSKS79^</t>
  </si>
  <si>
    <t>2.1</t>
  </si>
  <si>
    <t>3.2.4</t>
  </si>
  <si>
    <t>hsKLTK</t>
  </si>
  <si>
    <t>CÔNG TRÌNH: Dự án: Quy hoạch chi tiết xây dựng tỷ lệ 1/500 một số khu (khu phía Tây Nam) thị trấn Tủa Chùa, huyện Tủa Chùa</t>
  </si>
  <si>
    <t>Gtt x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</si>
</sst>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0"/>
    <numFmt numFmtId="165" formatCode="###,###,###,##0.0"/>
    <numFmt numFmtId="166" formatCode="###,###,###.000"/>
    <numFmt numFmtId="167" formatCode="#,###,##0.0000"/>
    <numFmt numFmtId="168" formatCode="#,###,###,###,###,##0"/>
    <numFmt numFmtId="169" formatCode="#,###,###,##0.0"/>
    <numFmt numFmtId="170" formatCode="###,###,##0"/>
    <numFmt numFmtId="171" formatCode="#,###,###,##0.0000"/>
    <numFmt numFmtId="172" formatCode="###,###,###.0000"/>
    <numFmt numFmtId="173" formatCode="###,##0.0000"/>
    <numFmt numFmtId="174" formatCode="###,###,###,###,##0"/>
    <numFmt numFmtId="175" formatCode="###,###,##0.0000"/>
    <numFmt numFmtId="176" formatCode="##0.0%"/>
    <numFmt numFmtId="177" formatCode="##0%"/>
    <numFmt numFmtId="178" formatCode="#,###"/>
    <numFmt numFmtId="179" formatCode="#,##0.0000;\-#,##0.0000"/>
    <numFmt numFmtId="180" formatCode="##0.00%"/>
    <numFmt numFmtId="181" formatCode="0.0%"/>
    <numFmt numFmtId="182" formatCode="0.0000"/>
    <numFmt numFmtId="183" formatCode="0.000"/>
    <numFmt numFmtId="184" formatCode="0.00000"/>
    <numFmt numFmtId="185" formatCode="0.000%"/>
    <numFmt numFmtId="186" formatCode="#,##0;#,##0;#,##0"/>
    <numFmt numFmtId="187" formatCode="###,##0.000"/>
  </numFmts>
  <fonts count="76" x14ac:knownFonts="1">
    <font>
      <sz val="11"/>
      <color theme="1"/>
      <name val="Calibri"/>
      <family val="2"/>
      <scheme val="minor"/>
    </font>
    <font>
      <sz val="11"/>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scheme val="minor"/>
    </font>
    <font>
      <sz val="11"/>
      <color indexed="62"/>
      <name val="Calibri"/>
      <family val="2"/>
    </font>
    <font>
      <sz val="11"/>
      <color indexed="53"/>
      <name val="Calibri"/>
      <family val="2"/>
    </font>
    <font>
      <sz val="11"/>
      <color indexed="19"/>
      <name val="Calibri"/>
      <family val="2"/>
    </font>
    <font>
      <sz val="10"/>
      <name val="Arial"/>
      <family val="2"/>
    </font>
    <font>
      <b/>
      <sz val="11"/>
      <color indexed="63"/>
      <name val="Calibri"/>
      <family val="2"/>
    </font>
    <font>
      <b/>
      <sz val="18"/>
      <color indexed="62"/>
      <name val="Cambria"/>
      <family val="2"/>
    </font>
    <font>
      <b/>
      <sz val="11"/>
      <name val="Calibri"/>
      <family val="2"/>
    </font>
    <font>
      <sz val="11"/>
      <color indexed="10"/>
      <name val="Calibri"/>
      <family val="2"/>
    </font>
    <font>
      <b/>
      <sz val="11"/>
      <color indexed="8"/>
      <name val="Times New Roman"/>
      <family val="1"/>
    </font>
    <font>
      <b/>
      <sz val="11"/>
      <color theme="1"/>
      <name val="Times New Roman"/>
      <family val="2"/>
    </font>
    <font>
      <sz val="11"/>
      <color indexed="23"/>
      <name val="Times New Roman"/>
      <family val="1"/>
    </font>
    <font>
      <b/>
      <sz val="11"/>
      <name val="Times New Roman"/>
      <family val="1"/>
    </font>
    <font>
      <sz val="11"/>
      <name val="Times New Roman"/>
      <family val="1"/>
    </font>
    <font>
      <b/>
      <sz val="12"/>
      <name val="Times New Roman"/>
      <family val="1"/>
    </font>
    <font>
      <sz val="12"/>
      <color theme="1"/>
      <name val="Times New Roman"/>
      <family val="1"/>
    </font>
    <font>
      <sz val="11.25"/>
      <name val="Times New Roman"/>
      <family val="1"/>
    </font>
    <font>
      <i/>
      <sz val="11"/>
      <color rgb="FF808080"/>
      <name val="Times New Roman"/>
      <family val="1"/>
    </font>
    <font>
      <sz val="11"/>
      <color indexed="12"/>
      <name val="Times New Roman"/>
      <family val="1"/>
    </font>
    <font>
      <b/>
      <sz val="10"/>
      <color rgb="FF0000FF"/>
      <name val="Times New Roman"/>
      <family val="1"/>
    </font>
    <font>
      <b/>
      <sz val="11"/>
      <color theme="0"/>
      <name val="Times New Roman"/>
      <family val="1"/>
    </font>
    <font>
      <b/>
      <sz val="12"/>
      <color theme="1"/>
      <name val="Times New Roman"/>
      <family val="2"/>
    </font>
    <font>
      <sz val="10"/>
      <color rgb="FF000000"/>
      <name val="Times New Roman"/>
      <family val="1"/>
    </font>
    <font>
      <sz val="14"/>
      <name val="Times New Roman"/>
      <family val="1"/>
    </font>
    <font>
      <sz val="11"/>
      <color rgb="FF0000FF"/>
      <name val="Times New Roman"/>
      <family val="1"/>
    </font>
    <font>
      <sz val="12"/>
      <color rgb="FF000000"/>
      <name val="Times New Roman"/>
      <family val="1"/>
    </font>
    <font>
      <b/>
      <sz val="11.25"/>
      <name val="Times New Roman"/>
      <family val="1"/>
    </font>
    <font>
      <sz val="11"/>
      <color indexed="55"/>
      <name val="Times New Roman"/>
      <family val="1"/>
    </font>
    <font>
      <sz val="11"/>
      <color theme="1"/>
      <name val="Times New Roman"/>
      <family val="2"/>
    </font>
    <font>
      <sz val="11"/>
      <color rgb="FF000000"/>
      <name val="Times New Roman"/>
      <family val="1"/>
    </font>
    <font>
      <b/>
      <i/>
      <sz val="12"/>
      <color rgb="FF000000"/>
      <name val="Times New Roman"/>
      <family val="1"/>
    </font>
    <font>
      <b/>
      <sz val="14"/>
      <name val="Times New Roman"/>
      <family val="1"/>
    </font>
    <font>
      <sz val="11"/>
      <color indexed="9"/>
      <name val="Times New Roman"/>
      <family val="1"/>
    </font>
    <font>
      <b/>
      <sz val="16"/>
      <color rgb="FF000000"/>
      <name val="Times New Roman"/>
      <family val="1"/>
    </font>
    <font>
      <sz val="12"/>
      <color rgb="FFFF0000"/>
      <name val="Times New Roman"/>
      <family val="1"/>
    </font>
    <font>
      <sz val="11"/>
      <color theme="0"/>
      <name val="Calibri"/>
      <family val="2"/>
      <scheme val="minor"/>
    </font>
    <font>
      <sz val="11"/>
      <color rgb="FFFFFFFF"/>
      <name val="Times New Roman"/>
      <family val="1"/>
    </font>
    <font>
      <b/>
      <sz val="13"/>
      <name val="Times New Roman"/>
      <family val="1"/>
    </font>
    <font>
      <b/>
      <sz val="12"/>
      <color rgb="FFFF0000"/>
      <name val="Times New Roman"/>
      <family val="1"/>
    </font>
    <font>
      <b/>
      <sz val="11"/>
      <color rgb="FF0000FF"/>
      <name val="Times New Roman"/>
      <family val="1"/>
    </font>
    <font>
      <i/>
      <sz val="12"/>
      <name val="Times New Roman"/>
      <family val="1"/>
    </font>
    <font>
      <i/>
      <sz val="10.5"/>
      <name val="Times New Roman"/>
      <family val="1"/>
    </font>
    <font>
      <b/>
      <sz val="11"/>
      <color rgb="FF000000"/>
      <name val="Times New Roman"/>
      <family val="2"/>
    </font>
    <font>
      <b/>
      <sz val="12"/>
      <color rgb="FF000000"/>
      <name val="Times New Roman"/>
      <family val="1"/>
    </font>
    <font>
      <b/>
      <sz val="12"/>
      <color rgb="FF0000FF"/>
      <name val="Times New Roman"/>
      <family val="1"/>
    </font>
    <font>
      <b/>
      <sz val="14"/>
      <color theme="1"/>
      <name val="Times New Roman"/>
      <family val="2"/>
    </font>
    <font>
      <b/>
      <sz val="11"/>
      <color rgb="FFFF0000"/>
      <name val="Times New Roman"/>
      <family val="2"/>
    </font>
    <font>
      <i/>
      <sz val="11.25"/>
      <name val="Times New Roman"/>
      <family val="1"/>
    </font>
    <font>
      <i/>
      <sz val="11"/>
      <color rgb="FF000000"/>
      <name val="Times New Roman"/>
      <family val="1"/>
    </font>
    <font>
      <sz val="13"/>
      <name val="Times New Roman"/>
      <family val="1"/>
    </font>
    <font>
      <sz val="11"/>
      <color rgb="FF808080"/>
      <name val="Times New Roman"/>
      <family val="1"/>
    </font>
    <font>
      <b/>
      <sz val="11.25"/>
      <color rgb="FF00008B"/>
      <name val="Times New Roman"/>
      <family val="1"/>
    </font>
    <font>
      <i/>
      <sz val="11"/>
      <color theme="1"/>
      <name val="Times New Roman"/>
      <family val="2"/>
    </font>
    <font>
      <sz val="11"/>
      <color theme="0"/>
      <name val="Times New Roman"/>
      <family val="1"/>
    </font>
    <font>
      <i/>
      <sz val="11"/>
      <name val="Times New Roman"/>
      <family val="1"/>
    </font>
    <font>
      <u/>
      <sz val="12"/>
      <color theme="10"/>
      <name val="Times New Roman"/>
      <family val="1"/>
    </font>
    <font>
      <b/>
      <sz val="11"/>
      <color rgb="FFFF0000"/>
      <name val="Calibri"/>
      <family val="2"/>
      <scheme val="minor"/>
    </font>
    <font>
      <b/>
      <sz val="14"/>
      <color rgb="FF000000"/>
      <name val="Times New Roman"/>
      <family val="1"/>
    </font>
    <font>
      <b/>
      <sz val="11"/>
      <color indexed="10"/>
      <name val="Times New Roman"/>
      <family val="1"/>
    </font>
    <font>
      <i/>
      <sz val="14"/>
      <name val="Times New Roman"/>
      <family val="1"/>
    </font>
    <font>
      <sz val="12"/>
      <color rgb="FF0000FF"/>
      <name val="Times New Roman"/>
      <family val="1"/>
    </font>
    <font>
      <i/>
      <u/>
      <sz val="11"/>
      <color indexed="12"/>
      <name val="Times New Roman"/>
      <family val="1"/>
    </font>
    <font>
      <sz val="11"/>
      <color indexed="63"/>
      <name val="Times New Roman"/>
      <family val="1"/>
    </font>
    <font>
      <b/>
      <i/>
      <sz val="12"/>
      <color indexed="8"/>
      <name val="Times New Roman"/>
      <family val="1"/>
    </font>
    <font>
      <sz val="11"/>
      <color theme="1"/>
      <name val="Calibri"/>
      <family val="2"/>
      <scheme val="minor"/>
    </font>
  </fonts>
  <fills count="2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rgb="FFFFFFFF"/>
        <bgColor indexed="64"/>
      </patternFill>
    </fill>
    <fill>
      <patternFill patternType="solid">
        <fgColor rgb="FFFFFFCC"/>
        <bgColor indexed="64"/>
      </patternFill>
    </fill>
    <fill>
      <patternFill patternType="solid">
        <fgColor rgb="FFFFFFC8"/>
        <bgColor indexed="64"/>
      </patternFill>
    </fill>
    <fill>
      <patternFill patternType="solid">
        <fgColor rgb="FFCCECFF"/>
        <bgColor indexed="64"/>
      </patternFill>
    </fill>
    <fill>
      <patternFill patternType="solid">
        <fgColor rgb="FFFFCCCC"/>
        <bgColor indexed="64"/>
      </patternFill>
    </fill>
    <fill>
      <patternFill patternType="solid">
        <fgColor rgb="FFEEEEEE"/>
        <bgColor indexed="64"/>
      </patternFill>
    </fill>
    <fill>
      <patternFill patternType="solid">
        <fgColor rgb="FFFFFF00"/>
        <bgColor indexed="64"/>
      </patternFill>
    </fill>
    <fill>
      <patternFill patternType="solid">
        <fgColor rgb="FF00B050"/>
        <bgColor indexed="64"/>
      </patternFill>
    </fill>
    <fill>
      <patternFill patternType="solid">
        <fgColor rgb="FFF5F5F5"/>
        <bgColor indexed="64"/>
      </patternFill>
    </fill>
    <fill>
      <patternFill patternType="solid">
        <fgColor rgb="FFFFFFAF"/>
        <bgColor indexed="64"/>
      </patternFill>
    </fill>
    <fill>
      <patternFill patternType="solid">
        <fgColor rgb="FFC0C0C0"/>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0"/>
      </left>
      <right style="thin">
        <color indexed="0"/>
      </right>
      <top/>
      <bottom style="thin">
        <color indexed="0"/>
      </bottom>
      <diagonal/>
    </border>
    <border>
      <left/>
      <right style="thin">
        <color indexed="64"/>
      </right>
      <top style="thin">
        <color indexed="64"/>
      </top>
      <bottom style="thin">
        <color indexed="64"/>
      </bottom>
      <diagonal/>
    </border>
    <border>
      <left style="thin">
        <color indexed="0"/>
      </left>
      <right style="thin">
        <color indexed="0"/>
      </right>
      <top style="thin">
        <color indexed="0"/>
      </top>
      <bottom style="hair">
        <color indexed="0"/>
      </bottom>
      <diagonal/>
    </border>
    <border>
      <left style="thin">
        <color indexed="64"/>
      </left>
      <right style="thin">
        <color indexed="64"/>
      </right>
      <top style="hair">
        <color indexed="64"/>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8"/>
      </right>
      <top/>
      <bottom style="hair">
        <color indexed="8"/>
      </bottom>
      <diagonal/>
    </border>
    <border>
      <left style="thin">
        <color indexed="64"/>
      </left>
      <right style="thin">
        <color indexed="64"/>
      </right>
      <top/>
      <bottom/>
      <diagonal/>
    </border>
    <border>
      <left/>
      <right style="thin">
        <color indexed="0"/>
      </right>
      <top style="thin">
        <color indexed="0"/>
      </top>
      <bottom/>
      <diagonal/>
    </border>
    <border>
      <left style="thin">
        <color indexed="64"/>
      </left>
      <right style="thin">
        <color indexed="8"/>
      </right>
      <top/>
      <bottom style="hair">
        <color indexed="8"/>
      </bottom>
      <diagonal/>
    </border>
    <border>
      <left/>
      <right/>
      <top style="thin">
        <color indexed="64"/>
      </top>
      <bottom style="thin">
        <color indexed="64"/>
      </bottom>
      <diagonal/>
    </border>
    <border>
      <left style="thin">
        <color indexed="0"/>
      </left>
      <right style="thin">
        <color indexed="0"/>
      </right>
      <top style="thin">
        <color indexed="0"/>
      </top>
      <bottom/>
      <diagonal/>
    </border>
    <border>
      <left style="thin">
        <color indexed="0"/>
      </left>
      <right style="thin">
        <color indexed="0"/>
      </right>
      <top style="hair">
        <color indexed="0"/>
      </top>
      <bottom style="thin">
        <color indexed="0"/>
      </bottom>
      <diagonal/>
    </border>
    <border>
      <left style="thin">
        <color indexed="64"/>
      </left>
      <right style="thin">
        <color indexed="64"/>
      </right>
      <top/>
      <bottom style="hair">
        <color indexed="64"/>
      </bottom>
      <diagonal/>
    </border>
    <border>
      <left style="thin">
        <color indexed="0"/>
      </left>
      <right style="thin">
        <color indexed="0"/>
      </right>
      <top style="hair">
        <color indexed="0"/>
      </top>
      <bottom style="hair">
        <color indexed="0"/>
      </bottom>
      <diagonal/>
    </border>
    <border>
      <left/>
      <right/>
      <top/>
      <bottom style="thin">
        <color indexed="64"/>
      </bottom>
      <diagonal/>
    </border>
    <border>
      <left/>
      <right/>
      <top/>
      <bottom style="thin">
        <color indexed="0"/>
      </bottom>
      <diagonal/>
    </border>
    <border>
      <left style="thin">
        <color indexed="0"/>
      </left>
      <right style="thin">
        <color indexed="0"/>
      </right>
      <top/>
      <bottom/>
      <diagonal/>
    </border>
    <border>
      <left/>
      <right style="thin">
        <color indexed="8"/>
      </right>
      <top style="hair">
        <color indexed="8"/>
      </top>
      <bottom style="thin">
        <color indexed="64"/>
      </bottom>
      <diagonal/>
    </border>
    <border>
      <left/>
      <right/>
      <top style="thin">
        <color indexed="0"/>
      </top>
      <bottom style="thin">
        <color indexed="0"/>
      </bottom>
      <diagonal/>
    </border>
    <border>
      <left/>
      <right style="thin">
        <color indexed="0"/>
      </right>
      <top/>
      <bottom style="thin">
        <color indexed="0"/>
      </bottom>
      <diagonal/>
    </border>
    <border>
      <left/>
      <right style="thin">
        <color indexed="64"/>
      </right>
      <top style="hair">
        <color indexed="64"/>
      </top>
      <bottom style="thin">
        <color indexed="64"/>
      </bottom>
      <diagonal/>
    </border>
    <border>
      <left style="thin">
        <color indexed="0"/>
      </left>
      <right/>
      <top style="thin">
        <color indexed="0"/>
      </top>
      <bottom/>
      <diagonal/>
    </border>
    <border>
      <left/>
      <right/>
      <top style="thin">
        <color indexed="64"/>
      </top>
      <bottom/>
      <diagonal/>
    </border>
    <border>
      <left style="thin">
        <color indexed="0"/>
      </left>
      <right/>
      <top/>
      <bottom style="thin">
        <color indexed="0"/>
      </bottom>
      <diagonal/>
    </border>
    <border>
      <left/>
      <right style="thin">
        <color indexed="0"/>
      </right>
      <top style="thin">
        <color indexed="0"/>
      </top>
      <bottom style="thin">
        <color indexed="0"/>
      </bottom>
      <diagonal/>
    </border>
    <border>
      <left/>
      <right/>
      <top style="thin">
        <color indexed="0"/>
      </top>
      <bottom/>
      <diagonal/>
    </border>
    <border>
      <left style="thin">
        <color indexed="0"/>
      </left>
      <right/>
      <top style="thin">
        <color indexed="0"/>
      </top>
      <bottom style="thin">
        <color indexed="0"/>
      </bottom>
      <diagonal/>
    </border>
    <border>
      <left style="thin">
        <color indexed="64"/>
      </left>
      <right style="thin">
        <color indexed="8"/>
      </right>
      <top style="hair">
        <color indexed="8"/>
      </top>
      <bottom style="thin">
        <color indexed="64"/>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9" borderId="0" applyNumberFormat="0" applyBorder="0" applyAlignment="0" applyProtection="0"/>
    <xf numFmtId="0" fontId="3" fillId="7" borderId="0" applyNumberFormat="0" applyBorder="0" applyAlignment="0" applyProtection="0"/>
    <xf numFmtId="0" fontId="4" fillId="14" borderId="1" applyNumberFormat="0" applyAlignment="0" applyProtection="0"/>
    <xf numFmtId="0" fontId="5" fillId="12" borderId="2" applyNumberFormat="0" applyAlignment="0" applyProtection="0"/>
    <xf numFmtId="0" fontId="6" fillId="0" borderId="0" applyNumberFormat="0" applyFill="0" applyBorder="0" applyAlignment="0" applyProtection="0"/>
    <xf numFmtId="0" fontId="7" fillId="6"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15" borderId="0" applyNumberFormat="0" applyBorder="0" applyAlignment="0" applyProtection="0"/>
    <xf numFmtId="0" fontId="15" fillId="0" borderId="0"/>
    <xf numFmtId="0" fontId="75" fillId="0" borderId="0"/>
    <xf numFmtId="0" fontId="1" fillId="0" borderId="0"/>
    <xf numFmtId="0" fontId="1" fillId="3" borderId="7" applyNumberFormat="0" applyFont="0" applyAlignment="0" applyProtection="0"/>
    <xf numFmtId="0" fontId="16" fillId="14" borderId="8" applyNumberFormat="0" applyAlignment="0" applyProtection="0"/>
    <xf numFmtId="9" fontId="75"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71">
    <xf numFmtId="0" fontId="0" fillId="0" borderId="0" xfId="0"/>
    <xf numFmtId="0" fontId="20" fillId="0" borderId="10" xfId="40" applyFont="1" applyBorder="1" applyAlignment="1" applyProtection="1">
      <alignment horizontal="center" vertical="center" wrapText="1"/>
      <protection locked="0"/>
    </xf>
    <xf numFmtId="0" fontId="21" fillId="0" borderId="10" xfId="0" applyFont="1" applyBorder="1" applyAlignment="1">
      <alignment horizontal="center" vertical="center" wrapText="1"/>
    </xf>
    <xf numFmtId="0" fontId="22" fillId="0" borderId="11" xfId="0" applyFont="1" applyBorder="1" applyAlignment="1">
      <alignment wrapText="1"/>
    </xf>
    <xf numFmtId="0" fontId="23" fillId="14" borderId="0" xfId="0" applyFont="1" applyFill="1"/>
    <xf numFmtId="164" fontId="24" fillId="16" borderId="0" xfId="0" applyNumberFormat="1" applyFont="1" applyFill="1"/>
    <xf numFmtId="183" fontId="26" fillId="17" borderId="10" xfId="0" applyNumberFormat="1" applyFont="1" applyFill="1" applyBorder="1" applyAlignment="1">
      <alignment horizontal="center"/>
    </xf>
    <xf numFmtId="0" fontId="27" fillId="0" borderId="13" xfId="0" applyFont="1" applyBorder="1" applyAlignment="1">
      <alignment vertical="top"/>
    </xf>
    <xf numFmtId="0" fontId="24" fillId="14" borderId="0" xfId="0" applyFont="1" applyFill="1" applyAlignment="1">
      <alignment horizontal="right"/>
    </xf>
    <xf numFmtId="0" fontId="28" fillId="16" borderId="11" xfId="0" applyFont="1" applyFill="1" applyBorder="1" applyAlignment="1">
      <alignment vertical="top" wrapText="1"/>
    </xf>
    <xf numFmtId="0" fontId="29" fillId="14" borderId="11" xfId="0" applyFont="1" applyFill="1" applyBorder="1"/>
    <xf numFmtId="164" fontId="30" fillId="0" borderId="10" xfId="0" applyNumberFormat="1" applyFont="1" applyBorder="1" applyAlignment="1">
      <alignment vertical="top"/>
    </xf>
    <xf numFmtId="0" fontId="31" fillId="0" borderId="0" xfId="0" applyFont="1" applyAlignment="1">
      <alignment horizontal="center" vertical="center"/>
    </xf>
    <xf numFmtId="183" fontId="26" fillId="0" borderId="0" xfId="0" applyNumberFormat="1" applyFont="1"/>
    <xf numFmtId="0" fontId="1" fillId="0" borderId="15" xfId="0" applyFont="1" applyBorder="1"/>
    <xf numFmtId="183" fontId="26" fillId="0" borderId="10" xfId="0" applyNumberFormat="1" applyFont="1" applyBorder="1" applyAlignment="1">
      <alignment horizontal="center" vertical="center"/>
    </xf>
    <xf numFmtId="0" fontId="33" fillId="0" borderId="10" xfId="39" applyFont="1" applyBorder="1" applyAlignment="1">
      <alignment horizontal="center" vertical="center" wrapText="1"/>
    </xf>
    <xf numFmtId="0" fontId="35" fillId="16" borderId="11" xfId="0" applyFont="1" applyFill="1" applyBorder="1" applyAlignment="1">
      <alignment horizontal="center" vertical="top"/>
    </xf>
    <xf numFmtId="173" fontId="30" fillId="0" borderId="10" xfId="0" applyNumberFormat="1" applyFont="1" applyBorder="1" applyAlignment="1">
      <alignment vertical="top"/>
    </xf>
    <xf numFmtId="0" fontId="23" fillId="0" borderId="10" xfId="0" applyFont="1" applyBorder="1" applyAlignment="1">
      <alignment horizontal="center" vertical="center" wrapText="1"/>
    </xf>
    <xf numFmtId="0" fontId="37" fillId="0" borderId="0" xfId="0" applyFont="1"/>
    <xf numFmtId="175" fontId="35" fillId="16" borderId="11" xfId="0" applyNumberFormat="1" applyFont="1" applyFill="1" applyBorder="1" applyAlignment="1">
      <alignment vertical="top"/>
    </xf>
    <xf numFmtId="183" fontId="23" fillId="0" borderId="0" xfId="0" applyNumberFormat="1" applyFont="1" applyAlignment="1">
      <alignment horizontal="center"/>
    </xf>
    <xf numFmtId="0" fontId="32" fillId="0" borderId="10" xfId="0" applyFont="1" applyBorder="1" applyAlignment="1">
      <alignment horizontal="center" vertical="center"/>
    </xf>
    <xf numFmtId="0" fontId="30" fillId="16" borderId="10" xfId="0" applyFont="1" applyFill="1" applyBorder="1"/>
    <xf numFmtId="49" fontId="37" fillId="0" borderId="10" xfId="0" applyNumberFormat="1" applyFont="1" applyBorder="1" applyAlignment="1">
      <alignment horizontal="center" vertical="center" wrapText="1"/>
    </xf>
    <xf numFmtId="0" fontId="23" fillId="0" borderId="16" xfId="0" applyFont="1" applyBorder="1" applyAlignment="1">
      <alignment vertical="top"/>
    </xf>
    <xf numFmtId="0" fontId="39" fillId="0" borderId="11" xfId="0" applyFont="1" applyBorder="1" applyAlignment="1">
      <alignment horizontal="center" vertical="top"/>
    </xf>
    <xf numFmtId="0" fontId="40" fillId="16" borderId="10" xfId="0" applyFont="1" applyFill="1" applyBorder="1" applyAlignment="1">
      <alignment vertical="top"/>
    </xf>
    <xf numFmtId="0" fontId="30" fillId="16" borderId="10" xfId="0" applyFont="1" applyFill="1" applyBorder="1" applyAlignment="1">
      <alignment horizontal="center"/>
    </xf>
    <xf numFmtId="9" fontId="23" fillId="18" borderId="10" xfId="0" applyNumberFormat="1" applyFont="1" applyFill="1" applyBorder="1" applyAlignment="1">
      <alignment horizontal="center" vertical="center" wrapText="1"/>
    </xf>
    <xf numFmtId="49" fontId="27" fillId="0" borderId="17" xfId="0" applyNumberFormat="1" applyFont="1" applyBorder="1" applyAlignment="1">
      <alignment horizontal="center"/>
    </xf>
    <xf numFmtId="49" fontId="24" fillId="0" borderId="11" xfId="0" applyNumberFormat="1" applyFont="1" applyBorder="1" applyAlignment="1">
      <alignment horizontal="center" vertical="top"/>
    </xf>
    <xf numFmtId="0" fontId="26" fillId="0" borderId="0" xfId="0" applyFont="1"/>
    <xf numFmtId="173" fontId="35" fillId="16" borderId="11" xfId="0" applyNumberFormat="1" applyFont="1" applyFill="1" applyBorder="1" applyAlignment="1">
      <alignment horizontal="center" vertical="top"/>
    </xf>
    <xf numFmtId="0" fontId="26" fillId="0" borderId="10" xfId="0" applyFont="1" applyBorder="1" applyAlignment="1">
      <alignment horizontal="center" vertical="center"/>
    </xf>
    <xf numFmtId="3" fontId="32" fillId="0" borderId="10" xfId="0" applyNumberFormat="1" applyFont="1" applyBorder="1" applyAlignment="1">
      <alignment horizontal="center" vertical="center"/>
    </xf>
    <xf numFmtId="0" fontId="24" fillId="16" borderId="20" xfId="0" applyFont="1" applyFill="1" applyBorder="1" applyAlignment="1">
      <alignment vertical="top"/>
    </xf>
    <xf numFmtId="0" fontId="11" fillId="14" borderId="0" xfId="34" applyFill="1" applyAlignment="1">
      <alignment vertical="top"/>
    </xf>
    <xf numFmtId="0" fontId="43" fillId="14" borderId="0" xfId="0" applyFont="1" applyFill="1"/>
    <xf numFmtId="0" fontId="27" fillId="0" borderId="17" xfId="0" applyFont="1" applyBorder="1" applyAlignment="1">
      <alignment vertical="top"/>
    </xf>
    <xf numFmtId="171" fontId="24" fillId="16" borderId="20" xfId="0" applyNumberFormat="1" applyFont="1" applyFill="1" applyBorder="1" applyAlignment="1">
      <alignment vertical="top"/>
    </xf>
    <xf numFmtId="0" fontId="23" fillId="0" borderId="0" xfId="0" applyFont="1" applyAlignment="1">
      <alignment horizontal="center"/>
    </xf>
    <xf numFmtId="0" fontId="39" fillId="0" borderId="21" xfId="39" applyFont="1" applyBorder="1"/>
    <xf numFmtId="0" fontId="32" fillId="17" borderId="10" xfId="0" applyFont="1" applyFill="1" applyBorder="1" applyAlignment="1">
      <alignment horizontal="center" vertical="center"/>
    </xf>
    <xf numFmtId="0" fontId="24" fillId="16" borderId="11" xfId="0" applyFont="1" applyFill="1" applyBorder="1" applyAlignment="1">
      <alignment horizontal="center" vertical="top"/>
    </xf>
    <xf numFmtId="0" fontId="45" fillId="0" borderId="0" xfId="0" applyFont="1"/>
    <xf numFmtId="0" fontId="39" fillId="0" borderId="21" xfId="39" applyFont="1" applyBorder="1" applyAlignment="1">
      <alignment horizontal="center"/>
    </xf>
    <xf numFmtId="0" fontId="27" fillId="0" borderId="13" xfId="0" applyFont="1" applyBorder="1" applyAlignment="1">
      <alignment horizontal="left" vertical="top" wrapText="1"/>
    </xf>
    <xf numFmtId="2" fontId="45" fillId="19" borderId="10" xfId="0" applyNumberFormat="1" applyFont="1" applyFill="1" applyBorder="1" applyAlignment="1">
      <alignment horizontal="center"/>
    </xf>
    <xf numFmtId="0" fontId="23" fillId="0" borderId="20" xfId="0" applyFont="1" applyBorder="1" applyAlignment="1">
      <alignment horizontal="right" vertical="center"/>
    </xf>
    <xf numFmtId="184" fontId="26" fillId="20" borderId="10" xfId="0" applyNumberFormat="1" applyFont="1" applyFill="1" applyBorder="1" applyAlignment="1">
      <alignment horizontal="center"/>
    </xf>
    <xf numFmtId="0" fontId="39" fillId="0" borderId="21" xfId="0" applyFont="1" applyBorder="1" applyAlignment="1">
      <alignment horizontal="center" vertical="top"/>
    </xf>
    <xf numFmtId="175" fontId="39" fillId="0" borderId="21" xfId="0" applyNumberFormat="1" applyFont="1" applyBorder="1" applyAlignment="1">
      <alignment vertical="top"/>
    </xf>
    <xf numFmtId="37" fontId="24" fillId="0" borderId="22" xfId="0" applyNumberFormat="1" applyFont="1" applyBorder="1" applyAlignment="1" applyProtection="1">
      <alignment vertical="top" wrapText="1"/>
      <protection locked="0"/>
    </xf>
    <xf numFmtId="0" fontId="46" fillId="14" borderId="0" xfId="0" applyFont="1" applyFill="1"/>
    <xf numFmtId="49" fontId="24" fillId="14" borderId="0" xfId="0" applyNumberFormat="1" applyFont="1" applyFill="1"/>
    <xf numFmtId="0" fontId="39" fillId="0" borderId="0" xfId="0" applyFont="1"/>
    <xf numFmtId="49" fontId="47" fillId="0" borderId="11" xfId="0" applyNumberFormat="1" applyFont="1" applyBorder="1" applyAlignment="1">
      <alignment vertical="top"/>
    </xf>
    <xf numFmtId="0" fontId="39" fillId="0" borderId="11" xfId="0" applyFont="1" applyBorder="1" applyAlignment="1">
      <alignment horizontal="left"/>
    </xf>
    <xf numFmtId="0" fontId="40" fillId="16" borderId="21" xfId="0" applyFont="1" applyFill="1" applyBorder="1" applyAlignment="1">
      <alignment horizontal="center" vertical="top"/>
    </xf>
    <xf numFmtId="164" fontId="24" fillId="16" borderId="11" xfId="0" applyNumberFormat="1" applyFont="1" applyFill="1" applyBorder="1" applyAlignment="1">
      <alignment vertical="top"/>
    </xf>
    <xf numFmtId="173" fontId="24" fillId="16" borderId="11" xfId="0" applyNumberFormat="1" applyFont="1" applyFill="1" applyBorder="1" applyAlignment="1">
      <alignment horizontal="center" vertical="top"/>
    </xf>
    <xf numFmtId="175" fontId="40" fillId="16" borderId="21" xfId="0" applyNumberFormat="1" applyFont="1" applyFill="1" applyBorder="1" applyAlignment="1">
      <alignment vertical="top"/>
    </xf>
    <xf numFmtId="186" fontId="27" fillId="0" borderId="13" xfId="0" applyNumberFormat="1" applyFont="1" applyBorder="1" applyAlignment="1">
      <alignment horizontal="right" vertical="top"/>
    </xf>
    <xf numFmtId="173" fontId="24" fillId="18" borderId="21" xfId="0" applyNumberFormat="1" applyFont="1" applyFill="1" applyBorder="1"/>
    <xf numFmtId="0" fontId="24" fillId="14" borderId="0" xfId="0" applyFont="1" applyFill="1"/>
    <xf numFmtId="164" fontId="39" fillId="0" borderId="21" xfId="0" applyNumberFormat="1" applyFont="1" applyBorder="1" applyAlignment="1">
      <alignment vertical="top"/>
    </xf>
    <xf numFmtId="0" fontId="40" fillId="16" borderId="11" xfId="0" applyFont="1" applyFill="1" applyBorder="1" applyAlignment="1">
      <alignment horizontal="right" vertical="top"/>
    </xf>
    <xf numFmtId="0" fontId="0" fillId="14" borderId="0" xfId="0" applyFill="1"/>
    <xf numFmtId="0" fontId="40" fillId="14" borderId="20" xfId="0" applyFont="1" applyFill="1" applyBorder="1" applyAlignment="1">
      <alignment vertical="top"/>
    </xf>
    <xf numFmtId="173" fontId="24" fillId="14" borderId="21" xfId="0" applyNumberFormat="1" applyFont="1" applyFill="1" applyBorder="1" applyAlignment="1">
      <alignment vertical="top"/>
    </xf>
    <xf numFmtId="49" fontId="37" fillId="0" borderId="17" xfId="0" applyNumberFormat="1" applyFont="1" applyBorder="1" applyAlignment="1">
      <alignment horizontal="center" vertical="center" wrapText="1"/>
    </xf>
    <xf numFmtId="10" fontId="36" fillId="0" borderId="10" xfId="0" applyNumberFormat="1" applyFont="1" applyBorder="1" applyAlignment="1">
      <alignment vertical="center" wrapText="1"/>
    </xf>
    <xf numFmtId="0" fontId="39" fillId="0" borderId="20" xfId="0" applyFont="1" applyBorder="1" applyAlignment="1">
      <alignment horizontal="center"/>
    </xf>
    <xf numFmtId="173" fontId="39" fillId="0" borderId="11" xfId="0" applyNumberFormat="1" applyFont="1" applyBorder="1" applyAlignment="1">
      <alignment horizontal="right" vertical="top"/>
    </xf>
    <xf numFmtId="0" fontId="24" fillId="14" borderId="20" xfId="0" applyFont="1" applyFill="1" applyBorder="1" applyAlignment="1">
      <alignment horizontal="center" vertical="top"/>
    </xf>
    <xf numFmtId="168" fontId="24" fillId="16" borderId="20" xfId="0" applyNumberFormat="1" applyFont="1" applyFill="1" applyBorder="1" applyAlignment="1">
      <alignment vertical="top"/>
    </xf>
    <xf numFmtId="173" fontId="40" fillId="16" borderId="11" xfId="0" applyNumberFormat="1" applyFont="1" applyFill="1" applyBorder="1" applyAlignment="1">
      <alignment horizontal="right" vertical="top"/>
    </xf>
    <xf numFmtId="49" fontId="27" fillId="0" borderId="17" xfId="0" applyNumberFormat="1" applyFont="1" applyBorder="1" applyAlignment="1">
      <alignment horizontal="center" vertical="center" wrapText="1"/>
    </xf>
    <xf numFmtId="182" fontId="26" fillId="0" borderId="10" xfId="0" applyNumberFormat="1" applyFont="1" applyBorder="1" applyAlignment="1">
      <alignment horizontal="center" vertical="center"/>
    </xf>
    <xf numFmtId="0" fontId="27" fillId="0" borderId="17" xfId="0" applyFont="1" applyBorder="1" applyAlignment="1">
      <alignment horizontal="left" vertical="top" wrapText="1"/>
    </xf>
    <xf numFmtId="164" fontId="24" fillId="18" borderId="20" xfId="0" applyNumberFormat="1" applyFont="1" applyFill="1" applyBorder="1"/>
    <xf numFmtId="49" fontId="35" fillId="14" borderId="11" xfId="0" applyNumberFormat="1" applyFont="1" applyFill="1" applyBorder="1" applyAlignment="1">
      <alignment vertical="top"/>
    </xf>
    <xf numFmtId="183" fontId="45" fillId="0" borderId="10" xfId="0" applyNumberFormat="1" applyFont="1" applyBorder="1" applyAlignment="1">
      <alignment horizontal="center"/>
    </xf>
    <xf numFmtId="0" fontId="42" fillId="14" borderId="0" xfId="0" applyFont="1" applyFill="1"/>
    <xf numFmtId="164" fontId="24" fillId="14" borderId="20" xfId="0" applyNumberFormat="1" applyFont="1" applyFill="1" applyBorder="1" applyAlignment="1">
      <alignment vertical="top"/>
    </xf>
    <xf numFmtId="173" fontId="24" fillId="14" borderId="20" xfId="0" applyNumberFormat="1" applyFont="1" applyFill="1" applyBorder="1" applyAlignment="1">
      <alignment horizontal="center" vertical="top"/>
    </xf>
    <xf numFmtId="168" fontId="28" fillId="16" borderId="11" xfId="0" applyNumberFormat="1" applyFont="1" applyFill="1" applyBorder="1" applyAlignment="1">
      <alignment vertical="top"/>
    </xf>
    <xf numFmtId="174" fontId="39" fillId="0" borderId="11" xfId="0" applyNumberFormat="1" applyFont="1" applyBorder="1" applyAlignment="1">
      <alignment vertical="top"/>
    </xf>
    <xf numFmtId="183" fontId="24" fillId="0" borderId="0" xfId="0" applyNumberFormat="1" applyFont="1" applyAlignment="1">
      <alignment horizontal="center" vertical="top"/>
    </xf>
    <xf numFmtId="0" fontId="50" fillId="0" borderId="25" xfId="0" applyFont="1" applyBorder="1" applyAlignment="1" applyProtection="1">
      <alignment horizontal="center" vertical="top" wrapText="1"/>
      <protection locked="0"/>
    </xf>
    <xf numFmtId="0" fontId="24" fillId="0" borderId="21" xfId="0" applyFont="1" applyBorder="1" applyAlignment="1">
      <alignment horizontal="center" vertical="top"/>
    </xf>
    <xf numFmtId="49" fontId="23" fillId="0" borderId="0" xfId="0" applyNumberFormat="1" applyFont="1" applyAlignment="1">
      <alignment horizontal="center" vertical="center"/>
    </xf>
    <xf numFmtId="0" fontId="27" fillId="0" borderId="28" xfId="0" applyFont="1" applyBorder="1"/>
    <xf numFmtId="0" fontId="49" fillId="20" borderId="10" xfId="0" applyFont="1" applyFill="1" applyBorder="1" applyAlignment="1">
      <alignment horizontal="center"/>
    </xf>
    <xf numFmtId="174" fontId="40" fillId="16" borderId="11" xfId="0" applyNumberFormat="1" applyFont="1" applyFill="1" applyBorder="1" applyAlignment="1">
      <alignment vertical="top"/>
    </xf>
    <xf numFmtId="49" fontId="47" fillId="14" borderId="21" xfId="0" applyNumberFormat="1" applyFont="1" applyFill="1" applyBorder="1" applyAlignment="1">
      <alignment vertical="top"/>
    </xf>
    <xf numFmtId="186" fontId="27" fillId="0" borderId="17" xfId="0" applyNumberFormat="1" applyFont="1" applyBorder="1" applyAlignment="1">
      <alignment horizontal="right" vertical="top"/>
    </xf>
    <xf numFmtId="0" fontId="51" fillId="0" borderId="0" xfId="0" applyFont="1"/>
    <xf numFmtId="0" fontId="27" fillId="0" borderId="28" xfId="0" applyFont="1" applyBorder="1" applyAlignment="1">
      <alignment horizontal="center"/>
    </xf>
    <xf numFmtId="0" fontId="35" fillId="0" borderId="11" xfId="0" applyFont="1" applyBorder="1" applyAlignment="1">
      <alignment horizontal="center" vertical="top"/>
    </xf>
    <xf numFmtId="0" fontId="24" fillId="0" borderId="0" xfId="0" applyFont="1" applyAlignment="1">
      <alignment horizontal="center"/>
    </xf>
    <xf numFmtId="0" fontId="51" fillId="0" borderId="0" xfId="0" applyFont="1" applyAlignment="1">
      <alignment horizontal="center"/>
    </xf>
    <xf numFmtId="3" fontId="23" fillId="0" borderId="29" xfId="0" applyNumberFormat="1" applyFont="1" applyBorder="1" applyAlignment="1">
      <alignment vertical="top"/>
    </xf>
    <xf numFmtId="49" fontId="37" fillId="0" borderId="30" xfId="0" applyNumberFormat="1" applyFont="1" applyBorder="1" applyAlignment="1">
      <alignment vertical="top" wrapText="1"/>
    </xf>
    <xf numFmtId="49" fontId="27" fillId="0" borderId="30" xfId="0" applyNumberFormat="1" applyFont="1" applyBorder="1" applyAlignment="1">
      <alignment horizontal="center" vertical="top" wrapText="1"/>
    </xf>
    <xf numFmtId="0" fontId="24" fillId="14" borderId="16" xfId="0" applyFont="1" applyFill="1" applyBorder="1" applyAlignment="1">
      <alignment horizontal="left"/>
    </xf>
    <xf numFmtId="183" fontId="26" fillId="20" borderId="0" xfId="0" applyNumberFormat="1" applyFont="1" applyFill="1" applyAlignment="1">
      <alignment horizontal="center"/>
    </xf>
    <xf numFmtId="0" fontId="37" fillId="0" borderId="30" xfId="0" applyFont="1" applyBorder="1"/>
    <xf numFmtId="0" fontId="49" fillId="0" borderId="0" xfId="0" applyFont="1" applyAlignment="1">
      <alignment vertical="center" wrapText="1"/>
    </xf>
    <xf numFmtId="0" fontId="45" fillId="0" borderId="10" xfId="0" applyFont="1" applyBorder="1"/>
    <xf numFmtId="0" fontId="53" fillId="16" borderId="21" xfId="0" applyFont="1" applyFill="1" applyBorder="1" applyAlignment="1">
      <alignment horizontal="center" vertical="top"/>
    </xf>
    <xf numFmtId="0" fontId="39" fillId="0" borderId="11" xfId="0" applyFont="1" applyBorder="1" applyAlignment="1">
      <alignment vertical="top"/>
    </xf>
    <xf numFmtId="165" fontId="24" fillId="16" borderId="20" xfId="0" applyNumberFormat="1" applyFont="1" applyFill="1" applyBorder="1"/>
    <xf numFmtId="0" fontId="23" fillId="14" borderId="0" xfId="0" applyFont="1" applyFill="1" applyAlignment="1">
      <alignment horizontal="center"/>
    </xf>
    <xf numFmtId="0" fontId="27" fillId="0" borderId="30" xfId="0" applyFont="1" applyBorder="1"/>
    <xf numFmtId="185" fontId="23" fillId="0" borderId="16" xfId="43" applyNumberFormat="1" applyFont="1" applyFill="1" applyBorder="1" applyAlignment="1">
      <alignment horizontal="center" vertical="top"/>
    </xf>
    <xf numFmtId="165" fontId="40" fillId="16" borderId="11" xfId="0" applyNumberFormat="1" applyFont="1" applyFill="1" applyBorder="1"/>
    <xf numFmtId="0" fontId="40" fillId="16" borderId="11" xfId="0" applyFont="1" applyFill="1" applyBorder="1" applyAlignment="1">
      <alignment vertical="top"/>
    </xf>
    <xf numFmtId="3" fontId="23" fillId="0" borderId="11" xfId="0" applyNumberFormat="1" applyFont="1" applyBorder="1" applyAlignment="1">
      <alignment vertical="top"/>
    </xf>
    <xf numFmtId="0" fontId="27" fillId="0" borderId="13" xfId="0" applyFont="1" applyBorder="1" applyAlignment="1">
      <alignment horizontal="center" vertical="top"/>
    </xf>
    <xf numFmtId="184" fontId="26" fillId="17" borderId="10" xfId="0" applyNumberFormat="1" applyFont="1" applyFill="1" applyBorder="1" applyAlignment="1">
      <alignment horizontal="center"/>
    </xf>
    <xf numFmtId="0" fontId="27" fillId="0" borderId="30" xfId="0" applyFont="1" applyBorder="1" applyAlignment="1">
      <alignment horizontal="center"/>
    </xf>
    <xf numFmtId="0" fontId="21" fillId="0" borderId="20" xfId="0" applyFont="1" applyBorder="1" applyAlignment="1">
      <alignment vertical="top"/>
    </xf>
    <xf numFmtId="0" fontId="48" fillId="0" borderId="0" xfId="0" applyFont="1"/>
    <xf numFmtId="49" fontId="39" fillId="0" borderId="20" xfId="0" applyNumberFormat="1" applyFont="1" applyBorder="1" applyAlignment="1">
      <alignment horizontal="left"/>
    </xf>
    <xf numFmtId="49" fontId="40" fillId="14" borderId="21" xfId="0" applyNumberFormat="1" applyFont="1" applyFill="1" applyBorder="1" applyAlignment="1">
      <alignment vertical="top"/>
    </xf>
    <xf numFmtId="173" fontId="39" fillId="0" borderId="11" xfId="0" applyNumberFormat="1" applyFont="1" applyBorder="1" applyAlignment="1">
      <alignment vertical="top"/>
    </xf>
    <xf numFmtId="184" fontId="26" fillId="0" borderId="10" xfId="0" applyNumberFormat="1" applyFont="1" applyBorder="1" applyAlignment="1">
      <alignment horizontal="center" vertical="center"/>
    </xf>
    <xf numFmtId="0" fontId="40" fillId="0" borderId="11" xfId="39" quotePrefix="1" applyFont="1" applyBorder="1" applyAlignment="1">
      <alignment horizontal="left" vertical="top" wrapText="1"/>
    </xf>
    <xf numFmtId="167" fontId="24" fillId="16" borderId="20" xfId="0" applyNumberFormat="1" applyFont="1" applyFill="1" applyBorder="1" applyAlignment="1">
      <alignment vertical="top"/>
    </xf>
    <xf numFmtId="0" fontId="30" fillId="16" borderId="10" xfId="0" applyFont="1" applyFill="1" applyBorder="1" applyAlignment="1">
      <alignment vertical="top" wrapText="1"/>
    </xf>
    <xf numFmtId="0" fontId="54" fillId="0" borderId="0" xfId="0" applyFont="1" applyAlignment="1">
      <alignment horizontal="left" vertical="top" wrapText="1"/>
    </xf>
    <xf numFmtId="0" fontId="23" fillId="21" borderId="10" xfId="0" applyFont="1" applyFill="1" applyBorder="1" applyAlignment="1">
      <alignment horizontal="center" vertical="top"/>
    </xf>
    <xf numFmtId="0" fontId="23" fillId="0" borderId="16" xfId="0" applyFont="1" applyBorder="1" applyAlignment="1">
      <alignment horizontal="center" vertical="top"/>
    </xf>
    <xf numFmtId="0" fontId="36" fillId="0" borderId="0" xfId="0" applyFont="1" applyAlignment="1">
      <alignment horizontal="left" vertical="top" wrapText="1"/>
    </xf>
    <xf numFmtId="0" fontId="37" fillId="0" borderId="10" xfId="0" applyFont="1" applyBorder="1" applyAlignment="1">
      <alignment horizontal="center" vertical="center" wrapText="1"/>
    </xf>
    <xf numFmtId="0" fontId="40" fillId="18" borderId="20" xfId="0" applyFont="1" applyFill="1" applyBorder="1"/>
    <xf numFmtId="167" fontId="28" fillId="16" borderId="11" xfId="0" applyNumberFormat="1" applyFont="1" applyFill="1" applyBorder="1" applyAlignment="1">
      <alignment vertical="top"/>
    </xf>
    <xf numFmtId="174" fontId="39" fillId="0" borderId="11" xfId="0" applyNumberFormat="1" applyFont="1" applyBorder="1" applyAlignment="1">
      <alignment horizontal="right"/>
    </xf>
    <xf numFmtId="0" fontId="41" fillId="0" borderId="0" xfId="0" applyFont="1" applyAlignment="1">
      <alignment horizontal="left" vertical="top" wrapText="1"/>
    </xf>
    <xf numFmtId="173" fontId="23" fillId="21" borderId="10" xfId="0" applyNumberFormat="1" applyFont="1" applyFill="1" applyBorder="1" applyAlignment="1">
      <alignment horizontal="center" vertical="top"/>
    </xf>
    <xf numFmtId="164" fontId="30" fillId="16" borderId="10" xfId="0" applyNumberFormat="1" applyFont="1" applyFill="1" applyBorder="1"/>
    <xf numFmtId="49" fontId="24" fillId="16" borderId="11" xfId="0" quotePrefix="1" applyNumberFormat="1" applyFont="1" applyFill="1" applyBorder="1" applyAlignment="1">
      <alignment vertical="top"/>
    </xf>
    <xf numFmtId="177" fontId="40" fillId="18" borderId="11" xfId="43" applyNumberFormat="1" applyFont="1" applyFill="1" applyBorder="1"/>
    <xf numFmtId="0" fontId="47" fillId="0" borderId="0" xfId="0" applyFont="1" applyAlignment="1">
      <alignment vertical="top"/>
    </xf>
    <xf numFmtId="0" fontId="27" fillId="0" borderId="17" xfId="0" applyFont="1" applyBorder="1" applyAlignment="1">
      <alignment horizontal="center" vertical="top"/>
    </xf>
    <xf numFmtId="187" fontId="30" fillId="0" borderId="10" xfId="0" applyNumberFormat="1" applyFont="1" applyBorder="1" applyAlignment="1">
      <alignment vertical="top"/>
    </xf>
    <xf numFmtId="49" fontId="24" fillId="0" borderId="0" xfId="0" applyNumberFormat="1" applyFont="1" applyAlignment="1">
      <alignment horizontal="center" vertical="center"/>
    </xf>
    <xf numFmtId="0" fontId="24" fillId="14" borderId="29" xfId="0" applyFont="1" applyFill="1" applyBorder="1" applyAlignment="1">
      <alignment horizontal="left"/>
    </xf>
    <xf numFmtId="49" fontId="56" fillId="0" borderId="0" xfId="39" applyNumberFormat="1" applyFont="1" applyAlignment="1">
      <alignment vertical="center"/>
    </xf>
    <xf numFmtId="0" fontId="24" fillId="16" borderId="11" xfId="0" applyFont="1" applyFill="1" applyBorder="1"/>
    <xf numFmtId="0" fontId="53" fillId="0" borderId="20" xfId="39" applyFont="1" applyBorder="1" applyAlignment="1">
      <alignment horizontal="left" vertical="top" wrapText="1"/>
    </xf>
    <xf numFmtId="0" fontId="39" fillId="0" borderId="20" xfId="0" applyFont="1" applyBorder="1" applyAlignment="1">
      <alignment horizontal="right" vertical="top"/>
    </xf>
    <xf numFmtId="174" fontId="57" fillId="16" borderId="21" xfId="0" applyNumberFormat="1" applyFont="1" applyFill="1" applyBorder="1" applyAlignment="1">
      <alignment vertical="top"/>
    </xf>
    <xf numFmtId="0" fontId="24" fillId="16" borderId="11" xfId="0" applyFont="1" applyFill="1" applyBorder="1" applyAlignment="1">
      <alignment horizontal="center"/>
    </xf>
    <xf numFmtId="0" fontId="39" fillId="0" borderId="11" xfId="39" applyFont="1" applyBorder="1" applyAlignment="1">
      <alignment horizontal="left" vertical="top" wrapText="1"/>
    </xf>
    <xf numFmtId="0" fontId="49" fillId="17" borderId="10" xfId="0" applyFont="1" applyFill="1" applyBorder="1" applyAlignment="1">
      <alignment horizontal="center"/>
    </xf>
    <xf numFmtId="0" fontId="30" fillId="21" borderId="10" xfId="0" applyFont="1" applyFill="1" applyBorder="1" applyAlignment="1">
      <alignment vertical="top"/>
    </xf>
    <xf numFmtId="0" fontId="39" fillId="0" borderId="21" xfId="0" applyFont="1" applyBorder="1" applyAlignment="1">
      <alignment horizontal="center"/>
    </xf>
    <xf numFmtId="0" fontId="40" fillId="16" borderId="20" xfId="0" applyFont="1" applyFill="1" applyBorder="1" applyAlignment="1">
      <alignment horizontal="right" vertical="top"/>
    </xf>
    <xf numFmtId="0" fontId="39" fillId="0" borderId="0" xfId="0" applyFont="1" applyAlignment="1">
      <alignment vertical="top" wrapText="1"/>
    </xf>
    <xf numFmtId="0" fontId="24" fillId="14" borderId="21" xfId="0" applyFont="1" applyFill="1" applyBorder="1" applyAlignment="1">
      <alignment horizontal="center" vertical="top"/>
    </xf>
    <xf numFmtId="0" fontId="32" fillId="0" borderId="0" xfId="39" applyFont="1" applyAlignment="1">
      <alignment vertical="center"/>
    </xf>
    <xf numFmtId="185" fontId="23" fillId="0" borderId="29" xfId="43" applyNumberFormat="1" applyFont="1" applyFill="1" applyBorder="1" applyAlignment="1">
      <alignment horizontal="center" vertical="top"/>
    </xf>
    <xf numFmtId="171" fontId="28" fillId="16" borderId="11" xfId="0" applyNumberFormat="1" applyFont="1" applyFill="1" applyBorder="1" applyAlignment="1">
      <alignment vertical="top"/>
    </xf>
    <xf numFmtId="182" fontId="26" fillId="19" borderId="10" xfId="0" applyNumberFormat="1" applyFont="1" applyFill="1" applyBorder="1" applyAlignment="1">
      <alignment horizontal="center"/>
    </xf>
    <xf numFmtId="3" fontId="23" fillId="0" borderId="16" xfId="0" applyNumberFormat="1" applyFont="1" applyBorder="1" applyAlignment="1">
      <alignment vertical="top"/>
    </xf>
    <xf numFmtId="0" fontId="49" fillId="0" borderId="10" xfId="0" applyFont="1" applyBorder="1" applyAlignment="1">
      <alignment horizontal="center" vertical="center"/>
    </xf>
    <xf numFmtId="183" fontId="45" fillId="20" borderId="10" xfId="0" applyNumberFormat="1" applyFont="1" applyFill="1" applyBorder="1" applyAlignment="1">
      <alignment horizontal="center"/>
    </xf>
    <xf numFmtId="0" fontId="24" fillId="14" borderId="11" xfId="0" applyFont="1" applyFill="1" applyBorder="1" applyAlignment="1">
      <alignment horizontal="left"/>
    </xf>
    <xf numFmtId="183" fontId="26" fillId="17" borderId="10" xfId="0" applyNumberFormat="1" applyFont="1" applyFill="1" applyBorder="1" applyAlignment="1">
      <alignment horizontal="center" vertical="center"/>
    </xf>
    <xf numFmtId="164" fontId="24" fillId="18" borderId="21" xfId="0" applyNumberFormat="1" applyFont="1" applyFill="1" applyBorder="1"/>
    <xf numFmtId="0" fontId="24" fillId="14" borderId="0" xfId="0" applyFont="1" applyFill="1" applyAlignment="1">
      <alignment horizontal="center"/>
    </xf>
    <xf numFmtId="164" fontId="53" fillId="0" borderId="20" xfId="39" applyNumberFormat="1" applyFont="1" applyBorder="1" applyAlignment="1">
      <alignment horizontal="right"/>
    </xf>
    <xf numFmtId="173" fontId="30" fillId="21" borderId="10" xfId="0" applyNumberFormat="1" applyFont="1" applyFill="1" applyBorder="1" applyAlignment="1">
      <alignment vertical="top"/>
    </xf>
    <xf numFmtId="0" fontId="31" fillId="0" borderId="0" xfId="0" applyFont="1" applyAlignment="1">
      <alignment horizontal="center" vertical="top"/>
    </xf>
    <xf numFmtId="0" fontId="24" fillId="0" borderId="0" xfId="0" applyFont="1" applyAlignment="1" applyProtection="1">
      <alignment vertical="top"/>
      <protection locked="0"/>
    </xf>
    <xf numFmtId="164" fontId="24" fillId="14" borderId="21" xfId="0" applyNumberFormat="1" applyFont="1" applyFill="1" applyBorder="1" applyAlignment="1">
      <alignment vertical="top"/>
    </xf>
    <xf numFmtId="166" fontId="24" fillId="16" borderId="20" xfId="0" applyNumberFormat="1" applyFont="1" applyFill="1" applyBorder="1"/>
    <xf numFmtId="173" fontId="24" fillId="14" borderId="21" xfId="0" applyNumberFormat="1" applyFont="1" applyFill="1" applyBorder="1" applyAlignment="1">
      <alignment horizontal="center" vertical="top"/>
    </xf>
    <xf numFmtId="164" fontId="39" fillId="0" borderId="11" xfId="39" applyNumberFormat="1" applyFont="1" applyBorder="1" applyAlignment="1">
      <alignment horizontal="right"/>
    </xf>
    <xf numFmtId="0" fontId="24" fillId="0" borderId="0" xfId="0" applyFont="1" applyAlignment="1">
      <alignment wrapText="1"/>
    </xf>
    <xf numFmtId="0" fontId="40" fillId="16" borderId="20" xfId="0" applyFont="1" applyFill="1" applyBorder="1" applyAlignment="1">
      <alignment vertical="top" wrapText="1"/>
    </xf>
    <xf numFmtId="173" fontId="39" fillId="0" borderId="11" xfId="0" applyNumberFormat="1" applyFont="1" applyBorder="1" applyAlignment="1">
      <alignment horizontal="right"/>
    </xf>
    <xf numFmtId="179" fontId="50" fillId="0" borderId="22" xfId="0" applyNumberFormat="1" applyFont="1" applyBorder="1" applyAlignment="1" applyProtection="1">
      <alignment horizontal="right" vertical="top" wrapText="1"/>
      <protection locked="0"/>
    </xf>
    <xf numFmtId="185" fontId="23" fillId="0" borderId="11" xfId="43" applyNumberFormat="1" applyFont="1" applyFill="1" applyBorder="1" applyAlignment="1">
      <alignment horizontal="center" vertical="top"/>
    </xf>
    <xf numFmtId="49" fontId="0" fillId="0" borderId="0" xfId="0" applyNumberFormat="1"/>
    <xf numFmtId="0" fontId="23" fillId="0" borderId="29" xfId="0" applyFont="1" applyBorder="1" applyAlignment="1">
      <alignment horizontal="center" vertical="top"/>
    </xf>
    <xf numFmtId="0" fontId="23" fillId="14" borderId="0" xfId="0" applyFont="1" applyFill="1" applyAlignment="1">
      <alignment horizontal="center" vertical="center"/>
    </xf>
    <xf numFmtId="0" fontId="32" fillId="0" borderId="19" xfId="0" applyFont="1" applyBorder="1"/>
    <xf numFmtId="0" fontId="28" fillId="16" borderId="0" xfId="0" applyFont="1" applyFill="1"/>
    <xf numFmtId="0" fontId="27" fillId="0" borderId="17" xfId="0" applyFont="1" applyBorder="1" applyAlignment="1">
      <alignment horizontal="center" vertical="center" wrapText="1"/>
    </xf>
    <xf numFmtId="0" fontId="36" fillId="0" borderId="0" xfId="0" applyFont="1"/>
    <xf numFmtId="183" fontId="24" fillId="0" borderId="0" xfId="0" applyNumberFormat="1" applyFont="1" applyAlignment="1">
      <alignment horizontal="center"/>
    </xf>
    <xf numFmtId="176" fontId="39" fillId="18" borderId="11" xfId="0" applyNumberFormat="1" applyFont="1" applyFill="1" applyBorder="1" applyAlignment="1">
      <alignment vertical="top"/>
    </xf>
    <xf numFmtId="0" fontId="26" fillId="0" borderId="0" xfId="0" applyFont="1" applyAlignment="1">
      <alignment horizontal="center" vertical="center"/>
    </xf>
    <xf numFmtId="0" fontId="27" fillId="0" borderId="28" xfId="0" applyFont="1" applyBorder="1" applyAlignment="1">
      <alignment vertical="top" wrapText="1"/>
    </xf>
    <xf numFmtId="3" fontId="32" fillId="0" borderId="0" xfId="0" applyNumberFormat="1" applyFont="1" applyAlignment="1">
      <alignment horizontal="center" vertical="center"/>
    </xf>
    <xf numFmtId="174" fontId="30" fillId="0" borderId="10" xfId="0" applyNumberFormat="1" applyFont="1" applyBorder="1" applyAlignment="1">
      <alignment horizontal="right" vertical="center"/>
    </xf>
    <xf numFmtId="0" fontId="23" fillId="0" borderId="11" xfId="0" applyFont="1" applyBorder="1" applyAlignment="1">
      <alignment horizontal="center" vertical="top"/>
    </xf>
    <xf numFmtId="49" fontId="37" fillId="0" borderId="15" xfId="0" applyNumberFormat="1" applyFont="1" applyBorder="1"/>
    <xf numFmtId="165" fontId="24" fillId="16" borderId="21" xfId="0" applyNumberFormat="1" applyFont="1" applyFill="1" applyBorder="1"/>
    <xf numFmtId="0" fontId="23" fillId="0" borderId="0" xfId="0" applyFont="1" applyAlignment="1">
      <alignment horizontal="center" vertical="center"/>
    </xf>
    <xf numFmtId="37" fontId="50" fillId="0" borderId="22" xfId="0" applyNumberFormat="1" applyFont="1" applyBorder="1" applyAlignment="1" applyProtection="1">
      <alignment horizontal="right" vertical="top" wrapText="1"/>
      <protection locked="0"/>
    </xf>
    <xf numFmtId="0" fontId="24" fillId="16" borderId="21" xfId="0" applyFont="1" applyFill="1" applyBorder="1" applyAlignment="1">
      <alignment vertical="top"/>
    </xf>
    <xf numFmtId="180" fontId="23" fillId="14" borderId="11" xfId="0" applyNumberFormat="1" applyFont="1" applyFill="1" applyBorder="1" applyAlignment="1">
      <alignment horizontal="center"/>
    </xf>
    <xf numFmtId="49" fontId="37" fillId="0" borderId="15" xfId="0" applyNumberFormat="1" applyFont="1" applyBorder="1" applyAlignment="1">
      <alignment horizontal="center"/>
    </xf>
    <xf numFmtId="173" fontId="35" fillId="14" borderId="11" xfId="0" applyNumberFormat="1" applyFont="1" applyFill="1" applyBorder="1" applyAlignment="1">
      <alignment vertical="top"/>
    </xf>
    <xf numFmtId="0" fontId="61" fillId="16" borderId="0" xfId="0" applyFont="1" applyFill="1"/>
    <xf numFmtId="49" fontId="24" fillId="16" borderId="0" xfId="0" applyNumberFormat="1" applyFont="1" applyFill="1"/>
    <xf numFmtId="49" fontId="62" fillId="0" borderId="17" xfId="0" applyNumberFormat="1" applyFont="1" applyBorder="1"/>
    <xf numFmtId="49" fontId="37" fillId="0" borderId="30" xfId="0" applyNumberFormat="1" applyFont="1" applyBorder="1" applyAlignment="1">
      <alignment horizontal="center" vertical="top" wrapText="1"/>
    </xf>
    <xf numFmtId="0" fontId="21" fillId="0" borderId="21" xfId="0" applyFont="1" applyBorder="1" applyAlignment="1">
      <alignment vertical="top"/>
    </xf>
    <xf numFmtId="0" fontId="30" fillId="0" borderId="10" xfId="0" applyFont="1" applyBorder="1" applyAlignment="1">
      <alignment vertical="top" wrapText="1"/>
    </xf>
    <xf numFmtId="0" fontId="39" fillId="0" borderId="20" xfId="0" applyFont="1" applyBorder="1" applyAlignment="1">
      <alignment vertical="top"/>
    </xf>
    <xf numFmtId="0" fontId="53" fillId="0" borderId="20" xfId="39" applyFont="1" applyBorder="1"/>
    <xf numFmtId="49" fontId="39" fillId="0" borderId="21" xfId="0" applyNumberFormat="1" applyFont="1" applyBorder="1" applyAlignment="1">
      <alignment horizontal="left"/>
    </xf>
    <xf numFmtId="0" fontId="37" fillId="0" borderId="30" xfId="0" applyFont="1" applyBorder="1" applyAlignment="1">
      <alignment vertical="top" wrapText="1"/>
    </xf>
    <xf numFmtId="0" fontId="32" fillId="0" borderId="10" xfId="0" applyFont="1" applyBorder="1" applyAlignment="1">
      <alignment horizontal="center" vertical="center" wrapText="1"/>
    </xf>
    <xf numFmtId="0" fontId="53" fillId="0" borderId="20" xfId="39" applyFont="1" applyBorder="1" applyAlignment="1">
      <alignment horizontal="center"/>
    </xf>
    <xf numFmtId="0" fontId="39" fillId="0" borderId="11" xfId="39" applyFont="1" applyBorder="1"/>
    <xf numFmtId="49" fontId="21" fillId="0" borderId="0" xfId="0" applyNumberFormat="1" applyFont="1" applyAlignment="1">
      <alignment horizontal="center"/>
    </xf>
    <xf numFmtId="49" fontId="24" fillId="16" borderId="20" xfId="0" applyNumberFormat="1" applyFont="1" applyFill="1" applyBorder="1"/>
    <xf numFmtId="172" fontId="24" fillId="18" borderId="20" xfId="0" applyNumberFormat="1" applyFont="1" applyFill="1" applyBorder="1"/>
    <xf numFmtId="175" fontId="35" fillId="0" borderId="11" xfId="0" applyNumberFormat="1" applyFont="1" applyBorder="1" applyAlignment="1">
      <alignment vertical="top"/>
    </xf>
    <xf numFmtId="173" fontId="24" fillId="16" borderId="21" xfId="0" applyNumberFormat="1" applyFont="1" applyFill="1" applyBorder="1" applyAlignment="1">
      <alignment vertical="top"/>
    </xf>
    <xf numFmtId="169" fontId="24" fillId="16" borderId="20" xfId="0" applyNumberFormat="1" applyFont="1" applyFill="1" applyBorder="1" applyAlignment="1">
      <alignment vertical="top"/>
    </xf>
    <xf numFmtId="0" fontId="39" fillId="0" borderId="11" xfId="39" applyFont="1" applyBorder="1" applyAlignment="1">
      <alignment horizontal="center"/>
    </xf>
    <xf numFmtId="0" fontId="27" fillId="0" borderId="30" xfId="0" applyFont="1" applyBorder="1" applyAlignment="1">
      <alignment vertical="top" wrapText="1"/>
    </xf>
    <xf numFmtId="183" fontId="26" fillId="19" borderId="10" xfId="0" applyNumberFormat="1" applyFont="1" applyFill="1" applyBorder="1" applyAlignment="1">
      <alignment horizontal="center"/>
    </xf>
    <xf numFmtId="0" fontId="24" fillId="16" borderId="0" xfId="0" applyFont="1" applyFill="1" applyAlignment="1">
      <alignment vertical="top"/>
    </xf>
    <xf numFmtId="0" fontId="64" fillId="0" borderId="11" xfId="0" applyFont="1" applyBorder="1" applyAlignment="1">
      <alignment horizontal="center" vertical="top"/>
    </xf>
    <xf numFmtId="0" fontId="24" fillId="16" borderId="20" xfId="0" applyFont="1" applyFill="1" applyBorder="1" applyAlignment="1">
      <alignment horizontal="center" vertical="top"/>
    </xf>
    <xf numFmtId="0" fontId="23" fillId="14" borderId="10" xfId="0" applyFont="1" applyFill="1" applyBorder="1" applyAlignment="1">
      <alignment horizontal="center" vertical="center" wrapText="1"/>
    </xf>
    <xf numFmtId="0" fontId="64" fillId="0" borderId="0" xfId="0" applyFont="1" applyAlignment="1">
      <alignment horizontal="center" vertical="center"/>
    </xf>
    <xf numFmtId="49" fontId="23" fillId="0" borderId="16" xfId="0" applyNumberFormat="1" applyFont="1" applyBorder="1" applyAlignment="1">
      <alignment horizontal="center" vertical="top" wrapText="1"/>
    </xf>
    <xf numFmtId="0" fontId="40" fillId="16" borderId="11" xfId="0" applyFont="1" applyFill="1" applyBorder="1" applyAlignment="1">
      <alignment horizontal="center" vertical="top"/>
    </xf>
    <xf numFmtId="2" fontId="32" fillId="0" borderId="26" xfId="0" applyNumberFormat="1" applyFont="1" applyBorder="1"/>
    <xf numFmtId="0" fontId="21" fillId="0" borderId="20" xfId="0" applyFont="1" applyBorder="1" applyAlignment="1">
      <alignment horizontal="center" vertical="top"/>
    </xf>
    <xf numFmtId="0" fontId="40" fillId="18" borderId="21" xfId="0" applyFont="1" applyFill="1" applyBorder="1"/>
    <xf numFmtId="0" fontId="35" fillId="16" borderId="11" xfId="0" applyFont="1" applyFill="1" applyBorder="1" applyAlignment="1">
      <alignment vertical="top" wrapText="1"/>
    </xf>
    <xf numFmtId="49" fontId="35" fillId="16" borderId="11" xfId="0" applyNumberFormat="1" applyFont="1" applyFill="1" applyBorder="1" applyAlignment="1">
      <alignment vertical="top"/>
    </xf>
    <xf numFmtId="164" fontId="39" fillId="0" borderId="11" xfId="0" applyNumberFormat="1" applyFont="1" applyBorder="1" applyAlignment="1">
      <alignment vertical="top"/>
    </xf>
    <xf numFmtId="0" fontId="39" fillId="0" borderId="20" xfId="0" applyFont="1" applyBorder="1" applyAlignment="1">
      <alignment horizontal="left"/>
    </xf>
    <xf numFmtId="2" fontId="45" fillId="0" borderId="10" xfId="0" applyNumberFormat="1" applyFont="1" applyBorder="1" applyAlignment="1">
      <alignment horizontal="center"/>
    </xf>
    <xf numFmtId="0" fontId="21" fillId="0" borderId="10" xfId="0" applyFont="1" applyBorder="1" applyAlignment="1">
      <alignment horizontal="center" vertical="center"/>
    </xf>
    <xf numFmtId="170" fontId="24" fillId="18" borderId="10" xfId="0" applyNumberFormat="1" applyFont="1" applyFill="1" applyBorder="1"/>
    <xf numFmtId="0" fontId="39" fillId="0" borderId="10" xfId="0" applyFont="1" applyBorder="1"/>
    <xf numFmtId="173" fontId="24" fillId="14" borderId="11" xfId="0" applyNumberFormat="1" applyFont="1" applyFill="1" applyBorder="1" applyAlignment="1">
      <alignment vertical="top"/>
    </xf>
    <xf numFmtId="164" fontId="24" fillId="16" borderId="20" xfId="0" applyNumberFormat="1" applyFont="1" applyFill="1" applyBorder="1" applyAlignment="1">
      <alignment vertical="top"/>
    </xf>
    <xf numFmtId="183" fontId="45" fillId="17" borderId="10" xfId="0" applyNumberFormat="1" applyFont="1" applyFill="1" applyBorder="1" applyAlignment="1">
      <alignment horizontal="center"/>
    </xf>
    <xf numFmtId="185" fontId="24" fillId="0" borderId="11" xfId="43" applyNumberFormat="1" applyFont="1" applyFill="1" applyBorder="1" applyAlignment="1">
      <alignment horizontal="center" vertical="top"/>
    </xf>
    <xf numFmtId="0" fontId="39" fillId="0" borderId="10" xfId="0" applyFont="1" applyBorder="1" applyAlignment="1">
      <alignment horizontal="center"/>
    </xf>
    <xf numFmtId="164" fontId="40" fillId="16" borderId="11" xfId="0" applyNumberFormat="1" applyFont="1" applyFill="1" applyBorder="1" applyAlignment="1">
      <alignment vertical="top"/>
    </xf>
    <xf numFmtId="0" fontId="24" fillId="0" borderId="34" xfId="0" applyFont="1" applyBorder="1" applyAlignment="1" applyProtection="1">
      <alignment vertical="top" wrapText="1"/>
      <protection locked="0"/>
    </xf>
    <xf numFmtId="164" fontId="21" fillId="0" borderId="20" xfId="0" applyNumberFormat="1" applyFont="1" applyBorder="1" applyAlignment="1">
      <alignment vertical="top"/>
    </xf>
    <xf numFmtId="0" fontId="28" fillId="16" borderId="11" xfId="0" applyFont="1" applyFill="1" applyBorder="1" applyAlignment="1">
      <alignment vertical="top"/>
    </xf>
    <xf numFmtId="183" fontId="45" fillId="0" borderId="0" xfId="0" applyNumberFormat="1" applyFont="1"/>
    <xf numFmtId="0" fontId="32" fillId="0" borderId="14" xfId="0" applyFont="1" applyBorder="1"/>
    <xf numFmtId="173" fontId="24" fillId="16" borderId="20" xfId="0" applyNumberFormat="1" applyFont="1" applyFill="1" applyBorder="1" applyAlignment="1">
      <alignment vertical="top"/>
    </xf>
    <xf numFmtId="164" fontId="35" fillId="16" borderId="11" xfId="0" applyNumberFormat="1" applyFont="1" applyFill="1" applyBorder="1"/>
    <xf numFmtId="0" fontId="26" fillId="0" borderId="0" xfId="0" applyFont="1" applyAlignment="1">
      <alignment horizontal="center"/>
    </xf>
    <xf numFmtId="183" fontId="45" fillId="0" borderId="10" xfId="0" applyNumberFormat="1" applyFont="1" applyBorder="1" applyAlignment="1">
      <alignment horizontal="center" vertical="center"/>
    </xf>
    <xf numFmtId="0" fontId="23" fillId="0" borderId="37" xfId="0" applyFont="1" applyBorder="1" applyAlignment="1">
      <alignment horizontal="right" vertical="top"/>
    </xf>
    <xf numFmtId="0" fontId="30" fillId="16" borderId="10" xfId="0" quotePrefix="1" applyFont="1" applyFill="1" applyBorder="1" applyAlignment="1">
      <alignment vertical="top"/>
    </xf>
    <xf numFmtId="173" fontId="39" fillId="0" borderId="10" xfId="0" applyNumberFormat="1" applyFont="1" applyBorder="1"/>
    <xf numFmtId="183" fontId="23" fillId="0" borderId="10" xfId="0" applyNumberFormat="1" applyFont="1" applyBorder="1" applyAlignment="1">
      <alignment horizontal="center" vertical="center" wrapText="1"/>
    </xf>
    <xf numFmtId="0" fontId="40" fillId="0" borderId="21" xfId="39" applyFont="1" applyBorder="1" applyAlignment="1">
      <alignment horizontal="center"/>
    </xf>
    <xf numFmtId="0" fontId="32" fillId="20" borderId="10" xfId="0" applyFont="1" applyFill="1" applyBorder="1" applyAlignment="1">
      <alignment horizontal="center"/>
    </xf>
    <xf numFmtId="0" fontId="11" fillId="14" borderId="0" xfId="34" applyFill="1"/>
    <xf numFmtId="0" fontId="27" fillId="0" borderId="17" xfId="0" applyFont="1" applyBorder="1"/>
    <xf numFmtId="164" fontId="23" fillId="21" borderId="10" xfId="0" applyNumberFormat="1" applyFont="1" applyFill="1" applyBorder="1" applyAlignment="1">
      <alignment horizontal="center" vertical="top"/>
    </xf>
    <xf numFmtId="187" fontId="39" fillId="0" borderId="11" xfId="0" applyNumberFormat="1" applyFont="1" applyBorder="1" applyAlignment="1">
      <alignment vertical="top"/>
    </xf>
    <xf numFmtId="0" fontId="40" fillId="0" borderId="0" xfId="0" applyFont="1"/>
    <xf numFmtId="0" fontId="24" fillId="0" borderId="11" xfId="0" applyFont="1" applyBorder="1" applyAlignment="1">
      <alignment horizontal="center" vertical="top"/>
    </xf>
    <xf numFmtId="0" fontId="24" fillId="16" borderId="11" xfId="0" applyFont="1" applyFill="1" applyBorder="1" applyAlignment="1">
      <alignment vertical="top" wrapText="1"/>
    </xf>
    <xf numFmtId="164" fontId="40" fillId="18" borderId="20" xfId="0" applyNumberFormat="1" applyFont="1" applyFill="1" applyBorder="1"/>
    <xf numFmtId="0" fontId="32" fillId="19" borderId="10" xfId="0" applyFont="1" applyFill="1" applyBorder="1" applyAlignment="1">
      <alignment horizontal="center" vertical="center"/>
    </xf>
    <xf numFmtId="49" fontId="24" fillId="14" borderId="21" xfId="0" quotePrefix="1" applyNumberFormat="1" applyFont="1" applyFill="1" applyBorder="1" applyAlignment="1">
      <alignment vertical="top"/>
    </xf>
    <xf numFmtId="167" fontId="30" fillId="16" borderId="10" xfId="0" applyNumberFormat="1" applyFont="1" applyFill="1" applyBorder="1" applyAlignment="1">
      <alignment vertical="top"/>
    </xf>
    <xf numFmtId="164" fontId="40" fillId="0" borderId="11" xfId="39" applyNumberFormat="1" applyFont="1" applyBorder="1" applyAlignment="1">
      <alignment horizontal="right"/>
    </xf>
    <xf numFmtId="49" fontId="47" fillId="14" borderId="11" xfId="0" applyNumberFormat="1" applyFont="1" applyFill="1" applyBorder="1" applyAlignment="1">
      <alignment vertical="top"/>
    </xf>
    <xf numFmtId="0" fontId="45" fillId="0" borderId="10" xfId="0" applyFont="1" applyBorder="1" applyAlignment="1">
      <alignment horizontal="center" vertical="center"/>
    </xf>
    <xf numFmtId="0" fontId="39" fillId="0" borderId="21" xfId="0" applyFont="1" applyBorder="1" applyAlignment="1">
      <alignment vertical="top" wrapText="1"/>
    </xf>
    <xf numFmtId="174" fontId="53" fillId="16" borderId="11" xfId="0" applyNumberFormat="1" applyFont="1" applyFill="1" applyBorder="1" applyAlignment="1">
      <alignment vertical="top"/>
    </xf>
    <xf numFmtId="0" fontId="21" fillId="0" borderId="11" xfId="0" applyFont="1" applyBorder="1" applyAlignment="1">
      <alignment vertical="top" wrapText="1"/>
    </xf>
    <xf numFmtId="49" fontId="39" fillId="0" borderId="21" xfId="0" applyNumberFormat="1" applyFont="1" applyBorder="1" applyAlignment="1">
      <alignment vertical="top"/>
    </xf>
    <xf numFmtId="0" fontId="22" fillId="0" borderId="11" xfId="0" applyFont="1" applyBorder="1" applyAlignment="1">
      <alignment horizontal="left" vertical="top"/>
    </xf>
    <xf numFmtId="0" fontId="32" fillId="0" borderId="0" xfId="0" applyFont="1" applyAlignment="1">
      <alignment horizontal="left"/>
    </xf>
    <xf numFmtId="166" fontId="24" fillId="16" borderId="21" xfId="0" applyNumberFormat="1" applyFont="1" applyFill="1" applyBorder="1"/>
    <xf numFmtId="0" fontId="32" fillId="0" borderId="0" xfId="0" applyFont="1" applyAlignment="1">
      <alignment vertical="center" wrapText="1"/>
    </xf>
    <xf numFmtId="0" fontId="24" fillId="14" borderId="21" xfId="0" applyFont="1" applyFill="1" applyBorder="1"/>
    <xf numFmtId="0" fontId="30" fillId="21" borderId="10" xfId="0" applyFont="1" applyFill="1" applyBorder="1" applyAlignment="1">
      <alignment horizontal="center" vertical="top"/>
    </xf>
    <xf numFmtId="0" fontId="24" fillId="0" borderId="0" xfId="0" applyFont="1" applyAlignment="1">
      <alignment vertical="center"/>
    </xf>
    <xf numFmtId="0" fontId="24" fillId="14" borderId="21" xfId="0" applyFont="1" applyFill="1" applyBorder="1" applyAlignment="1">
      <alignment horizontal="center"/>
    </xf>
    <xf numFmtId="164" fontId="24" fillId="16" borderId="11" xfId="0" applyNumberFormat="1" applyFont="1" applyFill="1" applyBorder="1"/>
    <xf numFmtId="49" fontId="23" fillId="0" borderId="29" xfId="0" applyNumberFormat="1" applyFont="1" applyBorder="1" applyAlignment="1">
      <alignment horizontal="center" vertical="top" wrapText="1"/>
    </xf>
    <xf numFmtId="3" fontId="24" fillId="0" borderId="29" xfId="0" applyNumberFormat="1" applyFont="1" applyBorder="1" applyAlignment="1">
      <alignment vertical="top"/>
    </xf>
    <xf numFmtId="0" fontId="40" fillId="16" borderId="11" xfId="0" applyFont="1" applyFill="1" applyBorder="1" applyAlignment="1">
      <alignment horizontal="left" vertical="top" wrapText="1"/>
    </xf>
    <xf numFmtId="0" fontId="1" fillId="0" borderId="0" xfId="0" applyFont="1" applyAlignment="1">
      <alignment horizontal="center"/>
    </xf>
    <xf numFmtId="0" fontId="53" fillId="16" borderId="11" xfId="0" applyFont="1" applyFill="1" applyBorder="1" applyAlignment="1">
      <alignment horizontal="center" vertical="top"/>
    </xf>
    <xf numFmtId="0" fontId="27" fillId="0" borderId="13" xfId="0" applyFont="1" applyBorder="1" applyAlignment="1">
      <alignment horizontal="left" vertical="top"/>
    </xf>
    <xf numFmtId="164" fontId="30" fillId="21" borderId="10" xfId="0" applyNumberFormat="1" applyFont="1" applyFill="1" applyBorder="1" applyAlignment="1">
      <alignment vertical="top"/>
    </xf>
    <xf numFmtId="0" fontId="24" fillId="14" borderId="20" xfId="0" applyFont="1" applyFill="1" applyBorder="1" applyAlignment="1">
      <alignment vertical="top" wrapText="1"/>
    </xf>
    <xf numFmtId="2" fontId="26" fillId="0" borderId="10" xfId="0" applyNumberFormat="1" applyFont="1" applyBorder="1" applyAlignment="1">
      <alignment horizontal="center" vertical="center"/>
    </xf>
    <xf numFmtId="171" fontId="30" fillId="16" borderId="10" xfId="0" applyNumberFormat="1" applyFont="1" applyFill="1" applyBorder="1" applyAlignment="1">
      <alignment vertical="top"/>
    </xf>
    <xf numFmtId="49" fontId="40" fillId="14" borderId="11" xfId="0" applyNumberFormat="1" applyFont="1" applyFill="1" applyBorder="1" applyAlignment="1">
      <alignment vertical="top"/>
    </xf>
    <xf numFmtId="0" fontId="35" fillId="16" borderId="11" xfId="0" applyFont="1" applyFill="1" applyBorder="1" applyAlignment="1">
      <alignment horizontal="right" vertical="top"/>
    </xf>
    <xf numFmtId="165" fontId="40" fillId="16" borderId="20" xfId="0" applyNumberFormat="1" applyFont="1" applyFill="1" applyBorder="1"/>
    <xf numFmtId="49" fontId="23" fillId="0" borderId="11" xfId="0" applyNumberFormat="1" applyFont="1" applyBorder="1" applyAlignment="1">
      <alignment horizontal="center" vertical="top" wrapText="1"/>
    </xf>
    <xf numFmtId="3" fontId="24" fillId="0" borderId="11" xfId="0" applyNumberFormat="1" applyFont="1" applyBorder="1" applyAlignment="1">
      <alignment vertical="top"/>
    </xf>
    <xf numFmtId="0" fontId="32" fillId="0" borderId="10" xfId="0" applyFont="1" applyBorder="1" applyAlignment="1">
      <alignment horizontal="center"/>
    </xf>
    <xf numFmtId="183" fontId="26" fillId="0" borderId="0" xfId="0" applyNumberFormat="1" applyFont="1" applyAlignment="1">
      <alignment horizontal="center" vertical="center"/>
    </xf>
    <xf numFmtId="0" fontId="37" fillId="0" borderId="17" xfId="0" applyFont="1" applyBorder="1" applyAlignment="1">
      <alignment horizontal="center" vertical="center" wrapText="1"/>
    </xf>
    <xf numFmtId="0" fontId="75" fillId="0" borderId="0" xfId="39"/>
    <xf numFmtId="0" fontId="26" fillId="0" borderId="10" xfId="0" applyFont="1" applyBorder="1"/>
    <xf numFmtId="0" fontId="35" fillId="14" borderId="11" xfId="0" applyFont="1" applyFill="1" applyBorder="1" applyAlignment="1">
      <alignment horizontal="center" vertical="top"/>
    </xf>
    <xf numFmtId="0" fontId="67" fillId="14" borderId="0" xfId="0" applyFont="1" applyFill="1"/>
    <xf numFmtId="0" fontId="24" fillId="0" borderId="22" xfId="0" quotePrefix="1" applyFont="1" applyBorder="1" applyAlignment="1" applyProtection="1">
      <alignment horizontal="center" vertical="top" wrapText="1"/>
      <protection locked="0"/>
    </xf>
    <xf numFmtId="49" fontId="42" fillId="0" borderId="0" xfId="0" applyNumberFormat="1" applyFont="1"/>
    <xf numFmtId="0" fontId="41" fillId="0" borderId="0" xfId="0" applyFont="1" applyAlignment="1">
      <alignment vertical="top" wrapText="1"/>
    </xf>
    <xf numFmtId="49" fontId="24" fillId="16" borderId="21" xfId="0" applyNumberFormat="1" applyFont="1" applyFill="1" applyBorder="1"/>
    <xf numFmtId="172" fontId="24" fillId="18" borderId="21" xfId="0" applyNumberFormat="1" applyFont="1" applyFill="1" applyBorder="1"/>
    <xf numFmtId="0" fontId="27" fillId="0" borderId="28" xfId="0" applyFont="1" applyBorder="1" applyAlignment="1">
      <alignment horizontal="center" vertical="top" wrapText="1"/>
    </xf>
    <xf numFmtId="0" fontId="35" fillId="0" borderId="11" xfId="0" applyFont="1" applyBorder="1" applyAlignment="1">
      <alignment vertical="top" wrapText="1"/>
    </xf>
    <xf numFmtId="49" fontId="37" fillId="0" borderId="15" xfId="0" applyNumberFormat="1" applyFont="1" applyBorder="1" applyAlignment="1">
      <alignment vertical="top" wrapText="1"/>
    </xf>
    <xf numFmtId="0" fontId="23" fillId="0" borderId="11" xfId="0" applyFont="1" applyBorder="1" applyAlignment="1">
      <alignment horizontal="right" vertical="center"/>
    </xf>
    <xf numFmtId="49" fontId="35" fillId="0" borderId="11" xfId="0" applyNumberFormat="1" applyFont="1" applyBorder="1" applyAlignment="1">
      <alignment vertical="top"/>
    </xf>
    <xf numFmtId="0" fontId="24" fillId="0" borderId="22" xfId="0" applyFont="1" applyBorder="1" applyAlignment="1" applyProtection="1">
      <alignment vertical="top" wrapText="1"/>
      <protection locked="0"/>
    </xf>
    <xf numFmtId="0" fontId="27" fillId="0" borderId="17" xfId="0" applyFont="1" applyBorder="1" applyAlignment="1">
      <alignment horizontal="left" vertical="top"/>
    </xf>
    <xf numFmtId="3" fontId="49" fillId="0" borderId="10" xfId="0" applyNumberFormat="1" applyFont="1" applyBorder="1" applyAlignment="1">
      <alignment horizontal="center" vertical="center"/>
    </xf>
    <xf numFmtId="49" fontId="24" fillId="0" borderId="0" xfId="0" applyNumberFormat="1" applyFont="1" applyAlignment="1">
      <alignment horizontal="center" vertical="top"/>
    </xf>
    <xf numFmtId="0" fontId="24" fillId="16" borderId="21" xfId="0" applyFont="1" applyFill="1" applyBorder="1" applyAlignment="1">
      <alignment horizontal="center" vertical="top"/>
    </xf>
    <xf numFmtId="175" fontId="35" fillId="16" borderId="20" xfId="0" applyNumberFormat="1" applyFont="1" applyFill="1" applyBorder="1" applyAlignment="1">
      <alignment vertical="top"/>
    </xf>
    <xf numFmtId="164" fontId="35" fillId="14" borderId="11" xfId="0" applyNumberFormat="1" applyFont="1" applyFill="1" applyBorder="1" applyAlignment="1">
      <alignment vertical="top"/>
    </xf>
    <xf numFmtId="173" fontId="35" fillId="14" borderId="11" xfId="0" applyNumberFormat="1" applyFont="1" applyFill="1" applyBorder="1" applyAlignment="1">
      <alignment horizontal="center" vertical="top"/>
    </xf>
    <xf numFmtId="0" fontId="69" fillId="14" borderId="29" xfId="0" applyFont="1" applyFill="1" applyBorder="1"/>
    <xf numFmtId="0" fontId="21" fillId="0" borderId="21" xfId="0" applyFont="1" applyBorder="1" applyAlignment="1">
      <alignment horizontal="center" vertical="top"/>
    </xf>
    <xf numFmtId="0" fontId="39" fillId="0" borderId="20" xfId="0" applyFont="1" applyBorder="1" applyAlignment="1">
      <alignment horizontal="center" vertical="top"/>
    </xf>
    <xf numFmtId="0" fontId="32" fillId="17" borderId="10" xfId="0" applyFont="1" applyFill="1" applyBorder="1" applyAlignment="1">
      <alignment horizontal="center"/>
    </xf>
    <xf numFmtId="0" fontId="50" fillId="0" borderId="22" xfId="0" applyFont="1" applyBorder="1" applyAlignment="1" applyProtection="1">
      <alignment horizontal="center" vertical="top" wrapText="1"/>
      <protection locked="0"/>
    </xf>
    <xf numFmtId="2" fontId="45" fillId="20" borderId="10" xfId="0" applyNumberFormat="1" applyFont="1" applyFill="1" applyBorder="1" applyAlignment="1">
      <alignment horizontal="center"/>
    </xf>
    <xf numFmtId="0" fontId="24" fillId="14" borderId="20" xfId="0" applyFont="1" applyFill="1" applyBorder="1" applyAlignment="1">
      <alignment vertical="top"/>
    </xf>
    <xf numFmtId="0" fontId="27" fillId="0" borderId="15" xfId="0" applyFont="1" applyBorder="1"/>
    <xf numFmtId="0" fontId="39" fillId="0" borderId="21" xfId="0" applyFont="1" applyBorder="1" applyAlignment="1">
      <alignment horizontal="left"/>
    </xf>
    <xf numFmtId="168" fontId="30" fillId="16" borderId="10" xfId="0" applyNumberFormat="1" applyFont="1" applyFill="1" applyBorder="1" applyAlignment="1">
      <alignment vertical="top"/>
    </xf>
    <xf numFmtId="49" fontId="58" fillId="0" borderId="0" xfId="0" applyNumberFormat="1" applyFont="1" applyAlignment="1">
      <alignment horizontal="right"/>
    </xf>
    <xf numFmtId="49" fontId="24" fillId="14" borderId="11" xfId="0" applyNumberFormat="1" applyFont="1" applyFill="1" applyBorder="1"/>
    <xf numFmtId="174" fontId="57" fillId="16" borderId="11" xfId="0" applyNumberFormat="1" applyFont="1" applyFill="1" applyBorder="1" applyAlignment="1">
      <alignment vertical="top"/>
    </xf>
    <xf numFmtId="0" fontId="40" fillId="16" borderId="20" xfId="0" applyFont="1" applyFill="1" applyBorder="1" applyAlignment="1">
      <alignment horizontal="center" vertical="top"/>
    </xf>
    <xf numFmtId="164" fontId="24" fillId="16" borderId="21" xfId="0" applyNumberFormat="1" applyFont="1" applyFill="1" applyBorder="1" applyAlignment="1">
      <alignment vertical="top"/>
    </xf>
    <xf numFmtId="49" fontId="21" fillId="0" borderId="10" xfId="0" applyNumberFormat="1" applyFont="1" applyBorder="1" applyAlignment="1">
      <alignment horizontal="center" vertical="center" wrapText="1"/>
    </xf>
    <xf numFmtId="173" fontId="24" fillId="16" borderId="21" xfId="0" applyNumberFormat="1" applyFont="1" applyFill="1" applyBorder="1" applyAlignment="1">
      <alignment horizontal="center" vertical="top"/>
    </xf>
    <xf numFmtId="164" fontId="50" fillId="0" borderId="10" xfId="39" applyNumberFormat="1" applyFont="1" applyBorder="1" applyAlignment="1">
      <alignment horizontal="right"/>
    </xf>
    <xf numFmtId="0" fontId="24" fillId="16" borderId="20" xfId="0" applyFont="1" applyFill="1" applyBorder="1"/>
    <xf numFmtId="0" fontId="53" fillId="16" borderId="11" xfId="0" applyFont="1" applyFill="1" applyBorder="1" applyAlignment="1">
      <alignment horizontal="left" vertical="top" wrapText="1"/>
    </xf>
    <xf numFmtId="0" fontId="39" fillId="0" borderId="11" xfId="0" applyFont="1" applyBorder="1" applyAlignment="1">
      <alignment horizontal="center"/>
    </xf>
    <xf numFmtId="0" fontId="36" fillId="0" borderId="10" xfId="0" applyFont="1" applyBorder="1" applyAlignment="1">
      <alignment vertical="center" wrapText="1"/>
    </xf>
    <xf numFmtId="0" fontId="40" fillId="16" borderId="21" xfId="0" applyFont="1" applyFill="1" applyBorder="1" applyAlignment="1">
      <alignment horizontal="right" vertical="top"/>
    </xf>
    <xf numFmtId="0" fontId="27" fillId="0" borderId="30" xfId="0" applyFont="1" applyBorder="1" applyAlignment="1">
      <alignment horizontal="center" vertical="top" wrapText="1"/>
    </xf>
    <xf numFmtId="184" fontId="26" fillId="19" borderId="10" xfId="0" applyNumberFormat="1" applyFont="1" applyFill="1" applyBorder="1" applyAlignment="1">
      <alignment horizontal="center"/>
    </xf>
    <xf numFmtId="164" fontId="21" fillId="0" borderId="21" xfId="0" applyNumberFormat="1" applyFont="1" applyBorder="1" applyAlignment="1">
      <alignment vertical="top"/>
    </xf>
    <xf numFmtId="0" fontId="24" fillId="14" borderId="11" xfId="0" applyFont="1" applyFill="1" applyBorder="1" applyAlignment="1">
      <alignment horizontal="center" vertical="top"/>
    </xf>
    <xf numFmtId="0" fontId="24" fillId="16" borderId="20" xfId="0" applyFont="1" applyFill="1" applyBorder="1" applyAlignment="1">
      <alignment horizontal="center"/>
    </xf>
    <xf numFmtId="0" fontId="23" fillId="0" borderId="29" xfId="0" applyFont="1" applyBorder="1" applyAlignment="1">
      <alignment horizontal="justify" vertical="top" wrapText="1"/>
    </xf>
    <xf numFmtId="49" fontId="24" fillId="0" borderId="29" xfId="0" applyNumberFormat="1" applyFont="1" applyBorder="1" applyAlignment="1">
      <alignment horizontal="center" vertical="top" wrapText="1"/>
    </xf>
    <xf numFmtId="168" fontId="24" fillId="16" borderId="11" xfId="0" applyNumberFormat="1" applyFont="1" applyFill="1" applyBorder="1" applyAlignment="1">
      <alignment vertical="top"/>
    </xf>
    <xf numFmtId="173" fontId="39" fillId="0" borderId="21" xfId="0" applyNumberFormat="1" applyFont="1" applyBorder="1" applyAlignment="1">
      <alignment horizontal="right" vertical="top"/>
    </xf>
    <xf numFmtId="0" fontId="1" fillId="0" borderId="28" xfId="0" applyFont="1" applyBorder="1"/>
    <xf numFmtId="164" fontId="24" fillId="18" borderId="11" xfId="0" applyNumberFormat="1" applyFont="1" applyFill="1" applyBorder="1"/>
    <xf numFmtId="175" fontId="39" fillId="0" borderId="11" xfId="0" applyNumberFormat="1" applyFont="1" applyBorder="1" applyAlignment="1">
      <alignment vertical="top"/>
    </xf>
    <xf numFmtId="185" fontId="26" fillId="0" borderId="0" xfId="0" applyNumberFormat="1" applyFont="1"/>
    <xf numFmtId="3" fontId="26" fillId="0" borderId="0" xfId="0" applyNumberFormat="1" applyFont="1" applyAlignment="1">
      <alignment horizontal="center" vertical="center"/>
    </xf>
    <xf numFmtId="164" fontId="24" fillId="14" borderId="11" xfId="0" applyNumberFormat="1" applyFont="1" applyFill="1" applyBorder="1" applyAlignment="1">
      <alignment vertical="top"/>
    </xf>
    <xf numFmtId="173" fontId="24" fillId="14" borderId="11" xfId="0" applyNumberFormat="1" applyFont="1" applyFill="1" applyBorder="1" applyAlignment="1">
      <alignment horizontal="center" vertical="top"/>
    </xf>
    <xf numFmtId="49" fontId="37" fillId="0" borderId="0" xfId="0" applyNumberFormat="1" applyFont="1"/>
    <xf numFmtId="0" fontId="23" fillId="0" borderId="16" xfId="0" applyFont="1" applyBorder="1" applyAlignment="1">
      <alignment vertical="top" wrapText="1"/>
    </xf>
    <xf numFmtId="175" fontId="40" fillId="16" borderId="11" xfId="0" applyNumberFormat="1" applyFont="1" applyFill="1" applyBorder="1" applyAlignment="1">
      <alignment vertical="top"/>
    </xf>
    <xf numFmtId="0" fontId="53" fillId="16" borderId="10" xfId="0" applyFont="1" applyFill="1" applyBorder="1" applyAlignment="1">
      <alignment horizontal="center" vertical="center" wrapText="1"/>
    </xf>
    <xf numFmtId="0" fontId="24" fillId="0" borderId="34" xfId="0" applyFont="1" applyBorder="1" applyAlignment="1" applyProtection="1">
      <alignment horizontal="center" vertical="top" wrapText="1"/>
      <protection locked="0"/>
    </xf>
    <xf numFmtId="49" fontId="37" fillId="0" borderId="0" xfId="0" applyNumberFormat="1" applyFont="1" applyAlignment="1">
      <alignment horizontal="center"/>
    </xf>
    <xf numFmtId="0" fontId="28" fillId="16" borderId="11" xfId="0" applyFont="1" applyFill="1" applyBorder="1" applyAlignment="1">
      <alignment horizontal="center" vertical="top"/>
    </xf>
    <xf numFmtId="164" fontId="40" fillId="18" borderId="21" xfId="0" applyNumberFormat="1" applyFont="1" applyFill="1" applyBorder="1"/>
    <xf numFmtId="0" fontId="23" fillId="0" borderId="11" xfId="0" applyFont="1" applyBorder="1" applyAlignment="1">
      <alignment horizontal="justify" vertical="top" wrapText="1"/>
    </xf>
    <xf numFmtId="49" fontId="24" fillId="0" borderId="11" xfId="0" applyNumberFormat="1" applyFont="1" applyBorder="1" applyAlignment="1">
      <alignment horizontal="center" vertical="top" wrapText="1"/>
    </xf>
    <xf numFmtId="49" fontId="27" fillId="0" borderId="28" xfId="0" applyNumberFormat="1" applyFont="1" applyBorder="1" applyAlignment="1">
      <alignment horizontal="right" vertical="top" wrapText="1"/>
    </xf>
    <xf numFmtId="173" fontId="24" fillId="16" borderId="20" xfId="0" applyNumberFormat="1" applyFont="1" applyFill="1" applyBorder="1" applyAlignment="1">
      <alignment horizontal="center" vertical="top"/>
    </xf>
    <xf numFmtId="22" fontId="24" fillId="14" borderId="11" xfId="0" applyNumberFormat="1" applyFont="1" applyFill="1" applyBorder="1"/>
    <xf numFmtId="49" fontId="27" fillId="0" borderId="0" xfId="0" applyNumberFormat="1" applyFont="1"/>
    <xf numFmtId="173" fontId="39" fillId="0" borderId="20" xfId="0" applyNumberFormat="1" applyFont="1" applyBorder="1" applyAlignment="1">
      <alignment horizontal="right"/>
    </xf>
    <xf numFmtId="164" fontId="21" fillId="0" borderId="10" xfId="0" applyNumberFormat="1" applyFont="1" applyBorder="1" applyAlignment="1">
      <alignment horizontal="center" vertical="center"/>
    </xf>
    <xf numFmtId="164" fontId="39" fillId="0" borderId="10" xfId="0" applyNumberFormat="1" applyFont="1" applyBorder="1"/>
    <xf numFmtId="0" fontId="34" fillId="0" borderId="0" xfId="0" applyFont="1"/>
    <xf numFmtId="49" fontId="27" fillId="0" borderId="0" xfId="0" applyNumberFormat="1" applyFont="1" applyAlignment="1">
      <alignment horizontal="center"/>
    </xf>
    <xf numFmtId="0" fontId="1" fillId="0" borderId="30" xfId="0" applyFont="1" applyBorder="1"/>
    <xf numFmtId="166" fontId="24" fillId="18" borderId="20" xfId="0" applyNumberFormat="1" applyFont="1" applyFill="1" applyBorder="1"/>
    <xf numFmtId="0" fontId="30" fillId="16" borderId="10" xfId="0" applyFont="1" applyFill="1" applyBorder="1" applyAlignment="1">
      <alignment vertical="top"/>
    </xf>
    <xf numFmtId="174" fontId="30" fillId="0" borderId="20" xfId="0" applyNumberFormat="1" applyFont="1" applyBorder="1" applyAlignment="1">
      <alignment vertical="top"/>
    </xf>
    <xf numFmtId="49" fontId="23" fillId="0" borderId="0" xfId="0" applyNumberFormat="1" applyFont="1" applyAlignment="1">
      <alignment horizontal="center"/>
    </xf>
    <xf numFmtId="0" fontId="30" fillId="0" borderId="10" xfId="0" applyFont="1" applyBorder="1" applyAlignment="1">
      <alignment vertical="top"/>
    </xf>
    <xf numFmtId="165" fontId="24" fillId="16" borderId="11" xfId="0" applyNumberFormat="1" applyFont="1" applyFill="1" applyBorder="1"/>
    <xf numFmtId="174" fontId="50" fillId="16" borderId="10" xfId="0" applyNumberFormat="1" applyFont="1" applyFill="1" applyBorder="1"/>
    <xf numFmtId="0" fontId="49" fillId="19" borderId="10" xfId="0" applyFont="1" applyFill="1" applyBorder="1" applyAlignment="1">
      <alignment horizontal="center"/>
    </xf>
    <xf numFmtId="49" fontId="27" fillId="0" borderId="30" xfId="0" applyNumberFormat="1" applyFont="1" applyBorder="1" applyAlignment="1">
      <alignment horizontal="right" vertical="top" wrapText="1"/>
    </xf>
    <xf numFmtId="0" fontId="40" fillId="16" borderId="20" xfId="0" applyFont="1" applyFill="1" applyBorder="1" applyAlignment="1">
      <alignment horizontal="left" vertical="top" wrapText="1"/>
    </xf>
    <xf numFmtId="0" fontId="24" fillId="14" borderId="21" xfId="0" applyFont="1" applyFill="1" applyBorder="1" applyAlignment="1">
      <alignment vertical="top" wrapText="1"/>
    </xf>
    <xf numFmtId="0" fontId="24" fillId="16" borderId="11" xfId="0" quotePrefix="1" applyFont="1" applyFill="1" applyBorder="1" applyAlignment="1">
      <alignment vertical="top"/>
    </xf>
    <xf numFmtId="0" fontId="23" fillId="14" borderId="26" xfId="0" applyFont="1" applyFill="1" applyBorder="1" applyAlignment="1">
      <alignment horizontal="center" vertical="center"/>
    </xf>
    <xf numFmtId="0" fontId="21" fillId="0" borderId="11" xfId="0" applyFont="1" applyBorder="1" applyAlignment="1">
      <alignment vertical="top"/>
    </xf>
    <xf numFmtId="174" fontId="39" fillId="0" borderId="20" xfId="0" applyNumberFormat="1" applyFont="1" applyBorder="1" applyAlignment="1">
      <alignment vertical="top"/>
    </xf>
    <xf numFmtId="49" fontId="39" fillId="0" borderId="0" xfId="0" applyNumberFormat="1" applyFont="1"/>
    <xf numFmtId="179" fontId="24" fillId="0" borderId="34" xfId="0" applyNumberFormat="1" applyFont="1" applyBorder="1" applyAlignment="1" applyProtection="1">
      <alignment vertical="top" wrapText="1"/>
      <protection locked="0"/>
    </xf>
    <xf numFmtId="49" fontId="39" fillId="0" borderId="11" xfId="0" applyNumberFormat="1" applyFont="1" applyBorder="1" applyAlignment="1">
      <alignment horizontal="left"/>
    </xf>
    <xf numFmtId="165" fontId="40" fillId="16" borderId="21" xfId="0" applyNumberFormat="1" applyFont="1" applyFill="1" applyBorder="1"/>
    <xf numFmtId="0" fontId="23" fillId="0" borderId="10" xfId="0" applyFont="1" applyBorder="1" applyAlignment="1">
      <alignment horizontal="center" vertical="center"/>
    </xf>
    <xf numFmtId="0" fontId="23" fillId="14" borderId="11" xfId="0" applyFont="1" applyFill="1" applyBorder="1" applyAlignment="1">
      <alignment horizontal="center"/>
    </xf>
    <xf numFmtId="174" fontId="40" fillId="16" borderId="20" xfId="0" applyNumberFormat="1" applyFont="1" applyFill="1" applyBorder="1" applyAlignment="1">
      <alignment vertical="top"/>
    </xf>
    <xf numFmtId="186" fontId="62" fillId="0" borderId="17" xfId="0" applyNumberFormat="1" applyFont="1" applyBorder="1" applyAlignment="1">
      <alignment horizontal="right"/>
    </xf>
    <xf numFmtId="0" fontId="30" fillId="24" borderId="10" xfId="0" applyFont="1" applyFill="1" applyBorder="1" applyAlignment="1">
      <alignment vertical="top"/>
    </xf>
    <xf numFmtId="2" fontId="45" fillId="17" borderId="10" xfId="0" applyNumberFormat="1" applyFont="1" applyFill="1" applyBorder="1" applyAlignment="1">
      <alignment horizontal="center"/>
    </xf>
    <xf numFmtId="167" fontId="24" fillId="16" borderId="11" xfId="0" applyNumberFormat="1" applyFont="1" applyFill="1" applyBorder="1" applyAlignment="1">
      <alignment vertical="top"/>
    </xf>
    <xf numFmtId="0" fontId="24" fillId="0" borderId="29" xfId="0" applyFont="1" applyBorder="1" applyAlignment="1">
      <alignment horizontal="justify" vertical="top" wrapText="1"/>
    </xf>
    <xf numFmtId="0" fontId="26" fillId="20" borderId="10" xfId="0" applyFont="1" applyFill="1" applyBorder="1" applyAlignment="1">
      <alignment horizontal="center"/>
    </xf>
    <xf numFmtId="0" fontId="39" fillId="0" borderId="0" xfId="0" applyFont="1" applyAlignment="1">
      <alignment vertical="top"/>
    </xf>
    <xf numFmtId="0" fontId="64" fillId="0" borderId="0" xfId="0" applyFont="1" applyAlignment="1">
      <alignment vertical="top"/>
    </xf>
    <xf numFmtId="0" fontId="50" fillId="16" borderId="10" xfId="0" applyFont="1" applyFill="1" applyBorder="1"/>
    <xf numFmtId="0" fontId="50" fillId="16" borderId="10" xfId="0" applyFont="1" applyFill="1" applyBorder="1" applyAlignment="1">
      <alignment horizontal="center"/>
    </xf>
    <xf numFmtId="37" fontId="24" fillId="0" borderId="34" xfId="0" applyNumberFormat="1" applyFont="1" applyBorder="1" applyAlignment="1" applyProtection="1">
      <alignment vertical="top" wrapText="1"/>
      <protection locked="0"/>
    </xf>
    <xf numFmtId="0" fontId="40" fillId="16" borderId="20" xfId="0" applyFont="1" applyFill="1" applyBorder="1" applyAlignment="1">
      <alignment vertical="top"/>
    </xf>
    <xf numFmtId="0" fontId="23" fillId="0" borderId="11" xfId="0" applyFont="1" applyBorder="1" applyAlignment="1">
      <alignment vertical="top" wrapText="1"/>
    </xf>
    <xf numFmtId="0" fontId="22" fillId="14" borderId="11" xfId="0" applyFont="1" applyFill="1" applyBorder="1"/>
    <xf numFmtId="0" fontId="53" fillId="0" borderId="11" xfId="39" applyFont="1" applyBorder="1" applyAlignment="1">
      <alignment horizontal="left" vertical="top" wrapText="1"/>
    </xf>
    <xf numFmtId="0" fontId="72" fillId="14" borderId="11" xfId="0" applyFont="1" applyFill="1" applyBorder="1"/>
    <xf numFmtId="49" fontId="27" fillId="0" borderId="28" xfId="0" applyNumberFormat="1" applyFont="1" applyBorder="1"/>
    <xf numFmtId="0" fontId="40" fillId="0" borderId="11" xfId="39" applyFont="1" applyBorder="1"/>
    <xf numFmtId="171" fontId="24" fillId="16" borderId="11" xfId="0" applyNumberFormat="1" applyFont="1" applyFill="1" applyBorder="1" applyAlignment="1">
      <alignment vertical="top"/>
    </xf>
    <xf numFmtId="49" fontId="37" fillId="0" borderId="15" xfId="0" applyNumberFormat="1" applyFont="1" applyBorder="1" applyAlignment="1">
      <alignment horizontal="center" vertical="top" wrapText="1"/>
    </xf>
    <xf numFmtId="0" fontId="24" fillId="16" borderId="21" xfId="0" applyFont="1" applyFill="1" applyBorder="1"/>
    <xf numFmtId="0" fontId="24" fillId="14" borderId="29" xfId="0" applyFont="1" applyFill="1" applyBorder="1"/>
    <xf numFmtId="0" fontId="24" fillId="0" borderId="25" xfId="0" applyFont="1" applyBorder="1" applyAlignment="1" applyProtection="1">
      <alignment horizontal="center" vertical="top"/>
      <protection locked="0"/>
    </xf>
    <xf numFmtId="0" fontId="40" fillId="0" borderId="11" xfId="39" applyFont="1" applyBorder="1" applyAlignment="1">
      <alignment horizontal="center"/>
    </xf>
    <xf numFmtId="0" fontId="24" fillId="0" borderId="22" xfId="0" applyFont="1" applyBorder="1" applyAlignment="1" applyProtection="1">
      <alignment horizontal="center" vertical="top" wrapText="1"/>
      <protection locked="0"/>
    </xf>
    <xf numFmtId="174" fontId="24" fillId="16" borderId="20" xfId="0" applyNumberFormat="1" applyFont="1" applyFill="1" applyBorder="1"/>
    <xf numFmtId="0" fontId="23" fillId="0" borderId="0" xfId="0" applyFont="1" applyAlignment="1">
      <alignment horizontal="centerContinuous" vertical="center"/>
    </xf>
    <xf numFmtId="49" fontId="24" fillId="0" borderId="0" xfId="0" applyNumberFormat="1" applyFont="1" applyAlignment="1">
      <alignment horizontal="center"/>
    </xf>
    <xf numFmtId="0" fontId="24" fillId="16" borderId="21" xfId="0" applyFont="1" applyFill="1" applyBorder="1" applyAlignment="1">
      <alignment horizontal="center"/>
    </xf>
    <xf numFmtId="0" fontId="24" fillId="14" borderId="29" xfId="0" applyFont="1" applyFill="1" applyBorder="1" applyAlignment="1">
      <alignment horizontal="center"/>
    </xf>
    <xf numFmtId="0" fontId="50" fillId="0" borderId="10" xfId="39" applyFont="1" applyBorder="1" applyAlignment="1">
      <alignment horizontal="left" vertical="top" wrapText="1"/>
    </xf>
    <xf numFmtId="0" fontId="73" fillId="14" borderId="16" xfId="0" applyFont="1" applyFill="1" applyBorder="1"/>
    <xf numFmtId="0" fontId="37" fillId="0" borderId="15" xfId="0" applyFont="1" applyBorder="1"/>
    <xf numFmtId="0" fontId="39" fillId="0" borderId="11" xfId="0" applyFont="1" applyBorder="1" applyAlignment="1">
      <alignment vertical="top" wrapText="1"/>
    </xf>
    <xf numFmtId="0" fontId="53" fillId="16" borderId="21" xfId="0" applyFont="1" applyFill="1" applyBorder="1" applyAlignment="1">
      <alignment horizontal="center" vertical="top" wrapText="1"/>
    </xf>
    <xf numFmtId="0" fontId="24" fillId="0" borderId="0" xfId="0" applyFont="1" applyAlignment="1">
      <alignment vertical="top"/>
    </xf>
    <xf numFmtId="164" fontId="53" fillId="0" borderId="11" xfId="39" applyNumberFormat="1" applyFont="1" applyBorder="1" applyAlignment="1">
      <alignment horizontal="right"/>
    </xf>
    <xf numFmtId="174" fontId="39" fillId="0" borderId="20" xfId="0" applyNumberFormat="1" applyFont="1" applyBorder="1" applyAlignment="1">
      <alignment horizontal="right"/>
    </xf>
    <xf numFmtId="49" fontId="39" fillId="0" borderId="11" xfId="0" applyNumberFormat="1" applyFont="1" applyBorder="1" applyAlignment="1">
      <alignment vertical="top"/>
    </xf>
    <xf numFmtId="0" fontId="24" fillId="16" borderId="20" xfId="0" applyFont="1" applyFill="1" applyBorder="1" applyAlignment="1">
      <alignment vertical="top" wrapText="1"/>
    </xf>
    <xf numFmtId="166" fontId="24" fillId="16" borderId="11" xfId="0" applyNumberFormat="1" applyFont="1" applyFill="1" applyBorder="1"/>
    <xf numFmtId="0" fontId="24" fillId="16" borderId="0" xfId="0" applyFont="1" applyFill="1"/>
    <xf numFmtId="174" fontId="35" fillId="16" borderId="11" xfId="0" applyNumberFormat="1" applyFont="1" applyFill="1" applyBorder="1" applyAlignment="1">
      <alignment vertical="top"/>
    </xf>
    <xf numFmtId="0" fontId="62" fillId="0" borderId="17" xfId="0" applyFont="1" applyBorder="1"/>
    <xf numFmtId="0" fontId="24" fillId="14" borderId="11" xfId="0" applyFont="1" applyFill="1" applyBorder="1"/>
    <xf numFmtId="49" fontId="27" fillId="0" borderId="30" xfId="0" applyNumberFormat="1" applyFont="1" applyBorder="1"/>
    <xf numFmtId="0" fontId="40" fillId="16" borderId="11" xfId="0" applyFont="1" applyFill="1" applyBorder="1" applyAlignment="1">
      <alignment vertical="top" wrapText="1"/>
    </xf>
    <xf numFmtId="0" fontId="26" fillId="0" borderId="10" xfId="0" applyFont="1" applyBorder="1" applyAlignment="1">
      <alignment horizontal="center"/>
    </xf>
    <xf numFmtId="182" fontId="26" fillId="20" borderId="10" xfId="0" applyNumberFormat="1" applyFont="1" applyFill="1" applyBorder="1" applyAlignment="1">
      <alignment horizontal="center"/>
    </xf>
    <xf numFmtId="49" fontId="47" fillId="0" borderId="21" xfId="0" applyNumberFormat="1" applyFont="1" applyBorder="1" applyAlignment="1">
      <alignment vertical="top"/>
    </xf>
    <xf numFmtId="0" fontId="21" fillId="0" borderId="20" xfId="0" applyFont="1" applyBorder="1" applyAlignment="1">
      <alignment vertical="top" wrapText="1"/>
    </xf>
    <xf numFmtId="0" fontId="24" fillId="14" borderId="11" xfId="0" applyFont="1" applyFill="1" applyBorder="1" applyAlignment="1">
      <alignment horizontal="center"/>
    </xf>
    <xf numFmtId="0" fontId="64" fillId="0" borderId="0" xfId="0" applyFont="1" applyAlignment="1">
      <alignment horizontal="centerContinuous" vertical="center"/>
    </xf>
    <xf numFmtId="49" fontId="48" fillId="0" borderId="0" xfId="0" applyNumberFormat="1" applyFont="1"/>
    <xf numFmtId="0" fontId="21" fillId="0" borderId="10" xfId="39" applyFont="1" applyBorder="1" applyAlignment="1">
      <alignment horizontal="center" vertical="center" wrapText="1"/>
    </xf>
    <xf numFmtId="173" fontId="39" fillId="0" borderId="21" xfId="0" applyNumberFormat="1" applyFont="1" applyBorder="1" applyAlignment="1">
      <alignment horizontal="right"/>
    </xf>
    <xf numFmtId="181" fontId="39" fillId="25" borderId="11" xfId="43" applyNumberFormat="1" applyFont="1" applyFill="1" applyBorder="1"/>
    <xf numFmtId="166" fontId="24" fillId="18" borderId="21" xfId="0" applyNumberFormat="1" applyFont="1" applyFill="1" applyBorder="1"/>
    <xf numFmtId="183" fontId="45" fillId="19" borderId="10" xfId="0" applyNumberFormat="1" applyFont="1" applyFill="1" applyBorder="1" applyAlignment="1">
      <alignment horizontal="center"/>
    </xf>
    <xf numFmtId="164" fontId="24" fillId="16" borderId="20" xfId="0" applyNumberFormat="1" applyFont="1" applyFill="1" applyBorder="1"/>
    <xf numFmtId="179" fontId="24" fillId="0" borderId="22" xfId="0" applyNumberFormat="1" applyFont="1" applyBorder="1" applyAlignment="1" applyProtection="1">
      <alignment vertical="top" wrapText="1"/>
      <protection locked="0"/>
    </xf>
    <xf numFmtId="0" fontId="24" fillId="14" borderId="0" xfId="0" applyFont="1" applyFill="1" applyAlignment="1">
      <alignment horizontal="left"/>
    </xf>
    <xf numFmtId="0" fontId="23" fillId="21" borderId="10" xfId="0" applyFont="1" applyFill="1" applyBorder="1" applyAlignment="1">
      <alignment horizontal="center" vertical="top" wrapText="1"/>
    </xf>
    <xf numFmtId="0" fontId="23" fillId="14" borderId="10" xfId="0" applyFont="1" applyFill="1" applyBorder="1" applyAlignment="1">
      <alignment horizontal="center" vertical="center"/>
    </xf>
    <xf numFmtId="49" fontId="23" fillId="0" borderId="16" xfId="0" applyNumberFormat="1" applyFont="1" applyBorder="1" applyAlignment="1">
      <alignment horizontal="center" vertical="top"/>
    </xf>
    <xf numFmtId="0" fontId="35" fillId="16" borderId="11" xfId="0" applyFont="1" applyFill="1" applyBorder="1" applyAlignment="1">
      <alignment vertical="top"/>
    </xf>
    <xf numFmtId="164" fontId="35" fillId="16" borderId="11" xfId="0" applyNumberFormat="1" applyFont="1" applyFill="1" applyBorder="1" applyAlignment="1">
      <alignment vertical="top"/>
    </xf>
    <xf numFmtId="0" fontId="27" fillId="0" borderId="0" xfId="0" applyFont="1"/>
    <xf numFmtId="174" fontId="39" fillId="0" borderId="21" xfId="0" applyNumberFormat="1" applyFont="1" applyBorder="1" applyAlignment="1">
      <alignment vertical="top"/>
    </xf>
    <xf numFmtId="0" fontId="53" fillId="0" borderId="11" xfId="39" applyFont="1" applyBorder="1"/>
    <xf numFmtId="0" fontId="27" fillId="0" borderId="0" xfId="0" applyFont="1" applyAlignment="1">
      <alignment horizontal="center"/>
    </xf>
    <xf numFmtId="0" fontId="70" fillId="0" borderId="0" xfId="0" applyFont="1" applyAlignment="1">
      <alignment horizontal="center"/>
    </xf>
    <xf numFmtId="0" fontId="30" fillId="16" borderId="10" xfId="0" applyFont="1" applyFill="1" applyBorder="1" applyAlignment="1">
      <alignment horizontal="center" vertical="top"/>
    </xf>
    <xf numFmtId="0" fontId="42" fillId="14" borderId="0" xfId="0" applyFont="1" applyFill="1" applyAlignment="1">
      <alignment horizontal="left"/>
    </xf>
    <xf numFmtId="0" fontId="30" fillId="0" borderId="10" xfId="0" applyFont="1" applyBorder="1" applyAlignment="1">
      <alignment horizontal="center" vertical="top"/>
    </xf>
    <xf numFmtId="173" fontId="35" fillId="16" borderId="11" xfId="0" applyNumberFormat="1" applyFont="1" applyFill="1" applyBorder="1" applyAlignment="1">
      <alignment vertical="top"/>
    </xf>
    <xf numFmtId="0" fontId="53" fillId="0" borderId="11" xfId="39" applyFont="1" applyBorder="1" applyAlignment="1">
      <alignment horizontal="center"/>
    </xf>
    <xf numFmtId="49" fontId="23" fillId="0" borderId="10" xfId="0" applyNumberFormat="1" applyFont="1" applyBorder="1" applyAlignment="1">
      <alignment horizontal="center" vertical="center" wrapText="1"/>
    </xf>
    <xf numFmtId="3" fontId="49" fillId="0" borderId="0" xfId="0" applyNumberFormat="1" applyFont="1" applyAlignment="1">
      <alignment horizontal="center" vertical="center"/>
    </xf>
    <xf numFmtId="174" fontId="40" fillId="16" borderId="21" xfId="0" applyNumberFormat="1" applyFont="1" applyFill="1" applyBorder="1" applyAlignment="1">
      <alignment vertical="top"/>
    </xf>
    <xf numFmtId="49" fontId="24" fillId="16" borderId="11" xfId="0" applyNumberFormat="1" applyFont="1" applyFill="1" applyBorder="1"/>
    <xf numFmtId="172" fontId="24" fillId="18" borderId="11" xfId="0" applyNumberFormat="1" applyFont="1" applyFill="1" applyBorder="1"/>
    <xf numFmtId="169" fontId="24" fillId="16" borderId="11" xfId="0" applyNumberFormat="1" applyFont="1" applyFill="1" applyBorder="1" applyAlignment="1">
      <alignment vertical="top"/>
    </xf>
    <xf numFmtId="0" fontId="25" fillId="0" borderId="10" xfId="0" applyFont="1" applyBorder="1" applyAlignment="1" applyProtection="1">
      <alignment horizontal="center" vertical="center"/>
      <protection locked="0"/>
    </xf>
    <xf numFmtId="0" fontId="30" fillId="21" borderId="10" xfId="0" applyFont="1" applyFill="1" applyBorder="1" applyAlignment="1">
      <alignment vertical="top" wrapText="1"/>
    </xf>
    <xf numFmtId="0" fontId="50" fillId="0" borderId="10" xfId="39" applyFont="1" applyBorder="1"/>
    <xf numFmtId="0" fontId="23" fillId="0" borderId="0" xfId="0" applyFont="1"/>
    <xf numFmtId="0" fontId="35" fillId="0" borderId="11" xfId="0" applyFont="1" applyBorder="1" applyAlignment="1">
      <alignment horizontal="right" vertical="top"/>
    </xf>
    <xf numFmtId="0" fontId="50" fillId="0" borderId="10" xfId="39" applyFont="1" applyBorder="1" applyAlignment="1">
      <alignment horizontal="center"/>
    </xf>
    <xf numFmtId="0" fontId="24" fillId="14" borderId="16" xfId="0" applyFont="1" applyFill="1" applyBorder="1"/>
    <xf numFmtId="0" fontId="21" fillId="0" borderId="11" xfId="0" applyFont="1" applyBorder="1" applyAlignment="1">
      <alignment horizontal="center" vertical="top"/>
    </xf>
    <xf numFmtId="0" fontId="24" fillId="16" borderId="11" xfId="0" applyFont="1" applyFill="1" applyBorder="1" applyAlignment="1">
      <alignment vertical="top"/>
    </xf>
    <xf numFmtId="0" fontId="53" fillId="16" borderId="11" xfId="0" applyFont="1" applyFill="1" applyBorder="1" applyAlignment="1">
      <alignment vertical="top" wrapText="1"/>
    </xf>
    <xf numFmtId="0" fontId="73" fillId="14" borderId="11" xfId="0" applyFont="1" applyFill="1" applyBorder="1"/>
    <xf numFmtId="183" fontId="26" fillId="20" borderId="10" xfId="0" applyNumberFormat="1" applyFont="1" applyFill="1" applyBorder="1" applyAlignment="1">
      <alignment horizontal="center"/>
    </xf>
    <xf numFmtId="2" fontId="32" fillId="0" borderId="14" xfId="0" applyNumberFormat="1" applyFont="1" applyBorder="1"/>
    <xf numFmtId="0" fontId="39" fillId="0" borderId="21" xfId="0" applyFont="1" applyBorder="1" applyAlignment="1">
      <alignment vertical="top"/>
    </xf>
    <xf numFmtId="0" fontId="39" fillId="0" borderId="0" xfId="39" applyFont="1"/>
    <xf numFmtId="0" fontId="24" fillId="16" borderId="10" xfId="0" applyFont="1" applyFill="1" applyBorder="1"/>
    <xf numFmtId="0" fontId="42" fillId="0" borderId="0" xfId="0" applyFont="1" applyAlignment="1">
      <alignment horizontal="centerContinuous" vertical="center"/>
    </xf>
    <xf numFmtId="0" fontId="32" fillId="0" borderId="0" xfId="0" applyFont="1" applyAlignment="1">
      <alignment vertical="center"/>
    </xf>
    <xf numFmtId="0" fontId="24" fillId="14" borderId="0" xfId="0" quotePrefix="1" applyFont="1" applyFill="1"/>
    <xf numFmtId="0" fontId="40" fillId="16" borderId="21" xfId="0" applyFont="1" applyFill="1" applyBorder="1" applyAlignment="1">
      <alignment vertical="top"/>
    </xf>
    <xf numFmtId="164" fontId="21" fillId="0" borderId="11" xfId="0" applyNumberFormat="1" applyFont="1" applyBorder="1" applyAlignment="1">
      <alignment vertical="top"/>
    </xf>
    <xf numFmtId="0" fontId="35" fillId="16" borderId="11" xfId="0" applyFont="1" applyFill="1" applyBorder="1" applyAlignment="1">
      <alignment horizontal="left" vertical="top" wrapText="1"/>
    </xf>
    <xf numFmtId="0" fontId="39" fillId="0" borderId="0" xfId="0" applyFont="1" applyAlignment="1">
      <alignment horizontal="center" vertical="top"/>
    </xf>
    <xf numFmtId="180" fontId="40" fillId="18" borderId="11" xfId="0" applyNumberFormat="1" applyFont="1" applyFill="1" applyBorder="1" applyAlignment="1">
      <alignment horizontal="right" vertical="top"/>
    </xf>
    <xf numFmtId="173" fontId="24" fillId="16" borderId="11" xfId="0" applyNumberFormat="1" applyFont="1" applyFill="1" applyBorder="1" applyAlignment="1">
      <alignment vertical="top"/>
    </xf>
    <xf numFmtId="0" fontId="23" fillId="14" borderId="10" xfId="0" applyFont="1" applyFill="1" applyBorder="1" applyAlignment="1">
      <alignment horizontal="left" vertical="center" wrapText="1"/>
    </xf>
    <xf numFmtId="0" fontId="23" fillId="14" borderId="0" xfId="0" applyFont="1" applyFill="1" applyAlignment="1">
      <alignment horizontal="center" vertical="center" wrapText="1"/>
    </xf>
    <xf numFmtId="0" fontId="64" fillId="0" borderId="0" xfId="0" applyFont="1" applyAlignment="1">
      <alignment horizontal="center" vertical="top"/>
    </xf>
    <xf numFmtId="49" fontId="23" fillId="0" borderId="29" xfId="0" applyNumberFormat="1" applyFont="1" applyBorder="1" applyAlignment="1">
      <alignment horizontal="center" vertical="top"/>
    </xf>
    <xf numFmtId="182" fontId="26" fillId="17" borderId="10" xfId="0" applyNumberFormat="1" applyFont="1" applyFill="1" applyBorder="1" applyAlignment="1">
      <alignment horizontal="center"/>
    </xf>
    <xf numFmtId="0" fontId="39" fillId="0" borderId="20" xfId="39" applyFont="1" applyBorder="1"/>
    <xf numFmtId="173" fontId="39" fillId="0" borderId="21" xfId="0" applyNumberFormat="1" applyFont="1" applyBorder="1" applyAlignment="1">
      <alignment vertical="top"/>
    </xf>
    <xf numFmtId="0" fontId="0" fillId="0" borderId="0" xfId="0" applyAlignment="1">
      <alignment wrapText="1"/>
    </xf>
    <xf numFmtId="0" fontId="39" fillId="0" borderId="20" xfId="39" applyFont="1" applyBorder="1" applyAlignment="1">
      <alignment horizontal="center"/>
    </xf>
    <xf numFmtId="2" fontId="45" fillId="0" borderId="10" xfId="0" applyNumberFormat="1" applyFont="1" applyBorder="1" applyAlignment="1">
      <alignment horizontal="center" vertical="center"/>
    </xf>
    <xf numFmtId="2" fontId="45" fillId="0" borderId="0" xfId="0" applyNumberFormat="1" applyFont="1" applyAlignment="1">
      <alignment horizontal="center"/>
    </xf>
    <xf numFmtId="0" fontId="35" fillId="14" borderId="11" xfId="0" applyFont="1" applyFill="1" applyBorder="1" applyAlignment="1">
      <alignment vertical="top" wrapText="1"/>
    </xf>
    <xf numFmtId="0" fontId="24" fillId="0" borderId="0" xfId="0" applyFont="1"/>
    <xf numFmtId="0" fontId="24" fillId="14" borderId="0" xfId="40" applyFont="1" applyFill="1" applyAlignment="1" applyProtection="1">
      <alignment vertical="top"/>
      <protection locked="0"/>
    </xf>
    <xf numFmtId="174" fontId="35" fillId="0" borderId="11" xfId="0" applyNumberFormat="1" applyFont="1" applyBorder="1" applyAlignment="1">
      <alignment vertical="top"/>
    </xf>
    <xf numFmtId="164" fontId="39" fillId="0" borderId="0" xfId="0" applyNumberFormat="1" applyFont="1" applyAlignment="1">
      <alignment vertical="top"/>
    </xf>
    <xf numFmtId="175" fontId="39" fillId="0" borderId="20" xfId="0" applyNumberFormat="1" applyFont="1" applyBorder="1" applyAlignment="1">
      <alignment vertical="top"/>
    </xf>
    <xf numFmtId="0" fontId="26" fillId="0" borderId="10" xfId="0" applyFont="1" applyBorder="1" applyAlignment="1">
      <alignment wrapText="1"/>
    </xf>
    <xf numFmtId="164" fontId="40" fillId="18" borderId="11" xfId="0" applyNumberFormat="1" applyFont="1" applyFill="1" applyBorder="1"/>
    <xf numFmtId="49" fontId="53" fillId="14" borderId="10" xfId="0" applyNumberFormat="1" applyFont="1" applyFill="1" applyBorder="1" applyAlignment="1">
      <alignment horizontal="center" vertical="center" wrapText="1"/>
    </xf>
    <xf numFmtId="0" fontId="54" fillId="0" borderId="0" xfId="0" applyFont="1" applyAlignment="1">
      <alignment horizontal="center" vertical="top" wrapText="1"/>
    </xf>
    <xf numFmtId="175" fontId="40" fillId="16" borderId="20" xfId="0" applyNumberFormat="1" applyFont="1" applyFill="1" applyBorder="1" applyAlignment="1">
      <alignment vertical="top"/>
    </xf>
    <xf numFmtId="49" fontId="23" fillId="0" borderId="11" xfId="0" applyNumberFormat="1" applyFont="1" applyBorder="1" applyAlignment="1">
      <alignment horizontal="center" vertical="top"/>
    </xf>
    <xf numFmtId="173" fontId="24" fillId="18" borderId="20" xfId="0" applyNumberFormat="1" applyFont="1" applyFill="1" applyBorder="1"/>
    <xf numFmtId="174" fontId="39" fillId="0" borderId="21" xfId="0" applyNumberFormat="1" applyFont="1" applyBorder="1" applyAlignment="1">
      <alignment horizontal="right"/>
    </xf>
    <xf numFmtId="0" fontId="24" fillId="0" borderId="11" xfId="0" applyFont="1" applyBorder="1" applyAlignment="1">
      <alignment horizontal="justify" vertical="top" wrapText="1"/>
    </xf>
    <xf numFmtId="0" fontId="24" fillId="16" borderId="21" xfId="0" applyFont="1" applyFill="1" applyBorder="1" applyAlignment="1">
      <alignment vertical="top" wrapText="1"/>
    </xf>
    <xf numFmtId="0" fontId="21" fillId="26" borderId="10" xfId="0" applyFont="1" applyFill="1" applyBorder="1" applyAlignment="1">
      <alignment horizontal="center" vertical="center"/>
    </xf>
    <xf numFmtId="0" fontId="32" fillId="0" borderId="26" xfId="0" applyFont="1" applyBorder="1"/>
    <xf numFmtId="173" fontId="24" fillId="14" borderId="20" xfId="0" applyNumberFormat="1" applyFont="1" applyFill="1" applyBorder="1" applyAlignment="1">
      <alignment vertical="top"/>
    </xf>
    <xf numFmtId="49" fontId="24" fillId="16" borderId="21" xfId="0" quotePrefix="1" applyNumberFormat="1" applyFont="1" applyFill="1" applyBorder="1" applyAlignment="1">
      <alignment vertical="top"/>
    </xf>
    <xf numFmtId="0" fontId="21" fillId="0" borderId="21" xfId="0" applyFont="1" applyBorder="1" applyAlignment="1">
      <alignment vertical="top" wrapText="1"/>
    </xf>
    <xf numFmtId="0" fontId="39" fillId="0" borderId="20" xfId="0" applyFont="1" applyBorder="1" applyAlignment="1">
      <alignment vertical="top" wrapText="1"/>
    </xf>
    <xf numFmtId="164" fontId="40" fillId="16" borderId="20" xfId="0" applyNumberFormat="1" applyFont="1" applyFill="1" applyBorder="1" applyAlignment="1">
      <alignment vertical="top"/>
    </xf>
    <xf numFmtId="0" fontId="32" fillId="20" borderId="10" xfId="0" applyFont="1" applyFill="1" applyBorder="1" applyAlignment="1">
      <alignment horizontal="center" vertical="center"/>
    </xf>
    <xf numFmtId="0" fontId="32" fillId="19" borderId="10" xfId="0" applyFont="1" applyFill="1" applyBorder="1" applyAlignment="1">
      <alignment horizontal="center"/>
    </xf>
    <xf numFmtId="0" fontId="42" fillId="0" borderId="0" xfId="0" applyFont="1"/>
    <xf numFmtId="0" fontId="37" fillId="0" borderId="15" xfId="0" applyFont="1" applyBorder="1" applyAlignment="1">
      <alignment vertical="top" wrapText="1"/>
    </xf>
    <xf numFmtId="0" fontId="42" fillId="0" borderId="0" xfId="0" applyFont="1" applyAlignment="1">
      <alignment horizontal="center"/>
    </xf>
    <xf numFmtId="0" fontId="35" fillId="0" borderId="11" xfId="0" applyFont="1" applyBorder="1" applyAlignment="1">
      <alignment vertical="top"/>
    </xf>
    <xf numFmtId="164" fontId="24" fillId="16" borderId="21" xfId="0" applyNumberFormat="1" applyFont="1" applyFill="1" applyBorder="1"/>
    <xf numFmtId="0" fontId="39" fillId="0" borderId="21" xfId="39" applyFont="1" applyBorder="1" applyAlignment="1">
      <alignment horizontal="left" vertical="top" wrapText="1"/>
    </xf>
    <xf numFmtId="0" fontId="24" fillId="0" borderId="0" xfId="0" applyFont="1" applyAlignment="1">
      <alignment horizontal="center" vertical="top"/>
    </xf>
    <xf numFmtId="0" fontId="24" fillId="14" borderId="11" xfId="0" applyFont="1" applyFill="1" applyBorder="1" applyAlignment="1">
      <alignment vertical="top" wrapText="1"/>
    </xf>
    <xf numFmtId="49" fontId="27" fillId="0" borderId="30" xfId="0" applyNumberFormat="1" applyFont="1" applyBorder="1" applyAlignment="1">
      <alignment vertical="top" wrapText="1"/>
    </xf>
    <xf numFmtId="0" fontId="1" fillId="0" borderId="0" xfId="0" applyFont="1"/>
    <xf numFmtId="49" fontId="37" fillId="0" borderId="30" xfId="0" applyNumberFormat="1" applyFont="1" applyBorder="1"/>
    <xf numFmtId="0" fontId="22" fillId="0" borderId="11" xfId="0" applyFont="1" applyBorder="1" applyAlignment="1">
      <alignment vertical="top"/>
    </xf>
    <xf numFmtId="0" fontId="32" fillId="0" borderId="0" xfId="0" applyFont="1"/>
    <xf numFmtId="0" fontId="24" fillId="0" borderId="44" xfId="0" applyFont="1" applyBorder="1" applyAlignment="1" applyProtection="1">
      <alignment horizontal="center" vertical="top"/>
      <protection locked="0"/>
    </xf>
    <xf numFmtId="185" fontId="36" fillId="0" borderId="10" xfId="0" applyNumberFormat="1" applyFont="1" applyBorder="1" applyAlignment="1">
      <alignment vertical="center" wrapText="1"/>
    </xf>
    <xf numFmtId="185" fontId="26" fillId="0" borderId="10" xfId="0" applyNumberFormat="1" applyFont="1" applyBorder="1"/>
    <xf numFmtId="49" fontId="24" fillId="14" borderId="11" xfId="0" quotePrefix="1" applyNumberFormat="1" applyFont="1" applyFill="1" applyBorder="1" applyAlignment="1">
      <alignment vertical="top"/>
    </xf>
    <xf numFmtId="49" fontId="37" fillId="0" borderId="30" xfId="0" applyNumberFormat="1" applyFont="1" applyBorder="1" applyAlignment="1">
      <alignment horizontal="center"/>
    </xf>
    <xf numFmtId="0" fontId="24" fillId="16" borderId="20" xfId="0" quotePrefix="1" applyFont="1" applyFill="1" applyBorder="1" applyAlignment="1">
      <alignment vertical="top"/>
    </xf>
    <xf numFmtId="0" fontId="24" fillId="14" borderId="21" xfId="0" applyFont="1" applyFill="1" applyBorder="1" applyAlignment="1">
      <alignment horizontal="left"/>
    </xf>
    <xf numFmtId="0" fontId="23" fillId="14" borderId="0" xfId="0" applyFont="1" applyFill="1" applyAlignment="1">
      <alignment horizontal="center" vertical="center"/>
    </xf>
    <xf numFmtId="0" fontId="23" fillId="14" borderId="10" xfId="0" applyFont="1" applyFill="1" applyBorder="1" applyAlignment="1">
      <alignment horizontal="center" vertical="center"/>
    </xf>
    <xf numFmtId="0" fontId="30" fillId="24" borderId="10" xfId="0" applyFont="1" applyFill="1" applyBorder="1" applyAlignment="1">
      <alignment vertical="top"/>
    </xf>
    <xf numFmtId="0" fontId="30" fillId="16" borderId="10" xfId="0" applyFont="1" applyFill="1" applyBorder="1" applyAlignment="1">
      <alignment horizontal="right"/>
    </xf>
    <xf numFmtId="0" fontId="30" fillId="16" borderId="10" xfId="0" applyFont="1" applyFill="1" applyBorder="1" applyAlignment="1">
      <alignment horizontal="center"/>
    </xf>
    <xf numFmtId="175" fontId="30" fillId="16" borderId="10" xfId="0" applyNumberFormat="1" applyFont="1" applyFill="1" applyBorder="1" applyAlignment="1">
      <alignment horizontal="right"/>
    </xf>
    <xf numFmtId="164" fontId="30" fillId="16" borderId="10" xfId="0" applyNumberFormat="1" applyFont="1" applyFill="1" applyBorder="1" applyAlignment="1">
      <alignment horizontal="right"/>
    </xf>
    <xf numFmtId="0" fontId="42" fillId="14" borderId="0" xfId="0" applyFont="1" applyFill="1" applyAlignment="1">
      <alignment horizontal="center"/>
    </xf>
    <xf numFmtId="0" fontId="23" fillId="14" borderId="0" xfId="0" applyFont="1" applyFill="1" applyAlignment="1">
      <alignment horizontal="center"/>
    </xf>
    <xf numFmtId="0" fontId="23" fillId="14" borderId="18" xfId="0" applyFont="1" applyFill="1" applyBorder="1" applyAlignment="1">
      <alignment horizontal="center" vertical="center"/>
    </xf>
    <xf numFmtId="0" fontId="23" fillId="14" borderId="12" xfId="0" applyFont="1" applyFill="1" applyBorder="1" applyAlignment="1">
      <alignment horizontal="center" vertical="center"/>
    </xf>
    <xf numFmtId="0" fontId="65" fillId="14" borderId="0" xfId="0" applyFont="1" applyFill="1" applyAlignment="1">
      <alignment horizontal="center"/>
    </xf>
    <xf numFmtId="0" fontId="52" fillId="14" borderId="0" xfId="0" applyFont="1" applyFill="1" applyAlignment="1">
      <alignment horizontal="right"/>
    </xf>
    <xf numFmtId="0" fontId="23" fillId="16" borderId="0" xfId="0" applyFont="1" applyFill="1" applyAlignment="1">
      <alignment horizontal="center"/>
    </xf>
    <xf numFmtId="0" fontId="23" fillId="14" borderId="18" xfId="0" applyFont="1" applyFill="1" applyBorder="1" applyAlignment="1">
      <alignment horizontal="center" vertical="center" wrapText="1"/>
    </xf>
    <xf numFmtId="0" fontId="23" fillId="14" borderId="23" xfId="0" applyFont="1" applyFill="1" applyBorder="1" applyAlignment="1">
      <alignment horizontal="center" vertical="center" wrapText="1"/>
    </xf>
    <xf numFmtId="0" fontId="23" fillId="14" borderId="12" xfId="0" applyFont="1" applyFill="1" applyBorder="1" applyAlignment="1">
      <alignment horizontal="center" vertical="center" wrapText="1"/>
    </xf>
    <xf numFmtId="49" fontId="23" fillId="14" borderId="18" xfId="0" applyNumberFormat="1" applyFont="1" applyFill="1" applyBorder="1" applyAlignment="1">
      <alignment horizontal="center" vertical="center" wrapText="1"/>
    </xf>
    <xf numFmtId="49" fontId="23" fillId="14" borderId="23" xfId="0" applyNumberFormat="1" applyFont="1" applyFill="1" applyBorder="1" applyAlignment="1">
      <alignment horizontal="center" vertical="center" wrapText="1"/>
    </xf>
    <xf numFmtId="49" fontId="23" fillId="14" borderId="12" xfId="0" applyNumberFormat="1" applyFont="1" applyFill="1" applyBorder="1" applyAlignment="1">
      <alignment horizontal="center" vertical="center" wrapText="1"/>
    </xf>
    <xf numFmtId="0" fontId="23" fillId="16" borderId="10" xfId="0" applyFont="1" applyFill="1" applyBorder="1" applyAlignment="1">
      <alignment horizontal="center" vertical="center" wrapText="1"/>
    </xf>
    <xf numFmtId="0" fontId="52" fillId="14" borderId="31" xfId="0" applyFont="1" applyFill="1" applyBorder="1" applyAlignment="1">
      <alignment horizontal="right"/>
    </xf>
    <xf numFmtId="0" fontId="56" fillId="0" borderId="0" xfId="0" applyFont="1" applyAlignment="1">
      <alignment horizontal="center"/>
    </xf>
    <xf numFmtId="0" fontId="32" fillId="0" borderId="0" xfId="0" applyFont="1" applyAlignment="1">
      <alignment horizontal="center"/>
    </xf>
    <xf numFmtId="0" fontId="42" fillId="14" borderId="0" xfId="40" applyFont="1" applyFill="1" applyAlignment="1" applyProtection="1">
      <alignment horizontal="center"/>
      <protection locked="0"/>
    </xf>
    <xf numFmtId="0" fontId="23" fillId="14" borderId="0" xfId="40" applyFont="1" applyFill="1" applyAlignment="1" applyProtection="1">
      <alignment horizontal="center"/>
      <protection locked="0"/>
    </xf>
    <xf numFmtId="0" fontId="59" fillId="16" borderId="10" xfId="0" applyFont="1" applyFill="1" applyBorder="1" applyAlignment="1">
      <alignment horizontal="center" vertical="top"/>
    </xf>
    <xf numFmtId="0" fontId="59" fillId="16" borderId="10" xfId="0" applyFont="1" applyFill="1" applyBorder="1" applyAlignment="1">
      <alignment horizontal="center" vertical="top" wrapText="1"/>
    </xf>
    <xf numFmtId="174" fontId="59" fillId="16" borderId="10" xfId="0" applyNumberFormat="1" applyFont="1" applyFill="1" applyBorder="1" applyAlignment="1">
      <alignment horizontal="center" vertical="top"/>
    </xf>
    <xf numFmtId="0" fontId="24" fillId="0" borderId="0" xfId="0" applyFont="1" applyAlignment="1">
      <alignment horizontal="center"/>
    </xf>
    <xf numFmtId="0" fontId="25" fillId="0" borderId="19" xfId="0" applyFont="1" applyBorder="1" applyAlignment="1">
      <alignment horizontal="center" vertical="center"/>
    </xf>
    <xf numFmtId="0" fontId="25" fillId="0" borderId="26" xfId="0" applyFont="1" applyBorder="1" applyAlignment="1">
      <alignment horizontal="center" vertical="center"/>
    </xf>
    <xf numFmtId="0" fontId="25" fillId="0" borderId="14" xfId="0" applyFont="1" applyBorder="1" applyAlignment="1">
      <alignment horizontal="center" vertical="center"/>
    </xf>
    <xf numFmtId="0" fontId="23" fillId="0" borderId="0" xfId="0" applyFont="1" applyAlignment="1">
      <alignment horizontal="center"/>
    </xf>
    <xf numFmtId="0" fontId="65" fillId="0" borderId="31" xfId="0" applyFont="1" applyBorder="1" applyAlignment="1">
      <alignment horizontal="right"/>
    </xf>
    <xf numFmtId="0" fontId="50" fillId="0" borderId="20" xfId="0" applyFont="1" applyBorder="1" applyAlignment="1">
      <alignment horizontal="left" vertical="center"/>
    </xf>
    <xf numFmtId="0" fontId="50" fillId="0" borderId="11" xfId="0" applyFont="1" applyBorder="1" applyAlignment="1">
      <alignment horizontal="left" vertical="center"/>
    </xf>
    <xf numFmtId="177" fontId="50" fillId="0" borderId="11" xfId="0" applyNumberFormat="1" applyFont="1" applyBorder="1" applyAlignment="1">
      <alignment horizontal="left" vertical="top"/>
    </xf>
    <xf numFmtId="0" fontId="68" fillId="16" borderId="0" xfId="0" applyFont="1" applyFill="1" applyAlignment="1">
      <alignment horizontal="center"/>
    </xf>
    <xf numFmtId="0" fontId="53" fillId="16" borderId="0" xfId="0" applyFont="1" applyFill="1" applyAlignment="1">
      <alignment horizontal="center"/>
    </xf>
    <xf numFmtId="49" fontId="53" fillId="14" borderId="0" xfId="0" applyNumberFormat="1" applyFont="1" applyFill="1" applyAlignment="1">
      <alignment horizontal="center"/>
    </xf>
    <xf numFmtId="0" fontId="42" fillId="16" borderId="0" xfId="0" applyFont="1" applyFill="1" applyAlignment="1">
      <alignment horizontal="center" vertical="top"/>
    </xf>
    <xf numFmtId="0" fontId="42" fillId="16" borderId="0" xfId="0" applyFont="1" applyFill="1" applyAlignment="1">
      <alignment horizontal="center" vertical="top" wrapText="1"/>
    </xf>
    <xf numFmtId="173" fontId="42" fillId="16" borderId="0" xfId="0" applyNumberFormat="1" applyFont="1" applyFill="1" applyAlignment="1">
      <alignment horizontal="center" vertical="top"/>
    </xf>
    <xf numFmtId="164" fontId="42" fillId="16" borderId="0" xfId="0" applyNumberFormat="1" applyFont="1" applyFill="1" applyAlignment="1">
      <alignment horizontal="center" vertical="top"/>
    </xf>
    <xf numFmtId="0" fontId="23" fillId="16" borderId="0" xfId="0" applyFont="1" applyFill="1" applyAlignment="1">
      <alignment horizontal="center" vertical="top"/>
    </xf>
    <xf numFmtId="0" fontId="23" fillId="16" borderId="0" xfId="0" applyFont="1" applyFill="1" applyAlignment="1">
      <alignment horizontal="center" vertical="top" wrapText="1"/>
    </xf>
    <xf numFmtId="173" fontId="23" fillId="16" borderId="0" xfId="0" applyNumberFormat="1" applyFont="1" applyFill="1" applyAlignment="1">
      <alignment horizontal="center" vertical="top"/>
    </xf>
    <xf numFmtId="164" fontId="23" fillId="16" borderId="0" xfId="0" applyNumberFormat="1" applyFont="1" applyFill="1" applyAlignment="1">
      <alignment horizontal="center" vertical="top"/>
    </xf>
    <xf numFmtId="49" fontId="56" fillId="0" borderId="0" xfId="39" applyNumberFormat="1" applyFont="1" applyAlignment="1">
      <alignment horizontal="center" vertical="center"/>
    </xf>
    <xf numFmtId="0" fontId="32" fillId="0" borderId="0" xfId="39" applyFont="1" applyAlignment="1">
      <alignment horizontal="center" vertical="center"/>
    </xf>
    <xf numFmtId="0" fontId="23" fillId="16" borderId="10" xfId="0" applyFont="1" applyFill="1" applyBorder="1" applyAlignment="1">
      <alignment horizontal="center" wrapText="1"/>
    </xf>
    <xf numFmtId="0" fontId="23" fillId="14" borderId="19" xfId="0" applyFont="1" applyFill="1" applyBorder="1" applyAlignment="1">
      <alignment horizontal="center" vertical="center"/>
    </xf>
    <xf numFmtId="0" fontId="23" fillId="14" borderId="14" xfId="0" applyFont="1" applyFill="1" applyBorder="1" applyAlignment="1">
      <alignment horizontal="center" vertical="center"/>
    </xf>
    <xf numFmtId="0" fontId="42" fillId="14" borderId="0" xfId="0" applyFont="1" applyFill="1" applyAlignment="1">
      <alignment horizontal="center" vertical="top"/>
    </xf>
    <xf numFmtId="0" fontId="23" fillId="14" borderId="0" xfId="0" applyFont="1" applyFill="1" applyAlignment="1">
      <alignment horizontal="center" vertical="top"/>
    </xf>
    <xf numFmtId="0" fontId="23" fillId="14" borderId="31" xfId="0" applyFont="1" applyFill="1" applyBorder="1" applyAlignment="1">
      <alignment horizontal="center" vertical="top"/>
    </xf>
    <xf numFmtId="49" fontId="23" fillId="14" borderId="18" xfId="0" applyNumberFormat="1" applyFont="1" applyFill="1" applyBorder="1" applyAlignment="1">
      <alignment horizontal="center" vertical="center"/>
    </xf>
    <xf numFmtId="49" fontId="23" fillId="14" borderId="12" xfId="0" applyNumberFormat="1" applyFont="1" applyFill="1" applyBorder="1" applyAlignment="1">
      <alignment horizontal="center" vertical="center"/>
    </xf>
    <xf numFmtId="0" fontId="23" fillId="14" borderId="26" xfId="0" applyFont="1" applyFill="1" applyBorder="1" applyAlignment="1">
      <alignment horizontal="center" vertical="center"/>
    </xf>
    <xf numFmtId="0" fontId="25" fillId="14" borderId="0" xfId="0" applyFont="1" applyFill="1" applyAlignment="1">
      <alignment horizontal="center"/>
    </xf>
    <xf numFmtId="0" fontId="60" fillId="14" borderId="0" xfId="0" applyFont="1" applyFill="1" applyAlignment="1">
      <alignment horizontal="center"/>
    </xf>
    <xf numFmtId="0" fontId="48" fillId="14" borderId="0" xfId="0" quotePrefix="1" applyFont="1" applyFill="1" applyAlignment="1">
      <alignment horizontal="center"/>
    </xf>
    <xf numFmtId="0" fontId="48" fillId="14" borderId="0" xfId="0" applyFont="1" applyFill="1" applyAlignment="1">
      <alignment horizontal="center"/>
    </xf>
    <xf numFmtId="0" fontId="65" fillId="16" borderId="10" xfId="0" applyFont="1" applyFill="1" applyBorder="1" applyAlignment="1">
      <alignment horizontal="center"/>
    </xf>
    <xf numFmtId="0" fontId="24" fillId="16" borderId="20" xfId="0" applyFont="1" applyFill="1" applyBorder="1"/>
    <xf numFmtId="174" fontId="24" fillId="16" borderId="20" xfId="0" applyNumberFormat="1" applyFont="1" applyFill="1" applyBorder="1"/>
    <xf numFmtId="0" fontId="50" fillId="16" borderId="10" xfId="0" applyFont="1" applyFill="1" applyBorder="1"/>
    <xf numFmtId="174" fontId="50" fillId="16" borderId="10" xfId="0" applyNumberFormat="1" applyFont="1" applyFill="1" applyBorder="1"/>
    <xf numFmtId="0" fontId="24" fillId="14" borderId="0" xfId="0" quotePrefix="1" applyFont="1" applyFill="1" applyAlignment="1">
      <alignment horizontal="center"/>
    </xf>
    <xf numFmtId="0" fontId="24" fillId="14" borderId="0" xfId="0" applyFont="1" applyFill="1" applyAlignment="1">
      <alignment horizontal="center"/>
    </xf>
    <xf numFmtId="0" fontId="30" fillId="0" borderId="10" xfId="0" applyFont="1" applyBorder="1" applyAlignment="1">
      <alignment horizontal="right" vertical="center"/>
    </xf>
    <xf numFmtId="0" fontId="30" fillId="0" borderId="10" xfId="0" applyFont="1" applyBorder="1" applyAlignment="1">
      <alignment horizontal="center" vertical="center"/>
    </xf>
    <xf numFmtId="173" fontId="30" fillId="0" borderId="10" xfId="0" applyNumberFormat="1" applyFont="1" applyBorder="1" applyAlignment="1">
      <alignment horizontal="right" vertical="center"/>
    </xf>
    <xf numFmtId="174" fontId="30" fillId="0" borderId="10" xfId="0" applyNumberFormat="1" applyFont="1" applyBorder="1" applyAlignment="1">
      <alignment horizontal="right" vertical="center"/>
    </xf>
    <xf numFmtId="0" fontId="63" fillId="0" borderId="10" xfId="0" applyFont="1" applyBorder="1" applyAlignment="1">
      <alignment horizontal="center" vertical="center"/>
    </xf>
    <xf numFmtId="0" fontId="63" fillId="0" borderId="0" xfId="0" applyFont="1" applyAlignment="1">
      <alignment horizontal="center"/>
    </xf>
    <xf numFmtId="0" fontId="21" fillId="0" borderId="0" xfId="0" applyFont="1" applyAlignment="1">
      <alignment horizontal="center"/>
    </xf>
    <xf numFmtId="0" fontId="39" fillId="0" borderId="0" xfId="0" applyFont="1" applyAlignment="1">
      <alignment horizontal="right"/>
    </xf>
    <xf numFmtId="0" fontId="54" fillId="0" borderId="0" xfId="0" applyFont="1" applyAlignment="1">
      <alignment horizontal="center" vertical="top" wrapText="1"/>
    </xf>
    <xf numFmtId="0" fontId="44" fillId="0" borderId="0" xfId="0" applyFont="1" applyAlignment="1">
      <alignment horizontal="center" vertical="top" wrapText="1"/>
    </xf>
    <xf numFmtId="0" fontId="36" fillId="0" borderId="0" xfId="0" applyFont="1" applyAlignment="1">
      <alignment horizontal="center" vertical="center" wrapText="1"/>
    </xf>
    <xf numFmtId="0" fontId="54" fillId="0" borderId="0" xfId="0" applyFont="1" applyAlignment="1">
      <alignment horizontal="left" vertical="top" wrapText="1"/>
    </xf>
    <xf numFmtId="0" fontId="66" fillId="0" borderId="0" xfId="34" applyFont="1" applyAlignment="1">
      <alignment horizontal="center" vertical="top" wrapText="1"/>
    </xf>
    <xf numFmtId="0" fontId="71" fillId="0" borderId="0" xfId="0" applyFont="1" applyAlignment="1">
      <alignment horizontal="center" vertical="top" wrapText="1"/>
    </xf>
    <xf numFmtId="0" fontId="36" fillId="0" borderId="0" xfId="0" applyFont="1" applyAlignment="1">
      <alignment horizontal="center" vertical="top" wrapText="1"/>
    </xf>
    <xf numFmtId="178" fontId="41" fillId="0" borderId="0" xfId="0" applyNumberFormat="1" applyFont="1" applyAlignment="1">
      <alignment horizontal="center" vertical="top" wrapText="1"/>
    </xf>
    <xf numFmtId="0" fontId="41" fillId="0" borderId="0" xfId="0" applyFont="1" applyAlignment="1">
      <alignment horizontal="left" vertical="top" wrapText="1"/>
    </xf>
    <xf numFmtId="0" fontId="36" fillId="0" borderId="0" xfId="0" quotePrefix="1" applyFont="1" applyAlignment="1">
      <alignment horizontal="left" vertical="top" wrapText="1"/>
    </xf>
    <xf numFmtId="0" fontId="36" fillId="0" borderId="0" xfId="0" applyFont="1" applyAlignment="1">
      <alignment horizontal="left" vertical="top" wrapText="1"/>
    </xf>
    <xf numFmtId="178" fontId="54" fillId="0" borderId="0" xfId="0" applyNumberFormat="1" applyFont="1" applyAlignment="1">
      <alignment horizontal="right" vertical="top" wrapText="1"/>
    </xf>
    <xf numFmtId="0" fontId="38" fillId="14" borderId="0" xfId="0" applyFont="1" applyFill="1" applyAlignment="1">
      <alignment horizontal="left"/>
    </xf>
    <xf numFmtId="0" fontId="24" fillId="14" borderId="0" xfId="0" applyFont="1" applyFill="1" applyAlignment="1">
      <alignment horizontal="left"/>
    </xf>
    <xf numFmtId="0" fontId="23" fillId="14" borderId="31" xfId="0" applyFont="1" applyFill="1" applyBorder="1" applyAlignment="1">
      <alignment horizontal="left"/>
    </xf>
    <xf numFmtId="0" fontId="23" fillId="14" borderId="0" xfId="0" applyFont="1" applyFill="1" applyAlignment="1">
      <alignment horizontal="left"/>
    </xf>
    <xf numFmtId="0" fontId="42" fillId="0" borderId="0" xfId="0" applyFont="1" applyAlignment="1" applyProtection="1">
      <alignment horizontal="center" vertical="top"/>
      <protection locked="0"/>
    </xf>
    <xf numFmtId="0" fontId="34" fillId="0" borderId="0" xfId="0" applyFont="1" applyAlignment="1" applyProtection="1">
      <alignment vertical="top"/>
      <protection locked="0"/>
    </xf>
    <xf numFmtId="0" fontId="23" fillId="0" borderId="0" xfId="0" applyFont="1" applyAlignment="1" applyProtection="1">
      <alignment horizontal="center" vertical="top" wrapText="1"/>
      <protection locked="0"/>
    </xf>
    <xf numFmtId="0" fontId="24" fillId="0" borderId="0" xfId="0" applyFont="1" applyAlignment="1" applyProtection="1">
      <alignment vertical="top"/>
      <protection locked="0"/>
    </xf>
    <xf numFmtId="0" fontId="25" fillId="0" borderId="1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49" fontId="21" fillId="0" borderId="0" xfId="0" applyNumberFormat="1" applyFont="1" applyAlignment="1">
      <alignment horizontal="center"/>
    </xf>
    <xf numFmtId="0" fontId="56" fillId="0" borderId="0" xfId="0" applyFont="1" applyAlignment="1">
      <alignment horizontal="center" vertical="top"/>
    </xf>
    <xf numFmtId="0" fontId="56" fillId="0" borderId="0" xfId="0" applyFont="1" applyAlignment="1">
      <alignment horizontal="center" vertical="top" wrapText="1"/>
    </xf>
    <xf numFmtId="173" fontId="56" fillId="0" borderId="0" xfId="0" applyNumberFormat="1" applyFont="1" applyAlignment="1">
      <alignment horizontal="center" vertical="top"/>
    </xf>
    <xf numFmtId="164" fontId="56" fillId="0" borderId="0" xfId="0" applyNumberFormat="1" applyFont="1" applyAlignment="1">
      <alignment horizontal="center" vertical="top"/>
    </xf>
    <xf numFmtId="0" fontId="21" fillId="0" borderId="0" xfId="0" applyFont="1" applyAlignment="1">
      <alignment horizontal="center" vertical="top"/>
    </xf>
    <xf numFmtId="0" fontId="21" fillId="0" borderId="0" xfId="0" applyFont="1" applyAlignment="1">
      <alignment horizontal="center" vertical="top" wrapText="1"/>
    </xf>
    <xf numFmtId="173" fontId="21" fillId="0" borderId="0" xfId="0" applyNumberFormat="1" applyFont="1" applyAlignment="1">
      <alignment horizontal="center" vertical="top"/>
    </xf>
    <xf numFmtId="164" fontId="21" fillId="0" borderId="0" xfId="0" applyNumberFormat="1" applyFont="1" applyAlignment="1">
      <alignment horizontal="center" vertical="top"/>
    </xf>
    <xf numFmtId="0" fontId="21" fillId="0" borderId="10" xfId="0" applyFont="1" applyBorder="1" applyAlignment="1">
      <alignment horizontal="center" vertical="center"/>
    </xf>
    <xf numFmtId="0" fontId="21" fillId="0" borderId="10" xfId="0" applyFont="1" applyBorder="1" applyAlignment="1">
      <alignment horizontal="center" vertical="center" wrapText="1"/>
    </xf>
    <xf numFmtId="173" fontId="21" fillId="0" borderId="10" xfId="0" applyNumberFormat="1" applyFont="1" applyBorder="1" applyAlignment="1">
      <alignment horizontal="center" vertical="center"/>
    </xf>
    <xf numFmtId="164" fontId="21" fillId="0" borderId="10" xfId="0" applyNumberFormat="1" applyFont="1" applyBorder="1" applyAlignment="1">
      <alignment horizontal="center" vertical="center"/>
    </xf>
    <xf numFmtId="0" fontId="56" fillId="0" borderId="0" xfId="0" applyFont="1" applyAlignment="1">
      <alignment horizontal="center" vertical="center"/>
    </xf>
    <xf numFmtId="0" fontId="63" fillId="0" borderId="0" xfId="0" applyFont="1" applyAlignment="1">
      <alignment horizontal="center" vertical="center"/>
    </xf>
    <xf numFmtId="0" fontId="63" fillId="0" borderId="0" xfId="0" applyFont="1" applyAlignment="1">
      <alignment horizontal="right" vertical="center"/>
    </xf>
    <xf numFmtId="0" fontId="49" fillId="0" borderId="19" xfId="0" applyFont="1" applyBorder="1" applyAlignment="1">
      <alignment horizontal="center" vertical="center" wrapText="1"/>
    </xf>
    <xf numFmtId="0" fontId="49" fillId="0" borderId="26" xfId="0" applyFont="1" applyBorder="1" applyAlignment="1">
      <alignment horizontal="center" vertical="center" wrapText="1"/>
    </xf>
    <xf numFmtId="0" fontId="32" fillId="22" borderId="0" xfId="0" applyFont="1" applyFill="1" applyAlignment="1">
      <alignment horizontal="left"/>
    </xf>
    <xf numFmtId="0" fontId="32" fillId="0" borderId="0" xfId="0" applyFont="1" applyAlignment="1">
      <alignment horizontal="right"/>
    </xf>
    <xf numFmtId="0" fontId="49" fillId="0" borderId="10" xfId="0" applyFont="1" applyBorder="1" applyAlignment="1">
      <alignment horizontal="center" vertical="center"/>
    </xf>
    <xf numFmtId="0" fontId="49" fillId="0" borderId="10" xfId="0" applyFont="1" applyBorder="1" applyAlignment="1">
      <alignment horizontal="center" vertical="center" wrapText="1"/>
    </xf>
    <xf numFmtId="0" fontId="32" fillId="0" borderId="0" xfId="0" applyFont="1" applyAlignment="1">
      <alignment horizontal="left"/>
    </xf>
    <xf numFmtId="0" fontId="32" fillId="0" borderId="10" xfId="0" applyFont="1" applyBorder="1" applyAlignment="1">
      <alignment horizontal="center" vertical="center"/>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0" xfId="0" applyFont="1" applyAlignment="1">
      <alignment horizontal="center" wrapText="1"/>
    </xf>
    <xf numFmtId="0" fontId="32" fillId="0" borderId="0" xfId="0" applyFont="1" applyAlignment="1">
      <alignment horizontal="left" vertical="top"/>
    </xf>
    <xf numFmtId="0" fontId="32" fillId="0" borderId="10" xfId="0" applyFont="1" applyBorder="1" applyAlignment="1">
      <alignment horizontal="center" vertical="center" wrapText="1"/>
    </xf>
    <xf numFmtId="0" fontId="49" fillId="0" borderId="19" xfId="0" applyFont="1" applyBorder="1" applyAlignment="1">
      <alignment horizontal="left"/>
    </xf>
    <xf numFmtId="0" fontId="49" fillId="0" borderId="26" xfId="0" applyFont="1" applyBorder="1" applyAlignment="1">
      <alignment horizontal="left"/>
    </xf>
    <xf numFmtId="0" fontId="49" fillId="0" borderId="14" xfId="0" applyFont="1" applyBorder="1" applyAlignment="1">
      <alignment horizontal="left"/>
    </xf>
    <xf numFmtId="0" fontId="32" fillId="0" borderId="19" xfId="0" applyFont="1" applyBorder="1" applyAlignment="1">
      <alignment horizontal="left"/>
    </xf>
    <xf numFmtId="0" fontId="32" fillId="0" borderId="26" xfId="0" applyFont="1" applyBorder="1" applyAlignment="1">
      <alignment horizontal="left"/>
    </xf>
    <xf numFmtId="0" fontId="32" fillId="0" borderId="14" xfId="0" applyFont="1" applyBorder="1" applyAlignment="1">
      <alignment horizontal="left"/>
    </xf>
    <xf numFmtId="0" fontId="32" fillId="22" borderId="0" xfId="0" applyFont="1" applyFill="1" applyAlignment="1">
      <alignment horizontal="left" vertical="top" wrapText="1"/>
    </xf>
    <xf numFmtId="0" fontId="32" fillId="23" borderId="0" xfId="0" applyFont="1" applyFill="1" applyAlignment="1">
      <alignment horizontal="center" wrapText="1"/>
    </xf>
    <xf numFmtId="0" fontId="32" fillId="23" borderId="0" xfId="0" applyFont="1" applyFill="1" applyAlignment="1">
      <alignment horizontal="center"/>
    </xf>
    <xf numFmtId="0" fontId="32" fillId="0" borderId="19" xfId="0" applyFont="1" applyBorder="1" applyAlignment="1">
      <alignment horizontal="left" vertical="center" wrapText="1"/>
    </xf>
    <xf numFmtId="0" fontId="32" fillId="0" borderId="26" xfId="0" applyFont="1" applyBorder="1" applyAlignment="1">
      <alignment horizontal="left" vertical="center" wrapText="1"/>
    </xf>
    <xf numFmtId="0" fontId="32" fillId="0" borderId="14" xfId="0" applyFont="1" applyBorder="1" applyAlignment="1">
      <alignment horizontal="left" vertical="center" wrapText="1"/>
    </xf>
    <xf numFmtId="0" fontId="32" fillId="22" borderId="19" xfId="0" applyFont="1" applyFill="1" applyBorder="1" applyAlignment="1">
      <alignment horizontal="left" vertical="center" wrapText="1"/>
    </xf>
    <xf numFmtId="0" fontId="32" fillId="22" borderId="26" xfId="0" applyFont="1" applyFill="1" applyBorder="1" applyAlignment="1">
      <alignment horizontal="left" vertical="center" wrapText="1"/>
    </xf>
    <xf numFmtId="0" fontId="32" fillId="22" borderId="14" xfId="0" applyFont="1" applyFill="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right" wrapText="1"/>
    </xf>
    <xf numFmtId="0" fontId="55" fillId="0" borderId="0" xfId="0" applyFont="1" applyAlignment="1">
      <alignment horizontal="right"/>
    </xf>
    <xf numFmtId="49" fontId="51" fillId="0" borderId="0" xfId="0" applyNumberFormat="1" applyFont="1" applyAlignment="1">
      <alignment horizontal="center"/>
    </xf>
    <xf numFmtId="0" fontId="24" fillId="0" borderId="0" xfId="0" applyFont="1"/>
    <xf numFmtId="0" fontId="51" fillId="0" borderId="0" xfId="0" applyFont="1" applyAlignment="1">
      <alignment horizontal="center"/>
    </xf>
    <xf numFmtId="49" fontId="37" fillId="0" borderId="10" xfId="0" applyNumberFormat="1" applyFont="1" applyBorder="1" applyAlignment="1">
      <alignment horizontal="center" vertical="center" wrapText="1"/>
    </xf>
    <xf numFmtId="0" fontId="24" fillId="0" borderId="10" xfId="0" applyFont="1" applyBorder="1"/>
    <xf numFmtId="49" fontId="37" fillId="0" borderId="10" xfId="0" applyNumberFormat="1" applyFont="1" applyBorder="1" applyAlignment="1">
      <alignment horizontal="left" vertical="center" wrapText="1"/>
    </xf>
    <xf numFmtId="49" fontId="42" fillId="0" borderId="0" xfId="0" applyNumberFormat="1" applyFont="1" applyAlignment="1">
      <alignment horizontal="center"/>
    </xf>
    <xf numFmtId="0" fontId="42" fillId="0" borderId="0" xfId="0" applyFont="1" applyAlignment="1">
      <alignment horizontal="center"/>
    </xf>
    <xf numFmtId="49" fontId="48" fillId="0" borderId="0" xfId="0" applyNumberFormat="1" applyFont="1" applyAlignment="1">
      <alignment horizontal="center" wrapText="1"/>
    </xf>
    <xf numFmtId="0" fontId="23" fillId="0" borderId="10" xfId="0" applyFont="1" applyBorder="1" applyAlignment="1">
      <alignment horizontal="center"/>
    </xf>
    <xf numFmtId="0" fontId="58" fillId="0" borderId="0" xfId="0" applyFont="1" applyAlignment="1">
      <alignment horizontal="center"/>
    </xf>
    <xf numFmtId="0" fontId="1" fillId="0" borderId="0" xfId="0" applyFont="1"/>
    <xf numFmtId="49" fontId="37" fillId="0" borderId="27" xfId="0" applyNumberFormat="1" applyFont="1" applyBorder="1" applyAlignment="1">
      <alignment horizontal="center" vertical="center" wrapText="1"/>
    </xf>
    <xf numFmtId="0" fontId="1" fillId="0" borderId="33" xfId="0" applyFont="1" applyBorder="1"/>
    <xf numFmtId="0" fontId="1" fillId="0" borderId="13" xfId="0" applyFont="1" applyBorder="1"/>
    <xf numFmtId="49" fontId="37" fillId="0" borderId="27" xfId="0" applyNumberFormat="1" applyFont="1" applyBorder="1" applyAlignment="1">
      <alignment horizontal="left" vertical="center" wrapText="1"/>
    </xf>
    <xf numFmtId="49" fontId="37" fillId="0" borderId="43" xfId="0" applyNumberFormat="1" applyFont="1" applyBorder="1" applyAlignment="1">
      <alignment horizontal="center" vertical="center" wrapText="1"/>
    </xf>
    <xf numFmtId="0" fontId="1" fillId="0" borderId="35" xfId="0" applyFont="1" applyBorder="1"/>
    <xf numFmtId="0" fontId="1" fillId="0" borderId="41" xfId="0" applyFont="1" applyBorder="1"/>
    <xf numFmtId="49" fontId="70" fillId="0" borderId="0" xfId="0" applyNumberFormat="1" applyFont="1" applyAlignment="1">
      <alignment horizontal="center"/>
    </xf>
    <xf numFmtId="49" fontId="58" fillId="0" borderId="0" xfId="0" applyNumberFormat="1" applyFont="1" applyAlignment="1">
      <alignment horizontal="center" vertical="center"/>
    </xf>
    <xf numFmtId="49" fontId="37" fillId="0" borderId="0" xfId="0" applyNumberFormat="1" applyFont="1" applyAlignment="1">
      <alignment horizontal="center" vertical="center"/>
    </xf>
    <xf numFmtId="0" fontId="37" fillId="0" borderId="0" xfId="0" applyFont="1" applyAlignment="1">
      <alignment horizontal="center" vertical="center" wrapText="1"/>
    </xf>
    <xf numFmtId="0" fontId="58" fillId="0" borderId="0" xfId="0" applyFont="1" applyAlignment="1">
      <alignment horizontal="center" vertical="center"/>
    </xf>
    <xf numFmtId="49" fontId="37" fillId="0" borderId="38" xfId="0" applyNumberFormat="1" applyFont="1" applyBorder="1" applyAlignment="1">
      <alignment horizontal="center" vertical="center" wrapText="1"/>
    </xf>
    <xf numFmtId="0" fontId="1" fillId="0" borderId="42" xfId="0" applyFont="1" applyBorder="1"/>
    <xf numFmtId="0" fontId="1" fillId="0" borderId="24" xfId="0" applyFont="1" applyBorder="1"/>
    <xf numFmtId="0" fontId="1" fillId="0" borderId="40" xfId="0" applyFont="1" applyBorder="1"/>
    <xf numFmtId="0" fontId="1" fillId="0" borderId="32" xfId="0" applyFont="1" applyBorder="1"/>
    <xf numFmtId="0" fontId="1" fillId="0" borderId="36" xfId="0" applyFont="1" applyBorder="1"/>
    <xf numFmtId="49" fontId="58" fillId="0" borderId="0" xfId="0" applyNumberFormat="1" applyFont="1" applyAlignment="1">
      <alignment horizontal="center"/>
    </xf>
    <xf numFmtId="49" fontId="27" fillId="0" borderId="0" xfId="0" applyNumberFormat="1" applyFont="1" applyAlignment="1">
      <alignment horizontal="center" vertical="center"/>
    </xf>
    <xf numFmtId="49" fontId="48" fillId="0" borderId="0" xfId="0" applyNumberFormat="1" applyFont="1" applyAlignment="1">
      <alignment horizontal="center" vertical="center"/>
    </xf>
    <xf numFmtId="49" fontId="42" fillId="0" borderId="0" xfId="0" applyNumberFormat="1" applyFont="1" applyAlignment="1">
      <alignment horizontal="center" vertical="center"/>
    </xf>
    <xf numFmtId="49" fontId="27" fillId="0" borderId="0" xfId="0" applyNumberFormat="1" applyFont="1" applyAlignment="1">
      <alignment horizontal="center"/>
    </xf>
    <xf numFmtId="49" fontId="37" fillId="0" borderId="0" xfId="0" applyNumberFormat="1" applyFont="1" applyAlignment="1">
      <alignment horizontal="center"/>
    </xf>
    <xf numFmtId="49" fontId="27" fillId="0" borderId="27" xfId="0" applyNumberFormat="1" applyFont="1" applyBorder="1" applyAlignment="1">
      <alignment horizontal="center" vertical="center" wrapText="1"/>
    </xf>
    <xf numFmtId="49" fontId="27" fillId="0" borderId="43" xfId="0" applyNumberFormat="1" applyFont="1" applyBorder="1" applyAlignment="1">
      <alignment horizontal="center" vertical="center" wrapText="1"/>
    </xf>
    <xf numFmtId="0" fontId="23" fillId="14" borderId="0" xfId="40" applyFont="1" applyFill="1" applyAlignment="1" applyProtection="1">
      <alignment horizontal="center" wrapText="1"/>
      <protection locked="0"/>
    </xf>
  </cellXfs>
  <cellStyles count="4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Hyperlink" xfId="34" builtinId="8"/>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_Sheet1" xfId="39" xr:uid="{00000000-0005-0000-0000-000027000000}"/>
    <cellStyle name="Normal_THKPHM" xfId="40" xr:uid="{00000000-0005-0000-0000-000028000000}"/>
    <cellStyle name="Note 2" xfId="41" xr:uid="{00000000-0005-0000-0000-000029000000}"/>
    <cellStyle name="Output 2" xfId="42" xr:uid="{00000000-0005-0000-0000-00002A000000}"/>
    <cellStyle name="Percent" xfId="43" builtinId="5"/>
    <cellStyle name="Title 2" xfId="44" xr:uid="{00000000-0005-0000-0000-00002C000000}"/>
    <cellStyle name="Total 2" xfId="45" xr:uid="{00000000-0005-0000-0000-00002D000000}"/>
    <cellStyle name="Warning Text 2" xfId="46" xr:uid="{00000000-0005-0000-0000-00002E000000}"/>
  </cellStyles>
  <dxfs count="17">
    <dxf>
      <font>
        <color rgb="FFFFFFFF"/>
      </font>
    </dxf>
    <dxf>
      <font>
        <color rgb="FFFFFFFF"/>
      </font>
    </dxf>
    <dxf>
      <font>
        <color indexed="9"/>
      </font>
    </dxf>
    <dxf>
      <font>
        <color rgb="FFFFFFFF"/>
      </font>
    </dxf>
    <dxf>
      <fill>
        <patternFill>
          <bgColor indexed="29"/>
        </patternFill>
      </fill>
    </dxf>
    <dxf>
      <fill>
        <patternFill>
          <bgColor indexed="29"/>
        </patternFill>
      </fill>
    </dxf>
    <dxf>
      <font>
        <color rgb="FFFFFFFF"/>
      </font>
    </dxf>
    <dxf>
      <fill>
        <patternFill>
          <bgColor indexed="29"/>
        </patternFill>
      </fill>
    </dxf>
    <dxf>
      <fill>
        <patternFill>
          <bgColor indexed="29"/>
        </patternFill>
      </fill>
    </dxf>
    <dxf>
      <font>
        <color rgb="FFFFFFFF"/>
      </font>
    </dxf>
    <dxf>
      <fill>
        <patternFill>
          <bgColor indexed="29"/>
        </patternFill>
      </fill>
    </dxf>
    <dxf>
      <fill>
        <patternFill>
          <bgColor indexed="29"/>
        </patternFill>
      </fill>
    </dxf>
    <dxf>
      <font>
        <color rgb="FFFFFFFF"/>
      </font>
    </dxf>
    <dxf>
      <font>
        <color rgb="FFFFFFFF"/>
      </font>
    </dxf>
    <dxf>
      <font>
        <color rgb="FFFFFFFF"/>
      </font>
    </dxf>
    <dxf>
      <font>
        <color rgb="FFFFFFFF"/>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4</xdr:col>
      <xdr:colOff>586853</xdr:colOff>
      <xdr:row>39</xdr:row>
      <xdr:rowOff>105410</xdr:rowOff>
    </xdr:from>
    <xdr:to>
      <xdr:col>5</xdr:col>
      <xdr:colOff>430706</xdr:colOff>
      <xdr:row>40</xdr:row>
      <xdr:rowOff>310697</xdr:rowOff>
    </xdr:to>
    <xdr:sp macro="" textlink="">
      <xdr:nvSpPr>
        <xdr:cNvPr id="2" name="Comment 1" hidden="1">
          <a:extLst>
            <a:ext uri="{FF2B5EF4-FFF2-40B4-BE49-F238E27FC236}">
              <a16:creationId xmlns:a16="http://schemas.microsoft.com/office/drawing/2014/main" id="{00000000-0008-0000-1000-000002000000}"/>
            </a:ext>
          </a:extLst>
        </xdr:cNvPr>
        <xdr:cNvSpPr txBox="1"/>
      </xdr:nvSpPr>
      <xdr:spPr>
        <a:xfrm>
          <a:off x="5305262" y="11328400"/>
          <a:ext cx="2093535" cy="562792"/>
        </a:xfrm>
        <a:prstGeom prst="rect">
          <a:avLst/>
        </a:prstGeom>
        <a:solidFill>
          <a:srgbClr val="FFFFE1"/>
        </a:solidFill>
        <a:ln w="9525">
          <a:solidFill>
            <a:srgbClr val="000000"/>
          </a:solidFill>
        </a:ln>
      </xdr:spPr>
      <xdr:txBody>
        <a:bodyPr rtlCol="0"/>
        <a:lstStyle/>
        <a:p>
          <a:pPr algn="l"/>
          <a:r>
            <a:rPr lang="en-US" sz="900">
              <a:solidFill>
                <a:sysClr val="windowText" lastClr="000000"/>
              </a:solidFill>
            </a:rPr>
            <a:t>Link từ bảng tính CP dự phòng</a:t>
          </a:r>
          <a:endParaRPr lang="en-US" sz="900" b="0">
            <a:solidFill>
              <a:sysClr val="windowText" lastClr="000000"/>
            </a:solidFill>
          </a:endParaRPr>
        </a:p>
        <a:p>
          <a:pPr algn="l"/>
          <a:endParaRPr lang="en-US" sz="1100" b="0">
            <a:solidFill>
              <a:sysClr val="windowText" lastClr="000000"/>
            </a:solidFill>
            <a:latin typeface="Calibri"/>
          </a:endParaRPr>
        </a:p>
      </xdr:txBody>
    </xdr:sp>
    <xdr:clientData/>
  </xdr:twoCellAnchor>
  <xdr:twoCellAnchor editAs="absolute">
    <xdr:from>
      <xdr:col>2</xdr:col>
      <xdr:colOff>507952</xdr:colOff>
      <xdr:row>22</xdr:row>
      <xdr:rowOff>195580</xdr:rowOff>
    </xdr:from>
    <xdr:to>
      <xdr:col>2</xdr:col>
      <xdr:colOff>758613</xdr:colOff>
      <xdr:row>25</xdr:row>
      <xdr:rowOff>104808</xdr:rowOff>
    </xdr:to>
    <xdr:sp macro="" textlink="">
      <xdr:nvSpPr>
        <xdr:cNvPr id="3" name="Comment 2" hidden="1">
          <a:extLst>
            <a:ext uri="{FF2B5EF4-FFF2-40B4-BE49-F238E27FC236}">
              <a16:creationId xmlns:a16="http://schemas.microsoft.com/office/drawing/2014/main" id="{00000000-0008-0000-1000-000003000000}"/>
            </a:ext>
          </a:extLst>
        </xdr:cNvPr>
        <xdr:cNvSpPr txBox="1"/>
      </xdr:nvSpPr>
      <xdr:spPr>
        <a:xfrm>
          <a:off x="4007521" y="6012180"/>
          <a:ext cx="250661" cy="815373"/>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Gán số cố định vào</a:t>
          </a:r>
        </a:p>
        <a:p>
          <a:pPr algn="l"/>
          <a:endParaRPr lang="en-US" sz="1100" b="0">
            <a:solidFill>
              <a:sysClr val="windowText" lastClr="000000"/>
            </a:solidFill>
            <a:latin typeface="Calibri"/>
          </a:endParaRPr>
        </a:p>
      </xdr:txBody>
    </xdr:sp>
    <xdr:clientData/>
  </xdr:twoCellAnchor>
  <xdr:twoCellAnchor editAs="absolute">
    <xdr:from>
      <xdr:col>2</xdr:col>
      <xdr:colOff>507952</xdr:colOff>
      <xdr:row>23</xdr:row>
      <xdr:rowOff>27940</xdr:rowOff>
    </xdr:from>
    <xdr:to>
      <xdr:col>4</xdr:col>
      <xdr:colOff>455541</xdr:colOff>
      <xdr:row>23</xdr:row>
      <xdr:rowOff>127092</xdr:rowOff>
    </xdr:to>
    <xdr:sp macro="" textlink="">
      <xdr:nvSpPr>
        <xdr:cNvPr id="4" name="Comment 3" hidden="1">
          <a:extLst>
            <a:ext uri="{FF2B5EF4-FFF2-40B4-BE49-F238E27FC236}">
              <a16:creationId xmlns:a16="http://schemas.microsoft.com/office/drawing/2014/main" id="{00000000-0008-0000-1000-000004000000}"/>
            </a:ext>
          </a:extLst>
        </xdr:cNvPr>
        <xdr:cNvSpPr txBox="1"/>
      </xdr:nvSpPr>
      <xdr:spPr>
        <a:xfrm>
          <a:off x="4007521" y="6202045"/>
          <a:ext cx="1166428" cy="9915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Gán số cố định vào</a:t>
          </a:r>
        </a:p>
        <a:p>
          <a:pPr algn="l"/>
          <a:endParaRPr lang="en-US" sz="1100" b="0">
            <a:solidFill>
              <a:sysClr val="windowText" lastClr="000000"/>
            </a:solidFill>
            <a:latin typeface="Calibri"/>
          </a:endParaRPr>
        </a:p>
      </xdr:txBody>
    </xdr:sp>
    <xdr:clientData/>
  </xdr:twoCellAnchor>
  <xdr:twoCellAnchor editAs="absolute">
    <xdr:from>
      <xdr:col>1</xdr:col>
      <xdr:colOff>1498632</xdr:colOff>
      <xdr:row>18</xdr:row>
      <xdr:rowOff>106680</xdr:rowOff>
    </xdr:from>
    <xdr:to>
      <xdr:col>2</xdr:col>
      <xdr:colOff>176883</xdr:colOff>
      <xdr:row>21</xdr:row>
      <xdr:rowOff>80146</xdr:rowOff>
    </xdr:to>
    <xdr:sp macro="" textlink="">
      <xdr:nvSpPr>
        <xdr:cNvPr id="5" name="Comment 4" hidden="1">
          <a:extLst>
            <a:ext uri="{FF2B5EF4-FFF2-40B4-BE49-F238E27FC236}">
              <a16:creationId xmlns:a16="http://schemas.microsoft.com/office/drawing/2014/main" id="{00000000-0008-0000-1000-000005000000}"/>
            </a:ext>
          </a:extLst>
        </xdr:cNvPr>
        <xdr:cNvSpPr txBox="1"/>
      </xdr:nvSpPr>
      <xdr:spPr>
        <a:xfrm>
          <a:off x="2060911" y="4493260"/>
          <a:ext cx="1615541" cy="104598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QĐ79: Nếu có thì là 20%</a:t>
          </a:r>
        </a:p>
        <a:p>
          <a:pPr algn="l"/>
          <a:endParaRPr lang="en-US" sz="1100" b="0">
            <a:solidFill>
              <a:sysClr val="windowText" lastClr="000000"/>
            </a:solidFill>
            <a:latin typeface="Calibri"/>
          </a:endParaRPr>
        </a:p>
      </xdr:txBody>
    </xdr:sp>
    <xdr:clientData/>
  </xdr:twoCellAnchor>
  <xdr:twoCellAnchor editAs="absolute">
    <xdr:from>
      <xdr:col>1</xdr:col>
      <xdr:colOff>1498632</xdr:colOff>
      <xdr:row>36</xdr:row>
      <xdr:rowOff>228600</xdr:rowOff>
    </xdr:from>
    <xdr:to>
      <xdr:col>3</xdr:col>
      <xdr:colOff>8820</xdr:colOff>
      <xdr:row>39</xdr:row>
      <xdr:rowOff>189498</xdr:rowOff>
    </xdr:to>
    <xdr:sp macro="" textlink="">
      <xdr:nvSpPr>
        <xdr:cNvPr id="6" name="Comment 5" hidden="1">
          <a:extLst>
            <a:ext uri="{FF2B5EF4-FFF2-40B4-BE49-F238E27FC236}">
              <a16:creationId xmlns:a16="http://schemas.microsoft.com/office/drawing/2014/main" id="{00000000-0008-0000-1000-000006000000}"/>
            </a:ext>
          </a:extLst>
        </xdr:cNvPr>
        <xdr:cNvSpPr txBox="1"/>
      </xdr:nvSpPr>
      <xdr:spPr>
        <a:xfrm>
          <a:off x="2060911" y="10379075"/>
          <a:ext cx="2249879" cy="1033413"/>
        </a:xfrm>
        <a:prstGeom prst="rect">
          <a:avLst/>
        </a:prstGeom>
        <a:solidFill>
          <a:srgbClr val="FFFFE1"/>
        </a:solidFill>
        <a:ln w="9525">
          <a:solidFill>
            <a:srgbClr val="000000"/>
          </a:solidFill>
        </a:ln>
      </xdr:spPr>
      <xdr:txBody>
        <a:bodyPr rtlCol="0"/>
        <a:lstStyle/>
        <a:p>
          <a:pPr algn="l"/>
          <a:r>
            <a:rPr lang="en-US" sz="900">
              <a:solidFill>
                <a:sysClr val="windowText" lastClr="000000"/>
              </a:solidFill>
            </a:rPr>
            <a:t>Người dùng tự tra cứu theo Thông tư</a:t>
          </a:r>
          <a:endParaRPr lang="en-US" sz="1100" b="0">
            <a:solidFill>
              <a:sysClr val="windowText" lastClr="000000"/>
            </a:solidFill>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179529</xdr:colOff>
      <xdr:row>6</xdr:row>
      <xdr:rowOff>276860</xdr:rowOff>
    </xdr:from>
    <xdr:to>
      <xdr:col>1</xdr:col>
      <xdr:colOff>1678796</xdr:colOff>
      <xdr:row>8</xdr:row>
      <xdr:rowOff>150892</xdr:rowOff>
    </xdr:to>
    <xdr:sp macro="" textlink="">
      <xdr:nvSpPr>
        <xdr:cNvPr id="2" name="Comment 1" hidden="1">
          <a:extLst>
            <a:ext uri="{FF2B5EF4-FFF2-40B4-BE49-F238E27FC236}">
              <a16:creationId xmlns:a16="http://schemas.microsoft.com/office/drawing/2014/main" id="{00000000-0008-0000-2300-000002000000}"/>
            </a:ext>
          </a:extLst>
        </xdr:cNvPr>
        <xdr:cNvSpPr txBox="1"/>
      </xdr:nvSpPr>
      <xdr:spPr>
        <a:xfrm>
          <a:off x="763170" y="1645285"/>
          <a:ext cx="1499267" cy="44934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12</xdr:row>
      <xdr:rowOff>67945</xdr:rowOff>
    </xdr:from>
    <xdr:to>
      <xdr:col>1</xdr:col>
      <xdr:colOff>782540</xdr:colOff>
      <xdr:row>19</xdr:row>
      <xdr:rowOff>112727</xdr:rowOff>
    </xdr:to>
    <xdr:sp macro="" textlink="">
      <xdr:nvSpPr>
        <xdr:cNvPr id="3" name="Comment 2" hidden="1">
          <a:extLst>
            <a:ext uri="{FF2B5EF4-FFF2-40B4-BE49-F238E27FC236}">
              <a16:creationId xmlns:a16="http://schemas.microsoft.com/office/drawing/2014/main" id="{00000000-0008-0000-2300-000003000000}"/>
            </a:ext>
          </a:extLst>
        </xdr:cNvPr>
        <xdr:cNvSpPr txBox="1"/>
      </xdr:nvSpPr>
      <xdr:spPr>
        <a:xfrm>
          <a:off x="763170" y="2594610"/>
          <a:ext cx="603011" cy="121254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9</xdr:col>
      <xdr:colOff>325938</xdr:colOff>
      <xdr:row>12</xdr:row>
      <xdr:rowOff>67945</xdr:rowOff>
    </xdr:from>
    <xdr:to>
      <xdr:col>10</xdr:col>
      <xdr:colOff>3103</xdr:colOff>
      <xdr:row>19</xdr:row>
      <xdr:rowOff>112727</xdr:rowOff>
    </xdr:to>
    <xdr:sp macro="" textlink="">
      <xdr:nvSpPr>
        <xdr:cNvPr id="4" name="Comment 3" hidden="1">
          <a:extLst>
            <a:ext uri="{FF2B5EF4-FFF2-40B4-BE49-F238E27FC236}">
              <a16:creationId xmlns:a16="http://schemas.microsoft.com/office/drawing/2014/main" id="{00000000-0008-0000-2300-000004000000}"/>
            </a:ext>
          </a:extLst>
        </xdr:cNvPr>
        <xdr:cNvSpPr txBox="1"/>
      </xdr:nvSpPr>
      <xdr:spPr>
        <a:xfrm>
          <a:off x="7900743" y="2594610"/>
          <a:ext cx="582963" cy="121254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16</xdr:row>
      <xdr:rowOff>244475</xdr:rowOff>
    </xdr:from>
    <xdr:to>
      <xdr:col>1</xdr:col>
      <xdr:colOff>1678796</xdr:colOff>
      <xdr:row>21</xdr:row>
      <xdr:rowOff>179571</xdr:rowOff>
    </xdr:to>
    <xdr:sp macro="" textlink="">
      <xdr:nvSpPr>
        <xdr:cNvPr id="5" name="Comment 4" hidden="1">
          <a:extLst>
            <a:ext uri="{FF2B5EF4-FFF2-40B4-BE49-F238E27FC236}">
              <a16:creationId xmlns:a16="http://schemas.microsoft.com/office/drawing/2014/main" id="{00000000-0008-0000-2300-000005000000}"/>
            </a:ext>
          </a:extLst>
        </xdr:cNvPr>
        <xdr:cNvSpPr txBox="1"/>
      </xdr:nvSpPr>
      <xdr:spPr>
        <a:xfrm>
          <a:off x="763170" y="3354070"/>
          <a:ext cx="1499267" cy="90855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23</xdr:row>
      <xdr:rowOff>21590</xdr:rowOff>
    </xdr:from>
    <xdr:to>
      <xdr:col>1</xdr:col>
      <xdr:colOff>782540</xdr:colOff>
      <xdr:row>33</xdr:row>
      <xdr:rowOff>33169</xdr:rowOff>
    </xdr:to>
    <xdr:sp macro="" textlink="">
      <xdr:nvSpPr>
        <xdr:cNvPr id="6" name="Comment 5" hidden="1">
          <a:extLst>
            <a:ext uri="{FF2B5EF4-FFF2-40B4-BE49-F238E27FC236}">
              <a16:creationId xmlns:a16="http://schemas.microsoft.com/office/drawing/2014/main" id="{00000000-0008-0000-2300-000006000000}"/>
            </a:ext>
          </a:extLst>
        </xdr:cNvPr>
        <xdr:cNvSpPr txBox="1"/>
      </xdr:nvSpPr>
      <xdr:spPr>
        <a:xfrm>
          <a:off x="763170" y="4493260"/>
          <a:ext cx="603011" cy="156796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6</xdr:col>
      <xdr:colOff>588277</xdr:colOff>
      <xdr:row>23</xdr:row>
      <xdr:rowOff>21590</xdr:rowOff>
    </xdr:from>
    <xdr:to>
      <xdr:col>7</xdr:col>
      <xdr:colOff>452892</xdr:colOff>
      <xdr:row>33</xdr:row>
      <xdr:rowOff>33169</xdr:rowOff>
    </xdr:to>
    <xdr:sp macro="" textlink="">
      <xdr:nvSpPr>
        <xdr:cNvPr id="7" name="Comment 6" hidden="1">
          <a:extLst>
            <a:ext uri="{FF2B5EF4-FFF2-40B4-BE49-F238E27FC236}">
              <a16:creationId xmlns:a16="http://schemas.microsoft.com/office/drawing/2014/main" id="{00000000-0008-0000-2300-000007000000}"/>
            </a:ext>
          </a:extLst>
        </xdr:cNvPr>
        <xdr:cNvSpPr txBox="1"/>
      </xdr:nvSpPr>
      <xdr:spPr>
        <a:xfrm>
          <a:off x="5954132" y="4493260"/>
          <a:ext cx="604350" cy="156796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27</xdr:row>
      <xdr:rowOff>1905</xdr:rowOff>
    </xdr:from>
    <xdr:to>
      <xdr:col>1</xdr:col>
      <xdr:colOff>1678796</xdr:colOff>
      <xdr:row>30</xdr:row>
      <xdr:rowOff>38450</xdr:rowOff>
    </xdr:to>
    <xdr:sp macro="" textlink="">
      <xdr:nvSpPr>
        <xdr:cNvPr id="8" name="Comment 7" hidden="1">
          <a:extLst>
            <a:ext uri="{FF2B5EF4-FFF2-40B4-BE49-F238E27FC236}">
              <a16:creationId xmlns:a16="http://schemas.microsoft.com/office/drawing/2014/main" id="{00000000-0008-0000-2300-000008000000}"/>
            </a:ext>
          </a:extLst>
        </xdr:cNvPr>
        <xdr:cNvSpPr txBox="1"/>
      </xdr:nvSpPr>
      <xdr:spPr>
        <a:xfrm>
          <a:off x="763170" y="5252720"/>
          <a:ext cx="1499267" cy="425165"/>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30</xdr:row>
      <xdr:rowOff>182880</xdr:rowOff>
    </xdr:from>
    <xdr:to>
      <xdr:col>1</xdr:col>
      <xdr:colOff>784605</xdr:colOff>
      <xdr:row>33</xdr:row>
      <xdr:rowOff>23530</xdr:rowOff>
    </xdr:to>
    <xdr:sp macro="" textlink="">
      <xdr:nvSpPr>
        <xdr:cNvPr id="9" name="Comment 8" hidden="1">
          <a:extLst>
            <a:ext uri="{FF2B5EF4-FFF2-40B4-BE49-F238E27FC236}">
              <a16:creationId xmlns:a16="http://schemas.microsoft.com/office/drawing/2014/main" id="{00000000-0008-0000-2300-000009000000}"/>
            </a:ext>
          </a:extLst>
        </xdr:cNvPr>
        <xdr:cNvSpPr txBox="1"/>
      </xdr:nvSpPr>
      <xdr:spPr>
        <a:xfrm>
          <a:off x="763170" y="5822315"/>
          <a:ext cx="605076" cy="22927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6</xdr:col>
      <xdr:colOff>588277</xdr:colOff>
      <xdr:row>30</xdr:row>
      <xdr:rowOff>182880</xdr:rowOff>
    </xdr:from>
    <xdr:to>
      <xdr:col>7</xdr:col>
      <xdr:colOff>452892</xdr:colOff>
      <xdr:row>33</xdr:row>
      <xdr:rowOff>23530</xdr:rowOff>
    </xdr:to>
    <xdr:sp macro="" textlink="">
      <xdr:nvSpPr>
        <xdr:cNvPr id="10" name="Comment 9" hidden="1">
          <a:extLst>
            <a:ext uri="{FF2B5EF4-FFF2-40B4-BE49-F238E27FC236}">
              <a16:creationId xmlns:a16="http://schemas.microsoft.com/office/drawing/2014/main" id="{00000000-0008-0000-2300-00000A000000}"/>
            </a:ext>
          </a:extLst>
        </xdr:cNvPr>
        <xdr:cNvSpPr txBox="1"/>
      </xdr:nvSpPr>
      <xdr:spPr>
        <a:xfrm>
          <a:off x="5954132" y="5822315"/>
          <a:ext cx="604350" cy="22927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34</xdr:row>
      <xdr:rowOff>163195</xdr:rowOff>
    </xdr:from>
    <xdr:to>
      <xdr:col>1</xdr:col>
      <xdr:colOff>1678796</xdr:colOff>
      <xdr:row>39</xdr:row>
      <xdr:rowOff>192797</xdr:rowOff>
    </xdr:to>
    <xdr:sp macro="" textlink="">
      <xdr:nvSpPr>
        <xdr:cNvPr id="11" name="Comment 10" hidden="1">
          <a:extLst>
            <a:ext uri="{FF2B5EF4-FFF2-40B4-BE49-F238E27FC236}">
              <a16:creationId xmlns:a16="http://schemas.microsoft.com/office/drawing/2014/main" id="{00000000-0008-0000-2300-00000B000000}"/>
            </a:ext>
          </a:extLst>
        </xdr:cNvPr>
        <xdr:cNvSpPr txBox="1"/>
      </xdr:nvSpPr>
      <xdr:spPr>
        <a:xfrm>
          <a:off x="763170" y="6581775"/>
          <a:ext cx="1499267" cy="80684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44</xdr:row>
      <xdr:rowOff>127635</xdr:rowOff>
    </xdr:from>
    <xdr:to>
      <xdr:col>1</xdr:col>
      <xdr:colOff>782540</xdr:colOff>
      <xdr:row>47</xdr:row>
      <xdr:rowOff>31879</xdr:rowOff>
    </xdr:to>
    <xdr:sp macro="" textlink="">
      <xdr:nvSpPr>
        <xdr:cNvPr id="12" name="Comment 11" hidden="1">
          <a:extLst>
            <a:ext uri="{FF2B5EF4-FFF2-40B4-BE49-F238E27FC236}">
              <a16:creationId xmlns:a16="http://schemas.microsoft.com/office/drawing/2014/main" id="{00000000-0008-0000-2300-00000C000000}"/>
            </a:ext>
          </a:extLst>
        </xdr:cNvPr>
        <xdr:cNvSpPr txBox="1"/>
      </xdr:nvSpPr>
      <xdr:spPr>
        <a:xfrm>
          <a:off x="763170" y="8100695"/>
          <a:ext cx="603011" cy="90817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8</xdr:col>
      <xdr:colOff>479468</xdr:colOff>
      <xdr:row>44</xdr:row>
      <xdr:rowOff>127635</xdr:rowOff>
    </xdr:from>
    <xdr:to>
      <xdr:col>9</xdr:col>
      <xdr:colOff>280798</xdr:colOff>
      <xdr:row>47</xdr:row>
      <xdr:rowOff>31879</xdr:rowOff>
    </xdr:to>
    <xdr:sp macro="" textlink="">
      <xdr:nvSpPr>
        <xdr:cNvPr id="13" name="Comment 12" hidden="1">
          <a:extLst>
            <a:ext uri="{FF2B5EF4-FFF2-40B4-BE49-F238E27FC236}">
              <a16:creationId xmlns:a16="http://schemas.microsoft.com/office/drawing/2014/main" id="{00000000-0008-0000-2300-00000D000000}"/>
            </a:ext>
          </a:extLst>
        </xdr:cNvPr>
        <xdr:cNvSpPr txBox="1"/>
      </xdr:nvSpPr>
      <xdr:spPr>
        <a:xfrm>
          <a:off x="7251872" y="8100695"/>
          <a:ext cx="603731" cy="90817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59</xdr:row>
      <xdr:rowOff>172085</xdr:rowOff>
    </xdr:from>
    <xdr:to>
      <xdr:col>1</xdr:col>
      <xdr:colOff>1678796</xdr:colOff>
      <xdr:row>66</xdr:row>
      <xdr:rowOff>15473</xdr:rowOff>
    </xdr:to>
    <xdr:sp macro="" textlink="">
      <xdr:nvSpPr>
        <xdr:cNvPr id="14" name="Comment 13" hidden="1">
          <a:extLst>
            <a:ext uri="{FF2B5EF4-FFF2-40B4-BE49-F238E27FC236}">
              <a16:creationId xmlns:a16="http://schemas.microsoft.com/office/drawing/2014/main" id="{00000000-0008-0000-2300-00000E000000}"/>
            </a:ext>
          </a:extLst>
        </xdr:cNvPr>
        <xdr:cNvSpPr txBox="1"/>
      </xdr:nvSpPr>
      <xdr:spPr>
        <a:xfrm>
          <a:off x="763170" y="12087860"/>
          <a:ext cx="1499267" cy="1203558"/>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62</xdr:row>
      <xdr:rowOff>348615</xdr:rowOff>
    </xdr:from>
    <xdr:to>
      <xdr:col>1</xdr:col>
      <xdr:colOff>782540</xdr:colOff>
      <xdr:row>70</xdr:row>
      <xdr:rowOff>173228</xdr:rowOff>
    </xdr:to>
    <xdr:sp macro="" textlink="">
      <xdr:nvSpPr>
        <xdr:cNvPr id="15" name="Comment 14" hidden="1">
          <a:extLst>
            <a:ext uri="{FF2B5EF4-FFF2-40B4-BE49-F238E27FC236}">
              <a16:creationId xmlns:a16="http://schemas.microsoft.com/office/drawing/2014/main" id="{00000000-0008-0000-2300-00000F000000}"/>
            </a:ext>
          </a:extLst>
        </xdr:cNvPr>
        <xdr:cNvSpPr txBox="1"/>
      </xdr:nvSpPr>
      <xdr:spPr>
        <a:xfrm>
          <a:off x="763170" y="12847320"/>
          <a:ext cx="603011" cy="1409573"/>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8</xdr:col>
      <xdr:colOff>479468</xdr:colOff>
      <xdr:row>62</xdr:row>
      <xdr:rowOff>348615</xdr:rowOff>
    </xdr:from>
    <xdr:to>
      <xdr:col>9</xdr:col>
      <xdr:colOff>280798</xdr:colOff>
      <xdr:row>70</xdr:row>
      <xdr:rowOff>173228</xdr:rowOff>
    </xdr:to>
    <xdr:sp macro="" textlink="">
      <xdr:nvSpPr>
        <xdr:cNvPr id="16" name="Comment 15" hidden="1">
          <a:extLst>
            <a:ext uri="{FF2B5EF4-FFF2-40B4-BE49-F238E27FC236}">
              <a16:creationId xmlns:a16="http://schemas.microsoft.com/office/drawing/2014/main" id="{00000000-0008-0000-2300-000010000000}"/>
            </a:ext>
          </a:extLst>
        </xdr:cNvPr>
        <xdr:cNvSpPr txBox="1"/>
      </xdr:nvSpPr>
      <xdr:spPr>
        <a:xfrm>
          <a:off x="7251872" y="12847320"/>
          <a:ext cx="603731" cy="1409573"/>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76</xdr:row>
      <xdr:rowOff>36195</xdr:rowOff>
    </xdr:from>
    <xdr:to>
      <xdr:col>1</xdr:col>
      <xdr:colOff>1678796</xdr:colOff>
      <xdr:row>86</xdr:row>
      <xdr:rowOff>137189</xdr:rowOff>
    </xdr:to>
    <xdr:sp macro="" textlink="">
      <xdr:nvSpPr>
        <xdr:cNvPr id="17" name="Comment 16" hidden="1">
          <a:extLst>
            <a:ext uri="{FF2B5EF4-FFF2-40B4-BE49-F238E27FC236}">
              <a16:creationId xmlns:a16="http://schemas.microsoft.com/office/drawing/2014/main" id="{00000000-0008-0000-2300-000011000000}"/>
            </a:ext>
          </a:extLst>
        </xdr:cNvPr>
        <xdr:cNvSpPr txBox="1"/>
      </xdr:nvSpPr>
      <xdr:spPr>
        <a:xfrm>
          <a:off x="763170" y="15695295"/>
          <a:ext cx="1499267" cy="227840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81</xdr:row>
      <xdr:rowOff>349250</xdr:rowOff>
    </xdr:from>
    <xdr:to>
      <xdr:col>1</xdr:col>
      <xdr:colOff>782540</xdr:colOff>
      <xdr:row>88</xdr:row>
      <xdr:rowOff>121602</xdr:rowOff>
    </xdr:to>
    <xdr:sp macro="" textlink="">
      <xdr:nvSpPr>
        <xdr:cNvPr id="18" name="Comment 17" hidden="1">
          <a:extLst>
            <a:ext uri="{FF2B5EF4-FFF2-40B4-BE49-F238E27FC236}">
              <a16:creationId xmlns:a16="http://schemas.microsoft.com/office/drawing/2014/main" id="{00000000-0008-0000-2300-000012000000}"/>
            </a:ext>
          </a:extLst>
        </xdr:cNvPr>
        <xdr:cNvSpPr txBox="1"/>
      </xdr:nvSpPr>
      <xdr:spPr>
        <a:xfrm>
          <a:off x="763170" y="17214215"/>
          <a:ext cx="603011" cy="113252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6</xdr:col>
      <xdr:colOff>588277</xdr:colOff>
      <xdr:row>81</xdr:row>
      <xdr:rowOff>349250</xdr:rowOff>
    </xdr:from>
    <xdr:to>
      <xdr:col>7</xdr:col>
      <xdr:colOff>452892</xdr:colOff>
      <xdr:row>88</xdr:row>
      <xdr:rowOff>121602</xdr:rowOff>
    </xdr:to>
    <xdr:sp macro="" textlink="">
      <xdr:nvSpPr>
        <xdr:cNvPr id="19" name="Comment 18" hidden="1">
          <a:extLst>
            <a:ext uri="{FF2B5EF4-FFF2-40B4-BE49-F238E27FC236}">
              <a16:creationId xmlns:a16="http://schemas.microsoft.com/office/drawing/2014/main" id="{00000000-0008-0000-2300-000013000000}"/>
            </a:ext>
          </a:extLst>
        </xdr:cNvPr>
        <xdr:cNvSpPr txBox="1"/>
      </xdr:nvSpPr>
      <xdr:spPr>
        <a:xfrm>
          <a:off x="5954132" y="17214215"/>
          <a:ext cx="604350" cy="113252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88</xdr:row>
      <xdr:rowOff>128270</xdr:rowOff>
    </xdr:from>
    <xdr:to>
      <xdr:col>1</xdr:col>
      <xdr:colOff>1678796</xdr:colOff>
      <xdr:row>92</xdr:row>
      <xdr:rowOff>528275</xdr:rowOff>
    </xdr:to>
    <xdr:sp macro="" textlink="">
      <xdr:nvSpPr>
        <xdr:cNvPr id="20" name="Comment 19" hidden="1">
          <a:extLst>
            <a:ext uri="{FF2B5EF4-FFF2-40B4-BE49-F238E27FC236}">
              <a16:creationId xmlns:a16="http://schemas.microsoft.com/office/drawing/2014/main" id="{00000000-0008-0000-2300-000014000000}"/>
            </a:ext>
          </a:extLst>
        </xdr:cNvPr>
        <xdr:cNvSpPr txBox="1"/>
      </xdr:nvSpPr>
      <xdr:spPr>
        <a:xfrm>
          <a:off x="763170" y="18353405"/>
          <a:ext cx="1499267" cy="982935"/>
        </a:xfrm>
        <a:prstGeom prst="rect">
          <a:avLst/>
        </a:prstGeom>
        <a:solidFill>
          <a:srgbClr val="FFFFE1"/>
        </a:solidFill>
        <a:ln w="9525">
          <a:solidFill>
            <a:srgbClr val="000000"/>
          </a:solidFill>
        </a:ln>
      </xdr:spPr>
      <xdr:txBody>
        <a:bodyPr rtlCol="0"/>
        <a:lstStyle/>
        <a:p>
          <a:pPr algn="l"/>
          <a:r>
            <a:rPr lang="en-US" sz="900">
              <a:solidFill>
                <a:sysClr val="windowText" lastClr="000000"/>
              </a:solidFill>
            </a:rPr>
            <a:t>Tai:</a:t>
          </a:r>
          <a:endParaRPr lang="en-US" sz="900" b="0">
            <a:solidFill>
              <a:sysClr val="windowText" lastClr="000000"/>
            </a:solidFill>
          </a:endParaRPr>
        </a:p>
        <a:p>
          <a:pPr algn="l"/>
          <a:r>
            <a:rPr lang="en-US" sz="900" b="0">
              <a:solidFill>
                <a:sysClr val="windowText" lastClr="000000"/>
              </a:solidFill>
            </a:rPr>
            <a:t>Số thứ tự là 5 vì thiếu Công trình thủy lợi trong TT150/2014/TT-BTC</a:t>
          </a:r>
          <a:endParaRPr lang="en-US" sz="1100" b="0">
            <a:solidFill>
              <a:sysClr val="windowText" lastClr="000000"/>
            </a:solidFill>
            <a:latin typeface="Calibri"/>
          </a:endParaRPr>
        </a:p>
      </xdr:txBody>
    </xdr:sp>
    <xdr:clientData/>
  </xdr:twoCellAnchor>
  <xdr:twoCellAnchor editAs="absolute">
    <xdr:from>
      <xdr:col>1</xdr:col>
      <xdr:colOff>179529</xdr:colOff>
      <xdr:row>89</xdr:row>
      <xdr:rowOff>123825</xdr:rowOff>
    </xdr:from>
    <xdr:to>
      <xdr:col>1</xdr:col>
      <xdr:colOff>1678796</xdr:colOff>
      <xdr:row>99</xdr:row>
      <xdr:rowOff>48652</xdr:rowOff>
    </xdr:to>
    <xdr:sp macro="" textlink="">
      <xdr:nvSpPr>
        <xdr:cNvPr id="21" name="Comment 20" hidden="1">
          <a:extLst>
            <a:ext uri="{FF2B5EF4-FFF2-40B4-BE49-F238E27FC236}">
              <a16:creationId xmlns:a16="http://schemas.microsoft.com/office/drawing/2014/main" id="{00000000-0008-0000-2300-000015000000}"/>
            </a:ext>
          </a:extLst>
        </xdr:cNvPr>
        <xdr:cNvSpPr txBox="1"/>
      </xdr:nvSpPr>
      <xdr:spPr>
        <a:xfrm>
          <a:off x="763170" y="18543270"/>
          <a:ext cx="1499267" cy="187554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94</xdr:row>
      <xdr:rowOff>89535</xdr:rowOff>
    </xdr:from>
    <xdr:to>
      <xdr:col>1</xdr:col>
      <xdr:colOff>782540</xdr:colOff>
      <xdr:row>103</xdr:row>
      <xdr:rowOff>178371</xdr:rowOff>
    </xdr:to>
    <xdr:sp macro="" textlink="">
      <xdr:nvSpPr>
        <xdr:cNvPr id="22" name="Comment 21" hidden="1">
          <a:extLst>
            <a:ext uri="{FF2B5EF4-FFF2-40B4-BE49-F238E27FC236}">
              <a16:creationId xmlns:a16="http://schemas.microsoft.com/office/drawing/2014/main" id="{00000000-0008-0000-2300-000016000000}"/>
            </a:ext>
          </a:extLst>
        </xdr:cNvPr>
        <xdr:cNvSpPr txBox="1"/>
      </xdr:nvSpPr>
      <xdr:spPr>
        <a:xfrm>
          <a:off x="763170" y="19682460"/>
          <a:ext cx="603011" cy="1643316"/>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6</xdr:col>
      <xdr:colOff>588277</xdr:colOff>
      <xdr:row>94</xdr:row>
      <xdr:rowOff>89535</xdr:rowOff>
    </xdr:from>
    <xdr:to>
      <xdr:col>7</xdr:col>
      <xdr:colOff>452892</xdr:colOff>
      <xdr:row>103</xdr:row>
      <xdr:rowOff>178371</xdr:rowOff>
    </xdr:to>
    <xdr:sp macro="" textlink="">
      <xdr:nvSpPr>
        <xdr:cNvPr id="23" name="Comment 22" hidden="1">
          <a:extLst>
            <a:ext uri="{FF2B5EF4-FFF2-40B4-BE49-F238E27FC236}">
              <a16:creationId xmlns:a16="http://schemas.microsoft.com/office/drawing/2014/main" id="{00000000-0008-0000-2300-000017000000}"/>
            </a:ext>
          </a:extLst>
        </xdr:cNvPr>
        <xdr:cNvSpPr txBox="1"/>
      </xdr:nvSpPr>
      <xdr:spPr>
        <a:xfrm>
          <a:off x="5954132" y="19682460"/>
          <a:ext cx="604350" cy="1643316"/>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99</xdr:row>
      <xdr:rowOff>71755</xdr:rowOff>
    </xdr:from>
    <xdr:to>
      <xdr:col>1</xdr:col>
      <xdr:colOff>1678796</xdr:colOff>
      <xdr:row>103</xdr:row>
      <xdr:rowOff>24636</xdr:rowOff>
    </xdr:to>
    <xdr:sp macro="" textlink="">
      <xdr:nvSpPr>
        <xdr:cNvPr id="24" name="Comment 23" hidden="1">
          <a:extLst>
            <a:ext uri="{FF2B5EF4-FFF2-40B4-BE49-F238E27FC236}">
              <a16:creationId xmlns:a16="http://schemas.microsoft.com/office/drawing/2014/main" id="{00000000-0008-0000-2300-000018000000}"/>
            </a:ext>
          </a:extLst>
        </xdr:cNvPr>
        <xdr:cNvSpPr txBox="1"/>
      </xdr:nvSpPr>
      <xdr:spPr>
        <a:xfrm>
          <a:off x="763170" y="20441920"/>
          <a:ext cx="1499267" cy="73012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102</xdr:row>
      <xdr:rowOff>58420</xdr:rowOff>
    </xdr:from>
    <xdr:to>
      <xdr:col>1</xdr:col>
      <xdr:colOff>782540</xdr:colOff>
      <xdr:row>106</xdr:row>
      <xdr:rowOff>205611</xdr:rowOff>
    </xdr:to>
    <xdr:sp macro="" textlink="">
      <xdr:nvSpPr>
        <xdr:cNvPr id="25" name="Comment 24" hidden="1">
          <a:extLst>
            <a:ext uri="{FF2B5EF4-FFF2-40B4-BE49-F238E27FC236}">
              <a16:creationId xmlns:a16="http://schemas.microsoft.com/office/drawing/2014/main" id="{00000000-0008-0000-2300-000019000000}"/>
            </a:ext>
          </a:extLst>
        </xdr:cNvPr>
        <xdr:cNvSpPr txBox="1"/>
      </xdr:nvSpPr>
      <xdr:spPr>
        <a:xfrm>
          <a:off x="763170" y="21011515"/>
          <a:ext cx="603011" cy="73012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6</xdr:col>
      <xdr:colOff>588277</xdr:colOff>
      <xdr:row>102</xdr:row>
      <xdr:rowOff>58420</xdr:rowOff>
    </xdr:from>
    <xdr:to>
      <xdr:col>7</xdr:col>
      <xdr:colOff>452892</xdr:colOff>
      <xdr:row>106</xdr:row>
      <xdr:rowOff>205611</xdr:rowOff>
    </xdr:to>
    <xdr:sp macro="" textlink="">
      <xdr:nvSpPr>
        <xdr:cNvPr id="26" name="Comment 25" hidden="1">
          <a:extLst>
            <a:ext uri="{FF2B5EF4-FFF2-40B4-BE49-F238E27FC236}">
              <a16:creationId xmlns:a16="http://schemas.microsoft.com/office/drawing/2014/main" id="{00000000-0008-0000-2300-00001A000000}"/>
            </a:ext>
          </a:extLst>
        </xdr:cNvPr>
        <xdr:cNvSpPr txBox="1"/>
      </xdr:nvSpPr>
      <xdr:spPr>
        <a:xfrm>
          <a:off x="5954132" y="21011515"/>
          <a:ext cx="604350" cy="73012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106</xdr:row>
      <xdr:rowOff>234950</xdr:rowOff>
    </xdr:from>
    <xdr:to>
      <xdr:col>1</xdr:col>
      <xdr:colOff>1678796</xdr:colOff>
      <xdr:row>113</xdr:row>
      <xdr:rowOff>233804</xdr:rowOff>
    </xdr:to>
    <xdr:sp macro="" textlink="">
      <xdr:nvSpPr>
        <xdr:cNvPr id="27" name="Comment 26" hidden="1">
          <a:extLst>
            <a:ext uri="{FF2B5EF4-FFF2-40B4-BE49-F238E27FC236}">
              <a16:creationId xmlns:a16="http://schemas.microsoft.com/office/drawing/2014/main" id="{00000000-0008-0000-2300-00001B000000}"/>
            </a:ext>
          </a:extLst>
        </xdr:cNvPr>
        <xdr:cNvSpPr txBox="1"/>
      </xdr:nvSpPr>
      <xdr:spPr>
        <a:xfrm>
          <a:off x="763170" y="21770975"/>
          <a:ext cx="1499267" cy="116661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113</xdr:row>
      <xdr:rowOff>206375</xdr:rowOff>
    </xdr:from>
    <xdr:to>
      <xdr:col>1</xdr:col>
      <xdr:colOff>782540</xdr:colOff>
      <xdr:row>118</xdr:row>
      <xdr:rowOff>298256</xdr:rowOff>
    </xdr:to>
    <xdr:sp macro="" textlink="">
      <xdr:nvSpPr>
        <xdr:cNvPr id="28" name="Comment 27" hidden="1">
          <a:extLst>
            <a:ext uri="{FF2B5EF4-FFF2-40B4-BE49-F238E27FC236}">
              <a16:creationId xmlns:a16="http://schemas.microsoft.com/office/drawing/2014/main" id="{00000000-0008-0000-2300-00001C000000}"/>
            </a:ext>
          </a:extLst>
        </xdr:cNvPr>
        <xdr:cNvSpPr txBox="1"/>
      </xdr:nvSpPr>
      <xdr:spPr>
        <a:xfrm>
          <a:off x="763170" y="22910165"/>
          <a:ext cx="603011" cy="1314256"/>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9</xdr:col>
      <xdr:colOff>325938</xdr:colOff>
      <xdr:row>113</xdr:row>
      <xdr:rowOff>206375</xdr:rowOff>
    </xdr:from>
    <xdr:to>
      <xdr:col>10</xdr:col>
      <xdr:colOff>3103</xdr:colOff>
      <xdr:row>118</xdr:row>
      <xdr:rowOff>298256</xdr:rowOff>
    </xdr:to>
    <xdr:sp macro="" textlink="">
      <xdr:nvSpPr>
        <xdr:cNvPr id="29" name="Comment 28" hidden="1">
          <a:extLst>
            <a:ext uri="{FF2B5EF4-FFF2-40B4-BE49-F238E27FC236}">
              <a16:creationId xmlns:a16="http://schemas.microsoft.com/office/drawing/2014/main" id="{00000000-0008-0000-2300-00001D000000}"/>
            </a:ext>
          </a:extLst>
        </xdr:cNvPr>
        <xdr:cNvSpPr txBox="1"/>
      </xdr:nvSpPr>
      <xdr:spPr>
        <a:xfrm>
          <a:off x="7900743" y="22910165"/>
          <a:ext cx="582963" cy="1314256"/>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117</xdr:row>
      <xdr:rowOff>186690</xdr:rowOff>
    </xdr:from>
    <xdr:to>
      <xdr:col>1</xdr:col>
      <xdr:colOff>1678796</xdr:colOff>
      <xdr:row>123</xdr:row>
      <xdr:rowOff>238755</xdr:rowOff>
    </xdr:to>
    <xdr:sp macro="" textlink="">
      <xdr:nvSpPr>
        <xdr:cNvPr id="30" name="Comment 29" hidden="1">
          <a:extLst>
            <a:ext uri="{FF2B5EF4-FFF2-40B4-BE49-F238E27FC236}">
              <a16:creationId xmlns:a16="http://schemas.microsoft.com/office/drawing/2014/main" id="{00000000-0008-0000-2300-00001E000000}"/>
            </a:ext>
          </a:extLst>
        </xdr:cNvPr>
        <xdr:cNvSpPr txBox="1"/>
      </xdr:nvSpPr>
      <xdr:spPr>
        <a:xfrm>
          <a:off x="763170" y="23669625"/>
          <a:ext cx="1499267" cy="164020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123</xdr:row>
      <xdr:rowOff>117475</xdr:rowOff>
    </xdr:from>
    <xdr:to>
      <xdr:col>1</xdr:col>
      <xdr:colOff>782540</xdr:colOff>
      <xdr:row>130</xdr:row>
      <xdr:rowOff>43222</xdr:rowOff>
    </xdr:to>
    <xdr:sp macro="" textlink="">
      <xdr:nvSpPr>
        <xdr:cNvPr id="31" name="Comment 30" hidden="1">
          <a:extLst>
            <a:ext uri="{FF2B5EF4-FFF2-40B4-BE49-F238E27FC236}">
              <a16:creationId xmlns:a16="http://schemas.microsoft.com/office/drawing/2014/main" id="{00000000-0008-0000-2300-00001F000000}"/>
            </a:ext>
          </a:extLst>
        </xdr:cNvPr>
        <xdr:cNvSpPr txBox="1"/>
      </xdr:nvSpPr>
      <xdr:spPr>
        <a:xfrm>
          <a:off x="763170" y="25188545"/>
          <a:ext cx="603011" cy="154753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8</xdr:col>
      <xdr:colOff>479468</xdr:colOff>
      <xdr:row>123</xdr:row>
      <xdr:rowOff>117475</xdr:rowOff>
    </xdr:from>
    <xdr:to>
      <xdr:col>9</xdr:col>
      <xdr:colOff>280798</xdr:colOff>
      <xdr:row>130</xdr:row>
      <xdr:rowOff>43222</xdr:rowOff>
    </xdr:to>
    <xdr:sp macro="" textlink="">
      <xdr:nvSpPr>
        <xdr:cNvPr id="32" name="Comment 31" hidden="1">
          <a:extLst>
            <a:ext uri="{FF2B5EF4-FFF2-40B4-BE49-F238E27FC236}">
              <a16:creationId xmlns:a16="http://schemas.microsoft.com/office/drawing/2014/main" id="{00000000-0008-0000-2300-000020000000}"/>
            </a:ext>
          </a:extLst>
        </xdr:cNvPr>
        <xdr:cNvSpPr txBox="1"/>
      </xdr:nvSpPr>
      <xdr:spPr>
        <a:xfrm>
          <a:off x="7251872" y="25188545"/>
          <a:ext cx="603731" cy="154753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136</xdr:row>
      <xdr:rowOff>147320</xdr:rowOff>
    </xdr:from>
    <xdr:to>
      <xdr:col>1</xdr:col>
      <xdr:colOff>1678796</xdr:colOff>
      <xdr:row>142</xdr:row>
      <xdr:rowOff>822851</xdr:rowOff>
    </xdr:to>
    <xdr:sp macro="" textlink="">
      <xdr:nvSpPr>
        <xdr:cNvPr id="33" name="Comment 32" hidden="1">
          <a:extLst>
            <a:ext uri="{FF2B5EF4-FFF2-40B4-BE49-F238E27FC236}">
              <a16:creationId xmlns:a16="http://schemas.microsoft.com/office/drawing/2014/main" id="{00000000-0008-0000-2300-000021000000}"/>
            </a:ext>
          </a:extLst>
        </xdr:cNvPr>
        <xdr:cNvSpPr txBox="1"/>
      </xdr:nvSpPr>
      <xdr:spPr>
        <a:xfrm>
          <a:off x="763170" y="28036520"/>
          <a:ext cx="1499267" cy="204840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140</xdr:row>
      <xdr:rowOff>116840</xdr:rowOff>
    </xdr:from>
    <xdr:to>
      <xdr:col>1</xdr:col>
      <xdr:colOff>782540</xdr:colOff>
      <xdr:row>146</xdr:row>
      <xdr:rowOff>63947</xdr:rowOff>
    </xdr:to>
    <xdr:sp macro="" textlink="">
      <xdr:nvSpPr>
        <xdr:cNvPr id="34" name="Comment 33" hidden="1">
          <a:extLst>
            <a:ext uri="{FF2B5EF4-FFF2-40B4-BE49-F238E27FC236}">
              <a16:creationId xmlns:a16="http://schemas.microsoft.com/office/drawing/2014/main" id="{00000000-0008-0000-2300-000022000000}"/>
            </a:ext>
          </a:extLst>
        </xdr:cNvPr>
        <xdr:cNvSpPr txBox="1"/>
      </xdr:nvSpPr>
      <xdr:spPr>
        <a:xfrm>
          <a:off x="763170" y="28795980"/>
          <a:ext cx="603011" cy="483152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8</xdr:col>
      <xdr:colOff>479468</xdr:colOff>
      <xdr:row>140</xdr:row>
      <xdr:rowOff>116840</xdr:rowOff>
    </xdr:from>
    <xdr:to>
      <xdr:col>9</xdr:col>
      <xdr:colOff>280798</xdr:colOff>
      <xdr:row>146</xdr:row>
      <xdr:rowOff>63947</xdr:rowOff>
    </xdr:to>
    <xdr:sp macro="" textlink="">
      <xdr:nvSpPr>
        <xdr:cNvPr id="35" name="Comment 34" hidden="1">
          <a:extLst>
            <a:ext uri="{FF2B5EF4-FFF2-40B4-BE49-F238E27FC236}">
              <a16:creationId xmlns:a16="http://schemas.microsoft.com/office/drawing/2014/main" id="{00000000-0008-0000-2300-000023000000}"/>
            </a:ext>
          </a:extLst>
        </xdr:cNvPr>
        <xdr:cNvSpPr txBox="1"/>
      </xdr:nvSpPr>
      <xdr:spPr>
        <a:xfrm>
          <a:off x="7251872" y="28795980"/>
          <a:ext cx="603731" cy="483152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142</xdr:row>
      <xdr:rowOff>2381885</xdr:rowOff>
    </xdr:from>
    <xdr:to>
      <xdr:col>1</xdr:col>
      <xdr:colOff>1678796</xdr:colOff>
      <xdr:row>153</xdr:row>
      <xdr:rowOff>15339</xdr:rowOff>
    </xdr:to>
    <xdr:sp macro="" textlink="">
      <xdr:nvSpPr>
        <xdr:cNvPr id="36" name="Comment 35" hidden="1">
          <a:extLst>
            <a:ext uri="{FF2B5EF4-FFF2-40B4-BE49-F238E27FC236}">
              <a16:creationId xmlns:a16="http://schemas.microsoft.com/office/drawing/2014/main" id="{00000000-0008-0000-2300-000024000000}"/>
            </a:ext>
          </a:extLst>
        </xdr:cNvPr>
        <xdr:cNvSpPr txBox="1"/>
      </xdr:nvSpPr>
      <xdr:spPr>
        <a:xfrm>
          <a:off x="763170" y="31643955"/>
          <a:ext cx="1499267" cy="310080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143</xdr:row>
      <xdr:rowOff>182245</xdr:rowOff>
    </xdr:from>
    <xdr:to>
      <xdr:col>1</xdr:col>
      <xdr:colOff>782540</xdr:colOff>
      <xdr:row>150</xdr:row>
      <xdr:rowOff>56247</xdr:rowOff>
    </xdr:to>
    <xdr:sp macro="" textlink="">
      <xdr:nvSpPr>
        <xdr:cNvPr id="37" name="Comment 36" hidden="1">
          <a:extLst>
            <a:ext uri="{FF2B5EF4-FFF2-40B4-BE49-F238E27FC236}">
              <a16:creationId xmlns:a16="http://schemas.microsoft.com/office/drawing/2014/main" id="{00000000-0008-0000-2300-000025000000}"/>
            </a:ext>
          </a:extLst>
        </xdr:cNvPr>
        <xdr:cNvSpPr txBox="1"/>
      </xdr:nvSpPr>
      <xdr:spPr>
        <a:xfrm>
          <a:off x="763170" y="33162875"/>
          <a:ext cx="603011" cy="123417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11</xdr:col>
      <xdr:colOff>9763</xdr:colOff>
      <xdr:row>143</xdr:row>
      <xdr:rowOff>182245</xdr:rowOff>
    </xdr:from>
    <xdr:to>
      <xdr:col>11</xdr:col>
      <xdr:colOff>613283</xdr:colOff>
      <xdr:row>150</xdr:row>
      <xdr:rowOff>56247</xdr:rowOff>
    </xdr:to>
    <xdr:sp macro="" textlink="">
      <xdr:nvSpPr>
        <xdr:cNvPr id="38" name="Comment 37" hidden="1">
          <a:extLst>
            <a:ext uri="{FF2B5EF4-FFF2-40B4-BE49-F238E27FC236}">
              <a16:creationId xmlns:a16="http://schemas.microsoft.com/office/drawing/2014/main" id="{00000000-0008-0000-2300-000026000000}"/>
            </a:ext>
          </a:extLst>
        </xdr:cNvPr>
        <xdr:cNvSpPr txBox="1"/>
      </xdr:nvSpPr>
      <xdr:spPr>
        <a:xfrm>
          <a:off x="9198483" y="33162875"/>
          <a:ext cx="603520" cy="123417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151</xdr:row>
      <xdr:rowOff>146685</xdr:rowOff>
    </xdr:from>
    <xdr:to>
      <xdr:col>1</xdr:col>
      <xdr:colOff>1678796</xdr:colOff>
      <xdr:row>159</xdr:row>
      <xdr:rowOff>297815</xdr:rowOff>
    </xdr:to>
    <xdr:sp macro="" textlink="">
      <xdr:nvSpPr>
        <xdr:cNvPr id="39" name="Comment 38" hidden="1">
          <a:extLst>
            <a:ext uri="{FF2B5EF4-FFF2-40B4-BE49-F238E27FC236}">
              <a16:creationId xmlns:a16="http://schemas.microsoft.com/office/drawing/2014/main" id="{00000000-0008-0000-2300-000027000000}"/>
            </a:ext>
          </a:extLst>
        </xdr:cNvPr>
        <xdr:cNvSpPr txBox="1"/>
      </xdr:nvSpPr>
      <xdr:spPr>
        <a:xfrm>
          <a:off x="763170" y="34681795"/>
          <a:ext cx="1499267" cy="174879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155</xdr:row>
      <xdr:rowOff>98425</xdr:rowOff>
    </xdr:from>
    <xdr:to>
      <xdr:col>1</xdr:col>
      <xdr:colOff>782540</xdr:colOff>
      <xdr:row>161</xdr:row>
      <xdr:rowOff>1104335</xdr:rowOff>
    </xdr:to>
    <xdr:sp macro="" textlink="">
      <xdr:nvSpPr>
        <xdr:cNvPr id="40" name="Comment 39" hidden="1">
          <a:extLst>
            <a:ext uri="{FF2B5EF4-FFF2-40B4-BE49-F238E27FC236}">
              <a16:creationId xmlns:a16="http://schemas.microsoft.com/office/drawing/2014/main" id="{00000000-0008-0000-2300-000028000000}"/>
            </a:ext>
          </a:extLst>
        </xdr:cNvPr>
        <xdr:cNvSpPr txBox="1"/>
      </xdr:nvSpPr>
      <xdr:spPr>
        <a:xfrm>
          <a:off x="763170" y="35441255"/>
          <a:ext cx="603011" cy="237878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11</xdr:col>
      <xdr:colOff>9763</xdr:colOff>
      <xdr:row>155</xdr:row>
      <xdr:rowOff>98425</xdr:rowOff>
    </xdr:from>
    <xdr:to>
      <xdr:col>11</xdr:col>
      <xdr:colOff>613283</xdr:colOff>
      <xdr:row>161</xdr:row>
      <xdr:rowOff>1104335</xdr:rowOff>
    </xdr:to>
    <xdr:sp macro="" textlink="">
      <xdr:nvSpPr>
        <xdr:cNvPr id="41" name="Comment 40" hidden="1">
          <a:extLst>
            <a:ext uri="{FF2B5EF4-FFF2-40B4-BE49-F238E27FC236}">
              <a16:creationId xmlns:a16="http://schemas.microsoft.com/office/drawing/2014/main" id="{00000000-0008-0000-2300-000029000000}"/>
            </a:ext>
          </a:extLst>
        </xdr:cNvPr>
        <xdr:cNvSpPr txBox="1"/>
      </xdr:nvSpPr>
      <xdr:spPr>
        <a:xfrm>
          <a:off x="9198483" y="35441255"/>
          <a:ext cx="603520" cy="237878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161</xdr:row>
      <xdr:rowOff>244475</xdr:rowOff>
    </xdr:from>
    <xdr:to>
      <xdr:col>1</xdr:col>
      <xdr:colOff>1678796</xdr:colOff>
      <xdr:row>161</xdr:row>
      <xdr:rowOff>2935213</xdr:rowOff>
    </xdr:to>
    <xdr:sp macro="" textlink="">
      <xdr:nvSpPr>
        <xdr:cNvPr id="42" name="Comment 41" hidden="1">
          <a:extLst>
            <a:ext uri="{FF2B5EF4-FFF2-40B4-BE49-F238E27FC236}">
              <a16:creationId xmlns:a16="http://schemas.microsoft.com/office/drawing/2014/main" id="{00000000-0008-0000-2300-00002A000000}"/>
            </a:ext>
          </a:extLst>
        </xdr:cNvPr>
        <xdr:cNvSpPr txBox="1"/>
      </xdr:nvSpPr>
      <xdr:spPr>
        <a:xfrm>
          <a:off x="763170" y="36960175"/>
          <a:ext cx="1499267" cy="2690738"/>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161</xdr:row>
      <xdr:rowOff>1003935</xdr:rowOff>
    </xdr:from>
    <xdr:to>
      <xdr:col>1</xdr:col>
      <xdr:colOff>782540</xdr:colOff>
      <xdr:row>168</xdr:row>
      <xdr:rowOff>101985</xdr:rowOff>
    </xdr:to>
    <xdr:sp macro="" textlink="">
      <xdr:nvSpPr>
        <xdr:cNvPr id="43" name="Comment 42" hidden="1">
          <a:extLst>
            <a:ext uri="{FF2B5EF4-FFF2-40B4-BE49-F238E27FC236}">
              <a16:creationId xmlns:a16="http://schemas.microsoft.com/office/drawing/2014/main" id="{00000000-0008-0000-2300-00002B000000}"/>
            </a:ext>
          </a:extLst>
        </xdr:cNvPr>
        <xdr:cNvSpPr txBox="1"/>
      </xdr:nvSpPr>
      <xdr:spPr>
        <a:xfrm>
          <a:off x="763170" y="37719635"/>
          <a:ext cx="603011" cy="398247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11</xdr:col>
      <xdr:colOff>9763</xdr:colOff>
      <xdr:row>161</xdr:row>
      <xdr:rowOff>1003935</xdr:rowOff>
    </xdr:from>
    <xdr:to>
      <xdr:col>11</xdr:col>
      <xdr:colOff>613283</xdr:colOff>
      <xdr:row>168</xdr:row>
      <xdr:rowOff>101985</xdr:rowOff>
    </xdr:to>
    <xdr:sp macro="" textlink="">
      <xdr:nvSpPr>
        <xdr:cNvPr id="44" name="Comment 43" hidden="1">
          <a:extLst>
            <a:ext uri="{FF2B5EF4-FFF2-40B4-BE49-F238E27FC236}">
              <a16:creationId xmlns:a16="http://schemas.microsoft.com/office/drawing/2014/main" id="{00000000-0008-0000-2300-00002C000000}"/>
            </a:ext>
          </a:extLst>
        </xdr:cNvPr>
        <xdr:cNvSpPr txBox="1"/>
      </xdr:nvSpPr>
      <xdr:spPr>
        <a:xfrm>
          <a:off x="9198483" y="37719635"/>
          <a:ext cx="603520" cy="398247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161</xdr:row>
      <xdr:rowOff>2522855</xdr:rowOff>
    </xdr:from>
    <xdr:to>
      <xdr:col>1</xdr:col>
      <xdr:colOff>1678796</xdr:colOff>
      <xdr:row>165</xdr:row>
      <xdr:rowOff>265416</xdr:rowOff>
    </xdr:to>
    <xdr:sp macro="" textlink="">
      <xdr:nvSpPr>
        <xdr:cNvPr id="45" name="Comment 44" hidden="1">
          <a:extLst>
            <a:ext uri="{FF2B5EF4-FFF2-40B4-BE49-F238E27FC236}">
              <a16:creationId xmlns:a16="http://schemas.microsoft.com/office/drawing/2014/main" id="{00000000-0008-0000-2300-00002D000000}"/>
            </a:ext>
          </a:extLst>
        </xdr:cNvPr>
        <xdr:cNvSpPr txBox="1"/>
      </xdr:nvSpPr>
      <xdr:spPr>
        <a:xfrm>
          <a:off x="763170" y="39238555"/>
          <a:ext cx="1499267" cy="204405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161</xdr:row>
      <xdr:rowOff>3282315</xdr:rowOff>
    </xdr:from>
    <xdr:to>
      <xdr:col>1</xdr:col>
      <xdr:colOff>782540</xdr:colOff>
      <xdr:row>163</xdr:row>
      <xdr:rowOff>56362</xdr:rowOff>
    </xdr:to>
    <xdr:sp macro="" textlink="">
      <xdr:nvSpPr>
        <xdr:cNvPr id="46" name="Comment 45" hidden="1">
          <a:extLst>
            <a:ext uri="{FF2B5EF4-FFF2-40B4-BE49-F238E27FC236}">
              <a16:creationId xmlns:a16="http://schemas.microsoft.com/office/drawing/2014/main" id="{00000000-0008-0000-2300-00002E000000}"/>
            </a:ext>
          </a:extLst>
        </xdr:cNvPr>
        <xdr:cNvSpPr txBox="1"/>
      </xdr:nvSpPr>
      <xdr:spPr>
        <a:xfrm>
          <a:off x="763170" y="39998015"/>
          <a:ext cx="603011" cy="68691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3</xdr:col>
      <xdr:colOff>642112</xdr:colOff>
      <xdr:row>161</xdr:row>
      <xdr:rowOff>3282315</xdr:rowOff>
    </xdr:from>
    <xdr:to>
      <xdr:col>4</xdr:col>
      <xdr:colOff>589820</xdr:colOff>
      <xdr:row>163</xdr:row>
      <xdr:rowOff>56362</xdr:rowOff>
    </xdr:to>
    <xdr:sp macro="" textlink="">
      <xdr:nvSpPr>
        <xdr:cNvPr id="47" name="Comment 46" hidden="1">
          <a:extLst>
            <a:ext uri="{FF2B5EF4-FFF2-40B4-BE49-F238E27FC236}">
              <a16:creationId xmlns:a16="http://schemas.microsoft.com/office/drawing/2014/main" id="{00000000-0008-0000-2300-00002F000000}"/>
            </a:ext>
          </a:extLst>
        </xdr:cNvPr>
        <xdr:cNvSpPr txBox="1"/>
      </xdr:nvSpPr>
      <xdr:spPr>
        <a:xfrm>
          <a:off x="4007521" y="39998015"/>
          <a:ext cx="614523" cy="68691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166</xdr:row>
      <xdr:rowOff>111125</xdr:rowOff>
    </xdr:from>
    <xdr:to>
      <xdr:col>1</xdr:col>
      <xdr:colOff>1678796</xdr:colOff>
      <xdr:row>171</xdr:row>
      <xdr:rowOff>177919</xdr:rowOff>
    </xdr:to>
    <xdr:sp macro="" textlink="">
      <xdr:nvSpPr>
        <xdr:cNvPr id="48" name="Comment 47" hidden="1">
          <a:extLst>
            <a:ext uri="{FF2B5EF4-FFF2-40B4-BE49-F238E27FC236}">
              <a16:creationId xmlns:a16="http://schemas.microsoft.com/office/drawing/2014/main" id="{00000000-0008-0000-2300-000030000000}"/>
            </a:ext>
          </a:extLst>
        </xdr:cNvPr>
        <xdr:cNvSpPr txBox="1"/>
      </xdr:nvSpPr>
      <xdr:spPr>
        <a:xfrm>
          <a:off x="763170" y="41516935"/>
          <a:ext cx="1499267" cy="84403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171</xdr:row>
      <xdr:rowOff>93345</xdr:rowOff>
    </xdr:from>
    <xdr:to>
      <xdr:col>1</xdr:col>
      <xdr:colOff>782540</xdr:colOff>
      <xdr:row>189</xdr:row>
      <xdr:rowOff>58043</xdr:rowOff>
    </xdr:to>
    <xdr:sp macro="" textlink="">
      <xdr:nvSpPr>
        <xdr:cNvPr id="49" name="Comment 48" hidden="1">
          <a:extLst>
            <a:ext uri="{FF2B5EF4-FFF2-40B4-BE49-F238E27FC236}">
              <a16:creationId xmlns:a16="http://schemas.microsoft.com/office/drawing/2014/main" id="{00000000-0008-0000-2300-000031000000}"/>
            </a:ext>
          </a:extLst>
        </xdr:cNvPr>
        <xdr:cNvSpPr txBox="1"/>
      </xdr:nvSpPr>
      <xdr:spPr>
        <a:xfrm>
          <a:off x="763170" y="42276395"/>
          <a:ext cx="603011" cy="2879348"/>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10</xdr:col>
      <xdr:colOff>69010</xdr:colOff>
      <xdr:row>171</xdr:row>
      <xdr:rowOff>93345</xdr:rowOff>
    </xdr:from>
    <xdr:to>
      <xdr:col>10</xdr:col>
      <xdr:colOff>662744</xdr:colOff>
      <xdr:row>189</xdr:row>
      <xdr:rowOff>58043</xdr:rowOff>
    </xdr:to>
    <xdr:sp macro="" textlink="">
      <xdr:nvSpPr>
        <xdr:cNvPr id="50" name="Comment 49" hidden="1">
          <a:extLst>
            <a:ext uri="{FF2B5EF4-FFF2-40B4-BE49-F238E27FC236}">
              <a16:creationId xmlns:a16="http://schemas.microsoft.com/office/drawing/2014/main" id="{00000000-0008-0000-2300-000032000000}"/>
            </a:ext>
          </a:extLst>
        </xdr:cNvPr>
        <xdr:cNvSpPr txBox="1"/>
      </xdr:nvSpPr>
      <xdr:spPr>
        <a:xfrm>
          <a:off x="8549613" y="42276395"/>
          <a:ext cx="593734" cy="2879348"/>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244</xdr:row>
      <xdr:rowOff>4445</xdr:rowOff>
    </xdr:from>
    <xdr:to>
      <xdr:col>1</xdr:col>
      <xdr:colOff>1678796</xdr:colOff>
      <xdr:row>247</xdr:row>
      <xdr:rowOff>133479</xdr:rowOff>
    </xdr:to>
    <xdr:sp macro="" textlink="">
      <xdr:nvSpPr>
        <xdr:cNvPr id="51" name="Comment 50" hidden="1">
          <a:extLst>
            <a:ext uri="{FF2B5EF4-FFF2-40B4-BE49-F238E27FC236}">
              <a16:creationId xmlns:a16="http://schemas.microsoft.com/office/drawing/2014/main" id="{00000000-0008-0000-2300-000033000000}"/>
            </a:ext>
          </a:extLst>
        </xdr:cNvPr>
        <xdr:cNvSpPr txBox="1"/>
      </xdr:nvSpPr>
      <xdr:spPr>
        <a:xfrm>
          <a:off x="763170" y="55187215"/>
          <a:ext cx="1499267" cy="71196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247</xdr:row>
      <xdr:rowOff>180975</xdr:rowOff>
    </xdr:from>
    <xdr:to>
      <xdr:col>1</xdr:col>
      <xdr:colOff>782540</xdr:colOff>
      <xdr:row>251</xdr:row>
      <xdr:rowOff>72434</xdr:rowOff>
    </xdr:to>
    <xdr:sp macro="" textlink="">
      <xdr:nvSpPr>
        <xdr:cNvPr id="52" name="Comment 51" hidden="1">
          <a:extLst>
            <a:ext uri="{FF2B5EF4-FFF2-40B4-BE49-F238E27FC236}">
              <a16:creationId xmlns:a16="http://schemas.microsoft.com/office/drawing/2014/main" id="{00000000-0008-0000-2300-000034000000}"/>
            </a:ext>
          </a:extLst>
        </xdr:cNvPr>
        <xdr:cNvSpPr txBox="1"/>
      </xdr:nvSpPr>
      <xdr:spPr>
        <a:xfrm>
          <a:off x="763170" y="55946675"/>
          <a:ext cx="603011" cy="66869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11</xdr:col>
      <xdr:colOff>9763</xdr:colOff>
      <xdr:row>247</xdr:row>
      <xdr:rowOff>180975</xdr:rowOff>
    </xdr:from>
    <xdr:to>
      <xdr:col>11</xdr:col>
      <xdr:colOff>613283</xdr:colOff>
      <xdr:row>251</xdr:row>
      <xdr:rowOff>72434</xdr:rowOff>
    </xdr:to>
    <xdr:sp macro="" textlink="">
      <xdr:nvSpPr>
        <xdr:cNvPr id="53" name="Comment 52" hidden="1">
          <a:extLst>
            <a:ext uri="{FF2B5EF4-FFF2-40B4-BE49-F238E27FC236}">
              <a16:creationId xmlns:a16="http://schemas.microsoft.com/office/drawing/2014/main" id="{00000000-0008-0000-2300-000035000000}"/>
            </a:ext>
          </a:extLst>
        </xdr:cNvPr>
        <xdr:cNvSpPr txBox="1"/>
      </xdr:nvSpPr>
      <xdr:spPr>
        <a:xfrm>
          <a:off x="9198483" y="55946675"/>
          <a:ext cx="603520" cy="66869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255</xdr:row>
      <xdr:rowOff>145415</xdr:rowOff>
    </xdr:from>
    <xdr:to>
      <xdr:col>1</xdr:col>
      <xdr:colOff>1678796</xdr:colOff>
      <xdr:row>268</xdr:row>
      <xdr:rowOff>52055</xdr:rowOff>
    </xdr:to>
    <xdr:sp macro="" textlink="">
      <xdr:nvSpPr>
        <xdr:cNvPr id="54" name="Comment 53" hidden="1">
          <a:extLst>
            <a:ext uri="{FF2B5EF4-FFF2-40B4-BE49-F238E27FC236}">
              <a16:creationId xmlns:a16="http://schemas.microsoft.com/office/drawing/2014/main" id="{00000000-0008-0000-2300-000036000000}"/>
            </a:ext>
          </a:extLst>
        </xdr:cNvPr>
        <xdr:cNvSpPr txBox="1"/>
      </xdr:nvSpPr>
      <xdr:spPr>
        <a:xfrm>
          <a:off x="763170" y="57465595"/>
          <a:ext cx="1499267" cy="243267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259</xdr:row>
      <xdr:rowOff>127635</xdr:rowOff>
    </xdr:from>
    <xdr:to>
      <xdr:col>1</xdr:col>
      <xdr:colOff>782540</xdr:colOff>
      <xdr:row>267</xdr:row>
      <xdr:rowOff>71467</xdr:rowOff>
    </xdr:to>
    <xdr:sp macro="" textlink="">
      <xdr:nvSpPr>
        <xdr:cNvPr id="55" name="Comment 54" hidden="1">
          <a:extLst>
            <a:ext uri="{FF2B5EF4-FFF2-40B4-BE49-F238E27FC236}">
              <a16:creationId xmlns:a16="http://schemas.microsoft.com/office/drawing/2014/main" id="{00000000-0008-0000-2300-000037000000}"/>
            </a:ext>
          </a:extLst>
        </xdr:cNvPr>
        <xdr:cNvSpPr txBox="1"/>
      </xdr:nvSpPr>
      <xdr:spPr>
        <a:xfrm>
          <a:off x="763170" y="58225055"/>
          <a:ext cx="603011" cy="149831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11</xdr:col>
      <xdr:colOff>9763</xdr:colOff>
      <xdr:row>259</xdr:row>
      <xdr:rowOff>127635</xdr:rowOff>
    </xdr:from>
    <xdr:to>
      <xdr:col>11</xdr:col>
      <xdr:colOff>613283</xdr:colOff>
      <xdr:row>267</xdr:row>
      <xdr:rowOff>71467</xdr:rowOff>
    </xdr:to>
    <xdr:sp macro="" textlink="">
      <xdr:nvSpPr>
        <xdr:cNvPr id="56" name="Comment 55" hidden="1">
          <a:extLst>
            <a:ext uri="{FF2B5EF4-FFF2-40B4-BE49-F238E27FC236}">
              <a16:creationId xmlns:a16="http://schemas.microsoft.com/office/drawing/2014/main" id="{00000000-0008-0000-2300-000038000000}"/>
            </a:ext>
          </a:extLst>
        </xdr:cNvPr>
        <xdr:cNvSpPr txBox="1"/>
      </xdr:nvSpPr>
      <xdr:spPr>
        <a:xfrm>
          <a:off x="9198483" y="58225055"/>
          <a:ext cx="603520" cy="149831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267</xdr:row>
      <xdr:rowOff>92075</xdr:rowOff>
    </xdr:from>
    <xdr:to>
      <xdr:col>1</xdr:col>
      <xdr:colOff>1678796</xdr:colOff>
      <xdr:row>277</xdr:row>
      <xdr:rowOff>24522</xdr:rowOff>
    </xdr:to>
    <xdr:sp macro="" textlink="">
      <xdr:nvSpPr>
        <xdr:cNvPr id="57" name="Comment 56" hidden="1">
          <a:extLst>
            <a:ext uri="{FF2B5EF4-FFF2-40B4-BE49-F238E27FC236}">
              <a16:creationId xmlns:a16="http://schemas.microsoft.com/office/drawing/2014/main" id="{00000000-0008-0000-2300-000039000000}"/>
            </a:ext>
          </a:extLst>
        </xdr:cNvPr>
        <xdr:cNvSpPr txBox="1"/>
      </xdr:nvSpPr>
      <xdr:spPr>
        <a:xfrm>
          <a:off x="763170" y="59743975"/>
          <a:ext cx="1499267" cy="187554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271</xdr:row>
      <xdr:rowOff>74295</xdr:rowOff>
    </xdr:from>
    <xdr:to>
      <xdr:col>1</xdr:col>
      <xdr:colOff>782540</xdr:colOff>
      <xdr:row>279</xdr:row>
      <xdr:rowOff>94029</xdr:rowOff>
    </xdr:to>
    <xdr:sp macro="" textlink="">
      <xdr:nvSpPr>
        <xdr:cNvPr id="58" name="Comment 57" hidden="1">
          <a:extLst>
            <a:ext uri="{FF2B5EF4-FFF2-40B4-BE49-F238E27FC236}">
              <a16:creationId xmlns:a16="http://schemas.microsoft.com/office/drawing/2014/main" id="{00000000-0008-0000-2300-00003A000000}"/>
            </a:ext>
          </a:extLst>
        </xdr:cNvPr>
        <xdr:cNvSpPr txBox="1"/>
      </xdr:nvSpPr>
      <xdr:spPr>
        <a:xfrm>
          <a:off x="763170" y="60503435"/>
          <a:ext cx="603011" cy="157421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10</xdr:col>
      <xdr:colOff>69010</xdr:colOff>
      <xdr:row>271</xdr:row>
      <xdr:rowOff>74295</xdr:rowOff>
    </xdr:from>
    <xdr:to>
      <xdr:col>10</xdr:col>
      <xdr:colOff>662744</xdr:colOff>
      <xdr:row>279</xdr:row>
      <xdr:rowOff>94029</xdr:rowOff>
    </xdr:to>
    <xdr:sp macro="" textlink="">
      <xdr:nvSpPr>
        <xdr:cNvPr id="59" name="Comment 58" hidden="1">
          <a:extLst>
            <a:ext uri="{FF2B5EF4-FFF2-40B4-BE49-F238E27FC236}">
              <a16:creationId xmlns:a16="http://schemas.microsoft.com/office/drawing/2014/main" id="{00000000-0008-0000-2300-00003B000000}"/>
            </a:ext>
          </a:extLst>
        </xdr:cNvPr>
        <xdr:cNvSpPr txBox="1"/>
      </xdr:nvSpPr>
      <xdr:spPr>
        <a:xfrm>
          <a:off x="8549613" y="60503435"/>
          <a:ext cx="593734" cy="157421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279</xdr:row>
      <xdr:rowOff>38735</xdr:rowOff>
    </xdr:from>
    <xdr:to>
      <xdr:col>1</xdr:col>
      <xdr:colOff>1678796</xdr:colOff>
      <xdr:row>282</xdr:row>
      <xdr:rowOff>104011</xdr:rowOff>
    </xdr:to>
    <xdr:sp macro="" textlink="">
      <xdr:nvSpPr>
        <xdr:cNvPr id="60" name="Comment 59" hidden="1">
          <a:extLst>
            <a:ext uri="{FF2B5EF4-FFF2-40B4-BE49-F238E27FC236}">
              <a16:creationId xmlns:a16="http://schemas.microsoft.com/office/drawing/2014/main" id="{00000000-0008-0000-2300-00003C000000}"/>
            </a:ext>
          </a:extLst>
        </xdr:cNvPr>
        <xdr:cNvSpPr txBox="1"/>
      </xdr:nvSpPr>
      <xdr:spPr>
        <a:xfrm>
          <a:off x="763170" y="62022355"/>
          <a:ext cx="1499267" cy="648206"/>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283</xdr:row>
      <xdr:rowOff>20955</xdr:rowOff>
    </xdr:from>
    <xdr:to>
      <xdr:col>1</xdr:col>
      <xdr:colOff>792866</xdr:colOff>
      <xdr:row>283</xdr:row>
      <xdr:rowOff>150748</xdr:rowOff>
    </xdr:to>
    <xdr:sp macro="" textlink="">
      <xdr:nvSpPr>
        <xdr:cNvPr id="61" name="Comment 60" hidden="1">
          <a:extLst>
            <a:ext uri="{FF2B5EF4-FFF2-40B4-BE49-F238E27FC236}">
              <a16:creationId xmlns:a16="http://schemas.microsoft.com/office/drawing/2014/main" id="{00000000-0008-0000-2300-00003D000000}"/>
            </a:ext>
          </a:extLst>
        </xdr:cNvPr>
        <xdr:cNvSpPr txBox="1"/>
      </xdr:nvSpPr>
      <xdr:spPr>
        <a:xfrm>
          <a:off x="763170" y="62781815"/>
          <a:ext cx="613337" cy="129793"/>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10</xdr:col>
      <xdr:colOff>69010</xdr:colOff>
      <xdr:row>283</xdr:row>
      <xdr:rowOff>20955</xdr:rowOff>
    </xdr:from>
    <xdr:to>
      <xdr:col>10</xdr:col>
      <xdr:colOff>662744</xdr:colOff>
      <xdr:row>283</xdr:row>
      <xdr:rowOff>150748</xdr:rowOff>
    </xdr:to>
    <xdr:sp macro="" textlink="">
      <xdr:nvSpPr>
        <xdr:cNvPr id="62" name="Comment 61" hidden="1">
          <a:extLst>
            <a:ext uri="{FF2B5EF4-FFF2-40B4-BE49-F238E27FC236}">
              <a16:creationId xmlns:a16="http://schemas.microsoft.com/office/drawing/2014/main" id="{00000000-0008-0000-2300-00003E000000}"/>
            </a:ext>
          </a:extLst>
        </xdr:cNvPr>
        <xdr:cNvSpPr txBox="1"/>
      </xdr:nvSpPr>
      <xdr:spPr>
        <a:xfrm>
          <a:off x="8549613" y="62781815"/>
          <a:ext cx="593734" cy="129793"/>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290</xdr:row>
      <xdr:rowOff>179705</xdr:rowOff>
    </xdr:from>
    <xdr:to>
      <xdr:col>1</xdr:col>
      <xdr:colOff>1678796</xdr:colOff>
      <xdr:row>305</xdr:row>
      <xdr:rowOff>6444</xdr:rowOff>
    </xdr:to>
    <xdr:sp macro="" textlink="">
      <xdr:nvSpPr>
        <xdr:cNvPr id="63" name="Comment 62" hidden="1">
          <a:extLst>
            <a:ext uri="{FF2B5EF4-FFF2-40B4-BE49-F238E27FC236}">
              <a16:creationId xmlns:a16="http://schemas.microsoft.com/office/drawing/2014/main" id="{00000000-0008-0000-2300-00003F000000}"/>
            </a:ext>
          </a:extLst>
        </xdr:cNvPr>
        <xdr:cNvSpPr txBox="1"/>
      </xdr:nvSpPr>
      <xdr:spPr>
        <a:xfrm>
          <a:off x="763170" y="64300735"/>
          <a:ext cx="1499267" cy="215845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296</xdr:row>
      <xdr:rowOff>161925</xdr:rowOff>
    </xdr:from>
    <xdr:to>
      <xdr:col>1</xdr:col>
      <xdr:colOff>784605</xdr:colOff>
      <xdr:row>296</xdr:row>
      <xdr:rowOff>161925</xdr:rowOff>
    </xdr:to>
    <xdr:sp macro="" textlink="">
      <xdr:nvSpPr>
        <xdr:cNvPr id="64" name="Comment 63" hidden="1">
          <a:extLst>
            <a:ext uri="{FF2B5EF4-FFF2-40B4-BE49-F238E27FC236}">
              <a16:creationId xmlns:a16="http://schemas.microsoft.com/office/drawing/2014/main" id="{00000000-0008-0000-2300-000040000000}"/>
            </a:ext>
          </a:extLst>
        </xdr:cNvPr>
        <xdr:cNvSpPr txBox="1"/>
      </xdr:nvSpPr>
      <xdr:spPr>
        <a:xfrm>
          <a:off x="763170" y="65060195"/>
          <a:ext cx="605076" cy="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6</xdr:col>
      <xdr:colOff>588277</xdr:colOff>
      <xdr:row>296</xdr:row>
      <xdr:rowOff>161925</xdr:rowOff>
    </xdr:from>
    <xdr:to>
      <xdr:col>7</xdr:col>
      <xdr:colOff>452892</xdr:colOff>
      <xdr:row>296</xdr:row>
      <xdr:rowOff>161925</xdr:rowOff>
    </xdr:to>
    <xdr:sp macro="" textlink="">
      <xdr:nvSpPr>
        <xdr:cNvPr id="65" name="Comment 64" hidden="1">
          <a:extLst>
            <a:ext uri="{FF2B5EF4-FFF2-40B4-BE49-F238E27FC236}">
              <a16:creationId xmlns:a16="http://schemas.microsoft.com/office/drawing/2014/main" id="{00000000-0008-0000-2300-000041000000}"/>
            </a:ext>
          </a:extLst>
        </xdr:cNvPr>
        <xdr:cNvSpPr txBox="1"/>
      </xdr:nvSpPr>
      <xdr:spPr>
        <a:xfrm>
          <a:off x="5954132" y="65060195"/>
          <a:ext cx="604350" cy="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300</xdr:row>
      <xdr:rowOff>144145</xdr:rowOff>
    </xdr:from>
    <xdr:to>
      <xdr:col>1</xdr:col>
      <xdr:colOff>1678796</xdr:colOff>
      <xdr:row>317</xdr:row>
      <xdr:rowOff>181476</xdr:rowOff>
    </xdr:to>
    <xdr:sp macro="" textlink="">
      <xdr:nvSpPr>
        <xdr:cNvPr id="66" name="Comment 65" hidden="1">
          <a:extLst>
            <a:ext uri="{FF2B5EF4-FFF2-40B4-BE49-F238E27FC236}">
              <a16:creationId xmlns:a16="http://schemas.microsoft.com/office/drawing/2014/main" id="{00000000-0008-0000-2300-000042000000}"/>
            </a:ext>
          </a:extLst>
        </xdr:cNvPr>
        <xdr:cNvSpPr txBox="1"/>
      </xdr:nvSpPr>
      <xdr:spPr>
        <a:xfrm>
          <a:off x="763170" y="65819655"/>
          <a:ext cx="1499267" cy="275767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305</xdr:row>
      <xdr:rowOff>126365</xdr:rowOff>
    </xdr:from>
    <xdr:to>
      <xdr:col>1</xdr:col>
      <xdr:colOff>782540</xdr:colOff>
      <xdr:row>320</xdr:row>
      <xdr:rowOff>947287</xdr:rowOff>
    </xdr:to>
    <xdr:sp macro="" textlink="">
      <xdr:nvSpPr>
        <xdr:cNvPr id="67" name="Comment 66" hidden="1">
          <a:extLst>
            <a:ext uri="{FF2B5EF4-FFF2-40B4-BE49-F238E27FC236}">
              <a16:creationId xmlns:a16="http://schemas.microsoft.com/office/drawing/2014/main" id="{00000000-0008-0000-2300-000043000000}"/>
            </a:ext>
          </a:extLst>
        </xdr:cNvPr>
        <xdr:cNvSpPr txBox="1"/>
      </xdr:nvSpPr>
      <xdr:spPr>
        <a:xfrm>
          <a:off x="763170" y="66579115"/>
          <a:ext cx="603011" cy="316534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7</xdr:col>
      <xdr:colOff>497413</xdr:colOff>
      <xdr:row>305</xdr:row>
      <xdr:rowOff>126365</xdr:rowOff>
    </xdr:from>
    <xdr:to>
      <xdr:col>8</xdr:col>
      <xdr:colOff>413550</xdr:colOff>
      <xdr:row>320</xdr:row>
      <xdr:rowOff>947287</xdr:rowOff>
    </xdr:to>
    <xdr:sp macro="" textlink="">
      <xdr:nvSpPr>
        <xdr:cNvPr id="68" name="Comment 67" hidden="1">
          <a:extLst>
            <a:ext uri="{FF2B5EF4-FFF2-40B4-BE49-F238E27FC236}">
              <a16:creationId xmlns:a16="http://schemas.microsoft.com/office/drawing/2014/main" id="{00000000-0008-0000-2300-000044000000}"/>
            </a:ext>
          </a:extLst>
        </xdr:cNvPr>
        <xdr:cNvSpPr txBox="1"/>
      </xdr:nvSpPr>
      <xdr:spPr>
        <a:xfrm>
          <a:off x="6603002" y="66579115"/>
          <a:ext cx="582952" cy="3165342"/>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314</xdr:row>
      <xdr:rowOff>90805</xdr:rowOff>
    </xdr:from>
    <xdr:to>
      <xdr:col>1</xdr:col>
      <xdr:colOff>1678796</xdr:colOff>
      <xdr:row>334</xdr:row>
      <xdr:rowOff>137309</xdr:rowOff>
    </xdr:to>
    <xdr:sp macro="" textlink="">
      <xdr:nvSpPr>
        <xdr:cNvPr id="69" name="Comment 68" hidden="1">
          <a:extLst>
            <a:ext uri="{FF2B5EF4-FFF2-40B4-BE49-F238E27FC236}">
              <a16:creationId xmlns:a16="http://schemas.microsoft.com/office/drawing/2014/main" id="{00000000-0008-0000-2300-000045000000}"/>
            </a:ext>
          </a:extLst>
        </xdr:cNvPr>
        <xdr:cNvSpPr txBox="1"/>
      </xdr:nvSpPr>
      <xdr:spPr>
        <a:xfrm>
          <a:off x="763170" y="68098035"/>
          <a:ext cx="1499267" cy="581230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320</xdr:row>
      <xdr:rowOff>60325</xdr:rowOff>
    </xdr:from>
    <xdr:to>
      <xdr:col>1</xdr:col>
      <xdr:colOff>782540</xdr:colOff>
      <xdr:row>330</xdr:row>
      <xdr:rowOff>182066</xdr:rowOff>
    </xdr:to>
    <xdr:sp macro="" textlink="">
      <xdr:nvSpPr>
        <xdr:cNvPr id="70" name="Comment 69" hidden="1">
          <a:extLst>
            <a:ext uri="{FF2B5EF4-FFF2-40B4-BE49-F238E27FC236}">
              <a16:creationId xmlns:a16="http://schemas.microsoft.com/office/drawing/2014/main" id="{00000000-0008-0000-2300-000046000000}"/>
            </a:ext>
          </a:extLst>
        </xdr:cNvPr>
        <xdr:cNvSpPr txBox="1"/>
      </xdr:nvSpPr>
      <xdr:spPr>
        <a:xfrm>
          <a:off x="763170" y="68857495"/>
          <a:ext cx="603011" cy="451848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7</xdr:col>
      <xdr:colOff>497413</xdr:colOff>
      <xdr:row>320</xdr:row>
      <xdr:rowOff>60325</xdr:rowOff>
    </xdr:from>
    <xdr:to>
      <xdr:col>8</xdr:col>
      <xdr:colOff>413550</xdr:colOff>
      <xdr:row>330</xdr:row>
      <xdr:rowOff>182066</xdr:rowOff>
    </xdr:to>
    <xdr:sp macro="" textlink="">
      <xdr:nvSpPr>
        <xdr:cNvPr id="71" name="Comment 70" hidden="1">
          <a:extLst>
            <a:ext uri="{FF2B5EF4-FFF2-40B4-BE49-F238E27FC236}">
              <a16:creationId xmlns:a16="http://schemas.microsoft.com/office/drawing/2014/main" id="{00000000-0008-0000-2300-000047000000}"/>
            </a:ext>
          </a:extLst>
        </xdr:cNvPr>
        <xdr:cNvSpPr txBox="1"/>
      </xdr:nvSpPr>
      <xdr:spPr>
        <a:xfrm>
          <a:off x="6603002" y="68857495"/>
          <a:ext cx="582952" cy="4518481"/>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320</xdr:row>
      <xdr:rowOff>1579245</xdr:rowOff>
    </xdr:from>
    <xdr:to>
      <xdr:col>1</xdr:col>
      <xdr:colOff>1678796</xdr:colOff>
      <xdr:row>324</xdr:row>
      <xdr:rowOff>168384</xdr:rowOff>
    </xdr:to>
    <xdr:sp macro="" textlink="">
      <xdr:nvSpPr>
        <xdr:cNvPr id="72" name="Comment 71" hidden="1">
          <a:extLst>
            <a:ext uri="{FF2B5EF4-FFF2-40B4-BE49-F238E27FC236}">
              <a16:creationId xmlns:a16="http://schemas.microsoft.com/office/drawing/2014/main" id="{00000000-0008-0000-2300-000048000000}"/>
            </a:ext>
          </a:extLst>
        </xdr:cNvPr>
        <xdr:cNvSpPr txBox="1"/>
      </xdr:nvSpPr>
      <xdr:spPr>
        <a:xfrm>
          <a:off x="763170" y="70376415"/>
          <a:ext cx="1499267" cy="201432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320</xdr:row>
      <xdr:rowOff>2338705</xdr:rowOff>
    </xdr:from>
    <xdr:to>
      <xdr:col>1</xdr:col>
      <xdr:colOff>782540</xdr:colOff>
      <xdr:row>321</xdr:row>
      <xdr:rowOff>79360</xdr:rowOff>
    </xdr:to>
    <xdr:sp macro="" textlink="">
      <xdr:nvSpPr>
        <xdr:cNvPr id="73" name="Comment 72" hidden="1">
          <a:extLst>
            <a:ext uri="{FF2B5EF4-FFF2-40B4-BE49-F238E27FC236}">
              <a16:creationId xmlns:a16="http://schemas.microsoft.com/office/drawing/2014/main" id="{00000000-0008-0000-2300-000049000000}"/>
            </a:ext>
          </a:extLst>
        </xdr:cNvPr>
        <xdr:cNvSpPr txBox="1"/>
      </xdr:nvSpPr>
      <xdr:spPr>
        <a:xfrm>
          <a:off x="763170" y="71135875"/>
          <a:ext cx="603011" cy="582915"/>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10</xdr:col>
      <xdr:colOff>69010</xdr:colOff>
      <xdr:row>320</xdr:row>
      <xdr:rowOff>2338705</xdr:rowOff>
    </xdr:from>
    <xdr:to>
      <xdr:col>10</xdr:col>
      <xdr:colOff>662744</xdr:colOff>
      <xdr:row>321</xdr:row>
      <xdr:rowOff>79360</xdr:rowOff>
    </xdr:to>
    <xdr:sp macro="" textlink="">
      <xdr:nvSpPr>
        <xdr:cNvPr id="74" name="Comment 73" hidden="1">
          <a:extLst>
            <a:ext uri="{FF2B5EF4-FFF2-40B4-BE49-F238E27FC236}">
              <a16:creationId xmlns:a16="http://schemas.microsoft.com/office/drawing/2014/main" id="{00000000-0008-0000-2300-00004A000000}"/>
            </a:ext>
          </a:extLst>
        </xdr:cNvPr>
        <xdr:cNvSpPr txBox="1"/>
      </xdr:nvSpPr>
      <xdr:spPr>
        <a:xfrm>
          <a:off x="8549613" y="71135875"/>
          <a:ext cx="593734" cy="582915"/>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326</xdr:row>
      <xdr:rowOff>43815</xdr:rowOff>
    </xdr:from>
    <xdr:to>
      <xdr:col>1</xdr:col>
      <xdr:colOff>1678796</xdr:colOff>
      <xdr:row>333</xdr:row>
      <xdr:rowOff>153889</xdr:rowOff>
    </xdr:to>
    <xdr:sp macro="" textlink="">
      <xdr:nvSpPr>
        <xdr:cNvPr id="75" name="Comment 74" hidden="1">
          <a:extLst>
            <a:ext uri="{FF2B5EF4-FFF2-40B4-BE49-F238E27FC236}">
              <a16:creationId xmlns:a16="http://schemas.microsoft.com/office/drawing/2014/main" id="{00000000-0008-0000-2300-00004B000000}"/>
            </a:ext>
          </a:extLst>
        </xdr:cNvPr>
        <xdr:cNvSpPr txBox="1"/>
      </xdr:nvSpPr>
      <xdr:spPr>
        <a:xfrm>
          <a:off x="763170" y="72654795"/>
          <a:ext cx="1499267" cy="107781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332</xdr:row>
      <xdr:rowOff>26035</xdr:rowOff>
    </xdr:from>
    <xdr:to>
      <xdr:col>1</xdr:col>
      <xdr:colOff>782540</xdr:colOff>
      <xdr:row>334</xdr:row>
      <xdr:rowOff>39712</xdr:rowOff>
    </xdr:to>
    <xdr:sp macro="" textlink="">
      <xdr:nvSpPr>
        <xdr:cNvPr id="76" name="Comment 75" hidden="1">
          <a:extLst>
            <a:ext uri="{FF2B5EF4-FFF2-40B4-BE49-F238E27FC236}">
              <a16:creationId xmlns:a16="http://schemas.microsoft.com/office/drawing/2014/main" id="{00000000-0008-0000-2300-00004C000000}"/>
            </a:ext>
          </a:extLst>
        </xdr:cNvPr>
        <xdr:cNvSpPr txBox="1"/>
      </xdr:nvSpPr>
      <xdr:spPr>
        <a:xfrm>
          <a:off x="763170" y="73414255"/>
          <a:ext cx="603011" cy="39848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10</xdr:col>
      <xdr:colOff>69010</xdr:colOff>
      <xdr:row>332</xdr:row>
      <xdr:rowOff>26035</xdr:rowOff>
    </xdr:from>
    <xdr:to>
      <xdr:col>10</xdr:col>
      <xdr:colOff>662744</xdr:colOff>
      <xdr:row>334</xdr:row>
      <xdr:rowOff>39712</xdr:rowOff>
    </xdr:to>
    <xdr:sp macro="" textlink="">
      <xdr:nvSpPr>
        <xdr:cNvPr id="77" name="Comment 76" hidden="1">
          <a:extLst>
            <a:ext uri="{FF2B5EF4-FFF2-40B4-BE49-F238E27FC236}">
              <a16:creationId xmlns:a16="http://schemas.microsoft.com/office/drawing/2014/main" id="{00000000-0008-0000-2300-00004D000000}"/>
            </a:ext>
          </a:extLst>
        </xdr:cNvPr>
        <xdr:cNvSpPr txBox="1"/>
      </xdr:nvSpPr>
      <xdr:spPr>
        <a:xfrm>
          <a:off x="8549613" y="73414255"/>
          <a:ext cx="593734" cy="398487"/>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340</xdr:row>
      <xdr:rowOff>188595</xdr:rowOff>
    </xdr:from>
    <xdr:to>
      <xdr:col>1</xdr:col>
      <xdr:colOff>1678796</xdr:colOff>
      <xdr:row>345</xdr:row>
      <xdr:rowOff>148754</xdr:rowOff>
    </xdr:to>
    <xdr:sp macro="" textlink="">
      <xdr:nvSpPr>
        <xdr:cNvPr id="78" name="Comment 77" hidden="1">
          <a:extLst>
            <a:ext uri="{FF2B5EF4-FFF2-40B4-BE49-F238E27FC236}">
              <a16:creationId xmlns:a16="http://schemas.microsoft.com/office/drawing/2014/main" id="{00000000-0008-0000-2300-00004E000000}"/>
            </a:ext>
          </a:extLst>
        </xdr:cNvPr>
        <xdr:cNvSpPr txBox="1"/>
      </xdr:nvSpPr>
      <xdr:spPr>
        <a:xfrm>
          <a:off x="763170" y="74933175"/>
          <a:ext cx="1499267" cy="733589"/>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345</xdr:row>
      <xdr:rowOff>174625</xdr:rowOff>
    </xdr:from>
    <xdr:to>
      <xdr:col>1</xdr:col>
      <xdr:colOff>782540</xdr:colOff>
      <xdr:row>357</xdr:row>
      <xdr:rowOff>88469</xdr:rowOff>
    </xdr:to>
    <xdr:sp macro="" textlink="">
      <xdr:nvSpPr>
        <xdr:cNvPr id="79" name="Comment 78" hidden="1">
          <a:extLst>
            <a:ext uri="{FF2B5EF4-FFF2-40B4-BE49-F238E27FC236}">
              <a16:creationId xmlns:a16="http://schemas.microsoft.com/office/drawing/2014/main" id="{00000000-0008-0000-2300-00004F000000}"/>
            </a:ext>
          </a:extLst>
        </xdr:cNvPr>
        <xdr:cNvSpPr txBox="1"/>
      </xdr:nvSpPr>
      <xdr:spPr>
        <a:xfrm>
          <a:off x="763170" y="75692635"/>
          <a:ext cx="603011" cy="187218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4</xdr:col>
      <xdr:colOff>624167</xdr:colOff>
      <xdr:row>345</xdr:row>
      <xdr:rowOff>174625</xdr:rowOff>
    </xdr:from>
    <xdr:to>
      <xdr:col>5</xdr:col>
      <xdr:colOff>581939</xdr:colOff>
      <xdr:row>357</xdr:row>
      <xdr:rowOff>88469</xdr:rowOff>
    </xdr:to>
    <xdr:sp macro="" textlink="">
      <xdr:nvSpPr>
        <xdr:cNvPr id="80" name="Comment 79" hidden="1">
          <a:extLst>
            <a:ext uri="{FF2B5EF4-FFF2-40B4-BE49-F238E27FC236}">
              <a16:creationId xmlns:a16="http://schemas.microsoft.com/office/drawing/2014/main" id="{00000000-0008-0000-2300-000050000000}"/>
            </a:ext>
          </a:extLst>
        </xdr:cNvPr>
        <xdr:cNvSpPr txBox="1"/>
      </xdr:nvSpPr>
      <xdr:spPr>
        <a:xfrm>
          <a:off x="4656392" y="75692635"/>
          <a:ext cx="624587" cy="1872184"/>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350</xdr:row>
      <xdr:rowOff>156845</xdr:rowOff>
    </xdr:from>
    <xdr:to>
      <xdr:col>1</xdr:col>
      <xdr:colOff>1678796</xdr:colOff>
      <xdr:row>366</xdr:row>
      <xdr:rowOff>20920</xdr:rowOff>
    </xdr:to>
    <xdr:sp macro="" textlink="">
      <xdr:nvSpPr>
        <xdr:cNvPr id="81" name="Comment 80" hidden="1">
          <a:extLst>
            <a:ext uri="{FF2B5EF4-FFF2-40B4-BE49-F238E27FC236}">
              <a16:creationId xmlns:a16="http://schemas.microsoft.com/office/drawing/2014/main" id="{00000000-0008-0000-2300-000051000000}"/>
            </a:ext>
          </a:extLst>
        </xdr:cNvPr>
        <xdr:cNvSpPr txBox="1"/>
      </xdr:nvSpPr>
      <xdr:spPr>
        <a:xfrm>
          <a:off x="763170" y="76452095"/>
          <a:ext cx="1499267" cy="2420585"/>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twoCellAnchor editAs="absolute">
    <xdr:from>
      <xdr:col>1</xdr:col>
      <xdr:colOff>179529</xdr:colOff>
      <xdr:row>358</xdr:row>
      <xdr:rowOff>110490</xdr:rowOff>
    </xdr:from>
    <xdr:to>
      <xdr:col>1</xdr:col>
      <xdr:colOff>782540</xdr:colOff>
      <xdr:row>373</xdr:row>
      <xdr:rowOff>48250</xdr:rowOff>
    </xdr:to>
    <xdr:sp macro="" textlink="">
      <xdr:nvSpPr>
        <xdr:cNvPr id="82" name="Comment 81" hidden="1">
          <a:extLst>
            <a:ext uri="{FF2B5EF4-FFF2-40B4-BE49-F238E27FC236}">
              <a16:creationId xmlns:a16="http://schemas.microsoft.com/office/drawing/2014/main" id="{00000000-0008-0000-2300-000052000000}"/>
            </a:ext>
          </a:extLst>
        </xdr:cNvPr>
        <xdr:cNvSpPr txBox="1"/>
      </xdr:nvSpPr>
      <xdr:spPr>
        <a:xfrm>
          <a:off x="763170" y="77781150"/>
          <a:ext cx="603011" cy="228472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5</xdr:col>
      <xdr:colOff>606222</xdr:colOff>
      <xdr:row>358</xdr:row>
      <xdr:rowOff>110490</xdr:rowOff>
    </xdr:from>
    <xdr:to>
      <xdr:col>6</xdr:col>
      <xdr:colOff>543343</xdr:colOff>
      <xdr:row>373</xdr:row>
      <xdr:rowOff>48250</xdr:rowOff>
    </xdr:to>
    <xdr:sp macro="" textlink="">
      <xdr:nvSpPr>
        <xdr:cNvPr id="83" name="Comment 82" hidden="1">
          <a:extLst>
            <a:ext uri="{FF2B5EF4-FFF2-40B4-BE49-F238E27FC236}">
              <a16:creationId xmlns:a16="http://schemas.microsoft.com/office/drawing/2014/main" id="{00000000-0008-0000-2300-000053000000}"/>
            </a:ext>
          </a:extLst>
        </xdr:cNvPr>
        <xdr:cNvSpPr txBox="1"/>
      </xdr:nvSpPr>
      <xdr:spPr>
        <a:xfrm>
          <a:off x="5305262" y="77781150"/>
          <a:ext cx="603936" cy="2284720"/>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p>
        <a:p>
          <a:pPr algn="l"/>
          <a:endParaRPr lang="en-US" sz="1100" b="0">
            <a:solidFill>
              <a:sysClr val="windowText" lastClr="000000"/>
            </a:solidFill>
            <a:latin typeface="Calibri"/>
          </a:endParaRPr>
        </a:p>
      </xdr:txBody>
    </xdr:sp>
    <xdr:clientData/>
  </xdr:twoCellAnchor>
  <xdr:twoCellAnchor editAs="absolute">
    <xdr:from>
      <xdr:col>1</xdr:col>
      <xdr:colOff>179529</xdr:colOff>
      <xdr:row>366</xdr:row>
      <xdr:rowOff>68580</xdr:rowOff>
    </xdr:from>
    <xdr:to>
      <xdr:col>1</xdr:col>
      <xdr:colOff>1678796</xdr:colOff>
      <xdr:row>372</xdr:row>
      <xdr:rowOff>71616</xdr:rowOff>
    </xdr:to>
    <xdr:sp macro="" textlink="">
      <xdr:nvSpPr>
        <xdr:cNvPr id="84" name="Comment 83" hidden="1">
          <a:extLst>
            <a:ext uri="{FF2B5EF4-FFF2-40B4-BE49-F238E27FC236}">
              <a16:creationId xmlns:a16="http://schemas.microsoft.com/office/drawing/2014/main" id="{00000000-0008-0000-2300-000054000000}"/>
            </a:ext>
          </a:extLst>
        </xdr:cNvPr>
        <xdr:cNvSpPr txBox="1"/>
      </xdr:nvSpPr>
      <xdr:spPr>
        <a:xfrm>
          <a:off x="763170" y="78920340"/>
          <a:ext cx="1499267" cy="974586"/>
        </a:xfrm>
        <a:prstGeom prst="rect">
          <a:avLst/>
        </a:prstGeom>
        <a:solidFill>
          <a:srgbClr val="FFFFE1"/>
        </a:solidFill>
        <a:ln w="9525">
          <a:solidFill>
            <a:srgbClr val="000000"/>
          </a:solidFill>
        </a:ln>
      </xdr:spPr>
      <xdr:txBody>
        <a:bodyPr rtlCol="0"/>
        <a:lstStyle/>
        <a:p>
          <a:pPr algn="l"/>
          <a:r>
            <a:rPr lang="en-US" sz="900">
              <a:solidFill>
                <a:sysClr val="windowText" lastClr="000000"/>
              </a:solidFill>
            </a:rPr>
            <a:t>Tai:</a:t>
          </a:r>
          <a:endParaRPr lang="en-US" sz="900" b="0">
            <a:solidFill>
              <a:sysClr val="windowText" lastClr="000000"/>
            </a:solidFill>
          </a:endParaRPr>
        </a:p>
        <a:p>
          <a:pPr algn="l"/>
          <a:r>
            <a:rPr lang="en-US" sz="900" b="0">
              <a:solidFill>
                <a:sysClr val="windowText" lastClr="000000"/>
              </a:solidFill>
            </a:rPr>
            <a:t>Số thứ tự là 5 vì thiếu Công trình thủy lợi trong TT258/2016/TT-BTC</a:t>
          </a:r>
          <a:endParaRPr lang="en-US" sz="1100" b="0">
            <a:solidFill>
              <a:sysClr val="windowText" lastClr="000000"/>
            </a:solidFill>
            <a:latin typeface="Calibri"/>
          </a:endParaRPr>
        </a:p>
      </xdr:txBody>
    </xdr:sp>
    <xdr:clientData/>
  </xdr:twoCellAnchor>
  <xdr:twoCellAnchor editAs="absolute">
    <xdr:from>
      <xdr:col>1</xdr:col>
      <xdr:colOff>179529</xdr:colOff>
      <xdr:row>368</xdr:row>
      <xdr:rowOff>59690</xdr:rowOff>
    </xdr:from>
    <xdr:to>
      <xdr:col>1</xdr:col>
      <xdr:colOff>1678796</xdr:colOff>
      <xdr:row>376</xdr:row>
      <xdr:rowOff>4505</xdr:rowOff>
    </xdr:to>
    <xdr:sp macro="" textlink="">
      <xdr:nvSpPr>
        <xdr:cNvPr id="85" name="Comment 84" hidden="1">
          <a:extLst>
            <a:ext uri="{FF2B5EF4-FFF2-40B4-BE49-F238E27FC236}">
              <a16:creationId xmlns:a16="http://schemas.microsoft.com/office/drawing/2014/main" id="{00000000-0008-0000-2300-000055000000}"/>
            </a:ext>
          </a:extLst>
        </xdr:cNvPr>
        <xdr:cNvSpPr txBox="1"/>
      </xdr:nvSpPr>
      <xdr:spPr>
        <a:xfrm>
          <a:off x="763170" y="79300070"/>
          <a:ext cx="1499267" cy="1110675"/>
        </a:xfrm>
        <a:prstGeom prst="rect">
          <a:avLst/>
        </a:prstGeom>
        <a:solidFill>
          <a:srgbClr val="FFFFE1"/>
        </a:solidFill>
        <a:ln w="9525">
          <a:solidFill>
            <a:srgbClr val="000000"/>
          </a:solidFill>
        </a:ln>
      </xdr:spPr>
      <xdr:txBody>
        <a:bodyPr rtlCol="0"/>
        <a:lstStyle/>
        <a:p>
          <a:pPr algn="l"/>
          <a:r>
            <a:rPr lang="en-US" sz="900" b="0">
              <a:solidFill>
                <a:sysClr val="windowText" lastClr="000000"/>
              </a:solidFill>
            </a:rPr>
            <a:t>Ô đặc biệt, dùng để xác định bảng</a:t>
          </a:r>
          <a:endParaRPr lang="en-US" sz="1100" b="0">
            <a:solidFill>
              <a:sysClr val="windowText" lastClr="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utoaneta.vn/huong-dan-xu-ly-loi-name-khi-xuat-excel/" TargetMode="External"/><Relationship Id="rId1" Type="http://schemas.openxmlformats.org/officeDocument/2006/relationships/hyperlink" Target="https://dutoaneta.vn/huong-dan-xu-ly-loi-name-khi-xuat-excel/"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6.xml.rels><?xml version="1.0" encoding="UTF-8" standalone="yes"?>
<Relationships xmlns="http://schemas.openxmlformats.org/package/2006/relationships"><Relationship Id="rId1" Type="http://schemas.openxmlformats.org/officeDocument/2006/relationships/hyperlink" Target="http://dutoaneta.vn/"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dutoaneta.vn/" TargetMode="Externa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B18"/>
  <sheetViews>
    <sheetView showZeros="0" topLeftCell="B1" workbookViewId="0">
      <selection activeCell="M11" sqref="M11"/>
    </sheetView>
  </sheetViews>
  <sheetFormatPr defaultColWidth="9.140625" defaultRowHeight="15" x14ac:dyDescent="0.25"/>
  <cols>
    <col min="1" max="1" width="3.140625" style="460" hidden="1" customWidth="1"/>
    <col min="2" max="2" width="4.7109375" style="460" bestFit="1" customWidth="1"/>
    <col min="3" max="3" width="9.140625" style="460" bestFit="1" customWidth="1"/>
    <col min="4" max="4" width="29" style="460" customWidth="1"/>
    <col min="5" max="5" width="10" style="460" customWidth="1"/>
    <col min="6" max="6" width="8.5703125" style="460" hidden="1" customWidth="1"/>
    <col min="7" max="7" width="7.140625" style="460" hidden="1" customWidth="1"/>
    <col min="8" max="8" width="4.140625" style="460" hidden="1" customWidth="1"/>
    <col min="9" max="9" width="6" style="460" hidden="1" customWidth="1"/>
    <col min="10" max="10" width="4.7109375" style="460" hidden="1" customWidth="1"/>
    <col min="11" max="11" width="7.85546875" style="460" hidden="1" customWidth="1"/>
    <col min="12" max="12" width="8.140625" style="460" hidden="1" customWidth="1"/>
    <col min="13" max="13" width="14.140625" style="460" customWidth="1"/>
    <col min="14" max="14" width="14.85546875" style="460" customWidth="1"/>
    <col min="15" max="15" width="12.140625" style="460" hidden="1" customWidth="1"/>
    <col min="16" max="16" width="12.5703125" style="460" customWidth="1"/>
    <col min="17" max="17" width="14.85546875" style="460" customWidth="1"/>
    <col min="18" max="18" width="11.5703125" style="460" customWidth="1"/>
    <col min="19" max="19" width="12.140625" style="460" hidden="1" customWidth="1"/>
    <col min="20" max="20" width="13.5703125" style="460" customWidth="1"/>
    <col min="21" max="21" width="12.5703125" style="460" customWidth="1"/>
    <col min="22" max="22" width="9" style="460" hidden="1" customWidth="1"/>
    <col min="23" max="24" width="9.42578125" style="460" hidden="1" customWidth="1"/>
    <col min="25" max="25" width="9.140625" style="460" customWidth="1"/>
    <col min="26" max="16384" width="9.140625" style="460"/>
  </cols>
  <sheetData>
    <row r="1" spans="1:28" ht="18.75" x14ac:dyDescent="0.3">
      <c r="B1" s="590" t="s">
        <v>13</v>
      </c>
      <c r="C1" s="590"/>
      <c r="D1" s="590"/>
      <c r="E1" s="590"/>
      <c r="F1" s="590"/>
      <c r="G1" s="590"/>
      <c r="H1" s="590"/>
      <c r="I1" s="590"/>
      <c r="J1" s="590"/>
      <c r="K1" s="590"/>
      <c r="L1" s="590"/>
      <c r="M1" s="590"/>
      <c r="N1" s="590"/>
      <c r="O1" s="590"/>
      <c r="P1" s="590"/>
      <c r="Q1" s="590"/>
      <c r="R1" s="590"/>
      <c r="S1" s="590"/>
      <c r="T1" s="590"/>
      <c r="U1" s="590"/>
      <c r="V1" s="590"/>
      <c r="W1" s="590"/>
      <c r="X1" s="590"/>
    </row>
    <row r="2" spans="1:28" x14ac:dyDescent="0.25">
      <c r="B2" s="591" t="str">
        <f>"CÔNG TRÌNH: "  &amp; 'Thông tin'!E5</f>
        <v>CÔNG TRÌNH: Dự án: Quy hoạch chi tiết tỷ lệ 1/500 trung tâm thị trấn Tủa Chùa, huyện Tủa Chùa.</v>
      </c>
      <c r="C2" s="591"/>
      <c r="D2" s="591"/>
      <c r="E2" s="591"/>
      <c r="F2" s="591"/>
      <c r="G2" s="591"/>
      <c r="H2" s="591"/>
      <c r="I2" s="591"/>
      <c r="J2" s="591"/>
      <c r="K2" s="591"/>
      <c r="L2" s="591"/>
      <c r="M2" s="591"/>
      <c r="N2" s="591"/>
      <c r="O2" s="591"/>
      <c r="P2" s="591"/>
      <c r="Q2" s="591"/>
      <c r="R2" s="591"/>
      <c r="S2" s="591"/>
      <c r="T2" s="591"/>
      <c r="U2" s="591"/>
      <c r="V2" s="591"/>
      <c r="W2" s="591"/>
      <c r="X2" s="591"/>
    </row>
    <row r="3" spans="1:28" x14ac:dyDescent="0.25">
      <c r="B3" s="115"/>
      <c r="C3" s="115"/>
      <c r="D3" s="115"/>
      <c r="E3" s="115"/>
      <c r="F3" s="115"/>
      <c r="G3" s="115"/>
      <c r="H3" s="115"/>
      <c r="I3" s="115"/>
      <c r="J3" s="115"/>
      <c r="K3" s="115"/>
      <c r="L3" s="115"/>
      <c r="M3" s="115"/>
      <c r="N3" s="115"/>
      <c r="O3" s="115"/>
      <c r="P3" s="115"/>
      <c r="Q3" s="115"/>
      <c r="R3" s="115"/>
      <c r="S3" s="115"/>
      <c r="T3" s="115"/>
      <c r="U3" s="115"/>
      <c r="V3" s="115"/>
      <c r="W3" s="115"/>
      <c r="X3" s="115"/>
    </row>
    <row r="4" spans="1:28" s="190" customFormat="1" ht="14.25" x14ac:dyDescent="0.25">
      <c r="A4" s="583"/>
      <c r="B4" s="584" t="s">
        <v>306</v>
      </c>
      <c r="C4" s="584" t="s">
        <v>879</v>
      </c>
      <c r="D4" s="584" t="s">
        <v>924</v>
      </c>
      <c r="E4" s="584" t="s">
        <v>351</v>
      </c>
      <c r="F4" s="584" t="s">
        <v>408</v>
      </c>
      <c r="G4" s="584"/>
      <c r="H4" s="584"/>
      <c r="I4" s="584"/>
      <c r="J4" s="584"/>
      <c r="K4" s="584"/>
      <c r="L4" s="592" t="s">
        <v>532</v>
      </c>
      <c r="M4" s="592" t="s">
        <v>357</v>
      </c>
      <c r="N4" s="584" t="s">
        <v>649</v>
      </c>
      <c r="O4" s="584"/>
      <c r="P4" s="584"/>
      <c r="Q4" s="584"/>
      <c r="R4" s="584" t="s">
        <v>97</v>
      </c>
      <c r="S4" s="584"/>
      <c r="T4" s="584"/>
      <c r="U4" s="584"/>
      <c r="V4" s="584" t="s">
        <v>530</v>
      </c>
      <c r="W4" s="584"/>
      <c r="X4" s="584"/>
    </row>
    <row r="5" spans="1:28" s="190" customFormat="1" ht="14.25" x14ac:dyDescent="0.25">
      <c r="A5" s="583"/>
      <c r="B5" s="584"/>
      <c r="C5" s="584"/>
      <c r="D5" s="584"/>
      <c r="E5" s="584"/>
      <c r="F5" s="482" t="s">
        <v>482</v>
      </c>
      <c r="G5" s="482" t="s">
        <v>63</v>
      </c>
      <c r="H5" s="482" t="s">
        <v>70</v>
      </c>
      <c r="I5" s="482" t="s">
        <v>775</v>
      </c>
      <c r="J5" s="482" t="s">
        <v>379</v>
      </c>
      <c r="K5" s="482" t="s">
        <v>125</v>
      </c>
      <c r="L5" s="593"/>
      <c r="M5" s="593"/>
      <c r="N5" s="482" t="s">
        <v>431</v>
      </c>
      <c r="O5" s="482" t="s">
        <v>702</v>
      </c>
      <c r="P5" s="482" t="s">
        <v>236</v>
      </c>
      <c r="Q5" s="482" t="s">
        <v>565</v>
      </c>
      <c r="R5" s="482" t="s">
        <v>431</v>
      </c>
      <c r="S5" s="482" t="s">
        <v>702</v>
      </c>
      <c r="T5" s="482" t="s">
        <v>236</v>
      </c>
      <c r="U5" s="482" t="s">
        <v>565</v>
      </c>
      <c r="V5" s="482" t="s">
        <v>757</v>
      </c>
      <c r="W5" s="482" t="s">
        <v>799</v>
      </c>
      <c r="X5" s="482" t="s">
        <v>112</v>
      </c>
    </row>
    <row r="6" spans="1:28" x14ac:dyDescent="0.25">
      <c r="A6" s="420"/>
      <c r="B6" s="420"/>
      <c r="C6" s="420" t="s">
        <v>691</v>
      </c>
      <c r="D6" s="585" t="s">
        <v>374</v>
      </c>
      <c r="E6" s="585"/>
      <c r="F6" s="585"/>
      <c r="G6" s="585"/>
      <c r="H6" s="585"/>
      <c r="I6" s="585"/>
      <c r="J6" s="585"/>
      <c r="K6" s="585"/>
      <c r="L6" s="585"/>
      <c r="M6" s="585"/>
      <c r="N6" s="585"/>
      <c r="O6" s="585"/>
      <c r="P6" s="585"/>
      <c r="Q6" s="585"/>
      <c r="R6" s="420"/>
      <c r="S6" s="420"/>
      <c r="T6" s="420"/>
      <c r="U6" s="420"/>
      <c r="V6" s="420"/>
      <c r="W6" s="420"/>
      <c r="X6" s="420"/>
      <c r="Y6" s="232"/>
      <c r="Z6" s="232"/>
      <c r="AA6" s="232"/>
    </row>
    <row r="7" spans="1:28" ht="45" x14ac:dyDescent="0.25">
      <c r="A7" s="430"/>
      <c r="B7" s="351">
        <v>1</v>
      </c>
      <c r="C7" s="430" t="s">
        <v>33</v>
      </c>
      <c r="D7" s="184" t="s">
        <v>619</v>
      </c>
      <c r="E7" s="351" t="s">
        <v>119</v>
      </c>
      <c r="F7" s="430"/>
      <c r="G7" s="548">
        <v>0</v>
      </c>
      <c r="H7" s="548">
        <v>0</v>
      </c>
      <c r="I7" s="548">
        <v>0</v>
      </c>
      <c r="J7" s="548">
        <v>0</v>
      </c>
      <c r="K7" s="548">
        <v>0</v>
      </c>
      <c r="L7" s="335">
        <f t="shared" ref="L7:L16" si="0">0</f>
        <v>0</v>
      </c>
      <c r="M7" s="335">
        <v>22</v>
      </c>
      <c r="N7" s="560">
        <f>27715.99*V7</f>
        <v>27715.99</v>
      </c>
      <c r="O7" s="560">
        <f t="shared" ref="O7:O10" si="1">0*V7</f>
        <v>0</v>
      </c>
      <c r="P7" s="560">
        <f>1765314.28*W7</f>
        <v>1765314.28</v>
      </c>
      <c r="Q7" s="560">
        <f>95091.216*X7</f>
        <v>95091.216</v>
      </c>
      <c r="R7" s="560">
        <f t="shared" ref="R7:R10" si="2">M7*N7</f>
        <v>609751.78</v>
      </c>
      <c r="S7" s="560">
        <f t="shared" ref="S7:S10" si="3">M7*O7</f>
        <v>0</v>
      </c>
      <c r="T7" s="560">
        <f t="shared" ref="T7:T10" si="4">M7*P7</f>
        <v>38836914.160000004</v>
      </c>
      <c r="U7" s="560">
        <f t="shared" ref="U7:U10" si="5">M7*Q7</f>
        <v>2092006.7520000001</v>
      </c>
      <c r="V7" s="430">
        <v>1</v>
      </c>
      <c r="W7" s="430">
        <v>1</v>
      </c>
      <c r="X7" s="430">
        <v>1</v>
      </c>
      <c r="Y7" s="232"/>
      <c r="Z7" s="232"/>
      <c r="AA7" s="232"/>
      <c r="AB7" s="210" t="s">
        <v>627</v>
      </c>
    </row>
    <row r="8" spans="1:28" ht="45" x14ac:dyDescent="0.25">
      <c r="A8" s="119"/>
      <c r="B8" s="238">
        <v>2</v>
      </c>
      <c r="C8" s="119" t="s">
        <v>623</v>
      </c>
      <c r="D8" s="465" t="s">
        <v>85</v>
      </c>
      <c r="E8" s="238" t="s">
        <v>546</v>
      </c>
      <c r="F8" s="119"/>
      <c r="G8" s="379">
        <v>0</v>
      </c>
      <c r="H8" s="379">
        <v>0</v>
      </c>
      <c r="I8" s="379">
        <v>0</v>
      </c>
      <c r="J8" s="379">
        <v>0</v>
      </c>
      <c r="K8" s="379">
        <v>0</v>
      </c>
      <c r="L8" s="21">
        <f t="shared" si="0"/>
        <v>0</v>
      </c>
      <c r="M8" s="21">
        <v>10</v>
      </c>
      <c r="N8" s="255">
        <f>3640*V8</f>
        <v>3640</v>
      </c>
      <c r="O8" s="255">
        <f t="shared" si="1"/>
        <v>0</v>
      </c>
      <c r="P8" s="255">
        <f>1000791.64*W8</f>
        <v>1000791.64</v>
      </c>
      <c r="Q8" s="255">
        <f>4518.702*X8</f>
        <v>4518.7020000000002</v>
      </c>
      <c r="R8" s="255">
        <f t="shared" si="2"/>
        <v>36400</v>
      </c>
      <c r="S8" s="255">
        <f t="shared" si="3"/>
        <v>0</v>
      </c>
      <c r="T8" s="255">
        <f t="shared" si="4"/>
        <v>10007916.4</v>
      </c>
      <c r="U8" s="255">
        <f t="shared" si="5"/>
        <v>45187.020000000004</v>
      </c>
      <c r="V8" s="119">
        <v>1</v>
      </c>
      <c r="W8" s="119">
        <v>1</v>
      </c>
      <c r="X8" s="119">
        <v>1</v>
      </c>
      <c r="Y8" s="232"/>
      <c r="Z8" s="232"/>
      <c r="AA8" s="232"/>
      <c r="AB8" s="210" t="s">
        <v>627</v>
      </c>
    </row>
    <row r="9" spans="1:28" ht="75" x14ac:dyDescent="0.25">
      <c r="A9" s="119"/>
      <c r="B9" s="238">
        <v>3</v>
      </c>
      <c r="C9" s="119" t="s">
        <v>51</v>
      </c>
      <c r="D9" s="465" t="s">
        <v>986</v>
      </c>
      <c r="E9" s="238" t="s">
        <v>376</v>
      </c>
      <c r="F9" s="119"/>
      <c r="G9" s="379">
        <v>0</v>
      </c>
      <c r="H9" s="379">
        <v>0</v>
      </c>
      <c r="I9" s="379">
        <v>0</v>
      </c>
      <c r="J9" s="379">
        <v>0</v>
      </c>
      <c r="K9" s="379">
        <v>0</v>
      </c>
      <c r="L9" s="21">
        <f t="shared" si="0"/>
        <v>0</v>
      </c>
      <c r="M9" s="21">
        <v>56</v>
      </c>
      <c r="N9" s="255">
        <f t="shared" ref="N9:N10" si="6">23690*V9</f>
        <v>23690</v>
      </c>
      <c r="O9" s="255">
        <f t="shared" si="1"/>
        <v>0</v>
      </c>
      <c r="P9" s="255">
        <f>2046182.72*W9</f>
        <v>2046182.72</v>
      </c>
      <c r="Q9" s="255">
        <f>152872.225*X9</f>
        <v>152872.22500000001</v>
      </c>
      <c r="R9" s="255">
        <f t="shared" si="2"/>
        <v>1326640</v>
      </c>
      <c r="S9" s="255">
        <f t="shared" si="3"/>
        <v>0</v>
      </c>
      <c r="T9" s="255">
        <f t="shared" si="4"/>
        <v>114586232.31999999</v>
      </c>
      <c r="U9" s="255">
        <f t="shared" si="5"/>
        <v>8560844.5999999996</v>
      </c>
      <c r="V9" s="119">
        <v>1</v>
      </c>
      <c r="W9" s="119">
        <v>1</v>
      </c>
      <c r="X9" s="119">
        <v>1</v>
      </c>
      <c r="Y9" s="232"/>
      <c r="Z9" s="232"/>
      <c r="AA9" s="232"/>
      <c r="AB9" s="210" t="s">
        <v>627</v>
      </c>
    </row>
    <row r="10" spans="1:28" ht="75" x14ac:dyDescent="0.25">
      <c r="A10" s="119"/>
      <c r="B10" s="238">
        <v>4</v>
      </c>
      <c r="C10" s="119" t="s">
        <v>96</v>
      </c>
      <c r="D10" s="465" t="s">
        <v>365</v>
      </c>
      <c r="E10" s="238" t="s">
        <v>376</v>
      </c>
      <c r="F10" s="119"/>
      <c r="G10" s="379">
        <v>0</v>
      </c>
      <c r="H10" s="379">
        <v>0</v>
      </c>
      <c r="I10" s="379">
        <v>0</v>
      </c>
      <c r="J10" s="379">
        <v>0</v>
      </c>
      <c r="K10" s="379">
        <v>0</v>
      </c>
      <c r="L10" s="21">
        <f t="shared" si="0"/>
        <v>0</v>
      </c>
      <c r="M10" s="21">
        <v>130</v>
      </c>
      <c r="N10" s="255">
        <f t="shared" si="6"/>
        <v>23690</v>
      </c>
      <c r="O10" s="255">
        <f t="shared" si="1"/>
        <v>0</v>
      </c>
      <c r="P10" s="255">
        <f>2773930.56*W10</f>
        <v>2773930.56</v>
      </c>
      <c r="Q10" s="255">
        <f>214343.305*X10</f>
        <v>214343.30499999999</v>
      </c>
      <c r="R10" s="255">
        <f t="shared" si="2"/>
        <v>3079700</v>
      </c>
      <c r="S10" s="255">
        <f t="shared" si="3"/>
        <v>0</v>
      </c>
      <c r="T10" s="255">
        <f t="shared" si="4"/>
        <v>360610972.80000001</v>
      </c>
      <c r="U10" s="255">
        <f t="shared" si="5"/>
        <v>27864629.649999999</v>
      </c>
      <c r="V10" s="119">
        <v>1</v>
      </c>
      <c r="W10" s="119">
        <v>1</v>
      </c>
      <c r="X10" s="119">
        <v>1</v>
      </c>
      <c r="Y10" s="232"/>
      <c r="Z10" s="232"/>
      <c r="AA10" s="232"/>
      <c r="AB10" s="210" t="s">
        <v>627</v>
      </c>
    </row>
    <row r="11" spans="1:28" x14ac:dyDescent="0.25">
      <c r="A11" s="484"/>
      <c r="B11" s="17"/>
      <c r="C11" s="484"/>
      <c r="D11" s="242"/>
      <c r="E11" s="17"/>
      <c r="F11" s="484"/>
      <c r="G11" s="21">
        <v>0</v>
      </c>
      <c r="H11" s="21">
        <v>0</v>
      </c>
      <c r="I11" s="21">
        <v>0</v>
      </c>
      <c r="J11" s="21">
        <v>0</v>
      </c>
      <c r="K11" s="21">
        <v>0</v>
      </c>
      <c r="L11" s="21">
        <f t="shared" si="0"/>
        <v>0</v>
      </c>
      <c r="M11" s="21"/>
      <c r="N11" s="485"/>
      <c r="O11" s="485"/>
      <c r="P11" s="485"/>
      <c r="Q11" s="485"/>
      <c r="R11" s="485"/>
      <c r="S11" s="485"/>
      <c r="T11" s="485"/>
      <c r="U11" s="485"/>
      <c r="V11" s="484">
        <v>1</v>
      </c>
      <c r="W11" s="484">
        <v>1</v>
      </c>
      <c r="X11" s="484">
        <v>1</v>
      </c>
      <c r="Y11" s="232"/>
      <c r="Z11" s="232"/>
      <c r="AA11" s="232"/>
    </row>
    <row r="12" spans="1:28" x14ac:dyDescent="0.25">
      <c r="A12" s="484"/>
      <c r="B12" s="17"/>
      <c r="C12" s="484"/>
      <c r="D12" s="242"/>
      <c r="E12" s="17"/>
      <c r="F12" s="484"/>
      <c r="G12" s="21">
        <v>0</v>
      </c>
      <c r="H12" s="21">
        <v>0</v>
      </c>
      <c r="I12" s="21">
        <v>0</v>
      </c>
      <c r="J12" s="21">
        <v>0</v>
      </c>
      <c r="K12" s="21">
        <v>0</v>
      </c>
      <c r="L12" s="21">
        <f t="shared" si="0"/>
        <v>0</v>
      </c>
      <c r="M12" s="21"/>
      <c r="N12" s="485"/>
      <c r="O12" s="485"/>
      <c r="P12" s="485"/>
      <c r="Q12" s="485"/>
      <c r="R12" s="485"/>
      <c r="S12" s="485"/>
      <c r="T12" s="485"/>
      <c r="U12" s="485"/>
      <c r="V12" s="484">
        <v>1</v>
      </c>
      <c r="W12" s="484">
        <v>1</v>
      </c>
      <c r="X12" s="484">
        <v>1</v>
      </c>
      <c r="Y12" s="232"/>
      <c r="Z12" s="232"/>
      <c r="AA12" s="232"/>
    </row>
    <row r="13" spans="1:28" x14ac:dyDescent="0.25">
      <c r="A13" s="484"/>
      <c r="B13" s="17"/>
      <c r="C13" s="484"/>
      <c r="D13" s="242"/>
      <c r="E13" s="17"/>
      <c r="F13" s="484"/>
      <c r="G13" s="21">
        <v>0</v>
      </c>
      <c r="H13" s="21">
        <v>0</v>
      </c>
      <c r="I13" s="21">
        <v>0</v>
      </c>
      <c r="J13" s="21">
        <v>0</v>
      </c>
      <c r="K13" s="21">
        <v>0</v>
      </c>
      <c r="L13" s="21">
        <f t="shared" si="0"/>
        <v>0</v>
      </c>
      <c r="M13" s="21"/>
      <c r="N13" s="485"/>
      <c r="O13" s="485"/>
      <c r="P13" s="485"/>
      <c r="Q13" s="485"/>
      <c r="R13" s="485"/>
      <c r="S13" s="485"/>
      <c r="T13" s="485"/>
      <c r="U13" s="485"/>
      <c r="V13" s="484">
        <v>1</v>
      </c>
      <c r="W13" s="484">
        <v>1</v>
      </c>
      <c r="X13" s="484">
        <v>1</v>
      </c>
      <c r="Y13" s="232"/>
      <c r="Z13" s="232"/>
      <c r="AA13" s="232"/>
    </row>
    <row r="14" spans="1:28" x14ac:dyDescent="0.25">
      <c r="A14" s="484"/>
      <c r="B14" s="17"/>
      <c r="C14" s="484"/>
      <c r="D14" s="242"/>
      <c r="E14" s="17"/>
      <c r="F14" s="484"/>
      <c r="G14" s="21">
        <v>0</v>
      </c>
      <c r="H14" s="21">
        <v>0</v>
      </c>
      <c r="I14" s="21">
        <v>0</v>
      </c>
      <c r="J14" s="21">
        <v>0</v>
      </c>
      <c r="K14" s="21">
        <v>0</v>
      </c>
      <c r="L14" s="21">
        <f t="shared" si="0"/>
        <v>0</v>
      </c>
      <c r="M14" s="21"/>
      <c r="N14" s="485"/>
      <c r="O14" s="485"/>
      <c r="P14" s="485"/>
      <c r="Q14" s="485"/>
      <c r="R14" s="485"/>
      <c r="S14" s="485"/>
      <c r="T14" s="485"/>
      <c r="U14" s="485"/>
      <c r="V14" s="484">
        <v>1</v>
      </c>
      <c r="W14" s="484">
        <v>1</v>
      </c>
      <c r="X14" s="484">
        <v>1</v>
      </c>
      <c r="Y14" s="232"/>
      <c r="Z14" s="232"/>
      <c r="AA14" s="232"/>
    </row>
    <row r="15" spans="1:28" x14ac:dyDescent="0.25">
      <c r="A15" s="484"/>
      <c r="B15" s="17"/>
      <c r="C15" s="484"/>
      <c r="D15" s="242"/>
      <c r="E15" s="17"/>
      <c r="F15" s="484"/>
      <c r="G15" s="21">
        <v>0</v>
      </c>
      <c r="H15" s="21">
        <v>0</v>
      </c>
      <c r="I15" s="21">
        <v>0</v>
      </c>
      <c r="J15" s="21">
        <v>0</v>
      </c>
      <c r="K15" s="21">
        <v>0</v>
      </c>
      <c r="L15" s="21">
        <f t="shared" si="0"/>
        <v>0</v>
      </c>
      <c r="M15" s="21"/>
      <c r="N15" s="485"/>
      <c r="O15" s="485"/>
      <c r="P15" s="485"/>
      <c r="Q15" s="485"/>
      <c r="R15" s="485"/>
      <c r="S15" s="485"/>
      <c r="T15" s="485"/>
      <c r="U15" s="485"/>
      <c r="V15" s="484">
        <v>1</v>
      </c>
      <c r="W15" s="484">
        <v>1</v>
      </c>
      <c r="X15" s="484">
        <v>1</v>
      </c>
      <c r="Y15" s="232"/>
      <c r="Z15" s="232"/>
      <c r="AA15" s="232"/>
    </row>
    <row r="16" spans="1:28" x14ac:dyDescent="0.25">
      <c r="A16" s="484"/>
      <c r="B16" s="17"/>
      <c r="C16" s="484"/>
      <c r="D16" s="242"/>
      <c r="E16" s="17"/>
      <c r="F16" s="484"/>
      <c r="G16" s="21">
        <v>0</v>
      </c>
      <c r="H16" s="21">
        <v>0</v>
      </c>
      <c r="I16" s="21">
        <v>0</v>
      </c>
      <c r="J16" s="21">
        <v>0</v>
      </c>
      <c r="K16" s="21">
        <v>0</v>
      </c>
      <c r="L16" s="21">
        <f t="shared" si="0"/>
        <v>0</v>
      </c>
      <c r="M16" s="21"/>
      <c r="N16" s="485"/>
      <c r="O16" s="485"/>
      <c r="P16" s="485"/>
      <c r="Q16" s="485"/>
      <c r="R16" s="485"/>
      <c r="S16" s="485"/>
      <c r="T16" s="485"/>
      <c r="U16" s="485"/>
      <c r="V16" s="484">
        <v>1</v>
      </c>
      <c r="W16" s="484">
        <v>1</v>
      </c>
      <c r="X16" s="484">
        <v>1</v>
      </c>
      <c r="Y16" s="232"/>
      <c r="Z16" s="232"/>
      <c r="AA16" s="232"/>
    </row>
    <row r="17" spans="1:24" x14ac:dyDescent="0.25">
      <c r="A17" s="24"/>
      <c r="B17" s="29"/>
      <c r="C17" s="24" t="s">
        <v>135</v>
      </c>
      <c r="D17" s="586" t="s">
        <v>473</v>
      </c>
      <c r="E17" s="587"/>
      <c r="F17" s="586"/>
      <c r="G17" s="588"/>
      <c r="H17" s="588"/>
      <c r="I17" s="588"/>
      <c r="J17" s="588"/>
      <c r="K17" s="588"/>
      <c r="L17" s="588"/>
      <c r="M17" s="588"/>
      <c r="N17" s="589"/>
      <c r="O17" s="589"/>
      <c r="P17" s="589"/>
      <c r="Q17" s="589"/>
      <c r="R17" s="143">
        <f>SUMIF(B7:B16,"&gt;0",R7:R16)</f>
        <v>5052491.78</v>
      </c>
      <c r="S17" s="143">
        <f>SUMIF(B7:B16,"&gt;0",S7:S16)</f>
        <v>0</v>
      </c>
      <c r="T17" s="143">
        <f>SUMIF(B7:B16,"&gt;0",T7:T16)</f>
        <v>524042035.68000001</v>
      </c>
      <c r="U17" s="143">
        <f>SUMIF(B7:B16,"&gt;0",U7:U16)</f>
        <v>38562668.022</v>
      </c>
      <c r="V17" s="24"/>
      <c r="W17" s="24"/>
      <c r="X17" s="24"/>
    </row>
    <row r="18" spans="1:24" x14ac:dyDescent="0.25">
      <c r="N18" s="5"/>
      <c r="O18" s="5"/>
      <c r="P18" s="5"/>
      <c r="Q18" s="5"/>
      <c r="R18" s="5"/>
      <c r="S18" s="5"/>
      <c r="T18" s="5"/>
      <c r="U18" s="5"/>
    </row>
  </sheetData>
  <mergeCells count="15">
    <mergeCell ref="D6:Q6"/>
    <mergeCell ref="D17:Q17"/>
    <mergeCell ref="V4:X4"/>
    <mergeCell ref="B1:X1"/>
    <mergeCell ref="B2:X2"/>
    <mergeCell ref="F4:K4"/>
    <mergeCell ref="L4:L5"/>
    <mergeCell ref="M4:M5"/>
    <mergeCell ref="N4:Q4"/>
    <mergeCell ref="R4:U4"/>
    <mergeCell ref="A4:A5"/>
    <mergeCell ref="B4:B5"/>
    <mergeCell ref="C4:C5"/>
    <mergeCell ref="D4:D5"/>
    <mergeCell ref="E4:E5"/>
  </mergeCells>
  <conditionalFormatting sqref="V6:X6">
    <cfRule type="cellIs" dxfId="16" priority="1" stopIfTrue="1" operator="equal">
      <formula>1</formula>
    </cfRule>
  </conditionalFormatting>
  <conditionalFormatting sqref="V7:V18">
    <cfRule type="cellIs" dxfId="15" priority="2" stopIfTrue="1" operator="equal">
      <formula>1</formula>
    </cfRule>
  </conditionalFormatting>
  <conditionalFormatting sqref="W7:W18">
    <cfRule type="cellIs" dxfId="14" priority="3" stopIfTrue="1" operator="equal">
      <formula>1</formula>
    </cfRule>
  </conditionalFormatting>
  <conditionalFormatting sqref="X7:X18">
    <cfRule type="cellIs" dxfId="13" priority="4" stopIfTrue="1" operator="equal">
      <formula>1</formula>
    </cfRule>
  </conditionalFormatting>
  <pageMargins left="0.75" right="0.75" top="0.79" bottom="0.79" header="0.3" footer="0.3"/>
  <pageSetup paperSize="9" scale="85" orientation="landscape" useFirstPageNumber="1" horizontalDpi="65532"/>
  <headerFooter>
    <oddFooter>&amp;CTrang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5"/>
  </sheetPr>
  <dimension ref="A1:O7"/>
  <sheetViews>
    <sheetView showZeros="0" topLeftCell="B1" workbookViewId="0">
      <selection activeCell="E12" sqref="E12"/>
    </sheetView>
  </sheetViews>
  <sheetFormatPr defaultColWidth="9.140625" defaultRowHeight="15" x14ac:dyDescent="0.25"/>
  <cols>
    <col min="1" max="1" width="2.28515625" style="460" hidden="1" customWidth="1"/>
    <col min="2" max="2" width="4.7109375" style="460" bestFit="1" customWidth="1"/>
    <col min="3" max="3" width="6.7109375" style="460" bestFit="1" customWidth="1"/>
    <col min="4" max="4" width="9.42578125" style="460" hidden="1" customWidth="1"/>
    <col min="5" max="5" width="41.5703125" style="460" customWidth="1"/>
    <col min="6" max="6" width="10.5703125" style="460" customWidth="1"/>
    <col min="7" max="8" width="9.5703125" style="460" customWidth="1"/>
    <col min="9" max="9" width="10.7109375" style="460" hidden="1" customWidth="1"/>
    <col min="10" max="10" width="13.140625" style="460" hidden="1" customWidth="1"/>
    <col min="11" max="11" width="9.42578125" style="460" hidden="1" customWidth="1"/>
    <col min="12" max="12" width="9" style="460" hidden="1" customWidth="1"/>
    <col min="13" max="13" width="12.5703125" style="460" hidden="1" customWidth="1"/>
    <col min="14" max="14" width="12.85546875" style="460" hidden="1" customWidth="1"/>
    <col min="15" max="15" width="14.85546875" style="460" hidden="1" customWidth="1"/>
    <col min="16" max="16" width="9.140625" style="460" customWidth="1"/>
    <col min="17" max="16384" width="9.140625" style="460"/>
  </cols>
  <sheetData>
    <row r="1" spans="1:15" ht="18.75" x14ac:dyDescent="0.3">
      <c r="B1" s="590" t="s">
        <v>676</v>
      </c>
      <c r="C1" s="590"/>
      <c r="D1" s="590"/>
      <c r="E1" s="590"/>
      <c r="F1" s="590"/>
      <c r="G1" s="590"/>
      <c r="H1" s="590"/>
      <c r="I1" s="590"/>
      <c r="J1" s="590"/>
      <c r="K1" s="590"/>
      <c r="L1" s="590"/>
      <c r="M1" s="590"/>
      <c r="N1" s="590"/>
      <c r="O1" s="590"/>
    </row>
    <row r="2" spans="1:15" x14ac:dyDescent="0.25">
      <c r="B2" s="594" t="s">
        <v>159</v>
      </c>
      <c r="C2" s="594"/>
      <c r="D2" s="594"/>
      <c r="E2" s="594"/>
      <c r="F2" s="594"/>
      <c r="G2" s="594"/>
      <c r="H2" s="594"/>
      <c r="I2" s="594"/>
      <c r="J2" s="594"/>
      <c r="K2" s="594"/>
      <c r="L2" s="594"/>
      <c r="M2" s="594"/>
      <c r="N2" s="594"/>
      <c r="O2" s="594"/>
    </row>
    <row r="3" spans="1:15" x14ac:dyDescent="0.25">
      <c r="B3" s="604" t="s">
        <v>350</v>
      </c>
      <c r="C3" s="604"/>
      <c r="D3" s="604"/>
      <c r="E3" s="604"/>
      <c r="F3" s="604"/>
      <c r="G3" s="604"/>
      <c r="H3" s="604"/>
      <c r="I3" s="604"/>
      <c r="J3" s="604"/>
      <c r="K3" s="604"/>
      <c r="L3" s="604"/>
      <c r="M3" s="604"/>
      <c r="N3" s="604"/>
      <c r="O3" s="604"/>
    </row>
    <row r="4" spans="1:15" ht="20.25" customHeight="1" x14ac:dyDescent="0.25">
      <c r="B4" s="416" t="s">
        <v>306</v>
      </c>
      <c r="C4" s="416" t="s">
        <v>312</v>
      </c>
      <c r="D4" s="416"/>
      <c r="E4" s="416" t="s">
        <v>583</v>
      </c>
      <c r="F4" s="416" t="s">
        <v>351</v>
      </c>
      <c r="G4" s="416" t="s">
        <v>723</v>
      </c>
      <c r="H4" s="416" t="s">
        <v>427</v>
      </c>
      <c r="I4" s="416" t="s">
        <v>764</v>
      </c>
      <c r="J4" s="416" t="s">
        <v>448</v>
      </c>
      <c r="K4" s="416" t="s">
        <v>595</v>
      </c>
      <c r="L4" s="416" t="s">
        <v>883</v>
      </c>
      <c r="M4" s="416" t="s">
        <v>187</v>
      </c>
      <c r="N4" s="416" t="s">
        <v>270</v>
      </c>
      <c r="O4" s="416" t="s">
        <v>670</v>
      </c>
    </row>
    <row r="5" spans="1:15" x14ac:dyDescent="0.25">
      <c r="A5" s="356"/>
      <c r="B5" s="365">
        <v>1</v>
      </c>
      <c r="C5" s="356" t="s">
        <v>188</v>
      </c>
      <c r="D5" s="356"/>
      <c r="E5" s="356" t="s">
        <v>863</v>
      </c>
      <c r="F5" s="365" t="s">
        <v>560</v>
      </c>
      <c r="G5" s="82">
        <v>14767</v>
      </c>
      <c r="H5" s="278">
        <v>14767</v>
      </c>
      <c r="I5" s="225">
        <v>1</v>
      </c>
      <c r="J5" s="478">
        <f t="shared" ref="J5:J7" si="0">H5*I5</f>
        <v>14767</v>
      </c>
      <c r="K5" s="478">
        <v>0</v>
      </c>
      <c r="L5" s="478">
        <v>0</v>
      </c>
      <c r="M5" s="478">
        <v>0</v>
      </c>
      <c r="N5" s="478">
        <f t="shared" ref="N5:N7" si="1">SUM(K5:M5)</f>
        <v>0</v>
      </c>
      <c r="O5" s="478">
        <f t="shared" ref="O5:O7" si="2">H5</f>
        <v>14767</v>
      </c>
    </row>
    <row r="6" spans="1:15" x14ac:dyDescent="0.25">
      <c r="A6" s="152"/>
      <c r="B6" s="156">
        <v>2</v>
      </c>
      <c r="C6" s="152" t="s">
        <v>153</v>
      </c>
      <c r="D6" s="152"/>
      <c r="E6" s="152" t="s">
        <v>11</v>
      </c>
      <c r="F6" s="156" t="s">
        <v>560</v>
      </c>
      <c r="G6" s="371">
        <v>147060</v>
      </c>
      <c r="H6" s="545">
        <v>147060</v>
      </c>
      <c r="I6" s="500">
        <v>1</v>
      </c>
      <c r="J6" s="297">
        <f t="shared" si="0"/>
        <v>147060</v>
      </c>
      <c r="K6" s="297">
        <v>0</v>
      </c>
      <c r="L6" s="297">
        <v>0</v>
      </c>
      <c r="M6" s="297">
        <v>0</v>
      </c>
      <c r="N6" s="297">
        <f t="shared" si="1"/>
        <v>0</v>
      </c>
      <c r="O6" s="297">
        <f t="shared" si="2"/>
        <v>147060</v>
      </c>
    </row>
    <row r="7" spans="1:15" x14ac:dyDescent="0.25">
      <c r="A7" s="439"/>
      <c r="B7" s="447">
        <v>3</v>
      </c>
      <c r="C7" s="439" t="s">
        <v>996</v>
      </c>
      <c r="D7" s="439"/>
      <c r="E7" s="439" t="s">
        <v>418</v>
      </c>
      <c r="F7" s="447" t="s">
        <v>560</v>
      </c>
      <c r="G7" s="173">
        <v>540291</v>
      </c>
      <c r="H7" s="384">
        <v>540291</v>
      </c>
      <c r="I7" s="324">
        <v>1</v>
      </c>
      <c r="J7" s="567">
        <f t="shared" si="0"/>
        <v>540291</v>
      </c>
      <c r="K7" s="567">
        <v>0</v>
      </c>
      <c r="L7" s="567">
        <v>0</v>
      </c>
      <c r="M7" s="567">
        <v>0</v>
      </c>
      <c r="N7" s="567">
        <f t="shared" si="1"/>
        <v>0</v>
      </c>
      <c r="O7" s="567">
        <f t="shared" si="2"/>
        <v>540291</v>
      </c>
    </row>
  </sheetData>
  <mergeCells count="3">
    <mergeCell ref="B1:O1"/>
    <mergeCell ref="B2:O2"/>
    <mergeCell ref="B3:O3"/>
  </mergeCells>
  <conditionalFormatting sqref="I5:I8">
    <cfRule type="cellIs" dxfId="6" priority="1" stopIfTrue="1" operator="equal">
      <formula>1</formula>
    </cfRule>
  </conditionalFormatting>
  <conditionalFormatting sqref="G5:G7">
    <cfRule type="cellIs" dxfId="5" priority="2" stopIfTrue="1" operator="equal">
      <formula>0</formula>
    </cfRule>
  </conditionalFormatting>
  <conditionalFormatting sqref="H5:H7">
    <cfRule type="cellIs" dxfId="4" priority="3" stopIfTrue="1" operator="equal">
      <formula>0</formula>
    </cfRule>
  </conditionalFormatting>
  <pageMargins left="0.75" right="0.75" top="0.79" bottom="0.79" header="0.3" footer="0.3"/>
  <pageSetup paperSize="9" orientation="portrait" useFirstPageNumber="1" horizontalDpi="65532"/>
  <headerFooter>
    <oddFooter>&amp;CTrang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5"/>
  </sheetPr>
  <dimension ref="A1:AH21"/>
  <sheetViews>
    <sheetView showZeros="0" topLeftCell="B1" workbookViewId="0">
      <selection activeCell="E6" sqref="E6"/>
    </sheetView>
  </sheetViews>
  <sheetFormatPr defaultColWidth="9.140625" defaultRowHeight="15" x14ac:dyDescent="0.25"/>
  <cols>
    <col min="1" max="1" width="4.85546875" style="460" hidden="1" customWidth="1"/>
    <col min="2" max="2" width="4.7109375" style="460" bestFit="1" customWidth="1"/>
    <col min="3" max="3" width="8" style="460" bestFit="1" customWidth="1"/>
    <col min="4" max="4" width="10.28515625" style="460" hidden="1" customWidth="1"/>
    <col min="5" max="5" width="42.85546875" style="460" customWidth="1"/>
    <col min="6" max="6" width="8.85546875" style="460" customWidth="1"/>
    <col min="7" max="7" width="9.5703125" style="460" hidden="1" customWidth="1"/>
    <col min="8" max="8" width="10" style="460" hidden="1" customWidth="1"/>
    <col min="9" max="9" width="9.140625" style="460" hidden="1" customWidth="1"/>
    <col min="10" max="11" width="12.85546875" style="460" customWidth="1"/>
    <col min="12" max="12" width="14.5703125" style="460" hidden="1" customWidth="1"/>
    <col min="13" max="13" width="9.42578125" style="460" hidden="1" customWidth="1"/>
    <col min="14" max="15" width="12.5703125" style="460" hidden="1" customWidth="1"/>
    <col min="16" max="16" width="12.42578125" style="460" hidden="1" customWidth="1"/>
    <col min="17" max="17" width="9.140625" style="460" hidden="1" customWidth="1"/>
    <col min="18" max="18" width="12.28515625" style="460" hidden="1" customWidth="1"/>
    <col min="19" max="19" width="11.7109375" style="460" hidden="1" customWidth="1"/>
    <col min="20" max="20" width="11.85546875" style="460" hidden="1" customWidth="1"/>
    <col min="21" max="21" width="13.5703125" style="460" hidden="1" customWidth="1"/>
    <col min="22" max="22" width="9.85546875" style="460" hidden="1" customWidth="1"/>
    <col min="23" max="23" width="12.140625" style="460" hidden="1" customWidth="1"/>
    <col min="24" max="24" width="12.85546875" style="460" customWidth="1"/>
    <col min="25" max="25" width="13.5703125" style="460" hidden="1" customWidth="1"/>
    <col min="26" max="27" width="12.85546875" style="460" customWidth="1"/>
    <col min="28" max="34" width="9.140625" style="460" hidden="1" customWidth="1"/>
    <col min="35" max="35" width="9.140625" style="460" customWidth="1"/>
    <col min="36" max="16384" width="9.140625" style="460"/>
  </cols>
  <sheetData>
    <row r="1" spans="1:27" ht="18.75" x14ac:dyDescent="0.3">
      <c r="A1" s="590" t="s">
        <v>255</v>
      </c>
      <c r="B1" s="590" t="s">
        <v>255</v>
      </c>
      <c r="C1" s="590" t="s">
        <v>255</v>
      </c>
      <c r="D1" s="590" t="s">
        <v>255</v>
      </c>
      <c r="E1" s="590" t="s">
        <v>255</v>
      </c>
      <c r="F1" s="590" t="s">
        <v>255</v>
      </c>
      <c r="G1" s="590" t="s">
        <v>255</v>
      </c>
      <c r="H1" s="590" t="s">
        <v>255</v>
      </c>
      <c r="I1" s="590" t="s">
        <v>255</v>
      </c>
      <c r="J1" s="590" t="s">
        <v>255</v>
      </c>
      <c r="K1" s="590" t="s">
        <v>255</v>
      </c>
      <c r="L1" s="590" t="s">
        <v>255</v>
      </c>
      <c r="M1" s="590" t="s">
        <v>255</v>
      </c>
      <c r="N1" s="590" t="s">
        <v>255</v>
      </c>
      <c r="O1" s="590" t="s">
        <v>255</v>
      </c>
      <c r="P1" s="590" t="s">
        <v>255</v>
      </c>
      <c r="Q1" s="590" t="s">
        <v>255</v>
      </c>
      <c r="R1" s="590" t="s">
        <v>255</v>
      </c>
      <c r="S1" s="590" t="s">
        <v>255</v>
      </c>
      <c r="T1" s="590" t="s">
        <v>255</v>
      </c>
      <c r="U1" s="590" t="s">
        <v>255</v>
      </c>
      <c r="V1" s="590" t="s">
        <v>255</v>
      </c>
      <c r="W1" s="590" t="s">
        <v>255</v>
      </c>
      <c r="X1" s="590" t="s">
        <v>255</v>
      </c>
      <c r="Y1" s="590" t="s">
        <v>255</v>
      </c>
      <c r="Z1" s="590" t="s">
        <v>255</v>
      </c>
      <c r="AA1" s="590" t="s">
        <v>255</v>
      </c>
    </row>
    <row r="2" spans="1:27" x14ac:dyDescent="0.25">
      <c r="A2" s="591" t="s">
        <v>471</v>
      </c>
      <c r="B2" s="591" t="s">
        <v>471</v>
      </c>
      <c r="C2" s="591" t="s">
        <v>471</v>
      </c>
      <c r="D2" s="591" t="s">
        <v>471</v>
      </c>
      <c r="E2" s="591" t="s">
        <v>471</v>
      </c>
      <c r="F2" s="591" t="s">
        <v>471</v>
      </c>
      <c r="G2" s="591" t="s">
        <v>471</v>
      </c>
      <c r="H2" s="591" t="s">
        <v>471</v>
      </c>
      <c r="I2" s="591" t="s">
        <v>471</v>
      </c>
      <c r="J2" s="591" t="s">
        <v>471</v>
      </c>
      <c r="K2" s="591" t="s">
        <v>471</v>
      </c>
      <c r="L2" s="591" t="s">
        <v>471</v>
      </c>
      <c r="M2" s="591" t="s">
        <v>471</v>
      </c>
      <c r="N2" s="591" t="s">
        <v>471</v>
      </c>
      <c r="O2" s="591" t="s">
        <v>471</v>
      </c>
      <c r="P2" s="591" t="s">
        <v>471</v>
      </c>
      <c r="Q2" s="591" t="s">
        <v>471</v>
      </c>
      <c r="R2" s="591" t="s">
        <v>471</v>
      </c>
      <c r="S2" s="591" t="s">
        <v>471</v>
      </c>
      <c r="T2" s="591" t="s">
        <v>471</v>
      </c>
      <c r="U2" s="591" t="s">
        <v>471</v>
      </c>
      <c r="V2" s="591" t="s">
        <v>471</v>
      </c>
      <c r="W2" s="591" t="s">
        <v>471</v>
      </c>
      <c r="X2" s="591" t="s">
        <v>471</v>
      </c>
      <c r="Y2" s="591" t="s">
        <v>471</v>
      </c>
      <c r="Z2" s="591" t="s">
        <v>471</v>
      </c>
      <c r="AA2" s="591" t="s">
        <v>471</v>
      </c>
    </row>
    <row r="3" spans="1:27" x14ac:dyDescent="0.25">
      <c r="A3" s="591" t="s">
        <v>813</v>
      </c>
      <c r="B3" s="591" t="s">
        <v>813</v>
      </c>
      <c r="C3" s="591" t="s">
        <v>813</v>
      </c>
      <c r="D3" s="591" t="s">
        <v>813</v>
      </c>
      <c r="E3" s="591" t="s">
        <v>813</v>
      </c>
      <c r="F3" s="591" t="s">
        <v>813</v>
      </c>
      <c r="G3" s="591" t="s">
        <v>813</v>
      </c>
      <c r="H3" s="591" t="s">
        <v>813</v>
      </c>
      <c r="I3" s="591" t="s">
        <v>813</v>
      </c>
      <c r="J3" s="591" t="s">
        <v>813</v>
      </c>
      <c r="K3" s="591" t="s">
        <v>813</v>
      </c>
      <c r="L3" s="591" t="s">
        <v>813</v>
      </c>
      <c r="M3" s="591" t="s">
        <v>813</v>
      </c>
      <c r="N3" s="591" t="s">
        <v>813</v>
      </c>
      <c r="O3" s="591" t="s">
        <v>813</v>
      </c>
      <c r="P3" s="591" t="s">
        <v>813</v>
      </c>
      <c r="Q3" s="591" t="s">
        <v>813</v>
      </c>
      <c r="R3" s="591" t="s">
        <v>813</v>
      </c>
      <c r="S3" s="591" t="s">
        <v>813</v>
      </c>
      <c r="T3" s="591" t="s">
        <v>813</v>
      </c>
      <c r="U3" s="591" t="s">
        <v>813</v>
      </c>
      <c r="V3" s="591" t="s">
        <v>813</v>
      </c>
      <c r="W3" s="591" t="s">
        <v>813</v>
      </c>
      <c r="X3" s="591" t="s">
        <v>813</v>
      </c>
      <c r="Y3" s="591" t="s">
        <v>813</v>
      </c>
      <c r="Z3" s="591" t="s">
        <v>813</v>
      </c>
      <c r="AA3" s="591" t="s">
        <v>813</v>
      </c>
    </row>
    <row r="4" spans="1:27" x14ac:dyDescent="0.25">
      <c r="A4" s="517"/>
      <c r="B4" s="584" t="s">
        <v>306</v>
      </c>
      <c r="C4" s="584" t="s">
        <v>587</v>
      </c>
      <c r="D4" s="482"/>
      <c r="E4" s="584" t="s">
        <v>731</v>
      </c>
      <c r="F4" s="584" t="s">
        <v>891</v>
      </c>
      <c r="G4" s="584" t="s">
        <v>572</v>
      </c>
      <c r="H4" s="584" t="s">
        <v>975</v>
      </c>
      <c r="I4" s="584" t="s">
        <v>764</v>
      </c>
      <c r="J4" s="584" t="s">
        <v>4</v>
      </c>
      <c r="K4" s="584" t="s">
        <v>723</v>
      </c>
      <c r="L4" s="584" t="s">
        <v>97</v>
      </c>
      <c r="M4" s="584" t="s">
        <v>47</v>
      </c>
      <c r="N4" s="584" t="s">
        <v>97</v>
      </c>
      <c r="O4" s="584" t="s">
        <v>782</v>
      </c>
      <c r="P4" s="584" t="s">
        <v>97</v>
      </c>
      <c r="Q4" s="584" t="s">
        <v>764</v>
      </c>
      <c r="R4" s="584" t="s">
        <v>448</v>
      </c>
      <c r="S4" s="584" t="s">
        <v>97</v>
      </c>
      <c r="T4" s="584" t="s">
        <v>782</v>
      </c>
      <c r="U4" s="584" t="s">
        <v>97</v>
      </c>
      <c r="V4" s="584" t="s">
        <v>270</v>
      </c>
      <c r="W4" s="584" t="s">
        <v>97</v>
      </c>
      <c r="X4" s="584" t="s">
        <v>670</v>
      </c>
      <c r="Y4" s="584" t="s">
        <v>97</v>
      </c>
      <c r="Z4" s="584" t="s">
        <v>782</v>
      </c>
      <c r="AA4" s="584" t="s">
        <v>97</v>
      </c>
    </row>
    <row r="5" spans="1:27" ht="7.15" customHeight="1" x14ac:dyDescent="0.25">
      <c r="A5" s="517"/>
      <c r="B5" s="584"/>
      <c r="C5" s="584"/>
      <c r="D5" s="482"/>
      <c r="E5" s="584"/>
      <c r="F5" s="584"/>
      <c r="G5" s="584" t="s">
        <v>572</v>
      </c>
      <c r="H5" s="584" t="s">
        <v>975</v>
      </c>
      <c r="I5" s="584" t="s">
        <v>764</v>
      </c>
      <c r="J5" s="584" t="s">
        <v>4</v>
      </c>
      <c r="K5" s="584"/>
      <c r="L5" s="584"/>
      <c r="M5" s="584"/>
      <c r="N5" s="584"/>
      <c r="O5" s="584"/>
      <c r="P5" s="584"/>
      <c r="Q5" s="584"/>
      <c r="R5" s="584"/>
      <c r="S5" s="584"/>
      <c r="T5" s="584"/>
      <c r="U5" s="584"/>
      <c r="V5" s="584"/>
      <c r="W5" s="584"/>
      <c r="X5" s="584"/>
      <c r="Y5" s="584"/>
      <c r="Z5" s="584"/>
      <c r="AA5" s="584"/>
    </row>
    <row r="6" spans="1:27" x14ac:dyDescent="0.25">
      <c r="A6" s="37" t="s">
        <v>207</v>
      </c>
      <c r="B6" s="234">
        <v>1</v>
      </c>
      <c r="C6" s="37" t="s">
        <v>188</v>
      </c>
      <c r="D6" s="37">
        <f>'Giá Máy'!D5</f>
        <v>0</v>
      </c>
      <c r="E6" s="458" t="str">
        <f>'Giá Máy'!E5</f>
        <v>Máy thủy bình điện tử</v>
      </c>
      <c r="F6" s="234" t="s">
        <v>560</v>
      </c>
      <c r="G6" s="41"/>
      <c r="H6" s="41"/>
      <c r="I6" s="41"/>
      <c r="J6" s="131">
        <f>SUM(J7:J9)</f>
        <v>12.3</v>
      </c>
      <c r="K6" s="77">
        <f>'Giá Máy'!G5</f>
        <v>14767</v>
      </c>
      <c r="L6" s="77">
        <f>J6*K6</f>
        <v>181634.1</v>
      </c>
      <c r="M6" s="77">
        <f>'Giá Máy'!H5</f>
        <v>14767</v>
      </c>
      <c r="N6" s="77">
        <f>J6*M6</f>
        <v>181634.1</v>
      </c>
      <c r="O6" s="77">
        <f>M6-K6</f>
        <v>0</v>
      </c>
      <c r="P6" s="77">
        <f>J6*O6</f>
        <v>0</v>
      </c>
      <c r="Q6" s="77">
        <v>1</v>
      </c>
      <c r="R6" s="77">
        <f>M6*Q6</f>
        <v>14767</v>
      </c>
      <c r="S6" s="77">
        <f>J6*R6</f>
        <v>181634.1</v>
      </c>
      <c r="T6" s="77">
        <v>0</v>
      </c>
      <c r="U6" s="77">
        <v>0</v>
      </c>
      <c r="V6" s="77">
        <f>'Giá Máy'!N5</f>
        <v>0</v>
      </c>
      <c r="W6" s="77">
        <f>J6*V6</f>
        <v>0</v>
      </c>
      <c r="X6" s="77">
        <f>'Giá Máy'!O5</f>
        <v>14767</v>
      </c>
      <c r="Y6" s="77">
        <f>J6*X6</f>
        <v>181634.1</v>
      </c>
      <c r="Z6" s="77">
        <f>X6-K6</f>
        <v>0</v>
      </c>
      <c r="AA6" s="77">
        <f>J6*Z6</f>
        <v>0</v>
      </c>
    </row>
    <row r="7" spans="1:27" s="192" customFormat="1" ht="30" hidden="1" x14ac:dyDescent="0.25">
      <c r="A7" s="258"/>
      <c r="B7" s="383"/>
      <c r="C7" s="258" t="str">
        <f>'Tiên lượng'!C8</f>
        <v>CG.11330</v>
      </c>
      <c r="D7" s="258"/>
      <c r="E7" s="9" t="str">
        <f>'Tiên lượng'!D8</f>
        <v>Công tác đo khống chế cao, thủy chuẩn kỹ thuật, cấp địa hình III</v>
      </c>
      <c r="F7" s="383" t="str">
        <f>'Tiên lượng'!E8</f>
        <v>km</v>
      </c>
      <c r="G7" s="166">
        <f>'Tiên lượng'!M8</f>
        <v>10</v>
      </c>
      <c r="H7" s="166">
        <f>PTVT!G29</f>
        <v>0.3</v>
      </c>
      <c r="I7" s="166">
        <f>'Tiên lượng'!X8</f>
        <v>1</v>
      </c>
      <c r="J7" s="139">
        <f t="shared" ref="J7:J9" si="0">PRODUCT(G7,H7,I7)</f>
        <v>3</v>
      </c>
      <c r="K7" s="88"/>
      <c r="L7" s="88"/>
      <c r="M7" s="88"/>
      <c r="N7" s="88"/>
      <c r="O7" s="88"/>
      <c r="P7" s="88"/>
      <c r="Q7" s="88"/>
      <c r="R7" s="88"/>
      <c r="S7" s="88"/>
      <c r="T7" s="88"/>
      <c r="U7" s="88"/>
      <c r="V7" s="88"/>
      <c r="W7" s="88"/>
      <c r="X7" s="88"/>
      <c r="Y7" s="88"/>
      <c r="Z7" s="88"/>
      <c r="AA7" s="88"/>
    </row>
    <row r="8" spans="1:27" s="192" customFormat="1" ht="60" hidden="1" x14ac:dyDescent="0.25">
      <c r="A8" s="258"/>
      <c r="B8" s="383"/>
      <c r="C8" s="258" t="str">
        <f>'Tiên lượng'!C9</f>
        <v>CK.11430</v>
      </c>
      <c r="D8" s="258"/>
      <c r="E8" s="9" t="str">
        <f>'Tiên lượng'!D9</f>
        <v>Đo vẽ chi tiết bản đồ địa hình trên cạn bằng  máy toàn đạc điện tử và máy thủy bình điện tử; bản đồ tỷ lệ 1/500, đường đồng mức 1m, cấp địa hình III</v>
      </c>
      <c r="F8" s="383" t="str">
        <f>'Tiên lượng'!E9</f>
        <v>1 ha</v>
      </c>
      <c r="G8" s="166">
        <f>'Tiên lượng'!M9</f>
        <v>56</v>
      </c>
      <c r="H8" s="166">
        <f>PTVT!G41</f>
        <v>0.05</v>
      </c>
      <c r="I8" s="166">
        <f>'Tiên lượng'!X9</f>
        <v>1</v>
      </c>
      <c r="J8" s="139">
        <f t="shared" si="0"/>
        <v>2.8000000000000003</v>
      </c>
      <c r="K8" s="88"/>
      <c r="L8" s="88"/>
      <c r="M8" s="88"/>
      <c r="N8" s="88"/>
      <c r="O8" s="88"/>
      <c r="P8" s="88"/>
      <c r="Q8" s="88"/>
      <c r="R8" s="88"/>
      <c r="S8" s="88"/>
      <c r="T8" s="88"/>
      <c r="U8" s="88"/>
      <c r="V8" s="88"/>
      <c r="W8" s="88"/>
      <c r="X8" s="88"/>
      <c r="Y8" s="88"/>
      <c r="Z8" s="88"/>
      <c r="AA8" s="88"/>
    </row>
    <row r="9" spans="1:27" s="192" customFormat="1" ht="60" hidden="1" x14ac:dyDescent="0.25">
      <c r="A9" s="258"/>
      <c r="B9" s="383"/>
      <c r="C9" s="258" t="str">
        <f>'Tiên lượng'!C10</f>
        <v>CK.11440</v>
      </c>
      <c r="D9" s="258"/>
      <c r="E9" s="9" t="str">
        <f>'Tiên lượng'!D10</f>
        <v>Đo vẽ chi tiết bản đồ địa hình trên cạn bằng  máy toàn đạc điện tử và máy thủy bình điện tử; bản đồ tỷ lệ 1/500, đường đồng mức 1m, cấp địa hình IV</v>
      </c>
      <c r="F9" s="383" t="str">
        <f>'Tiên lượng'!E10</f>
        <v>1 ha</v>
      </c>
      <c r="G9" s="166">
        <f>'Tiên lượng'!M10</f>
        <v>130</v>
      </c>
      <c r="H9" s="166">
        <f>PTVT!G53</f>
        <v>0.05</v>
      </c>
      <c r="I9" s="166">
        <f>'Tiên lượng'!X10</f>
        <v>1</v>
      </c>
      <c r="J9" s="139">
        <f t="shared" si="0"/>
        <v>6.5</v>
      </c>
      <c r="K9" s="88"/>
      <c r="L9" s="88"/>
      <c r="M9" s="88"/>
      <c r="N9" s="88"/>
      <c r="O9" s="88"/>
      <c r="P9" s="88"/>
      <c r="Q9" s="88"/>
      <c r="R9" s="88"/>
      <c r="S9" s="88"/>
      <c r="T9" s="88"/>
      <c r="U9" s="88"/>
      <c r="V9" s="88"/>
      <c r="W9" s="88"/>
      <c r="X9" s="88"/>
      <c r="Y9" s="88"/>
      <c r="Z9" s="88"/>
      <c r="AA9" s="88"/>
    </row>
    <row r="10" spans="1:27" x14ac:dyDescent="0.25">
      <c r="A10" s="510" t="s">
        <v>207</v>
      </c>
      <c r="B10" s="45">
        <v>2</v>
      </c>
      <c r="C10" s="510" t="s">
        <v>153</v>
      </c>
      <c r="D10" s="510">
        <f>'Giá Máy'!D6</f>
        <v>0</v>
      </c>
      <c r="E10" s="277" t="str">
        <f>'Giá Máy'!E6</f>
        <v>Máy toàn đạc điện tử TS06 hoặc loại tương tự</v>
      </c>
      <c r="F10" s="45" t="s">
        <v>560</v>
      </c>
      <c r="G10" s="437"/>
      <c r="H10" s="437"/>
      <c r="I10" s="437"/>
      <c r="J10" s="422">
        <f>SUM(J11:J12)</f>
        <v>224.24</v>
      </c>
      <c r="K10" s="368">
        <f>'Giá Máy'!G6</f>
        <v>147060</v>
      </c>
      <c r="L10" s="368">
        <f>J10*K10</f>
        <v>32976734.400000002</v>
      </c>
      <c r="M10" s="368">
        <f>'Giá Máy'!H6</f>
        <v>147060</v>
      </c>
      <c r="N10" s="368">
        <f>J10*M10</f>
        <v>32976734.400000002</v>
      </c>
      <c r="O10" s="368">
        <f>M10-K10</f>
        <v>0</v>
      </c>
      <c r="P10" s="368">
        <f>J10*O10</f>
        <v>0</v>
      </c>
      <c r="Q10" s="368">
        <v>1</v>
      </c>
      <c r="R10" s="368">
        <f>M10*Q10</f>
        <v>147060</v>
      </c>
      <c r="S10" s="368">
        <f>J10*R10</f>
        <v>32976734.400000002</v>
      </c>
      <c r="T10" s="368">
        <v>0</v>
      </c>
      <c r="U10" s="368">
        <v>0</v>
      </c>
      <c r="V10" s="368">
        <f>'Giá Máy'!N6</f>
        <v>0</v>
      </c>
      <c r="W10" s="368">
        <f>J10*V10</f>
        <v>0</v>
      </c>
      <c r="X10" s="368">
        <f>'Giá Máy'!O6</f>
        <v>147060</v>
      </c>
      <c r="Y10" s="368">
        <f>J10*X10</f>
        <v>32976734.400000002</v>
      </c>
      <c r="Z10" s="368">
        <f>X10-K10</f>
        <v>0</v>
      </c>
      <c r="AA10" s="368">
        <f>J10*Z10</f>
        <v>0</v>
      </c>
    </row>
    <row r="11" spans="1:27" s="192" customFormat="1" ht="60" hidden="1" x14ac:dyDescent="0.25">
      <c r="A11" s="258"/>
      <c r="B11" s="383"/>
      <c r="C11" s="258" t="str">
        <f>'Tiên lượng'!C9</f>
        <v>CK.11430</v>
      </c>
      <c r="D11" s="258"/>
      <c r="E11" s="9" t="str">
        <f>'Tiên lượng'!D9</f>
        <v>Đo vẽ chi tiết bản đồ địa hình trên cạn bằng  máy toàn đạc điện tử và máy thủy bình điện tử; bản đồ tỷ lệ 1/500, đường đồng mức 1m, cấp địa hình III</v>
      </c>
      <c r="F11" s="383" t="str">
        <f>'Tiên lượng'!E9</f>
        <v>1 ha</v>
      </c>
      <c r="G11" s="166">
        <f>'Tiên lượng'!M9</f>
        <v>56</v>
      </c>
      <c r="H11" s="166">
        <f>PTVT!G40</f>
        <v>0.94</v>
      </c>
      <c r="I11" s="166">
        <f>'Tiên lượng'!X9</f>
        <v>1</v>
      </c>
      <c r="J11" s="139">
        <f t="shared" ref="J11:J12" si="1">PRODUCT(G11,H11,I11)</f>
        <v>52.64</v>
      </c>
      <c r="K11" s="88"/>
      <c r="L11" s="88"/>
      <c r="M11" s="88"/>
      <c r="N11" s="88"/>
      <c r="O11" s="88"/>
      <c r="P11" s="88"/>
      <c r="Q11" s="88"/>
      <c r="R11" s="88"/>
      <c r="S11" s="88"/>
      <c r="T11" s="88"/>
      <c r="U11" s="88"/>
      <c r="V11" s="88"/>
      <c r="W11" s="88"/>
      <c r="X11" s="88"/>
      <c r="Y11" s="88"/>
      <c r="Z11" s="88"/>
      <c r="AA11" s="88"/>
    </row>
    <row r="12" spans="1:27" s="192" customFormat="1" ht="60" hidden="1" x14ac:dyDescent="0.25">
      <c r="A12" s="258"/>
      <c r="B12" s="383"/>
      <c r="C12" s="258" t="str">
        <f>'Tiên lượng'!C10</f>
        <v>CK.11440</v>
      </c>
      <c r="D12" s="258"/>
      <c r="E12" s="9" t="str">
        <f>'Tiên lượng'!D10</f>
        <v>Đo vẽ chi tiết bản đồ địa hình trên cạn bằng  máy toàn đạc điện tử và máy thủy bình điện tử; bản đồ tỷ lệ 1/500, đường đồng mức 1m, cấp địa hình IV</v>
      </c>
      <c r="F12" s="383" t="str">
        <f>'Tiên lượng'!E10</f>
        <v>1 ha</v>
      </c>
      <c r="G12" s="166">
        <f>'Tiên lượng'!M10</f>
        <v>130</v>
      </c>
      <c r="H12" s="166">
        <f>PTVT!G52</f>
        <v>1.32</v>
      </c>
      <c r="I12" s="166">
        <f>'Tiên lượng'!X10</f>
        <v>1</v>
      </c>
      <c r="J12" s="139">
        <f t="shared" si="1"/>
        <v>171.6</v>
      </c>
      <c r="K12" s="88"/>
      <c r="L12" s="88"/>
      <c r="M12" s="88"/>
      <c r="N12" s="88"/>
      <c r="O12" s="88"/>
      <c r="P12" s="88"/>
      <c r="Q12" s="88"/>
      <c r="R12" s="88"/>
      <c r="S12" s="88"/>
      <c r="T12" s="88"/>
      <c r="U12" s="88"/>
      <c r="V12" s="88"/>
      <c r="W12" s="88"/>
      <c r="X12" s="88"/>
      <c r="Y12" s="88"/>
      <c r="Z12" s="88"/>
      <c r="AA12" s="88"/>
    </row>
    <row r="13" spans="1:27" ht="30" x14ac:dyDescent="0.25">
      <c r="A13" s="510" t="s">
        <v>207</v>
      </c>
      <c r="B13" s="45">
        <v>3</v>
      </c>
      <c r="C13" s="510" t="s">
        <v>996</v>
      </c>
      <c r="D13" s="510">
        <f>'Giá Máy'!D7</f>
        <v>0</v>
      </c>
      <c r="E13" s="277" t="str">
        <f>'Giá Máy'!E7</f>
        <v>Bộ thiết bị GPS G3100-R2 hoặc loại tương tự (3 máy)</v>
      </c>
      <c r="F13" s="45" t="s">
        <v>560</v>
      </c>
      <c r="G13" s="437"/>
      <c r="H13" s="437"/>
      <c r="I13" s="437"/>
      <c r="J13" s="422">
        <f>SUM(J14:J14)</f>
        <v>3.52</v>
      </c>
      <c r="K13" s="368">
        <f>'Giá Máy'!G7</f>
        <v>540291</v>
      </c>
      <c r="L13" s="368">
        <f>J13*K13</f>
        <v>1901824.32</v>
      </c>
      <c r="M13" s="368">
        <f>'Giá Máy'!H7</f>
        <v>540291</v>
      </c>
      <c r="N13" s="368">
        <f>J13*M13</f>
        <v>1901824.32</v>
      </c>
      <c r="O13" s="368">
        <f>M13-K13</f>
        <v>0</v>
      </c>
      <c r="P13" s="368">
        <f>J13*O13</f>
        <v>0</v>
      </c>
      <c r="Q13" s="368">
        <v>1</v>
      </c>
      <c r="R13" s="368">
        <f>M13*Q13</f>
        <v>540291</v>
      </c>
      <c r="S13" s="368">
        <f>J13*R13</f>
        <v>1901824.32</v>
      </c>
      <c r="T13" s="368">
        <v>0</v>
      </c>
      <c r="U13" s="368">
        <v>0</v>
      </c>
      <c r="V13" s="368">
        <f>'Giá Máy'!N7</f>
        <v>0</v>
      </c>
      <c r="W13" s="368">
        <f>J13*V13</f>
        <v>0</v>
      </c>
      <c r="X13" s="368">
        <f>'Giá Máy'!O7</f>
        <v>540291</v>
      </c>
      <c r="Y13" s="368">
        <f>J13*X13</f>
        <v>1901824.32</v>
      </c>
      <c r="Z13" s="368">
        <f>X13-K13</f>
        <v>0</v>
      </c>
      <c r="AA13" s="368">
        <f>J13*Z13</f>
        <v>0</v>
      </c>
    </row>
    <row r="14" spans="1:27" s="192" customFormat="1" ht="45" hidden="1" x14ac:dyDescent="0.25">
      <c r="A14" s="258"/>
      <c r="B14" s="383"/>
      <c r="C14" s="258" t="str">
        <f>'Tiên lượng'!C7</f>
        <v>CF.11620</v>
      </c>
      <c r="D14" s="258"/>
      <c r="E14" s="9" t="str">
        <f>'Tiên lượng'!D7</f>
        <v>Công tác đo lưới khống chế mặt bằng, đường chuyền cấp II, Bộ thiết bị GPS (3 máy)</v>
      </c>
      <c r="F14" s="383" t="str">
        <f>'Tiên lượng'!E7</f>
        <v>điểm</v>
      </c>
      <c r="G14" s="166">
        <f>'Tiên lượng'!M7</f>
        <v>22</v>
      </c>
      <c r="H14" s="166">
        <f>PTVT!G19</f>
        <v>0.16</v>
      </c>
      <c r="I14" s="166">
        <f>'Tiên lượng'!X7</f>
        <v>1</v>
      </c>
      <c r="J14" s="139">
        <f>PRODUCT(G14,H14,I14)</f>
        <v>3.52</v>
      </c>
      <c r="K14" s="88"/>
      <c r="L14" s="88"/>
      <c r="M14" s="88"/>
      <c r="N14" s="88"/>
      <c r="O14" s="88"/>
      <c r="P14" s="88"/>
      <c r="Q14" s="88"/>
      <c r="R14" s="88"/>
      <c r="S14" s="88"/>
      <c r="T14" s="88"/>
      <c r="U14" s="88"/>
      <c r="V14" s="88"/>
      <c r="W14" s="88"/>
      <c r="X14" s="88"/>
      <c r="Y14" s="88"/>
      <c r="Z14" s="88"/>
      <c r="AA14" s="88"/>
    </row>
    <row r="15" spans="1:27" x14ac:dyDescent="0.25">
      <c r="A15" s="510" t="s">
        <v>207</v>
      </c>
      <c r="B15" s="45">
        <v>4</v>
      </c>
      <c r="C15" s="510" t="s">
        <v>914</v>
      </c>
      <c r="D15" s="510"/>
      <c r="E15" s="277" t="s">
        <v>918</v>
      </c>
      <c r="F15" s="45" t="s">
        <v>873</v>
      </c>
      <c r="G15" s="437"/>
      <c r="H15" s="437"/>
      <c r="I15" s="437"/>
      <c r="J15" s="422">
        <f>SUM(J16:J19)</f>
        <v>2100</v>
      </c>
      <c r="K15" s="368">
        <v>0</v>
      </c>
      <c r="L15" s="368">
        <f>SUM(L16:L19)</f>
        <v>3502475.2020000005</v>
      </c>
      <c r="M15" s="368">
        <v>0</v>
      </c>
      <c r="N15" s="368">
        <f>SUM(N16:N19)</f>
        <v>3502475.2020000005</v>
      </c>
      <c r="O15" s="368">
        <v>0</v>
      </c>
      <c r="P15" s="368">
        <v>0</v>
      </c>
      <c r="Q15" s="368">
        <v>1</v>
      </c>
      <c r="R15" s="368">
        <v>0</v>
      </c>
      <c r="S15" s="368">
        <f>SUM(S16:S19)</f>
        <v>3502475.2020000005</v>
      </c>
      <c r="T15" s="368">
        <v>0</v>
      </c>
      <c r="U15" s="368">
        <v>0</v>
      </c>
      <c r="V15" s="368">
        <v>0</v>
      </c>
      <c r="W15" s="368">
        <f>SUM(W16:W19)</f>
        <v>0</v>
      </c>
      <c r="X15" s="368">
        <v>0</v>
      </c>
      <c r="Y15" s="368">
        <f>SUM(Y16:Y19)</f>
        <v>3502475.2020000005</v>
      </c>
      <c r="Z15" s="368"/>
      <c r="AA15" s="368">
        <f>SUM(AA16:AA19)</f>
        <v>0</v>
      </c>
    </row>
    <row r="16" spans="1:27" s="192" customFormat="1" ht="30" hidden="1" x14ac:dyDescent="0.25">
      <c r="A16" s="258"/>
      <c r="B16" s="383"/>
      <c r="C16" s="258" t="str">
        <f>'Tiên lượng'!C8</f>
        <v>CG.11330</v>
      </c>
      <c r="D16" s="258"/>
      <c r="E16" s="9" t="str">
        <f>'Tiên lượng'!D8</f>
        <v>Công tác đo khống chế cao, thủy chuẩn kỹ thuật, cấp địa hình III</v>
      </c>
      <c r="F16" s="383" t="str">
        <f>'Tiên lượng'!E8</f>
        <v>km</v>
      </c>
      <c r="G16" s="166">
        <f>'Tiên lượng'!M8</f>
        <v>10</v>
      </c>
      <c r="H16" s="166">
        <f>PTVT!G30</f>
        <v>2</v>
      </c>
      <c r="I16" s="166">
        <f>'Tiên lượng'!X8</f>
        <v>1</v>
      </c>
      <c r="J16" s="139">
        <f t="shared" ref="J16:J19" si="2">PRODUCT(G16,H16,I16)</f>
        <v>20</v>
      </c>
      <c r="K16" s="88">
        <f>PTVT!J30</f>
        <v>44.300999999999995</v>
      </c>
      <c r="L16" s="88">
        <f t="shared" ref="L16:L19" si="3">J16*K16</f>
        <v>886.01999999999987</v>
      </c>
      <c r="M16" s="88">
        <f>PTVT!L30</f>
        <v>44.300999999999995</v>
      </c>
      <c r="N16" s="88">
        <f t="shared" ref="N16:N19" si="4">J16*M16</f>
        <v>886.01999999999987</v>
      </c>
      <c r="O16" s="88">
        <f t="shared" ref="O16:O19" si="5">M16-K16</f>
        <v>0</v>
      </c>
      <c r="P16" s="88">
        <f t="shared" ref="P16:P19" si="6">J16*O16</f>
        <v>0</v>
      </c>
      <c r="Q16" s="88">
        <v>1</v>
      </c>
      <c r="R16" s="88">
        <f t="shared" ref="R16:R19" si="7">M16*Q16</f>
        <v>44.300999999999995</v>
      </c>
      <c r="S16" s="88">
        <f t="shared" ref="S16:S19" si="8">J16*R16</f>
        <v>886.01999999999987</v>
      </c>
      <c r="T16" s="88"/>
      <c r="U16" s="88"/>
      <c r="V16" s="88">
        <v>0</v>
      </c>
      <c r="W16" s="88">
        <f t="shared" ref="W16:W19" si="9">J16*V16</f>
        <v>0</v>
      </c>
      <c r="X16" s="88">
        <f>PTVT!P30</f>
        <v>44.300999999999995</v>
      </c>
      <c r="Y16" s="88">
        <f t="shared" ref="Y16:Y19" si="10">J16*X16</f>
        <v>886.01999999999987</v>
      </c>
      <c r="Z16" s="88">
        <f t="shared" ref="Z16:Z19" si="11">X16-K16</f>
        <v>0</v>
      </c>
      <c r="AA16" s="88">
        <f t="shared" ref="AA16:AA19" si="12">J16*Z16</f>
        <v>0</v>
      </c>
    </row>
    <row r="17" spans="1:27" s="192" customFormat="1" ht="45" hidden="1" x14ac:dyDescent="0.25">
      <c r="A17" s="258"/>
      <c r="B17" s="383"/>
      <c r="C17" s="258" t="str">
        <f>'Tiên lượng'!C7</f>
        <v>CF.11620</v>
      </c>
      <c r="D17" s="258"/>
      <c r="E17" s="9" t="str">
        <f>'Tiên lượng'!D7</f>
        <v>Công tác đo lưới khống chế mặt bằng, đường chuyền cấp II, Bộ thiết bị GPS (3 máy)</v>
      </c>
      <c r="F17" s="383" t="str">
        <f>'Tiên lượng'!E7</f>
        <v>điểm</v>
      </c>
      <c r="G17" s="166">
        <f>'Tiên lượng'!M7</f>
        <v>22</v>
      </c>
      <c r="H17" s="166">
        <f>PTVT!G20</f>
        <v>10</v>
      </c>
      <c r="I17" s="166">
        <f>'Tiên lượng'!X7</f>
        <v>1</v>
      </c>
      <c r="J17" s="139">
        <f t="shared" si="2"/>
        <v>220</v>
      </c>
      <c r="K17" s="88">
        <f>PTVT!J20</f>
        <v>864.46559999999999</v>
      </c>
      <c r="L17" s="88">
        <f t="shared" si="3"/>
        <v>190182.432</v>
      </c>
      <c r="M17" s="88">
        <f>PTVT!L20</f>
        <v>864.46559999999999</v>
      </c>
      <c r="N17" s="88">
        <f t="shared" si="4"/>
        <v>190182.432</v>
      </c>
      <c r="O17" s="88">
        <f t="shared" si="5"/>
        <v>0</v>
      </c>
      <c r="P17" s="88">
        <f t="shared" si="6"/>
        <v>0</v>
      </c>
      <c r="Q17" s="88">
        <v>1</v>
      </c>
      <c r="R17" s="88">
        <f t="shared" si="7"/>
        <v>864.46559999999999</v>
      </c>
      <c r="S17" s="88">
        <f t="shared" si="8"/>
        <v>190182.432</v>
      </c>
      <c r="T17" s="88"/>
      <c r="U17" s="88"/>
      <c r="V17" s="88">
        <v>0</v>
      </c>
      <c r="W17" s="88">
        <f t="shared" si="9"/>
        <v>0</v>
      </c>
      <c r="X17" s="88">
        <f>PTVT!P20</f>
        <v>864.46559999999999</v>
      </c>
      <c r="Y17" s="88">
        <f t="shared" si="10"/>
        <v>190182.432</v>
      </c>
      <c r="Z17" s="88">
        <f t="shared" si="11"/>
        <v>0</v>
      </c>
      <c r="AA17" s="88">
        <f t="shared" si="12"/>
        <v>0</v>
      </c>
    </row>
    <row r="18" spans="1:27" s="192" customFormat="1" ht="60" hidden="1" x14ac:dyDescent="0.25">
      <c r="A18" s="258"/>
      <c r="B18" s="383"/>
      <c r="C18" s="258" t="str">
        <f>'Tiên lượng'!C9</f>
        <v>CK.11430</v>
      </c>
      <c r="D18" s="258"/>
      <c r="E18" s="9" t="str">
        <f>'Tiên lượng'!D9</f>
        <v>Đo vẽ chi tiết bản đồ địa hình trên cạn bằng  máy toàn đạc điện tử và máy thủy bình điện tử; bản đồ tỷ lệ 1/500, đường đồng mức 1m, cấp địa hình III</v>
      </c>
      <c r="F18" s="383" t="str">
        <f>'Tiên lượng'!E9</f>
        <v>1 ha</v>
      </c>
      <c r="G18" s="166">
        <f>'Tiên lượng'!M9</f>
        <v>56</v>
      </c>
      <c r="H18" s="166">
        <f>PTVT!G42</f>
        <v>10</v>
      </c>
      <c r="I18" s="166">
        <f>'Tiên lượng'!X9</f>
        <v>1</v>
      </c>
      <c r="J18" s="139">
        <f t="shared" si="2"/>
        <v>560</v>
      </c>
      <c r="K18" s="88">
        <f>PTVT!J42</f>
        <v>1389.7474999999999</v>
      </c>
      <c r="L18" s="88">
        <f t="shared" si="3"/>
        <v>778258.6</v>
      </c>
      <c r="M18" s="88">
        <f>PTVT!L42</f>
        <v>1389.7474999999999</v>
      </c>
      <c r="N18" s="88">
        <f t="shared" si="4"/>
        <v>778258.6</v>
      </c>
      <c r="O18" s="88">
        <f t="shared" si="5"/>
        <v>0</v>
      </c>
      <c r="P18" s="88">
        <f t="shared" si="6"/>
        <v>0</v>
      </c>
      <c r="Q18" s="88">
        <v>1</v>
      </c>
      <c r="R18" s="88">
        <f t="shared" si="7"/>
        <v>1389.7474999999999</v>
      </c>
      <c r="S18" s="88">
        <f t="shared" si="8"/>
        <v>778258.6</v>
      </c>
      <c r="T18" s="88"/>
      <c r="U18" s="88"/>
      <c r="V18" s="88">
        <v>0</v>
      </c>
      <c r="W18" s="88">
        <f t="shared" si="9"/>
        <v>0</v>
      </c>
      <c r="X18" s="88">
        <f>PTVT!P42</f>
        <v>1389.7474999999999</v>
      </c>
      <c r="Y18" s="88">
        <f t="shared" si="10"/>
        <v>778258.6</v>
      </c>
      <c r="Z18" s="88">
        <f t="shared" si="11"/>
        <v>0</v>
      </c>
      <c r="AA18" s="88">
        <f t="shared" si="12"/>
        <v>0</v>
      </c>
    </row>
    <row r="19" spans="1:27" s="192" customFormat="1" ht="60" hidden="1" x14ac:dyDescent="0.25">
      <c r="A19" s="258"/>
      <c r="B19" s="383"/>
      <c r="C19" s="258" t="str">
        <f>'Tiên lượng'!C10</f>
        <v>CK.11440</v>
      </c>
      <c r="D19" s="258"/>
      <c r="E19" s="9" t="str">
        <f>'Tiên lượng'!D10</f>
        <v>Đo vẽ chi tiết bản đồ địa hình trên cạn bằng  máy toàn đạc điện tử và máy thủy bình điện tử; bản đồ tỷ lệ 1/500, đường đồng mức 1m, cấp địa hình IV</v>
      </c>
      <c r="F19" s="383" t="str">
        <f>'Tiên lượng'!E10</f>
        <v>1 ha</v>
      </c>
      <c r="G19" s="166">
        <f>'Tiên lượng'!M10</f>
        <v>130</v>
      </c>
      <c r="H19" s="166">
        <f>PTVT!G54</f>
        <v>10</v>
      </c>
      <c r="I19" s="166">
        <f>'Tiên lượng'!X10</f>
        <v>1</v>
      </c>
      <c r="J19" s="139">
        <f t="shared" si="2"/>
        <v>1300</v>
      </c>
      <c r="K19" s="88">
        <f>PTVT!J54</f>
        <v>1948.5755000000001</v>
      </c>
      <c r="L19" s="88">
        <f t="shared" si="3"/>
        <v>2533148.1500000004</v>
      </c>
      <c r="M19" s="88">
        <f>PTVT!L54</f>
        <v>1948.5755000000001</v>
      </c>
      <c r="N19" s="88">
        <f t="shared" si="4"/>
        <v>2533148.1500000004</v>
      </c>
      <c r="O19" s="88">
        <f t="shared" si="5"/>
        <v>0</v>
      </c>
      <c r="P19" s="88">
        <f t="shared" si="6"/>
        <v>0</v>
      </c>
      <c r="Q19" s="88">
        <v>1</v>
      </c>
      <c r="R19" s="88">
        <f t="shared" si="7"/>
        <v>1948.5755000000001</v>
      </c>
      <c r="S19" s="88">
        <f t="shared" si="8"/>
        <v>2533148.1500000004</v>
      </c>
      <c r="T19" s="88"/>
      <c r="U19" s="88"/>
      <c r="V19" s="88">
        <v>0</v>
      </c>
      <c r="W19" s="88">
        <f t="shared" si="9"/>
        <v>0</v>
      </c>
      <c r="X19" s="88">
        <f>PTVT!P54</f>
        <v>1948.5755000000001</v>
      </c>
      <c r="Y19" s="88">
        <f t="shared" si="10"/>
        <v>2533148.1500000004</v>
      </c>
      <c r="Z19" s="88">
        <f t="shared" si="11"/>
        <v>0</v>
      </c>
      <c r="AA19" s="88">
        <f t="shared" si="12"/>
        <v>0</v>
      </c>
    </row>
    <row r="20" spans="1:27" x14ac:dyDescent="0.25">
      <c r="A20" s="398"/>
      <c r="B20" s="491"/>
      <c r="C20" s="398"/>
      <c r="D20" s="398"/>
      <c r="E20" s="132" t="s">
        <v>473</v>
      </c>
      <c r="F20" s="491"/>
      <c r="G20" s="307"/>
      <c r="H20" s="307"/>
      <c r="I20" s="307"/>
      <c r="J20" s="281"/>
      <c r="K20" s="347"/>
      <c r="L20" s="347">
        <f>SUMIF(A6:A19,"VT",L6:L19)</f>
        <v>38562668.022</v>
      </c>
      <c r="M20" s="347"/>
      <c r="N20" s="347">
        <f>SUMIF(A6:A19,"VT",N6:N19)</f>
        <v>38562668.022</v>
      </c>
      <c r="O20" s="347"/>
      <c r="P20" s="347">
        <f>SUMIF(A6:A19,"VT",P6:P19)</f>
        <v>0</v>
      </c>
      <c r="Q20" s="347"/>
      <c r="R20" s="347"/>
      <c r="S20" s="347">
        <f>SUMIF(A6:A19,"VT",S6:S19)</f>
        <v>38562668.022</v>
      </c>
      <c r="T20" s="347"/>
      <c r="U20" s="347">
        <f>SUMIF(A6:A19,"VT",U6:U19)</f>
        <v>0</v>
      </c>
      <c r="V20" s="347"/>
      <c r="W20" s="347">
        <f>SUMIF(A6:A19,"VT",W6:W19)</f>
        <v>0</v>
      </c>
      <c r="X20" s="347"/>
      <c r="Y20" s="347">
        <f>SUMIF(A6:A19,"VT",Y6:Y19)</f>
        <v>38562668.022</v>
      </c>
      <c r="Z20" s="347"/>
      <c r="AA20" s="347">
        <f>SUMIF(A6:A19,"VT",AA6:AA19)</f>
        <v>0</v>
      </c>
    </row>
    <row r="21" spans="1:27" x14ac:dyDescent="0.25">
      <c r="A21" s="232"/>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row>
  </sheetData>
  <mergeCells count="28">
    <mergeCell ref="Z4:Z5"/>
    <mergeCell ref="AA4:AA5"/>
    <mergeCell ref="U4:U5"/>
    <mergeCell ref="V4:V5"/>
    <mergeCell ref="W4:W5"/>
    <mergeCell ref="X4:X5"/>
    <mergeCell ref="Y4:Y5"/>
    <mergeCell ref="P4:P5"/>
    <mergeCell ref="Q4:Q5"/>
    <mergeCell ref="R4:R5"/>
    <mergeCell ref="S4:S5"/>
    <mergeCell ref="T4:T5"/>
    <mergeCell ref="A1:AA1"/>
    <mergeCell ref="A2:AA2"/>
    <mergeCell ref="A3:AA3"/>
    <mergeCell ref="B4:B5"/>
    <mergeCell ref="C4:C5"/>
    <mergeCell ref="E4:E5"/>
    <mergeCell ref="F4:F5"/>
    <mergeCell ref="G4:G5"/>
    <mergeCell ref="H4:H5"/>
    <mergeCell ref="I4:I5"/>
    <mergeCell ref="J4:J5"/>
    <mergeCell ref="K4:K5"/>
    <mergeCell ref="L4:L5"/>
    <mergeCell ref="M4:M5"/>
    <mergeCell ref="N4:N5"/>
    <mergeCell ref="O4:O5"/>
  </mergeCells>
  <pageMargins left="0.75" right="0.75" top="0.79" bottom="0.79" header="0.3" footer="0.3"/>
  <pageSetup paperSize="9" orientation="landscape" useFirstPageNumber="1" horizontalDpi="65532"/>
  <headerFooter>
    <oddFooter>&amp;CTrang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5"/>
  </sheetPr>
  <dimension ref="A1"/>
  <sheetViews>
    <sheetView showZeros="0" topLeftCell="B1" workbookViewId="0">
      <selection activeCell="E13" sqref="E13"/>
    </sheetView>
  </sheetViews>
  <sheetFormatPr defaultColWidth="9.42578125" defaultRowHeight="15" x14ac:dyDescent="0.25"/>
  <cols>
    <col min="1" max="1" width="9.42578125" hidden="1" customWidth="1"/>
    <col min="2" max="2" width="5" bestFit="1" customWidth="1"/>
    <col min="4" max="4" width="30.7109375" customWidth="1"/>
    <col min="5" max="5" width="7.7109375" customWidth="1"/>
    <col min="6" max="6" width="10" customWidth="1"/>
    <col min="7" max="8" width="8.5703125" customWidth="1"/>
    <col min="9" max="9" width="10" customWidth="1"/>
    <col min="10" max="10" width="7.140625" customWidth="1"/>
    <col min="11" max="11" width="10" customWidth="1"/>
    <col min="12" max="12" width="12.140625" customWidth="1"/>
    <col min="13" max="13" width="10.5703125" customWidth="1"/>
    <col min="16" max="16" width="6.7109375" bestFit="1" customWidth="1"/>
  </cols>
  <sheetData>
    <row r="1" spans="1:1" x14ac:dyDescent="0.25">
      <c r="A1" s="57"/>
    </row>
  </sheetData>
  <pageMargins left="0.75" right="0.75" top="0.79" bottom="0.79" header="0.3" footer="0.3"/>
  <pageSetup paperSize="9" orientation="landscape" useFirstPageNumber="1" horizontalDpi="65532"/>
  <headerFooter>
    <oddFooter>&amp;CTrang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
  <sheetViews>
    <sheetView showZeros="0" topLeftCell="B1" workbookViewId="0">
      <selection activeCell="D10" sqref="D10"/>
    </sheetView>
  </sheetViews>
  <sheetFormatPr defaultColWidth="9.140625" defaultRowHeight="15" x14ac:dyDescent="0.25"/>
  <cols>
    <col min="1" max="1" width="9.140625" style="460" hidden="1" customWidth="1"/>
    <col min="2" max="2" width="5.42578125" style="460" customWidth="1"/>
    <col min="3" max="3" width="9.140625" style="460" customWidth="1"/>
    <col min="4" max="4" width="35.28515625" style="460" customWidth="1"/>
    <col min="5" max="5" width="9.140625" style="460" customWidth="1"/>
    <col min="6" max="6" width="10.85546875" style="460" customWidth="1"/>
    <col min="7" max="7" width="12.42578125" style="460" customWidth="1"/>
    <col min="8" max="8" width="11.7109375" style="460" customWidth="1"/>
    <col min="9" max="9" width="9.140625" style="460" customWidth="1"/>
    <col min="10" max="10" width="13.5703125" style="460" customWidth="1"/>
    <col min="11" max="11" width="9.140625" style="460" customWidth="1"/>
    <col min="12" max="16384" width="9.140625" style="460"/>
  </cols>
  <sheetData/>
  <pageMargins left="1.18" right="0.59" top="0.79" bottom="0.79" header="0.3" footer="0.3"/>
  <pageSetup orientation="landscape" horizontalDpi="6553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5"/>
  </sheetPr>
  <dimension ref="A1"/>
  <sheetViews>
    <sheetView showZeros="0" topLeftCell="B1" workbookViewId="0">
      <selection activeCell="H15" sqref="H15"/>
    </sheetView>
  </sheetViews>
  <sheetFormatPr defaultColWidth="9.42578125" defaultRowHeight="15" x14ac:dyDescent="0.25"/>
  <cols>
    <col min="1" max="1" width="9.42578125" hidden="1" customWidth="1"/>
    <col min="4" max="15" width="9.5703125" customWidth="1"/>
  </cols>
  <sheetData>
    <row r="1" spans="1:1" x14ac:dyDescent="0.25">
      <c r="A1" s="57"/>
    </row>
  </sheetData>
  <pageMargins left="0.75" right="0.75" top="0.79" bottom="0.79" header="0.3" footer="0.3"/>
  <pageSetup paperSize="9" orientation="landscape" useFirstPageNumber="1" horizontalDpi="65532"/>
  <headerFooter>
    <oddFooter>&amp;CTrang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sheetPr>
  <dimension ref="A1:O5"/>
  <sheetViews>
    <sheetView showZeros="0" topLeftCell="B1" workbookViewId="0">
      <selection activeCell="G14" sqref="G14"/>
    </sheetView>
  </sheetViews>
  <sheetFormatPr defaultColWidth="9.42578125" defaultRowHeight="15" x14ac:dyDescent="0.25"/>
  <cols>
    <col min="1" max="1" width="9.42578125" hidden="1" customWidth="1"/>
    <col min="2" max="2" width="4.7109375" bestFit="1" customWidth="1"/>
    <col min="3" max="3" width="8" bestFit="1" customWidth="1"/>
    <col min="4" max="4" width="19.85546875" customWidth="1"/>
    <col min="5" max="5" width="8.42578125" customWidth="1"/>
    <col min="6" max="6" width="8.85546875" customWidth="1"/>
    <col min="7" max="7" width="11" customWidth="1"/>
    <col min="8" max="8" width="7.5703125" customWidth="1"/>
    <col min="9" max="9" width="9.28515625" customWidth="1"/>
    <col min="10" max="10" width="9" customWidth="1"/>
    <col min="11" max="11" width="11.85546875" customWidth="1"/>
    <col min="12" max="12" width="8.42578125" customWidth="1"/>
    <col min="13" max="13" width="11.85546875" customWidth="1"/>
    <col min="14" max="14" width="12" customWidth="1"/>
    <col min="15" max="15" width="11.85546875" customWidth="1"/>
  </cols>
  <sheetData>
    <row r="1" spans="1:15" ht="18.75" x14ac:dyDescent="0.3">
      <c r="A1" s="605" t="s">
        <v>628</v>
      </c>
      <c r="B1" s="605"/>
      <c r="C1" s="605"/>
      <c r="D1" s="605"/>
      <c r="E1" s="605"/>
      <c r="F1" s="605"/>
      <c r="G1" s="605"/>
      <c r="H1" s="605"/>
      <c r="I1" s="605"/>
      <c r="J1" s="605"/>
      <c r="K1" s="605"/>
      <c r="L1" s="605"/>
      <c r="M1" s="605"/>
      <c r="N1" s="605"/>
      <c r="O1" s="605"/>
    </row>
    <row r="2" spans="1:15" ht="15.75" x14ac:dyDescent="0.25">
      <c r="A2" s="606" t="s">
        <v>471</v>
      </c>
      <c r="B2" s="606"/>
      <c r="C2" s="606"/>
      <c r="D2" s="606"/>
      <c r="E2" s="606"/>
      <c r="F2" s="606"/>
      <c r="G2" s="606"/>
      <c r="H2" s="606"/>
      <c r="I2" s="606"/>
      <c r="J2" s="606"/>
      <c r="K2" s="606"/>
      <c r="L2" s="606"/>
      <c r="M2" s="606"/>
      <c r="N2" s="606"/>
      <c r="O2" s="606"/>
    </row>
    <row r="3" spans="1:15" ht="15.75" x14ac:dyDescent="0.25">
      <c r="A3" s="606" t="s">
        <v>178</v>
      </c>
      <c r="B3" s="606"/>
      <c r="C3" s="606"/>
      <c r="D3" s="606"/>
      <c r="E3" s="606"/>
      <c r="F3" s="606"/>
      <c r="G3" s="606"/>
      <c r="H3" s="606"/>
      <c r="I3" s="606"/>
      <c r="J3" s="606"/>
      <c r="K3" s="606"/>
      <c r="L3" s="606"/>
      <c r="M3" s="606"/>
      <c r="N3" s="606"/>
      <c r="O3" s="606"/>
    </row>
    <row r="4" spans="1:15" ht="15.75" x14ac:dyDescent="0.25">
      <c r="A4" s="606">
        <v>0</v>
      </c>
      <c r="B4" s="606"/>
      <c r="C4" s="606"/>
      <c r="D4" s="606"/>
      <c r="E4" s="606"/>
      <c r="F4" s="606"/>
      <c r="G4" s="606"/>
      <c r="H4" s="606"/>
      <c r="I4" s="606"/>
      <c r="J4" s="606"/>
      <c r="K4" s="606"/>
      <c r="L4" s="606"/>
      <c r="M4" s="606"/>
      <c r="N4" s="606"/>
      <c r="O4" s="606"/>
    </row>
    <row r="5" spans="1:15" ht="19.5" customHeight="1" x14ac:dyDescent="0.25">
      <c r="A5" s="247" t="s">
        <v>874</v>
      </c>
      <c r="B5" s="247" t="s">
        <v>306</v>
      </c>
      <c r="C5" s="247" t="s">
        <v>587</v>
      </c>
      <c r="D5" s="247" t="s">
        <v>790</v>
      </c>
      <c r="E5" s="247" t="s">
        <v>891</v>
      </c>
      <c r="F5" s="247" t="s">
        <v>346</v>
      </c>
      <c r="G5" s="247" t="s">
        <v>975</v>
      </c>
      <c r="H5" s="247" t="s">
        <v>764</v>
      </c>
      <c r="I5" s="247" t="s">
        <v>4</v>
      </c>
      <c r="J5" s="247" t="s">
        <v>723</v>
      </c>
      <c r="K5" s="247" t="s">
        <v>97</v>
      </c>
      <c r="L5" s="247" t="s">
        <v>670</v>
      </c>
      <c r="M5" s="247" t="s">
        <v>97</v>
      </c>
      <c r="N5" s="247" t="s">
        <v>782</v>
      </c>
      <c r="O5" s="247" t="s">
        <v>97</v>
      </c>
    </row>
  </sheetData>
  <mergeCells count="4">
    <mergeCell ref="A1:O1"/>
    <mergeCell ref="A2:O2"/>
    <mergeCell ref="A3:O3"/>
    <mergeCell ref="A4:O4"/>
  </mergeCells>
  <pageMargins left="0.75" right="0.75" top="0.79" bottom="0.79" header="0.3" footer="0.3"/>
  <pageSetup paperSize="9" scale="90" orientation="landscape" useFirstPageNumber="1" horizontalDpi="65532"/>
  <headerFooter>
    <oddFooter>&amp;CTrang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0"/>
    <pageSetUpPr fitToPage="1"/>
  </sheetPr>
  <dimension ref="A1:J34"/>
  <sheetViews>
    <sheetView showZeros="0" tabSelected="1" topLeftCell="B1" workbookViewId="0">
      <selection activeCell="Z28" sqref="Z28:AA28"/>
    </sheetView>
  </sheetViews>
  <sheetFormatPr defaultColWidth="9.140625" defaultRowHeight="15" x14ac:dyDescent="0.25"/>
  <cols>
    <col min="1" max="1" width="5.42578125" style="69" hidden="1" customWidth="1"/>
    <col min="2" max="2" width="9.7109375" style="69" customWidth="1"/>
    <col min="3" max="3" width="31.42578125" style="69" customWidth="1"/>
    <col min="4" max="4" width="10.85546875" style="69" customWidth="1"/>
    <col min="5" max="5" width="36.5703125" style="69" customWidth="1"/>
    <col min="6" max="6" width="14.7109375" style="69" customWidth="1"/>
    <col min="7" max="7" width="22.140625" style="69" hidden="1" customWidth="1"/>
    <col min="8" max="8" width="5.42578125" style="69" hidden="1" customWidth="1"/>
    <col min="9" max="9" width="5.140625" style="69" hidden="1" customWidth="1"/>
    <col min="10" max="10" width="9.140625" style="69" hidden="1" customWidth="1"/>
    <col min="11" max="17" width="0" style="69" hidden="1" customWidth="1"/>
    <col min="18" max="16384" width="9.140625" style="69"/>
  </cols>
  <sheetData>
    <row r="1" spans="1:10" ht="18.75" x14ac:dyDescent="0.3">
      <c r="A1" s="607" t="s">
        <v>464</v>
      </c>
      <c r="B1" s="607" t="s">
        <v>464</v>
      </c>
      <c r="C1" s="607" t="s">
        <v>464</v>
      </c>
      <c r="D1" s="607" t="s">
        <v>464</v>
      </c>
      <c r="E1" s="607" t="s">
        <v>464</v>
      </c>
      <c r="F1" s="607" t="s">
        <v>464</v>
      </c>
      <c r="H1" s="55" t="b">
        <f>ISERR(E6&amp;E7&amp;E8&amp;E9&amp;E10&amp;E11&amp;E12&amp;E13&amp;E14&amp;E15&amp;E16&amp;E17&amp;E18&amp;E19&amp;E20&amp;E21&amp;E22&amp;E23&amp;E24&amp;E25&amp;E26&amp;E27&amp;E28&amp;E29)</f>
        <v>0</v>
      </c>
    </row>
    <row r="2" spans="1:10" ht="32.25" customHeight="1" x14ac:dyDescent="0.25">
      <c r="A2" s="770" t="s">
        <v>1001</v>
      </c>
      <c r="B2" s="770" t="s">
        <v>471</v>
      </c>
      <c r="C2" s="770" t="s">
        <v>471</v>
      </c>
      <c r="D2" s="770" t="s">
        <v>471</v>
      </c>
      <c r="E2" s="770" t="s">
        <v>471</v>
      </c>
      <c r="F2" s="770" t="s">
        <v>471</v>
      </c>
    </row>
    <row r="3" spans="1:10" x14ac:dyDescent="0.25">
      <c r="A3" s="608" t="s">
        <v>813</v>
      </c>
      <c r="B3" s="608" t="s">
        <v>813</v>
      </c>
      <c r="C3" s="608" t="s">
        <v>813</v>
      </c>
      <c r="D3" s="608" t="s">
        <v>813</v>
      </c>
      <c r="E3" s="608" t="s">
        <v>813</v>
      </c>
      <c r="F3" s="608" t="s">
        <v>813</v>
      </c>
    </row>
    <row r="4" spans="1:10" x14ac:dyDescent="0.25">
      <c r="B4" s="540"/>
      <c r="C4" s="540"/>
      <c r="D4" s="540"/>
      <c r="E4" s="540"/>
      <c r="F4" s="540"/>
      <c r="I4" s="319" t="str">
        <f>IF(H1,"Xem hướng dẫn sửa lỗi #NAME tại: ","")</f>
        <v/>
      </c>
    </row>
    <row r="5" spans="1:10" ht="20.25" customHeight="1" x14ac:dyDescent="0.25">
      <c r="A5"/>
      <c r="B5" s="1" t="s">
        <v>306</v>
      </c>
      <c r="C5" s="1" t="s">
        <v>972</v>
      </c>
      <c r="D5" s="1" t="s">
        <v>434</v>
      </c>
      <c r="E5" s="1" t="s">
        <v>855</v>
      </c>
      <c r="F5" s="1" t="s">
        <v>97</v>
      </c>
      <c r="I5" s="38" t="str">
        <f>IF(H1,"https://dutoaneta.vn/huong-dan-xu-ly-loi-name-khi-xuat-excel/","")</f>
        <v/>
      </c>
      <c r="J5" s="271"/>
    </row>
    <row r="6" spans="1:10" x14ac:dyDescent="0.25">
      <c r="A6" s="430"/>
      <c r="B6" s="351" t="s">
        <v>383</v>
      </c>
      <c r="C6" s="184" t="s">
        <v>466</v>
      </c>
      <c r="D6" s="351"/>
      <c r="E6" s="351"/>
      <c r="F6" s="418">
        <v>0</v>
      </c>
    </row>
    <row r="7" spans="1:10" x14ac:dyDescent="0.25">
      <c r="A7" s="119"/>
      <c r="B7" s="302">
        <v>1</v>
      </c>
      <c r="C7" s="511" t="s">
        <v>488</v>
      </c>
      <c r="D7" s="302" t="s">
        <v>757</v>
      </c>
      <c r="E7" s="302" t="s">
        <v>75</v>
      </c>
      <c r="F7" s="286">
        <f>F10</f>
        <v>5052491.78</v>
      </c>
    </row>
    <row r="8" spans="1:10" x14ac:dyDescent="0.25">
      <c r="A8" s="119"/>
      <c r="B8" s="238"/>
      <c r="C8" s="465" t="s">
        <v>753</v>
      </c>
      <c r="D8" s="238" t="s">
        <v>865</v>
      </c>
      <c r="E8" s="238" t="s">
        <v>248</v>
      </c>
      <c r="F8" s="96">
        <f>'Tiên lượng'!R17+'Tiên lượng'!S17</f>
        <v>5052491.78</v>
      </c>
    </row>
    <row r="9" spans="1:10" x14ac:dyDescent="0.25">
      <c r="A9" s="119"/>
      <c r="B9" s="238"/>
      <c r="C9" s="465" t="s">
        <v>789</v>
      </c>
      <c r="D9" s="238" t="s">
        <v>239</v>
      </c>
      <c r="E9" s="238" t="s">
        <v>785</v>
      </c>
      <c r="F9" s="96">
        <f>THVL!AA29</f>
        <v>0</v>
      </c>
    </row>
    <row r="10" spans="1:10" x14ac:dyDescent="0.25">
      <c r="A10" s="119"/>
      <c r="B10" s="238"/>
      <c r="C10" s="465" t="s">
        <v>602</v>
      </c>
      <c r="D10" s="238" t="s">
        <v>75</v>
      </c>
      <c r="E10" s="238" t="s">
        <v>618</v>
      </c>
      <c r="F10" s="96">
        <f>(F8 +F9)*'Thông tin'!E73</f>
        <v>5052491.78</v>
      </c>
    </row>
    <row r="11" spans="1:10" x14ac:dyDescent="0.25">
      <c r="A11" s="119"/>
      <c r="B11" s="302">
        <v>2</v>
      </c>
      <c r="C11" s="511" t="s">
        <v>950</v>
      </c>
      <c r="D11" s="302" t="s">
        <v>799</v>
      </c>
      <c r="E11" s="302" t="s">
        <v>525</v>
      </c>
      <c r="F11" s="286">
        <f>F14</f>
        <v>524042035.68000001</v>
      </c>
    </row>
    <row r="12" spans="1:10" x14ac:dyDescent="0.25">
      <c r="A12" s="119"/>
      <c r="B12" s="238"/>
      <c r="C12" s="465" t="s">
        <v>99</v>
      </c>
      <c r="D12" s="238" t="s">
        <v>925</v>
      </c>
      <c r="E12" s="238" t="s">
        <v>248</v>
      </c>
      <c r="F12" s="96">
        <f>'Tiên lượng'!T17</f>
        <v>524042035.68000001</v>
      </c>
      <c r="I12" s="319" t="str">
        <f>IF(ISERR(E12),"Xem hướng dẫn sửa lỗi #NAME: ","")</f>
        <v/>
      </c>
      <c r="J12" s="271" t="str">
        <f>IF(ISERR(E12),"https://dutoaneta.vn/huong-dan-xu-ly-loi-name-khi-xuat-excel/","")</f>
        <v/>
      </c>
    </row>
    <row r="13" spans="1:10" x14ac:dyDescent="0.25">
      <c r="A13" s="119"/>
      <c r="B13" s="238"/>
      <c r="C13" s="465" t="s">
        <v>709</v>
      </c>
      <c r="D13" s="238" t="s">
        <v>286</v>
      </c>
      <c r="E13" s="238" t="s">
        <v>111</v>
      </c>
      <c r="F13" s="96">
        <f>THNC!AA16</f>
        <v>0</v>
      </c>
      <c r="I13" s="271"/>
    </row>
    <row r="14" spans="1:10" x14ac:dyDescent="0.25">
      <c r="A14" s="119"/>
      <c r="B14" s="238"/>
      <c r="C14" s="465" t="s">
        <v>222</v>
      </c>
      <c r="D14" s="238" t="s">
        <v>525</v>
      </c>
      <c r="E14" s="238" t="s">
        <v>669</v>
      </c>
      <c r="F14" s="96">
        <f>(F12 + F13)*'Thông tin'!E76*'Thông tin'!E74*'Thông tin'!E75</f>
        <v>524042035.68000001</v>
      </c>
    </row>
    <row r="15" spans="1:10" x14ac:dyDescent="0.25">
      <c r="A15" s="119"/>
      <c r="B15" s="302">
        <v>3</v>
      </c>
      <c r="C15" s="511" t="s">
        <v>959</v>
      </c>
      <c r="D15" s="302" t="s">
        <v>112</v>
      </c>
      <c r="E15" s="302" t="s">
        <v>978</v>
      </c>
      <c r="F15" s="286">
        <f>F18</f>
        <v>38562668.022</v>
      </c>
    </row>
    <row r="16" spans="1:10" x14ac:dyDescent="0.25">
      <c r="A16" s="119"/>
      <c r="B16" s="238"/>
      <c r="C16" s="465" t="s">
        <v>503</v>
      </c>
      <c r="D16" s="238" t="s">
        <v>957</v>
      </c>
      <c r="E16" s="238" t="s">
        <v>248</v>
      </c>
      <c r="F16" s="96">
        <f>'Tiên lượng'!U17</f>
        <v>38562668.022</v>
      </c>
    </row>
    <row r="17" spans="1:6" x14ac:dyDescent="0.25">
      <c r="A17" s="119"/>
      <c r="B17" s="238"/>
      <c r="C17" s="465" t="s">
        <v>45</v>
      </c>
      <c r="D17" s="238" t="s">
        <v>919</v>
      </c>
      <c r="E17" s="238" t="s">
        <v>605</v>
      </c>
      <c r="F17" s="96">
        <f>THM!AA20</f>
        <v>0</v>
      </c>
    </row>
    <row r="18" spans="1:6" x14ac:dyDescent="0.25">
      <c r="A18" s="119"/>
      <c r="B18" s="238"/>
      <c r="C18" s="465" t="s">
        <v>548</v>
      </c>
      <c r="D18" s="238" t="s">
        <v>978</v>
      </c>
      <c r="E18" s="238" t="s">
        <v>162</v>
      </c>
      <c r="F18" s="96">
        <f>(F16 + F17)*'Thông tin'!E64*'Thông tin'!E71*'Thông tin'!E61</f>
        <v>38562668.022</v>
      </c>
    </row>
    <row r="19" spans="1:6" x14ac:dyDescent="0.25">
      <c r="A19" s="119"/>
      <c r="B19" s="302"/>
      <c r="C19" s="511" t="s">
        <v>756</v>
      </c>
      <c r="D19" s="302" t="s">
        <v>281</v>
      </c>
      <c r="E19" s="302" t="s">
        <v>193</v>
      </c>
      <c r="F19" s="286">
        <f>F7 + F11 + F15</f>
        <v>567657195.48199999</v>
      </c>
    </row>
    <row r="20" spans="1:6" x14ac:dyDescent="0.25">
      <c r="A20" s="119"/>
      <c r="B20" s="238" t="s">
        <v>703</v>
      </c>
      <c r="C20" s="511" t="s">
        <v>2</v>
      </c>
      <c r="D20" s="238"/>
      <c r="E20" s="238"/>
      <c r="F20" s="96">
        <v>0</v>
      </c>
    </row>
    <row r="21" spans="1:6" x14ac:dyDescent="0.25">
      <c r="A21" s="119"/>
      <c r="B21" s="238"/>
      <c r="C21" s="465" t="s">
        <v>209</v>
      </c>
      <c r="D21" s="238" t="s">
        <v>508</v>
      </c>
      <c r="E21" s="238" t="s">
        <v>104</v>
      </c>
      <c r="F21" s="96">
        <f>F11*'Thông tin'!E69</f>
        <v>366829424.97600001</v>
      </c>
    </row>
    <row r="22" spans="1:6" ht="30" x14ac:dyDescent="0.25">
      <c r="A22" s="119"/>
      <c r="B22" s="238"/>
      <c r="C22" s="465" t="s">
        <v>651</v>
      </c>
      <c r="D22" s="238" t="s">
        <v>250</v>
      </c>
      <c r="E22" s="238" t="s">
        <v>157</v>
      </c>
      <c r="F22" s="96">
        <f xml:space="preserve"> F19* 'Thông tin'!E72</f>
        <v>28382859.774100002</v>
      </c>
    </row>
    <row r="23" spans="1:6" x14ac:dyDescent="0.25">
      <c r="A23" s="119"/>
      <c r="B23" s="238"/>
      <c r="C23" s="511" t="s">
        <v>327</v>
      </c>
      <c r="D23" s="238" t="s">
        <v>811</v>
      </c>
      <c r="E23" s="238" t="s">
        <v>567</v>
      </c>
      <c r="F23" s="96">
        <f xml:space="preserve"> F21 + F22</f>
        <v>395212284.75010002</v>
      </c>
    </row>
    <row r="24" spans="1:6" x14ac:dyDescent="0.25">
      <c r="A24" s="119"/>
      <c r="B24" s="238" t="s">
        <v>243</v>
      </c>
      <c r="C24" s="465" t="s">
        <v>776</v>
      </c>
      <c r="D24" s="238" t="s">
        <v>240</v>
      </c>
      <c r="E24" s="238" t="s">
        <v>354</v>
      </c>
      <c r="F24" s="96">
        <f>(F19+ F23)*'Thông tin'!E65</f>
        <v>57772168.813925996</v>
      </c>
    </row>
    <row r="25" spans="1:6" x14ac:dyDescent="0.25">
      <c r="A25" s="119"/>
      <c r="B25" s="302"/>
      <c r="C25" s="511" t="s">
        <v>90</v>
      </c>
      <c r="D25" s="302" t="s">
        <v>225</v>
      </c>
      <c r="E25" s="302" t="s">
        <v>203</v>
      </c>
      <c r="F25" s="286">
        <f>F19 + F23 + F24</f>
        <v>1020641649.046026</v>
      </c>
    </row>
    <row r="26" spans="1:6" x14ac:dyDescent="0.25">
      <c r="A26" s="119"/>
      <c r="B26" s="238"/>
      <c r="C26" s="465" t="s">
        <v>976</v>
      </c>
      <c r="D26" s="238" t="s">
        <v>195</v>
      </c>
      <c r="E26" s="238" t="s">
        <v>836</v>
      </c>
      <c r="F26" s="96">
        <f xml:space="preserve"> (F19 + F23 + F24)*'Thông tin'!E60</f>
        <v>20412832.98092052</v>
      </c>
    </row>
    <row r="27" spans="1:6" x14ac:dyDescent="0.25">
      <c r="A27" s="119"/>
      <c r="B27" s="302"/>
      <c r="C27" s="465" t="s">
        <v>180</v>
      </c>
      <c r="D27" s="238" t="s">
        <v>410</v>
      </c>
      <c r="E27" s="238" t="s">
        <v>294</v>
      </c>
      <c r="F27" s="96">
        <f xml:space="preserve"> (F19 + F23 + F24)*'Thông tin'!E67</f>
        <v>30619249.471380778</v>
      </c>
    </row>
    <row r="28" spans="1:6" x14ac:dyDescent="0.25">
      <c r="A28" s="119"/>
      <c r="B28" s="238"/>
      <c r="C28" s="465" t="s">
        <v>405</v>
      </c>
      <c r="D28" s="238" t="s">
        <v>293</v>
      </c>
      <c r="E28" s="238"/>
      <c r="F28" s="96">
        <v>0</v>
      </c>
    </row>
    <row r="29" spans="1:6" x14ac:dyDescent="0.25">
      <c r="A29" s="119"/>
      <c r="B29" s="238"/>
      <c r="C29" s="511" t="s">
        <v>144</v>
      </c>
      <c r="D29" s="302" t="s">
        <v>147</v>
      </c>
      <c r="E29" s="302" t="s">
        <v>647</v>
      </c>
      <c r="F29" s="286">
        <f>F25+F26+F27</f>
        <v>1071673731.4983274</v>
      </c>
    </row>
    <row r="30" spans="1:6" x14ac:dyDescent="0.25">
      <c r="A30" s="119"/>
      <c r="B30" s="238" t="s">
        <v>476</v>
      </c>
      <c r="C30" s="465" t="s">
        <v>598</v>
      </c>
      <c r="D30" s="238" t="s">
        <v>656</v>
      </c>
      <c r="E30" s="238" t="s">
        <v>1002</v>
      </c>
      <c r="F30" s="96">
        <f>F29*'Thông tin'!E63</f>
        <v>107167373.14983274</v>
      </c>
    </row>
    <row r="31" spans="1:6" x14ac:dyDescent="0.25">
      <c r="A31" s="119"/>
      <c r="B31" s="238"/>
      <c r="C31" s="511" t="s">
        <v>752</v>
      </c>
      <c r="D31" s="302" t="s">
        <v>94</v>
      </c>
      <c r="E31" s="302" t="s">
        <v>694</v>
      </c>
      <c r="F31" s="286">
        <f>F29+F30</f>
        <v>1178841104.6481602</v>
      </c>
    </row>
    <row r="32" spans="1:6" x14ac:dyDescent="0.25">
      <c r="A32" s="119"/>
      <c r="B32" s="238"/>
      <c r="C32" s="465" t="s">
        <v>892</v>
      </c>
      <c r="D32" s="238" t="s">
        <v>979</v>
      </c>
      <c r="E32" s="238" t="s">
        <v>198</v>
      </c>
      <c r="F32" s="96">
        <f>F31*'Thông tin'!E59</f>
        <v>0</v>
      </c>
    </row>
    <row r="33" spans="1:6" x14ac:dyDescent="0.25">
      <c r="A33" s="119"/>
      <c r="B33" s="238"/>
      <c r="C33" s="511" t="s">
        <v>882</v>
      </c>
      <c r="D33" s="302" t="s">
        <v>590</v>
      </c>
      <c r="E33" s="302" t="s">
        <v>512</v>
      </c>
      <c r="F33" s="350">
        <f>F31+F32</f>
        <v>1178841104.6481602</v>
      </c>
    </row>
    <row r="34" spans="1:6" hidden="1" x14ac:dyDescent="0.25">
      <c r="A34" s="28"/>
      <c r="B34" s="609" t="s">
        <v>895</v>
      </c>
      <c r="C34" s="610" t="s">
        <v>895</v>
      </c>
      <c r="D34" s="609" t="s">
        <v>895</v>
      </c>
      <c r="E34" s="609" t="s">
        <v>895</v>
      </c>
      <c r="F34" s="611" t="s">
        <v>895</v>
      </c>
    </row>
  </sheetData>
  <mergeCells count="4">
    <mergeCell ref="A1:F1"/>
    <mergeCell ref="A2:F2"/>
    <mergeCell ref="A3:F3"/>
    <mergeCell ref="B34:F34"/>
  </mergeCells>
  <hyperlinks>
    <hyperlink ref="J12" r:id="rId1" display="https://dutoaneta.vn/huong-dan-xu-ly-loi-name-khi-xuat-excel/" xr:uid="{00000000-0004-0000-0F00-000000000000}"/>
    <hyperlink ref="I5" r:id="rId2" display="https://dutoaneta.vn/huong-dan-xu-ly-loi-name-khi-xuat-excel/" xr:uid="{00000000-0004-0000-0F00-000001000000}"/>
  </hyperlinks>
  <pageMargins left="0.75" right="0.46" top="0.79" bottom="0.79" header="0.3" footer="0.3"/>
  <pageSetup paperSize="9" scale="87" orientation="portrait" useFirstPageNumber="1" horizontalDpi="65532" r:id="rId3"/>
  <headerFooter>
    <oddFooter>&amp;CTrang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74"/>
  <sheetViews>
    <sheetView showGridLines="0" showZeros="0" workbookViewId="0">
      <pane xSplit="1" ySplit="1" topLeftCell="B2" activePane="bottomRight" state="frozen"/>
      <selection pane="topRight"/>
      <selection pane="bottomLeft"/>
      <selection pane="bottomRight" activeCell="B2" sqref="B2"/>
    </sheetView>
  </sheetViews>
  <sheetFormatPr defaultRowHeight="15" x14ac:dyDescent="0.25"/>
  <cols>
    <col min="1" max="1" width="7.7109375" customWidth="1"/>
    <col min="2" max="2" width="40.28515625" customWidth="1"/>
    <col min="3" max="3" width="11" customWidth="1"/>
    <col min="4" max="4" width="5.7109375" customWidth="1"/>
    <col min="5" max="5" width="30.85546875" customWidth="1"/>
    <col min="6" max="6" width="16.42578125" customWidth="1"/>
    <col min="7" max="7" width="20" customWidth="1"/>
    <col min="8" max="8" width="16.85546875" customWidth="1"/>
    <col min="9" max="9" width="13.85546875" customWidth="1"/>
    <col min="10" max="10" width="8" customWidth="1"/>
    <col min="11" max="11" width="9.140625" customWidth="1"/>
  </cols>
  <sheetData>
    <row r="1" spans="1:11" ht="17.649999999999999" customHeight="1" x14ac:dyDescent="0.25">
      <c r="A1" s="518" t="s">
        <v>992</v>
      </c>
      <c r="B1" s="518"/>
      <c r="C1" s="518"/>
      <c r="D1" s="518"/>
      <c r="E1" s="518"/>
      <c r="F1" s="518"/>
      <c r="G1" s="518"/>
      <c r="H1" s="518"/>
      <c r="I1" s="471"/>
      <c r="J1" s="12"/>
      <c r="K1" s="295"/>
    </row>
    <row r="2" spans="1:11" ht="18" customHeight="1" x14ac:dyDescent="0.25">
      <c r="A2" s="445" t="s">
        <v>298</v>
      </c>
      <c r="B2" s="445"/>
      <c r="C2" s="445"/>
      <c r="D2" s="445"/>
      <c r="E2" s="445"/>
      <c r="F2" s="445"/>
      <c r="G2" s="445"/>
      <c r="H2" s="445"/>
      <c r="I2" s="471" t="s">
        <v>662</v>
      </c>
      <c r="J2" s="12"/>
      <c r="K2" s="295"/>
    </row>
    <row r="3" spans="1:11" ht="14.1" customHeight="1" x14ac:dyDescent="0.25">
      <c r="A3" s="93"/>
      <c r="B3" s="50" t="s">
        <v>172</v>
      </c>
      <c r="C3" s="618" t="s">
        <v>451</v>
      </c>
      <c r="D3" s="618"/>
      <c r="E3" s="618"/>
      <c r="F3" s="204"/>
      <c r="G3" s="204"/>
      <c r="H3" s="204"/>
      <c r="I3" s="236" t="s">
        <v>305</v>
      </c>
      <c r="J3" s="12"/>
      <c r="K3" s="295"/>
    </row>
    <row r="4" spans="1:11" ht="14.1" customHeight="1" x14ac:dyDescent="0.25">
      <c r="A4" s="93"/>
      <c r="B4" s="328" t="s">
        <v>955</v>
      </c>
      <c r="C4" s="619" t="s">
        <v>679</v>
      </c>
      <c r="D4" s="619"/>
      <c r="E4" s="619"/>
      <c r="F4" s="204"/>
      <c r="G4" s="204"/>
      <c r="H4" s="204"/>
      <c r="I4" s="236" t="s">
        <v>268</v>
      </c>
      <c r="J4" s="12"/>
      <c r="K4" s="295"/>
    </row>
    <row r="5" spans="1:11" ht="14.1" customHeight="1" x14ac:dyDescent="0.25">
      <c r="A5" s="93"/>
      <c r="B5" s="328" t="s">
        <v>780</v>
      </c>
      <c r="C5" s="619" t="s">
        <v>889</v>
      </c>
      <c r="D5" s="619"/>
      <c r="E5" s="619"/>
      <c r="F5" s="204"/>
      <c r="G5" s="204"/>
      <c r="H5" s="204"/>
      <c r="I5" s="236" t="s">
        <v>847</v>
      </c>
      <c r="J5" s="12"/>
      <c r="K5" s="295"/>
    </row>
    <row r="6" spans="1:11" ht="14.1" customHeight="1" x14ac:dyDescent="0.25">
      <c r="A6" s="93"/>
      <c r="B6" s="328" t="s">
        <v>182</v>
      </c>
      <c r="C6" s="619"/>
      <c r="D6" s="619"/>
      <c r="E6" s="619"/>
      <c r="F6" s="204"/>
      <c r="G6" s="204"/>
      <c r="H6" s="204"/>
      <c r="I6" s="236" t="s">
        <v>152</v>
      </c>
      <c r="J6" s="12"/>
      <c r="K6" s="295"/>
    </row>
    <row r="7" spans="1:11" ht="35.25" customHeight="1" x14ac:dyDescent="0.25">
      <c r="A7" s="149"/>
      <c r="B7" s="265" t="s">
        <v>315</v>
      </c>
      <c r="C7" s="620">
        <v>0.1</v>
      </c>
      <c r="D7" s="620"/>
      <c r="E7" s="620"/>
      <c r="F7" s="295"/>
      <c r="G7" s="295"/>
      <c r="H7" s="617" t="s">
        <v>334</v>
      </c>
      <c r="I7" s="617"/>
      <c r="J7" s="12"/>
      <c r="K7" s="295"/>
    </row>
    <row r="8" spans="1:11" ht="28.15" customHeight="1" x14ac:dyDescent="0.25">
      <c r="A8" s="496" t="s">
        <v>306</v>
      </c>
      <c r="B8" s="19" t="s">
        <v>424</v>
      </c>
      <c r="C8" s="268" t="s">
        <v>642</v>
      </c>
      <c r="D8" s="19" t="s">
        <v>764</v>
      </c>
      <c r="E8" s="496" t="s">
        <v>855</v>
      </c>
      <c r="F8" s="19" t="s">
        <v>447</v>
      </c>
      <c r="G8" s="19" t="s">
        <v>717</v>
      </c>
      <c r="H8" s="19" t="s">
        <v>292</v>
      </c>
      <c r="I8" s="416" t="s">
        <v>434</v>
      </c>
      <c r="J8" s="12" t="s">
        <v>353</v>
      </c>
      <c r="K8" s="295"/>
    </row>
    <row r="9" spans="1:11" ht="15" customHeight="1" x14ac:dyDescent="0.25">
      <c r="A9" s="530">
        <v>1</v>
      </c>
      <c r="B9" s="366" t="s">
        <v>88</v>
      </c>
      <c r="C9" s="165"/>
      <c r="D9" s="189"/>
      <c r="E9" s="298" t="s">
        <v>79</v>
      </c>
      <c r="F9" s="104">
        <f t="shared" ref="F9:H9" si="0">SUM(F10:F10)</f>
        <v>1071105621.41131</v>
      </c>
      <c r="G9" s="120">
        <f t="shared" si="0"/>
        <v>85688449.712904796</v>
      </c>
      <c r="H9" s="120">
        <f t="shared" si="0"/>
        <v>1156794071.1242099</v>
      </c>
      <c r="I9" s="189" t="s">
        <v>868</v>
      </c>
      <c r="J9" s="177">
        <v>1</v>
      </c>
      <c r="K9" s="454"/>
    </row>
    <row r="10" spans="1:11" ht="28.15" customHeight="1" x14ac:dyDescent="0.25">
      <c r="A10" s="530"/>
      <c r="B10" s="423" t="s">
        <v>5</v>
      </c>
      <c r="C10" s="165"/>
      <c r="D10" s="189"/>
      <c r="E10" s="367" t="s">
        <v>130</v>
      </c>
      <c r="F10" s="299">
        <v>1071105621.41131</v>
      </c>
      <c r="G10" s="312">
        <v>85688449.712904796</v>
      </c>
      <c r="H10" s="312">
        <v>1156794071.1242099</v>
      </c>
      <c r="I10" s="189"/>
      <c r="J10" s="177"/>
      <c r="K10" s="146" t="s">
        <v>911</v>
      </c>
    </row>
    <row r="11" spans="1:11" ht="15" customHeight="1" x14ac:dyDescent="0.25">
      <c r="A11" s="549">
        <v>2</v>
      </c>
      <c r="B11" s="385" t="s">
        <v>58</v>
      </c>
      <c r="C11" s="187"/>
      <c r="D11" s="201"/>
      <c r="E11" s="311" t="s">
        <v>28</v>
      </c>
      <c r="F11" s="312">
        <f>ROUND(THCPTB!I17,0)</f>
        <v>0</v>
      </c>
      <c r="G11" s="120">
        <f>ROUND(THCPTB!J17,0)</f>
        <v>0</v>
      </c>
      <c r="H11" s="120">
        <f>ROUND(THCPTB!K17,0)</f>
        <v>0</v>
      </c>
      <c r="I11" s="201" t="s">
        <v>87</v>
      </c>
      <c r="J11" s="177">
        <v>1</v>
      </c>
      <c r="K11" s="454"/>
    </row>
    <row r="12" spans="1:11" ht="15" customHeight="1" x14ac:dyDescent="0.25">
      <c r="A12" s="549">
        <v>3</v>
      </c>
      <c r="B12" s="385" t="s">
        <v>596</v>
      </c>
      <c r="C12" s="187">
        <f>VLOOKUP(C3,'Tra định mức'!B179:O183,14,FALSE)*1/100</f>
        <v>3.4460000000000005E-2</v>
      </c>
      <c r="D12" s="201"/>
      <c r="E12" s="311" t="s">
        <v>864</v>
      </c>
      <c r="F12" s="120">
        <f>IF(J12&gt;0,ROUND(PRODUCT(F$9+F$11,C12,D12),0),0)</f>
        <v>36910300</v>
      </c>
      <c r="G12" s="120">
        <f>IF(J12&gt;0,ROUND(F12*$C$7,0),0)</f>
        <v>3691030</v>
      </c>
      <c r="H12" s="120">
        <f>IF(J12&gt;0,F12+G12,0)</f>
        <v>40601330</v>
      </c>
      <c r="I12" s="201" t="s">
        <v>136</v>
      </c>
      <c r="J12" s="177">
        <v>1</v>
      </c>
      <c r="K12" s="454"/>
    </row>
    <row r="13" spans="1:11" ht="15" customHeight="1" x14ac:dyDescent="0.25">
      <c r="A13" s="549">
        <v>4</v>
      </c>
      <c r="B13" s="385" t="s">
        <v>555</v>
      </c>
      <c r="C13" s="187"/>
      <c r="D13" s="201"/>
      <c r="E13" s="311"/>
      <c r="F13" s="120">
        <f>IF(J13&gt;0,ROUND(SUMIF(J14:J48,1,F14:F48),0),0)</f>
        <v>204535125</v>
      </c>
      <c r="G13" s="120">
        <f>IF(J13&gt;0,SUMIF(J14:J48,1,G14:G48),0)</f>
        <v>20453514</v>
      </c>
      <c r="H13" s="120">
        <f>IF(J13&gt;0,SUMIF(J14:J48,1,H14:H48),0)</f>
        <v>224988639</v>
      </c>
      <c r="I13" s="201" t="s">
        <v>304</v>
      </c>
      <c r="J13" s="177">
        <v>1</v>
      </c>
      <c r="K13" s="454"/>
    </row>
    <row r="14" spans="1:11" ht="15" customHeight="1" x14ac:dyDescent="0.25">
      <c r="A14" s="32">
        <v>4.0999999999999996</v>
      </c>
      <c r="B14" s="552" t="s">
        <v>259</v>
      </c>
      <c r="C14" s="253"/>
      <c r="D14" s="276"/>
      <c r="E14" s="386"/>
      <c r="F14" s="312">
        <v>0</v>
      </c>
      <c r="G14" s="312">
        <f t="shared" ref="G14:G32" si="1">ROUND(F14*$C$7,0)</f>
        <v>0</v>
      </c>
      <c r="H14" s="312">
        <f t="shared" ref="H14:H32" si="2">F14+G14</f>
        <v>0</v>
      </c>
      <c r="I14" s="233" t="s">
        <v>590</v>
      </c>
      <c r="J14" s="177">
        <v>1</v>
      </c>
      <c r="K14" s="454"/>
    </row>
    <row r="15" spans="1:11" ht="15" customHeight="1" x14ac:dyDescent="0.25">
      <c r="A15" s="32">
        <v>4.2</v>
      </c>
      <c r="B15" s="552" t="s">
        <v>241</v>
      </c>
      <c r="C15" s="253">
        <v>0.03</v>
      </c>
      <c r="D15" s="276"/>
      <c r="E15" s="386" t="s">
        <v>352</v>
      </c>
      <c r="F15" s="312">
        <f>ROUND(PRODUCT(F14,C15,D15),0)</f>
        <v>0</v>
      </c>
      <c r="G15" s="312">
        <f t="shared" si="1"/>
        <v>0</v>
      </c>
      <c r="H15" s="312">
        <f t="shared" si="2"/>
        <v>0</v>
      </c>
      <c r="I15" s="233" t="s">
        <v>227</v>
      </c>
      <c r="J15" s="177">
        <v>1</v>
      </c>
      <c r="K15" s="454"/>
    </row>
    <row r="16" spans="1:11" ht="28.15" customHeight="1" x14ac:dyDescent="0.25">
      <c r="A16" s="32">
        <v>4.3</v>
      </c>
      <c r="B16" s="552" t="s">
        <v>102</v>
      </c>
      <c r="C16" s="253">
        <v>4.0719999999999999E-2</v>
      </c>
      <c r="D16" s="276"/>
      <c r="E16" s="386" t="s">
        <v>352</v>
      </c>
      <c r="F16" s="312">
        <f>ROUND(PRODUCT(F14,C16,D16),0)</f>
        <v>0</v>
      </c>
      <c r="G16" s="312">
        <f t="shared" si="1"/>
        <v>0</v>
      </c>
      <c r="H16" s="312">
        <f t="shared" si="2"/>
        <v>0</v>
      </c>
      <c r="I16" s="233" t="s">
        <v>282</v>
      </c>
      <c r="J16" s="177">
        <v>1</v>
      </c>
      <c r="K16" s="454"/>
    </row>
    <row r="17" spans="1:11" ht="15" customHeight="1" x14ac:dyDescent="0.25">
      <c r="A17" s="32">
        <v>4.4000000000000004</v>
      </c>
      <c r="B17" s="552" t="s">
        <v>368</v>
      </c>
      <c r="C17" s="253">
        <v>0</v>
      </c>
      <c r="D17" s="276"/>
      <c r="E17" s="386" t="s">
        <v>143</v>
      </c>
      <c r="F17" s="312">
        <f t="shared" ref="F17:F18" si="3">ROUND(PRODUCT(F$9+F$11,C17,D17),0)</f>
        <v>0</v>
      </c>
      <c r="G17" s="312">
        <f t="shared" si="1"/>
        <v>0</v>
      </c>
      <c r="H17" s="312">
        <f t="shared" si="2"/>
        <v>0</v>
      </c>
      <c r="I17" s="233" t="s">
        <v>672</v>
      </c>
      <c r="J17" s="177">
        <v>1</v>
      </c>
      <c r="K17" s="454"/>
    </row>
    <row r="18" spans="1:11" ht="28.15" customHeight="1" x14ac:dyDescent="0.25">
      <c r="A18" s="32">
        <v>4.5</v>
      </c>
      <c r="B18" s="552" t="s">
        <v>586</v>
      </c>
      <c r="C18" s="253">
        <v>0</v>
      </c>
      <c r="D18" s="276"/>
      <c r="E18" s="386" t="s">
        <v>143</v>
      </c>
      <c r="F18" s="312">
        <f t="shared" si="3"/>
        <v>0</v>
      </c>
      <c r="G18" s="312">
        <f t="shared" si="1"/>
        <v>0</v>
      </c>
      <c r="H18" s="312">
        <f t="shared" si="2"/>
        <v>0</v>
      </c>
      <c r="I18" s="233" t="s">
        <v>6</v>
      </c>
      <c r="J18" s="177">
        <v>1</v>
      </c>
      <c r="K18" s="454"/>
    </row>
    <row r="19" spans="1:11" ht="28.15" customHeight="1" x14ac:dyDescent="0.25">
      <c r="A19" s="32">
        <v>4.5999999999999996</v>
      </c>
      <c r="B19" s="552" t="s">
        <v>748</v>
      </c>
      <c r="C19" s="253"/>
      <c r="D19" s="276"/>
      <c r="E19" s="386"/>
      <c r="F19" s="312">
        <v>8000000</v>
      </c>
      <c r="G19" s="312">
        <f t="shared" si="1"/>
        <v>800000</v>
      </c>
      <c r="H19" s="312">
        <f t="shared" si="2"/>
        <v>8800000</v>
      </c>
      <c r="I19" s="233" t="s">
        <v>501</v>
      </c>
      <c r="J19" s="177">
        <v>1</v>
      </c>
      <c r="K19" s="454"/>
    </row>
    <row r="20" spans="1:11" ht="28.15" customHeight="1" x14ac:dyDescent="0.25">
      <c r="A20" s="32">
        <v>4.7</v>
      </c>
      <c r="B20" s="552" t="s">
        <v>564</v>
      </c>
      <c r="C20" s="253">
        <f>VLOOKUP(C3,'Tra định mức'!B191:O195,14,FALSE)*1/100</f>
        <v>6.6800000000000002E-3</v>
      </c>
      <c r="D20" s="276"/>
      <c r="E20" s="386" t="s">
        <v>143</v>
      </c>
      <c r="F20" s="312">
        <f t="shared" ref="F20:F21" si="4">ROUND(PRODUCT(F$9+F$11,C20,D20),0)</f>
        <v>7154986</v>
      </c>
      <c r="G20" s="312">
        <f t="shared" si="1"/>
        <v>715499</v>
      </c>
      <c r="H20" s="312">
        <f t="shared" si="2"/>
        <v>7870485</v>
      </c>
      <c r="I20" s="233" t="s">
        <v>733</v>
      </c>
      <c r="J20" s="177">
        <v>1</v>
      </c>
      <c r="K20" s="454"/>
    </row>
    <row r="21" spans="1:11" ht="28.15" customHeight="1" x14ac:dyDescent="0.25">
      <c r="A21" s="32">
        <v>4.8</v>
      </c>
      <c r="B21" s="552" t="s">
        <v>254</v>
      </c>
      <c r="C21" s="253">
        <f>VLOOKUP(C3,'Tra định mức'!B203:O207,14,FALSE)*1/100</f>
        <v>1.1140000000000001E-2</v>
      </c>
      <c r="D21" s="276"/>
      <c r="E21" s="386" t="s">
        <v>143</v>
      </c>
      <c r="F21" s="312">
        <f t="shared" si="4"/>
        <v>11932117</v>
      </c>
      <c r="G21" s="312">
        <f t="shared" si="1"/>
        <v>1193212</v>
      </c>
      <c r="H21" s="312">
        <f t="shared" si="2"/>
        <v>13125329</v>
      </c>
      <c r="I21" s="233" t="s">
        <v>25</v>
      </c>
      <c r="J21" s="177">
        <v>1</v>
      </c>
      <c r="K21" s="454"/>
    </row>
    <row r="22" spans="1:11" ht="28.15" customHeight="1" x14ac:dyDescent="0.25">
      <c r="A22" s="32">
        <v>4.9000000000000004</v>
      </c>
      <c r="B22" s="552" t="s">
        <v>963</v>
      </c>
      <c r="C22" s="253">
        <f>VLOOKUP(C3,'Tra định mức'!B215:G219,6,FALSE)*1/100</f>
        <v>6.4360000000000001E-2</v>
      </c>
      <c r="D22" s="276"/>
      <c r="E22" s="386" t="s">
        <v>143</v>
      </c>
      <c r="F22" s="312">
        <f>MAX(5000000,ROUND(PRODUCT(F$9+F$11,C22,D22),0))</f>
        <v>68936358</v>
      </c>
      <c r="G22" s="312">
        <f t="shared" si="1"/>
        <v>6893636</v>
      </c>
      <c r="H22" s="312">
        <f t="shared" si="2"/>
        <v>75829994</v>
      </c>
      <c r="I22" s="233" t="s">
        <v>932</v>
      </c>
      <c r="J22" s="177">
        <v>1</v>
      </c>
      <c r="K22" s="454"/>
    </row>
    <row r="23" spans="1:11" ht="28.15" customHeight="1" x14ac:dyDescent="0.25">
      <c r="A23" s="32" t="s">
        <v>264</v>
      </c>
      <c r="B23" s="552" t="s">
        <v>766</v>
      </c>
      <c r="C23" s="253">
        <f>VLOOKUP(C3,'Tra định mức'!B299:O303,14,FALSE)*1/100</f>
        <v>7.0999999999999991E-4</v>
      </c>
      <c r="D23" s="276"/>
      <c r="E23" s="386" t="s">
        <v>143</v>
      </c>
      <c r="F23" s="312">
        <f t="shared" ref="F23:F24" si="5">ROUND(PRODUCT(F$9+F$11,C23,D23),0)</f>
        <v>760485</v>
      </c>
      <c r="G23" s="312">
        <f t="shared" si="1"/>
        <v>76049</v>
      </c>
      <c r="H23" s="312">
        <f t="shared" si="2"/>
        <v>836534</v>
      </c>
      <c r="I23" s="233" t="s">
        <v>402</v>
      </c>
      <c r="J23" s="177">
        <v>1</v>
      </c>
      <c r="K23" s="454"/>
    </row>
    <row r="24" spans="1:11" ht="28.15" customHeight="1" x14ac:dyDescent="0.25">
      <c r="A24" s="32">
        <v>4.1100000000000003</v>
      </c>
      <c r="B24" s="552" t="s">
        <v>856</v>
      </c>
      <c r="C24" s="253">
        <f>VLOOKUP(C3,'Tra định mức'!B311:O315,14,FALSE)*1/100</f>
        <v>2.0399999999999997E-3</v>
      </c>
      <c r="D24" s="276"/>
      <c r="E24" s="386" t="s">
        <v>143</v>
      </c>
      <c r="F24" s="312">
        <f t="shared" si="5"/>
        <v>2185055</v>
      </c>
      <c r="G24" s="312">
        <f t="shared" si="1"/>
        <v>218506</v>
      </c>
      <c r="H24" s="312">
        <f t="shared" si="2"/>
        <v>2403561</v>
      </c>
      <c r="I24" s="233" t="s">
        <v>552</v>
      </c>
      <c r="J24" s="177">
        <v>1</v>
      </c>
      <c r="K24" s="454"/>
    </row>
    <row r="25" spans="1:11" ht="15" customHeight="1" x14ac:dyDescent="0.25">
      <c r="A25" s="32">
        <v>4.12</v>
      </c>
      <c r="B25" s="552" t="s">
        <v>76</v>
      </c>
      <c r="C25" s="253">
        <v>0.2</v>
      </c>
      <c r="D25" s="276"/>
      <c r="E25" s="386" t="s">
        <v>192</v>
      </c>
      <c r="F25" s="312">
        <f>ROUND(PRODUCT(F24,C25,D25),0)</f>
        <v>437011</v>
      </c>
      <c r="G25" s="312">
        <f t="shared" si="1"/>
        <v>43701</v>
      </c>
      <c r="H25" s="312">
        <f t="shared" si="2"/>
        <v>480712</v>
      </c>
      <c r="I25" s="233" t="s">
        <v>712</v>
      </c>
      <c r="J25" s="177">
        <v>1</v>
      </c>
      <c r="K25" s="454"/>
    </row>
    <row r="26" spans="1:11" ht="28.15" customHeight="1" x14ac:dyDescent="0.25">
      <c r="A26" s="32">
        <v>4.13</v>
      </c>
      <c r="B26" s="552" t="s">
        <v>238</v>
      </c>
      <c r="C26" s="253">
        <f>C30+C32</f>
        <v>5.0800000000000003E-3</v>
      </c>
      <c r="D26" s="276">
        <v>1.2</v>
      </c>
      <c r="E26" s="386" t="s">
        <v>83</v>
      </c>
      <c r="F26" s="312">
        <f>ROUND(PRODUCT(F$9,C26,D26),0)</f>
        <v>6529460</v>
      </c>
      <c r="G26" s="312">
        <f t="shared" si="1"/>
        <v>652946</v>
      </c>
      <c r="H26" s="312">
        <f t="shared" si="2"/>
        <v>7182406</v>
      </c>
      <c r="I26" s="233" t="s">
        <v>936</v>
      </c>
      <c r="J26" s="177">
        <v>1</v>
      </c>
      <c r="K26" s="454"/>
    </row>
    <row r="27" spans="1:11" ht="15" customHeight="1" x14ac:dyDescent="0.25">
      <c r="A27" s="32">
        <v>4.1399999999999997</v>
      </c>
      <c r="B27" s="552" t="s">
        <v>303</v>
      </c>
      <c r="C27" s="253"/>
      <c r="D27" s="276"/>
      <c r="E27" s="386" t="s">
        <v>79</v>
      </c>
      <c r="F27" s="312"/>
      <c r="G27" s="312">
        <f t="shared" si="1"/>
        <v>0</v>
      </c>
      <c r="H27" s="312">
        <f t="shared" si="2"/>
        <v>0</v>
      </c>
      <c r="I27" s="233" t="s">
        <v>275</v>
      </c>
      <c r="J27" s="177">
        <v>1</v>
      </c>
      <c r="K27" s="454"/>
    </row>
    <row r="28" spans="1:11" ht="28.15" customHeight="1" x14ac:dyDescent="0.25">
      <c r="A28" s="32">
        <v>4.1500000000000004</v>
      </c>
      <c r="B28" s="552" t="s">
        <v>23</v>
      </c>
      <c r="C28" s="253">
        <f>IF(C4='Tra định mức'!W230,VLOOKUP(C3&amp;C4&amp;C5,'Tra định mức'!T229:U291,2,FALSE),0)*1/100</f>
        <v>0</v>
      </c>
      <c r="D28" s="276"/>
      <c r="E28" s="386" t="s">
        <v>83</v>
      </c>
      <c r="F28" s="312">
        <f t="shared" ref="F28:F29" si="6">ROUND(PRODUCT(F$9,C28,D28),0)</f>
        <v>0</v>
      </c>
      <c r="G28" s="312">
        <f t="shared" si="1"/>
        <v>0</v>
      </c>
      <c r="H28" s="312">
        <f t="shared" si="2"/>
        <v>0</v>
      </c>
      <c r="I28" s="233" t="s">
        <v>360</v>
      </c>
      <c r="J28" s="177">
        <v>1</v>
      </c>
      <c r="K28" s="454"/>
    </row>
    <row r="29" spans="1:11" ht="28.15" customHeight="1" x14ac:dyDescent="0.25">
      <c r="A29" s="32">
        <v>4.16</v>
      </c>
      <c r="B29" s="552" t="s">
        <v>185</v>
      </c>
      <c r="C29" s="253">
        <f>IF(OR(C4='Tra định mức'!W229, C4='Tra định mức'!W230),VLOOKUP(C3&amp;'Tra định mức'!W229&amp;C5,'Tra định mức'!T229:U291,2,FALSE),0)*1/100</f>
        <v>3.85E-2</v>
      </c>
      <c r="D29" s="276"/>
      <c r="E29" s="386" t="s">
        <v>815</v>
      </c>
      <c r="F29" s="312">
        <f t="shared" si="6"/>
        <v>41237566</v>
      </c>
      <c r="G29" s="312">
        <f t="shared" si="1"/>
        <v>4123757</v>
      </c>
      <c r="H29" s="312">
        <f t="shared" si="2"/>
        <v>45361323</v>
      </c>
      <c r="I29" s="233" t="s">
        <v>235</v>
      </c>
      <c r="J29" s="177">
        <v>1</v>
      </c>
      <c r="K29" s="454"/>
    </row>
    <row r="30" spans="1:11" ht="28.15" customHeight="1" x14ac:dyDescent="0.25">
      <c r="A30" s="32">
        <v>4.17</v>
      </c>
      <c r="B30" s="552" t="s">
        <v>558</v>
      </c>
      <c r="C30" s="253">
        <f>VLOOKUP(C3,'Tra định mức'!B323:N327,13,FALSE)*1/100</f>
        <v>2.5800000000000003E-3</v>
      </c>
      <c r="D30" s="276"/>
      <c r="E30" s="386" t="s">
        <v>83</v>
      </c>
      <c r="F30" s="312">
        <f>MAX(ROUND(F9*C30,0),IF(C30 &gt; 0, 2000000, 0))</f>
        <v>2763453</v>
      </c>
      <c r="G30" s="312">
        <f t="shared" si="1"/>
        <v>276345</v>
      </c>
      <c r="H30" s="312">
        <f t="shared" si="2"/>
        <v>3039798</v>
      </c>
      <c r="I30" s="233" t="s">
        <v>831</v>
      </c>
      <c r="J30" s="529">
        <v>1</v>
      </c>
      <c r="K30" s="454"/>
    </row>
    <row r="31" spans="1:11" ht="15" customHeight="1" x14ac:dyDescent="0.25">
      <c r="A31" s="32">
        <v>4.18</v>
      </c>
      <c r="B31" s="552" t="s">
        <v>295</v>
      </c>
      <c r="C31" s="253">
        <v>0</v>
      </c>
      <c r="D31" s="276"/>
      <c r="E31" s="386"/>
      <c r="F31" s="312">
        <v>0</v>
      </c>
      <c r="G31" s="312">
        <f t="shared" si="1"/>
        <v>0</v>
      </c>
      <c r="H31" s="312">
        <f t="shared" si="2"/>
        <v>0</v>
      </c>
      <c r="I31" s="233" t="s">
        <v>329</v>
      </c>
      <c r="J31" s="177">
        <v>1</v>
      </c>
      <c r="K31" s="454"/>
    </row>
    <row r="32" spans="1:11" ht="28.15" customHeight="1" x14ac:dyDescent="0.25">
      <c r="A32" s="32">
        <v>4.1900000000000004</v>
      </c>
      <c r="B32" s="552" t="s">
        <v>433</v>
      </c>
      <c r="C32" s="253">
        <f>VLOOKUP(C3,'Tra định mức'!B335:N339,13,FALSE)*1/100</f>
        <v>2.5000000000000001E-3</v>
      </c>
      <c r="D32" s="276"/>
      <c r="E32" s="386" t="s">
        <v>83</v>
      </c>
      <c r="F32" s="312">
        <f>MAX(ROUND(F9*C32,0),IF(C32 &gt; 0, 2000000, 0))</f>
        <v>2677764</v>
      </c>
      <c r="G32" s="312">
        <f t="shared" si="1"/>
        <v>267776</v>
      </c>
      <c r="H32" s="312">
        <f t="shared" si="2"/>
        <v>2945540</v>
      </c>
      <c r="I32" s="233" t="s">
        <v>324</v>
      </c>
      <c r="J32" s="177">
        <v>1</v>
      </c>
      <c r="K32" s="454"/>
    </row>
    <row r="33" spans="1:11" ht="15" customHeight="1" x14ac:dyDescent="0.25">
      <c r="A33" s="32"/>
      <c r="B33" s="552" t="s">
        <v>138</v>
      </c>
      <c r="C33" s="253"/>
      <c r="D33" s="276"/>
      <c r="E33" s="386" t="s">
        <v>632</v>
      </c>
      <c r="F33" s="312">
        <v>1051630973.63636</v>
      </c>
      <c r="G33" s="312">
        <f>ROUND(GGTXD!D7,0)</f>
        <v>1071673731</v>
      </c>
      <c r="H33" s="312"/>
      <c r="I33" s="233" t="s">
        <v>954</v>
      </c>
      <c r="J33" s="177" t="s">
        <v>522</v>
      </c>
      <c r="K33" s="454"/>
    </row>
    <row r="34" spans="1:11" ht="15" customHeight="1" x14ac:dyDescent="0.25">
      <c r="A34" s="32"/>
      <c r="B34" s="552" t="s">
        <v>251</v>
      </c>
      <c r="C34" s="253"/>
      <c r="D34" s="276"/>
      <c r="E34" s="386" t="s">
        <v>632</v>
      </c>
      <c r="F34" s="312">
        <v>1051630973.63636</v>
      </c>
      <c r="G34" s="312">
        <f>ROUND(GGTXD!D16,0)</f>
        <v>1071673731</v>
      </c>
      <c r="H34" s="312"/>
      <c r="I34" s="233" t="s">
        <v>380</v>
      </c>
      <c r="J34" s="177" t="s">
        <v>522</v>
      </c>
      <c r="K34" s="454"/>
    </row>
    <row r="35" spans="1:11" ht="40.9" customHeight="1" x14ac:dyDescent="0.25">
      <c r="A35" s="32" t="s">
        <v>318</v>
      </c>
      <c r="B35" s="552" t="s">
        <v>545</v>
      </c>
      <c r="C35" s="253">
        <f>VLOOKUP(C3,'Tra định mức'!B355:K359,10,FALSE)*1/100</f>
        <v>4.3200000000000001E-3</v>
      </c>
      <c r="D35" s="276"/>
      <c r="E35" s="386" t="s">
        <v>411</v>
      </c>
      <c r="F35" s="312">
        <f>ROUND(PRODUCT(F$33,C35,D35),0)</f>
        <v>4543046</v>
      </c>
      <c r="G35" s="312">
        <f t="shared" ref="G35:G48" si="7">ROUND(F35*$C$7,0)</f>
        <v>454305</v>
      </c>
      <c r="H35" s="312">
        <f t="shared" ref="H35:H48" si="8">F35+G35</f>
        <v>4997351</v>
      </c>
      <c r="I35" s="233" t="s">
        <v>93</v>
      </c>
      <c r="J35" s="177">
        <v>1</v>
      </c>
      <c r="K35" s="454"/>
    </row>
    <row r="36" spans="1:11" ht="28.15" customHeight="1" x14ac:dyDescent="0.25">
      <c r="A36" s="32" t="s">
        <v>608</v>
      </c>
      <c r="B36" s="552" t="s">
        <v>30</v>
      </c>
      <c r="C36" s="253">
        <v>5.0000000000000001E-4</v>
      </c>
      <c r="D36" s="276"/>
      <c r="E36" s="386" t="s">
        <v>411</v>
      </c>
      <c r="F36" s="312">
        <f t="shared" ref="F36:F37" si="9">ROUND(IF(F$33*C36&lt;1000000,1000000,IF(F$33*C36&gt;30000000,30000000,F$33*C36)),0)</f>
        <v>1000000</v>
      </c>
      <c r="G36" s="312">
        <f t="shared" si="7"/>
        <v>100000</v>
      </c>
      <c r="H36" s="312">
        <f t="shared" si="8"/>
        <v>1100000</v>
      </c>
      <c r="I36" s="233" t="s">
        <v>668</v>
      </c>
      <c r="J36" s="177">
        <v>1</v>
      </c>
      <c r="K36" s="454"/>
    </row>
    <row r="37" spans="1:11" ht="28.15" customHeight="1" x14ac:dyDescent="0.25">
      <c r="A37" s="32" t="s">
        <v>905</v>
      </c>
      <c r="B37" s="552" t="s">
        <v>620</v>
      </c>
      <c r="C37" s="253">
        <v>2.9999999999999997E-4</v>
      </c>
      <c r="D37" s="276"/>
      <c r="E37" s="386" t="s">
        <v>411</v>
      </c>
      <c r="F37" s="312">
        <f t="shared" si="9"/>
        <v>1000000</v>
      </c>
      <c r="G37" s="312">
        <f t="shared" si="7"/>
        <v>100000</v>
      </c>
      <c r="H37" s="312">
        <f t="shared" si="8"/>
        <v>1100000</v>
      </c>
      <c r="I37" s="233" t="s">
        <v>336</v>
      </c>
      <c r="J37" s="177">
        <v>1</v>
      </c>
      <c r="K37" s="454"/>
    </row>
    <row r="38" spans="1:11" ht="28.15" customHeight="1" x14ac:dyDescent="0.25">
      <c r="A38" s="32" t="s">
        <v>164</v>
      </c>
      <c r="B38" s="552" t="s">
        <v>155</v>
      </c>
      <c r="C38" s="253">
        <v>1E-3</v>
      </c>
      <c r="D38" s="276"/>
      <c r="E38" s="386" t="s">
        <v>411</v>
      </c>
      <c r="F38" s="312">
        <f t="shared" ref="F38:F39" si="10">ROUND(IF(F$33*C38&lt;1000000,1000000,IF(F$33*C38&gt;50000000,50000000,F$33*C38)),0)</f>
        <v>1051631</v>
      </c>
      <c r="G38" s="312">
        <f t="shared" si="7"/>
        <v>105163</v>
      </c>
      <c r="H38" s="312">
        <f t="shared" si="8"/>
        <v>1156794</v>
      </c>
      <c r="I38" s="233" t="s">
        <v>635</v>
      </c>
      <c r="J38" s="177">
        <v>1</v>
      </c>
      <c r="K38" s="454"/>
    </row>
    <row r="39" spans="1:11" ht="28.15" customHeight="1" x14ac:dyDescent="0.25">
      <c r="A39" s="32" t="s">
        <v>44</v>
      </c>
      <c r="B39" s="552" t="s">
        <v>370</v>
      </c>
      <c r="C39" s="253">
        <v>5.0000000000000001E-4</v>
      </c>
      <c r="D39" s="276"/>
      <c r="E39" s="386" t="s">
        <v>411</v>
      </c>
      <c r="F39" s="312">
        <f t="shared" si="10"/>
        <v>1000000</v>
      </c>
      <c r="G39" s="312">
        <f t="shared" si="7"/>
        <v>100000</v>
      </c>
      <c r="H39" s="312">
        <f t="shared" si="8"/>
        <v>1100000</v>
      </c>
      <c r="I39" s="233" t="s">
        <v>922</v>
      </c>
      <c r="J39" s="177">
        <v>1</v>
      </c>
      <c r="K39" s="454"/>
    </row>
    <row r="40" spans="1:11" ht="28.15" customHeight="1" x14ac:dyDescent="0.25">
      <c r="A40" s="32" t="s">
        <v>326</v>
      </c>
      <c r="B40" s="552" t="s">
        <v>956</v>
      </c>
      <c r="C40" s="253">
        <v>5.0000000000000001E-4</v>
      </c>
      <c r="D40" s="276"/>
      <c r="E40" s="386" t="s">
        <v>411</v>
      </c>
      <c r="F40" s="312">
        <f>ROUND(IF(F$33*C40&lt;1000000,1000000,IF(F$33*C40&gt;30000000,30000000,F$33*C40)),0)</f>
        <v>1000000</v>
      </c>
      <c r="G40" s="312">
        <f t="shared" si="7"/>
        <v>100000</v>
      </c>
      <c r="H40" s="312">
        <f t="shared" si="8"/>
        <v>1100000</v>
      </c>
      <c r="I40" s="233" t="s">
        <v>907</v>
      </c>
      <c r="J40" s="177">
        <v>1</v>
      </c>
      <c r="K40" s="454"/>
    </row>
    <row r="41" spans="1:11" ht="28.15" customHeight="1" x14ac:dyDescent="0.25">
      <c r="A41" s="32" t="s">
        <v>616</v>
      </c>
      <c r="B41" s="552" t="s">
        <v>774</v>
      </c>
      <c r="C41" s="253">
        <v>1E-3</v>
      </c>
      <c r="D41" s="276"/>
      <c r="E41" s="386" t="s">
        <v>411</v>
      </c>
      <c r="F41" s="312">
        <f t="shared" ref="F41:F43" si="11">ROUND(IF(F$33*C41&lt;1000000,1000000,IF(F$33*C41&gt;50000000,50000000,F$33*C41)),0)</f>
        <v>1051631</v>
      </c>
      <c r="G41" s="312">
        <f t="shared" si="7"/>
        <v>105163</v>
      </c>
      <c r="H41" s="312">
        <f t="shared" si="8"/>
        <v>1156794</v>
      </c>
      <c r="I41" s="233" t="s">
        <v>1</v>
      </c>
      <c r="J41" s="177">
        <v>1</v>
      </c>
      <c r="K41" s="454"/>
    </row>
    <row r="42" spans="1:11" ht="28.15" customHeight="1" x14ac:dyDescent="0.25">
      <c r="A42" s="32" t="s">
        <v>916</v>
      </c>
      <c r="B42" s="552" t="s">
        <v>983</v>
      </c>
      <c r="C42" s="253">
        <v>5.0000000000000001E-4</v>
      </c>
      <c r="D42" s="276"/>
      <c r="E42" s="386" t="s">
        <v>411</v>
      </c>
      <c r="F42" s="312">
        <f t="shared" si="11"/>
        <v>1000000</v>
      </c>
      <c r="G42" s="312">
        <f t="shared" si="7"/>
        <v>100000</v>
      </c>
      <c r="H42" s="312">
        <f t="shared" si="8"/>
        <v>1100000</v>
      </c>
      <c r="I42" s="233" t="s">
        <v>412</v>
      </c>
      <c r="J42" s="177">
        <v>1</v>
      </c>
      <c r="K42" s="454"/>
    </row>
    <row r="43" spans="1:11" ht="28.15" customHeight="1" x14ac:dyDescent="0.25">
      <c r="A43" s="32" t="s">
        <v>763</v>
      </c>
      <c r="B43" s="552" t="s">
        <v>549</v>
      </c>
      <c r="C43" s="253">
        <v>2.0000000000000001E-4</v>
      </c>
      <c r="D43" s="276"/>
      <c r="E43" s="386" t="s">
        <v>411</v>
      </c>
      <c r="F43" s="312">
        <f t="shared" si="11"/>
        <v>1000000</v>
      </c>
      <c r="G43" s="312">
        <f t="shared" si="7"/>
        <v>100000</v>
      </c>
      <c r="H43" s="312">
        <f t="shared" si="8"/>
        <v>1100000</v>
      </c>
      <c r="I43" s="233" t="s">
        <v>852</v>
      </c>
      <c r="J43" s="177">
        <v>1</v>
      </c>
      <c r="K43" s="454"/>
    </row>
    <row r="44" spans="1:11" ht="28.15" customHeight="1" x14ac:dyDescent="0.25">
      <c r="A44" s="32" t="s">
        <v>55</v>
      </c>
      <c r="B44" s="552" t="s">
        <v>617</v>
      </c>
      <c r="C44" s="253">
        <f>VLOOKUP(C3,'Tra định mức'!B379:N383,13,FALSE)*1/100</f>
        <v>3.2850000000000004E-2</v>
      </c>
      <c r="D44" s="276"/>
      <c r="E44" s="386" t="s">
        <v>83</v>
      </c>
      <c r="F44" s="312">
        <f>ROUND(PRODUCT(F$9,C44,D44),0)</f>
        <v>35185820</v>
      </c>
      <c r="G44" s="312">
        <f t="shared" si="7"/>
        <v>3518582</v>
      </c>
      <c r="H44" s="312">
        <f t="shared" si="8"/>
        <v>38704402</v>
      </c>
      <c r="I44" s="233" t="s">
        <v>929</v>
      </c>
      <c r="J44" s="177">
        <v>1</v>
      </c>
      <c r="K44" s="454"/>
    </row>
    <row r="45" spans="1:11" ht="40.9" customHeight="1" x14ac:dyDescent="0.25">
      <c r="A45" s="32" t="s">
        <v>779</v>
      </c>
      <c r="B45" s="552" t="s">
        <v>511</v>
      </c>
      <c r="C45" s="253">
        <v>3.6700000000000001E-3</v>
      </c>
      <c r="D45" s="276"/>
      <c r="E45" s="386" t="s">
        <v>969</v>
      </c>
      <c r="F45" s="312">
        <f>ROUND(PRODUCT(F$11,C45,D45),0)</f>
        <v>0</v>
      </c>
      <c r="G45" s="312">
        <f t="shared" si="7"/>
        <v>0</v>
      </c>
      <c r="H45" s="312">
        <f t="shared" si="8"/>
        <v>0</v>
      </c>
      <c r="I45" s="233" t="s">
        <v>953</v>
      </c>
      <c r="J45" s="177">
        <v>1</v>
      </c>
      <c r="K45" s="454"/>
    </row>
    <row r="46" spans="1:11" ht="28.15" customHeight="1" x14ac:dyDescent="0.25">
      <c r="A46" s="32" t="s">
        <v>650</v>
      </c>
      <c r="B46" s="552" t="s">
        <v>834</v>
      </c>
      <c r="C46" s="253">
        <v>0.3</v>
      </c>
      <c r="D46" s="276"/>
      <c r="E46" s="386" t="s">
        <v>968</v>
      </c>
      <c r="F46" s="312">
        <f>ROUND(PRODUCT(F35+F45,C46,D46),0)</f>
        <v>1362914</v>
      </c>
      <c r="G46" s="312">
        <f t="shared" si="7"/>
        <v>136291</v>
      </c>
      <c r="H46" s="312">
        <f t="shared" si="8"/>
        <v>1499205</v>
      </c>
      <c r="I46" s="233" t="s">
        <v>132</v>
      </c>
      <c r="J46" s="177">
        <v>1</v>
      </c>
      <c r="K46" s="454"/>
    </row>
    <row r="47" spans="1:11" ht="15" customHeight="1" x14ac:dyDescent="0.25">
      <c r="A47" s="32" t="s">
        <v>941</v>
      </c>
      <c r="B47" s="552" t="s">
        <v>973</v>
      </c>
      <c r="C47" s="253">
        <v>0.6</v>
      </c>
      <c r="D47" s="276"/>
      <c r="E47" s="386" t="s">
        <v>968</v>
      </c>
      <c r="F47" s="312">
        <f>ROUND(PRODUCT(F35+F45,C47,D47),0)</f>
        <v>2725828</v>
      </c>
      <c r="G47" s="312">
        <f t="shared" si="7"/>
        <v>272583</v>
      </c>
      <c r="H47" s="312">
        <f t="shared" si="8"/>
        <v>2998411</v>
      </c>
      <c r="I47" s="233" t="s">
        <v>289</v>
      </c>
      <c r="J47" s="177">
        <v>1</v>
      </c>
      <c r="K47" s="454"/>
    </row>
    <row r="48" spans="1:11" ht="28.15" customHeight="1" x14ac:dyDescent="0.25">
      <c r="A48" s="32" t="s">
        <v>214</v>
      </c>
      <c r="B48" s="552" t="s">
        <v>109</v>
      </c>
      <c r="C48" s="253">
        <v>8.4399999999999996E-3</v>
      </c>
      <c r="D48" s="276"/>
      <c r="E48" s="386" t="s">
        <v>969</v>
      </c>
      <c r="F48" s="312">
        <f>ROUND(PRODUCT(F$11,C48,D48),0)</f>
        <v>0</v>
      </c>
      <c r="G48" s="312">
        <f t="shared" si="7"/>
        <v>0</v>
      </c>
      <c r="H48" s="312">
        <f t="shared" si="8"/>
        <v>0</v>
      </c>
      <c r="I48" s="233" t="s">
        <v>871</v>
      </c>
      <c r="J48" s="177">
        <v>1</v>
      </c>
      <c r="K48" s="454"/>
    </row>
    <row r="49" spans="1:11" ht="15" customHeight="1" x14ac:dyDescent="0.25">
      <c r="A49" s="549">
        <v>5</v>
      </c>
      <c r="B49" s="385" t="s">
        <v>758</v>
      </c>
      <c r="C49" s="187"/>
      <c r="D49" s="201"/>
      <c r="E49" s="311"/>
      <c r="F49" s="120">
        <f>IF(J49&gt;0,SUMIF(J50:J57,1,F50:F57),0)</f>
        <v>26594857.43</v>
      </c>
      <c r="G49" s="120">
        <f>IF(J49&gt;0,SUMIF(J50:J57,1,G50:G57),0)</f>
        <v>1827852</v>
      </c>
      <c r="H49" s="120">
        <f>IF(J49&gt;0,SUMIF(J50:J58,1,H50:H58),0)</f>
        <v>35459873.43</v>
      </c>
      <c r="I49" s="201" t="s">
        <v>897</v>
      </c>
      <c r="J49" s="177">
        <v>1</v>
      </c>
      <c r="K49" s="454"/>
    </row>
    <row r="50" spans="1:11" ht="15" customHeight="1" x14ac:dyDescent="0.25">
      <c r="A50" s="32">
        <v>5.0999999999999996</v>
      </c>
      <c r="B50" s="552" t="s">
        <v>356</v>
      </c>
      <c r="C50" s="253"/>
      <c r="D50" s="276"/>
      <c r="E50" s="386" t="s">
        <v>79</v>
      </c>
      <c r="F50" s="312"/>
      <c r="G50" s="312">
        <f t="shared" ref="G50:G53" si="12">ROUND(F50*$C$7,0)</f>
        <v>0</v>
      </c>
      <c r="H50" s="312">
        <f t="shared" ref="H50:H58" si="13">F50+G50</f>
        <v>0</v>
      </c>
      <c r="I50" s="233" t="s">
        <v>299</v>
      </c>
      <c r="J50" s="177">
        <v>1</v>
      </c>
      <c r="K50" s="454"/>
    </row>
    <row r="51" spans="1:11" ht="28.15" customHeight="1" x14ac:dyDescent="0.25">
      <c r="A51" s="32">
        <v>5.2</v>
      </c>
      <c r="B51" s="552" t="s">
        <v>591</v>
      </c>
      <c r="C51" s="253">
        <f>VLOOKUP(C3,'Tra định mức'!B138:L142,11,FALSE)*1/100</f>
        <v>1.65E-3</v>
      </c>
      <c r="D51" s="276"/>
      <c r="E51" s="386" t="s">
        <v>83</v>
      </c>
      <c r="F51" s="312">
        <f t="shared" ref="F51:F52" si="14">ROUND(PRODUCT(F$9,C51,D51),0)</f>
        <v>1767324</v>
      </c>
      <c r="G51" s="312">
        <f t="shared" si="12"/>
        <v>176732</v>
      </c>
      <c r="H51" s="312">
        <f t="shared" si="13"/>
        <v>1944056</v>
      </c>
      <c r="I51" s="233" t="s">
        <v>585</v>
      </c>
      <c r="J51" s="177">
        <v>1</v>
      </c>
      <c r="K51" s="454"/>
    </row>
    <row r="52" spans="1:11" ht="28.15" customHeight="1" x14ac:dyDescent="0.25">
      <c r="A52" s="32">
        <v>5.3</v>
      </c>
      <c r="B52" s="552" t="s">
        <v>107</v>
      </c>
      <c r="C52" s="253">
        <f>VLOOKUP(C3,'Tra định mức'!B157:L161,11,FALSE)*1/100</f>
        <v>1.6000000000000001E-3</v>
      </c>
      <c r="D52" s="276"/>
      <c r="E52" s="386" t="s">
        <v>83</v>
      </c>
      <c r="F52" s="312">
        <f t="shared" si="14"/>
        <v>1713769</v>
      </c>
      <c r="G52" s="312">
        <f t="shared" si="12"/>
        <v>171377</v>
      </c>
      <c r="H52" s="312">
        <f t="shared" si="13"/>
        <v>1885146</v>
      </c>
      <c r="I52" s="233" t="s">
        <v>767</v>
      </c>
      <c r="J52" s="177">
        <v>1</v>
      </c>
      <c r="K52" s="454"/>
    </row>
    <row r="53" spans="1:11" ht="28.15" customHeight="1" x14ac:dyDescent="0.25">
      <c r="A53" s="32">
        <v>5.4</v>
      </c>
      <c r="B53" s="552" t="s">
        <v>948</v>
      </c>
      <c r="C53" s="253">
        <v>1.9000000000000001E-4</v>
      </c>
      <c r="D53" s="276"/>
      <c r="E53" s="386" t="s">
        <v>29</v>
      </c>
      <c r="F53" s="312">
        <f>K63*C53</f>
        <v>290984.43</v>
      </c>
      <c r="G53" s="312">
        <f t="shared" si="12"/>
        <v>29098</v>
      </c>
      <c r="H53" s="312">
        <f t="shared" si="13"/>
        <v>320082.43</v>
      </c>
      <c r="I53" s="233" t="s">
        <v>142</v>
      </c>
      <c r="J53" s="177">
        <v>1</v>
      </c>
      <c r="K53" s="454"/>
    </row>
    <row r="54" spans="1:11" ht="28.15" customHeight="1" x14ac:dyDescent="0.25">
      <c r="A54" s="32">
        <v>5.5</v>
      </c>
      <c r="B54" s="552" t="s">
        <v>382</v>
      </c>
      <c r="C54" s="253">
        <f>'Tra định mức'!J438</f>
        <v>5.7000000000000002E-3</v>
      </c>
      <c r="D54" s="276"/>
      <c r="E54" s="386" t="s">
        <v>981</v>
      </c>
      <c r="F54" s="312">
        <f>MAX(ROUND((K63-K59)*C54,0),IF(C54 &gt; 0,500000,0))</f>
        <v>8316330</v>
      </c>
      <c r="G54" s="312"/>
      <c r="H54" s="312">
        <f t="shared" si="13"/>
        <v>8316330</v>
      </c>
      <c r="I54" s="233" t="s">
        <v>276</v>
      </c>
      <c r="J54" s="177">
        <v>1</v>
      </c>
      <c r="K54" s="454"/>
    </row>
    <row r="55" spans="1:11" ht="28.15" customHeight="1" x14ac:dyDescent="0.25">
      <c r="A55" s="32">
        <v>5.6</v>
      </c>
      <c r="B55" s="552" t="s">
        <v>690</v>
      </c>
      <c r="C55" s="253">
        <f>'Tra định mức'!J437</f>
        <v>9.5999999999999992E-3</v>
      </c>
      <c r="D55" s="276"/>
      <c r="E55" s="386" t="s">
        <v>981</v>
      </c>
      <c r="F55" s="312">
        <f>MAX(ROUND((K63-K59)*C55,0),IF(C55 &gt; 0,1000000,0))</f>
        <v>14006450</v>
      </c>
      <c r="G55" s="312">
        <f t="shared" ref="G55:G57" si="15">ROUND(F55*$C$7,0)</f>
        <v>1400645</v>
      </c>
      <c r="H55" s="312">
        <f t="shared" si="13"/>
        <v>15407095</v>
      </c>
      <c r="I55" s="233" t="s">
        <v>971</v>
      </c>
      <c r="J55" s="177">
        <v>1</v>
      </c>
      <c r="K55" s="454"/>
    </row>
    <row r="56" spans="1:11" ht="28.15" customHeight="1" x14ac:dyDescent="0.25">
      <c r="A56" s="32">
        <v>5.7</v>
      </c>
      <c r="B56" s="552" t="s">
        <v>233</v>
      </c>
      <c r="C56" s="253">
        <v>0</v>
      </c>
      <c r="D56" s="276"/>
      <c r="E56" s="386" t="s">
        <v>83</v>
      </c>
      <c r="F56" s="312">
        <f>ROUND(PRODUCT(F$9,C56,D56),0)</f>
        <v>0</v>
      </c>
      <c r="G56" s="312">
        <f t="shared" si="15"/>
        <v>0</v>
      </c>
      <c r="H56" s="312">
        <f t="shared" si="13"/>
        <v>0</v>
      </c>
      <c r="I56" s="233" t="s">
        <v>850</v>
      </c>
      <c r="J56" s="177">
        <v>1</v>
      </c>
      <c r="K56" s="454"/>
    </row>
    <row r="57" spans="1:11" ht="28.15" customHeight="1" x14ac:dyDescent="0.25">
      <c r="A57" s="32">
        <v>5.8</v>
      </c>
      <c r="B57" s="552" t="s">
        <v>716</v>
      </c>
      <c r="C57" s="253">
        <f>VLOOKUP(C3,'Tra định mức'!B414:I418,8,FALSE)*1/100</f>
        <v>9.6699999999999992E-5</v>
      </c>
      <c r="D57" s="276"/>
      <c r="E57" s="386" t="s">
        <v>29</v>
      </c>
      <c r="F57" s="312">
        <f>MIN(MAX(ROUND((K63)*C57,0),IF(C57&gt;0,500000,0)),150000000)</f>
        <v>500000</v>
      </c>
      <c r="G57" s="312">
        <f t="shared" si="15"/>
        <v>50000</v>
      </c>
      <c r="H57" s="312">
        <f t="shared" si="13"/>
        <v>550000</v>
      </c>
      <c r="I57" s="233" t="s">
        <v>923</v>
      </c>
      <c r="J57" s="177">
        <v>1</v>
      </c>
      <c r="K57" s="454"/>
    </row>
    <row r="58" spans="1:11" ht="28.15" customHeight="1" x14ac:dyDescent="0.25">
      <c r="A58" s="32">
        <v>5.9</v>
      </c>
      <c r="B58" s="552" t="s">
        <v>145</v>
      </c>
      <c r="C58" s="253">
        <v>0.2</v>
      </c>
      <c r="D58" s="276"/>
      <c r="E58" s="386" t="s">
        <v>803</v>
      </c>
      <c r="F58" s="312">
        <f>C58*F44</f>
        <v>7037164</v>
      </c>
      <c r="G58" s="312"/>
      <c r="H58" s="312">
        <f t="shared" si="13"/>
        <v>7037164</v>
      </c>
      <c r="I58" s="233"/>
      <c r="J58" s="177">
        <v>1</v>
      </c>
      <c r="K58" s="454"/>
    </row>
    <row r="59" spans="1:11" ht="15" customHeight="1" x14ac:dyDescent="0.25">
      <c r="A59" s="549">
        <v>6</v>
      </c>
      <c r="B59" s="385" t="s">
        <v>892</v>
      </c>
      <c r="C59" s="187"/>
      <c r="D59" s="201"/>
      <c r="E59" s="311" t="s">
        <v>62</v>
      </c>
      <c r="F59" s="120">
        <f>IF(J59&gt;0,F60+F61,0)</f>
        <v>66957295</v>
      </c>
      <c r="G59" s="120">
        <f>IF(J59&gt;0,G60+G61,0)</f>
        <v>6695730</v>
      </c>
      <c r="H59" s="120">
        <f>IF(J59&gt;0,H60+H61,0)</f>
        <v>73653025</v>
      </c>
      <c r="I59" s="201" t="s">
        <v>979</v>
      </c>
      <c r="J59" s="177">
        <v>1</v>
      </c>
      <c r="K59" s="146">
        <v>72491768</v>
      </c>
    </row>
    <row r="60" spans="1:11" ht="28.15" customHeight="1" x14ac:dyDescent="0.25">
      <c r="A60" s="32">
        <v>6.1</v>
      </c>
      <c r="B60" s="552" t="s">
        <v>728</v>
      </c>
      <c r="C60" s="253">
        <v>0.05</v>
      </c>
      <c r="D60" s="276"/>
      <c r="E60" s="386" t="s">
        <v>459</v>
      </c>
      <c r="F60" s="312">
        <f>ROUND(PRODUCT(F9+F11+F12+F13+F49,C60,D60),0)</f>
        <v>66957295</v>
      </c>
      <c r="G60" s="312">
        <f>ROUND(F60*$C$7,0)</f>
        <v>6695730</v>
      </c>
      <c r="H60" s="312">
        <f>F60+G60</f>
        <v>73653025</v>
      </c>
      <c r="I60" s="233" t="s">
        <v>190</v>
      </c>
      <c r="J60" s="177">
        <v>1</v>
      </c>
      <c r="K60" s="454"/>
    </row>
    <row r="61" spans="1:11" ht="15" customHeight="1" x14ac:dyDescent="0.25">
      <c r="A61" s="32">
        <v>6.2</v>
      </c>
      <c r="B61" s="552" t="s">
        <v>817</v>
      </c>
      <c r="C61" s="253">
        <f>ROUND(H61/H62,5)</f>
        <v>0</v>
      </c>
      <c r="D61" s="276"/>
      <c r="E61" s="386"/>
      <c r="F61" s="312"/>
      <c r="G61" s="312"/>
      <c r="H61" s="312"/>
      <c r="I61" s="233" t="s">
        <v>477</v>
      </c>
      <c r="J61" s="177">
        <v>1</v>
      </c>
      <c r="K61" s="454"/>
    </row>
    <row r="62" spans="1:11" ht="15" customHeight="1" x14ac:dyDescent="0.25">
      <c r="A62" s="32"/>
      <c r="B62" s="431" t="s">
        <v>887</v>
      </c>
      <c r="C62" s="187"/>
      <c r="D62" s="201"/>
      <c r="E62" s="311" t="s">
        <v>269</v>
      </c>
      <c r="F62" s="120">
        <f t="shared" ref="F62:G62" si="16">ROUND(F9+F11+F12+F13+F49+F59,0)</f>
        <v>1406103199</v>
      </c>
      <c r="G62" s="120">
        <f t="shared" si="16"/>
        <v>118356576</v>
      </c>
      <c r="H62" s="120">
        <f>SUMIF(J9,"&gt;0",H9)+SUMIF(J11,"&gt;0",H11)+SUMIF(J12,"&gt;0",H12)+SUMIF(J13,"&gt;0",H13)+SUMIF(J49,"&gt;0",H49)+SUMIF(J59,"&gt;0",H59)</f>
        <v>1531496938.5542099</v>
      </c>
      <c r="I62" s="201" t="s">
        <v>848</v>
      </c>
      <c r="J62" s="177">
        <v>1</v>
      </c>
      <c r="K62" s="454"/>
    </row>
    <row r="63" spans="1:11" ht="15" customHeight="1" x14ac:dyDescent="0.25">
      <c r="A63" s="483"/>
      <c r="B63" s="378" t="s">
        <v>288</v>
      </c>
      <c r="C63" s="117"/>
      <c r="D63" s="26"/>
      <c r="E63" s="237" t="s">
        <v>79</v>
      </c>
      <c r="F63" s="168"/>
      <c r="G63" s="168"/>
      <c r="H63" s="168">
        <f>ROUND(H62,-3)</f>
        <v>1531497000</v>
      </c>
      <c r="I63" s="135" t="s">
        <v>257</v>
      </c>
      <c r="J63" s="177"/>
      <c r="K63" s="146">
        <v>1531497000</v>
      </c>
    </row>
    <row r="64" spans="1:11" ht="15.4" customHeight="1" x14ac:dyDescent="0.25">
      <c r="A64" s="613" t="s">
        <v>920</v>
      </c>
      <c r="B64" s="614"/>
      <c r="C64" s="614"/>
      <c r="D64" s="614"/>
      <c r="E64" s="614"/>
      <c r="F64" s="614"/>
      <c r="G64" s="614"/>
      <c r="H64" s="615"/>
      <c r="I64" s="92"/>
      <c r="J64" s="177"/>
      <c r="K64" s="454"/>
    </row>
    <row r="65" spans="1:11" ht="14.1" customHeight="1" x14ac:dyDescent="0.25">
      <c r="A65" s="333"/>
      <c r="B65" s="454"/>
      <c r="C65" s="90"/>
      <c r="D65" s="454"/>
      <c r="E65" s="333"/>
      <c r="F65" s="454"/>
      <c r="G65" s="454"/>
      <c r="H65" s="426">
        <f>SUMIF(J9,"&gt;0",H9)+SUMIF(J11,"&gt;0",H11)+SUMIF(J12,"&gt;0",H12)+SUMIF(J13,"&gt;0",H13)+SUMIF(J49,"&gt;0",H49)</f>
        <v>1457843913.5542099</v>
      </c>
      <c r="I65" s="529" t="s">
        <v>422</v>
      </c>
      <c r="J65" s="177"/>
      <c r="K65" s="454"/>
    </row>
    <row r="66" spans="1:11" ht="14.1" customHeight="1" x14ac:dyDescent="0.25">
      <c r="A66" s="333"/>
      <c r="B66" s="42" t="s">
        <v>796</v>
      </c>
      <c r="C66" s="22"/>
      <c r="D66" s="505"/>
      <c r="E66" s="400"/>
      <c r="F66" s="616" t="s">
        <v>637</v>
      </c>
      <c r="G66" s="616"/>
      <c r="H66" s="616"/>
      <c r="I66" s="569"/>
      <c r="J66" s="177"/>
      <c r="K66" s="454"/>
    </row>
    <row r="67" spans="1:11" ht="14.1" customHeight="1" x14ac:dyDescent="0.25">
      <c r="A67" s="333"/>
      <c r="B67" s="102"/>
      <c r="C67" s="195"/>
      <c r="D67" s="539"/>
      <c r="E67" s="446"/>
      <c r="F67" s="539"/>
      <c r="G67" s="539"/>
      <c r="H67" s="539"/>
      <c r="I67" s="569"/>
      <c r="J67" s="177"/>
      <c r="K67" s="454"/>
    </row>
    <row r="68" spans="1:11" ht="14.1" customHeight="1" x14ac:dyDescent="0.25">
      <c r="A68" s="333"/>
      <c r="B68" s="102"/>
      <c r="C68" s="195"/>
      <c r="D68" s="539"/>
      <c r="E68" s="446"/>
      <c r="F68" s="539"/>
      <c r="G68" s="539"/>
      <c r="H68" s="539"/>
      <c r="I68" s="569"/>
      <c r="J68" s="177"/>
      <c r="K68" s="454"/>
    </row>
    <row r="69" spans="1:11" ht="14.1" customHeight="1" x14ac:dyDescent="0.25">
      <c r="A69" s="333"/>
      <c r="B69" s="102"/>
      <c r="C69" s="195"/>
      <c r="D69" s="539"/>
      <c r="E69" s="446"/>
      <c r="F69" s="539"/>
      <c r="G69" s="539"/>
      <c r="H69" s="539"/>
      <c r="I69" s="569"/>
      <c r="J69" s="177"/>
      <c r="K69" s="454"/>
    </row>
    <row r="70" spans="1:11" ht="14.1" customHeight="1" x14ac:dyDescent="0.25">
      <c r="A70" s="333"/>
      <c r="B70" s="102"/>
      <c r="C70" s="195"/>
      <c r="D70" s="539"/>
      <c r="E70" s="446"/>
      <c r="F70" s="539"/>
      <c r="G70" s="539"/>
      <c r="H70" s="539"/>
      <c r="I70" s="569"/>
      <c r="J70" s="177"/>
      <c r="K70" s="454"/>
    </row>
    <row r="71" spans="1:11" ht="14.1" customHeight="1" x14ac:dyDescent="0.25">
      <c r="A71" s="333"/>
      <c r="B71" s="102" t="s">
        <v>89</v>
      </c>
      <c r="C71" s="195"/>
      <c r="D71" s="539"/>
      <c r="E71" s="446"/>
      <c r="F71" s="612" t="s">
        <v>89</v>
      </c>
      <c r="G71" s="612"/>
      <c r="H71" s="612"/>
      <c r="I71" s="569"/>
      <c r="J71" s="177"/>
      <c r="K71" s="454"/>
    </row>
    <row r="72" spans="1:11" ht="14.1" customHeight="1" x14ac:dyDescent="0.25">
      <c r="A72" s="333"/>
      <c r="B72" s="102" t="s">
        <v>314</v>
      </c>
      <c r="C72" s="195"/>
      <c r="D72" s="539"/>
      <c r="E72" s="446"/>
      <c r="F72" s="612" t="s">
        <v>601</v>
      </c>
      <c r="G72" s="612"/>
      <c r="H72" s="612"/>
      <c r="I72" s="569"/>
      <c r="J72" s="177"/>
      <c r="K72" s="454"/>
    </row>
    <row r="73" spans="1:11" ht="14.1" customHeight="1" x14ac:dyDescent="0.25">
      <c r="A73" s="333"/>
      <c r="B73" s="539"/>
      <c r="C73" s="195"/>
      <c r="D73" s="539"/>
      <c r="E73" s="446"/>
      <c r="F73" s="612" t="s">
        <v>835</v>
      </c>
      <c r="G73" s="612"/>
      <c r="H73" s="612"/>
      <c r="I73" s="569"/>
      <c r="J73" s="177"/>
      <c r="K73" s="454"/>
    </row>
    <row r="74" spans="1:11" ht="14.1" customHeight="1" x14ac:dyDescent="0.25">
      <c r="A74" s="333"/>
      <c r="B74" s="539"/>
      <c r="C74" s="195"/>
      <c r="D74" s="539"/>
      <c r="E74" s="446"/>
      <c r="F74" s="539"/>
      <c r="G74" s="539"/>
      <c r="H74" s="539"/>
      <c r="I74" s="569"/>
      <c r="J74" s="177"/>
      <c r="K74" s="454"/>
    </row>
  </sheetData>
  <mergeCells count="11">
    <mergeCell ref="H7:I7"/>
    <mergeCell ref="C3:E3"/>
    <mergeCell ref="C4:E4"/>
    <mergeCell ref="C5:E5"/>
    <mergeCell ref="C6:E6"/>
    <mergeCell ref="C7:E7"/>
    <mergeCell ref="F73:H73"/>
    <mergeCell ref="A64:H64"/>
    <mergeCell ref="F66:H66"/>
    <mergeCell ref="F71:H71"/>
    <mergeCell ref="F72:H72"/>
  </mergeCells>
  <dataValidations count="3">
    <dataValidation type="list" allowBlank="1" showInputMessage="1" showErrorMessage="1" sqref="C3" xr:uid="{00000000-0002-0000-1000-000000000000}">
      <formula1>loaiCongTrinh</formula1>
    </dataValidation>
    <dataValidation type="list" allowBlank="1" showInputMessage="1" showErrorMessage="1" sqref="C5" xr:uid="{00000000-0002-0000-1000-000001000000}">
      <formula1>capCongTrinh</formula1>
    </dataValidation>
    <dataValidation type="list" allowBlank="1" showInputMessage="1" showErrorMessage="1" sqref="C4" xr:uid="{00000000-0002-0000-1000-000002000000}">
      <formula1>loaiThietKe</formula1>
    </dataValidation>
  </dataValidations>
  <pageMargins left="0.7" right="0.7" top="0.75" bottom="0.75" header="0.3" footer="0.3"/>
  <pageSetup paperSize="9" scale="75"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3"/>
  </sheetPr>
  <dimension ref="A1:J110"/>
  <sheetViews>
    <sheetView showZeros="0" topLeftCell="B1" workbookViewId="0">
      <selection activeCell="G12" sqref="G12"/>
    </sheetView>
  </sheetViews>
  <sheetFormatPr defaultColWidth="9.140625" defaultRowHeight="15" x14ac:dyDescent="0.25"/>
  <cols>
    <col min="1" max="1" width="9.140625" style="460" hidden="1" customWidth="1"/>
    <col min="2" max="2" width="4.7109375" style="460" bestFit="1" customWidth="1"/>
    <col min="3" max="3" width="10" style="56" hidden="1" customWidth="1"/>
    <col min="4" max="4" width="9.42578125" style="56" customWidth="1"/>
    <col min="5" max="5" width="38.7109375" style="460" customWidth="1"/>
    <col min="6" max="6" width="6.85546875" style="460" customWidth="1"/>
    <col min="7" max="8" width="10.140625" style="460" customWidth="1"/>
    <col min="9" max="9" width="6.5703125" style="460" customWidth="1"/>
    <col min="10" max="10" width="10.5703125" style="460" customWidth="1"/>
    <col min="11" max="18" width="9.140625" style="460" customWidth="1"/>
    <col min="19" max="19" width="14.140625" style="460" customWidth="1"/>
    <col min="20" max="20" width="9.140625" style="460" customWidth="1"/>
    <col min="21" max="16384" width="9.140625" style="460"/>
  </cols>
  <sheetData>
    <row r="1" spans="1:10" ht="18.75" x14ac:dyDescent="0.3">
      <c r="A1" s="621" t="s">
        <v>100</v>
      </c>
      <c r="B1" s="621"/>
      <c r="C1" s="621"/>
      <c r="D1" s="621"/>
      <c r="E1" s="621"/>
      <c r="F1" s="621"/>
      <c r="G1" s="621"/>
      <c r="H1" s="621"/>
      <c r="I1" s="621"/>
      <c r="J1" s="621"/>
    </row>
    <row r="2" spans="1:10" x14ac:dyDescent="0.25">
      <c r="A2" s="622" t="s">
        <v>471</v>
      </c>
      <c r="B2" s="622"/>
      <c r="C2" s="622"/>
      <c r="D2" s="622"/>
      <c r="E2" s="622"/>
      <c r="F2" s="622"/>
      <c r="G2" s="622"/>
      <c r="H2" s="622"/>
      <c r="I2" s="622"/>
      <c r="J2" s="622"/>
    </row>
    <row r="3" spans="1:10" x14ac:dyDescent="0.25">
      <c r="A3" s="622" t="s">
        <v>178</v>
      </c>
      <c r="B3" s="622"/>
      <c r="C3" s="622"/>
      <c r="D3" s="622"/>
      <c r="E3" s="622"/>
      <c r="F3" s="622"/>
      <c r="G3" s="622"/>
      <c r="H3" s="622"/>
      <c r="I3" s="622"/>
      <c r="J3" s="622"/>
    </row>
    <row r="4" spans="1:10" x14ac:dyDescent="0.25">
      <c r="A4" s="623" t="s">
        <v>79</v>
      </c>
      <c r="B4" s="623"/>
      <c r="C4" s="623"/>
      <c r="D4" s="623"/>
      <c r="E4" s="623"/>
      <c r="F4" s="623"/>
      <c r="G4" s="623"/>
      <c r="H4" s="623"/>
      <c r="I4" s="623"/>
      <c r="J4" s="623"/>
    </row>
    <row r="5" spans="1:10" ht="28.5" x14ac:dyDescent="0.25">
      <c r="A5" s="380"/>
      <c r="B5" s="380" t="s">
        <v>306</v>
      </c>
      <c r="C5" s="546" t="s">
        <v>170</v>
      </c>
      <c r="D5" s="546" t="s">
        <v>587</v>
      </c>
      <c r="E5" s="380" t="s">
        <v>52</v>
      </c>
      <c r="F5" s="380" t="s">
        <v>891</v>
      </c>
      <c r="G5" s="380" t="s">
        <v>975</v>
      </c>
      <c r="H5" s="380" t="s">
        <v>649</v>
      </c>
      <c r="I5" s="380" t="s">
        <v>764</v>
      </c>
      <c r="J5" s="380" t="s">
        <v>97</v>
      </c>
    </row>
    <row r="6" spans="1:10" ht="45" x14ac:dyDescent="0.25">
      <c r="A6" s="430"/>
      <c r="B6" s="351">
        <v>1</v>
      </c>
      <c r="C6" s="70" t="str">
        <f>'Tiên lượng'!C7</f>
        <v>CF.11620</v>
      </c>
      <c r="D6" s="70" t="str">
        <f>'Tiên lượng'!C7</f>
        <v>CF.11620</v>
      </c>
      <c r="E6" s="406" t="str">
        <f>'Tiên lượng'!D7</f>
        <v>Công tác đo lưới khống chế mặt bằng, đường chuyền cấp II, Bộ thiết bị GPS (3 máy)</v>
      </c>
      <c r="F6" s="351" t="str">
        <f>'Tiên lượng'!E7</f>
        <v>điểm</v>
      </c>
      <c r="G6" s="161"/>
      <c r="H6" s="418"/>
      <c r="I6" s="548"/>
      <c r="J6" s="418"/>
    </row>
    <row r="7" spans="1:10" x14ac:dyDescent="0.25">
      <c r="A7" s="484"/>
      <c r="B7" s="17"/>
      <c r="C7" s="83" t="s">
        <v>79</v>
      </c>
      <c r="D7" s="83" t="s">
        <v>79</v>
      </c>
      <c r="E7" s="523" t="s">
        <v>488</v>
      </c>
      <c r="F7" s="17" t="s">
        <v>757</v>
      </c>
      <c r="G7" s="309"/>
      <c r="H7" s="461"/>
      <c r="I7" s="21"/>
      <c r="J7" s="461">
        <f>SUM(J8:J14)</f>
        <v>27715.990000000009</v>
      </c>
    </row>
    <row r="8" spans="1:10" x14ac:dyDescent="0.25">
      <c r="A8" s="119"/>
      <c r="B8" s="238"/>
      <c r="C8" s="308" t="s">
        <v>79</v>
      </c>
      <c r="D8" s="283" t="s">
        <v>126</v>
      </c>
      <c r="E8" s="300" t="str">
        <f>" - " &amp; 'Giá VL'!E11</f>
        <v xml:space="preserve"> - Xi măng PCB30</v>
      </c>
      <c r="F8" s="238" t="str">
        <f>'Giá VL'!F11</f>
        <v>kg</v>
      </c>
      <c r="G8" s="78">
        <f>PTVT!G8</f>
        <v>3</v>
      </c>
      <c r="H8" s="96">
        <f>'Giá VL'!V11</f>
        <v>1409.0909090909099</v>
      </c>
      <c r="I8" s="379">
        <f>'Tiên lượng'!V7</f>
        <v>1</v>
      </c>
      <c r="J8" s="96">
        <f t="shared" ref="J8:J14" si="0">PRODUCT(G8,H8,I8)</f>
        <v>4227.2727272727298</v>
      </c>
    </row>
    <row r="9" spans="1:10" x14ac:dyDescent="0.25">
      <c r="A9" s="119"/>
      <c r="B9" s="238"/>
      <c r="C9" s="308" t="s">
        <v>79</v>
      </c>
      <c r="D9" s="283" t="s">
        <v>475</v>
      </c>
      <c r="E9" s="300" t="str">
        <f>" - " &amp; 'Giá VL'!E7</f>
        <v xml:space="preserve"> - Đá 1x2</v>
      </c>
      <c r="F9" s="238" t="str">
        <f>'Giá VL'!F7</f>
        <v>m3</v>
      </c>
      <c r="G9" s="78">
        <f>PTVT!G9</f>
        <v>0.01</v>
      </c>
      <c r="H9" s="96">
        <f>'Giá VL'!V7</f>
        <v>207088.181818182</v>
      </c>
      <c r="I9" s="379">
        <f>'Tiên lượng'!V7</f>
        <v>1</v>
      </c>
      <c r="J9" s="96">
        <f t="shared" si="0"/>
        <v>2070.8818181818201</v>
      </c>
    </row>
    <row r="10" spans="1:10" x14ac:dyDescent="0.25">
      <c r="A10" s="119"/>
      <c r="B10" s="238"/>
      <c r="C10" s="308" t="s">
        <v>79</v>
      </c>
      <c r="D10" s="283" t="s">
        <v>793</v>
      </c>
      <c r="E10" s="300" t="str">
        <f>" - " &amp; 'Giá VL'!E5</f>
        <v xml:space="preserve"> - Cát vàng</v>
      </c>
      <c r="F10" s="238" t="str">
        <f>'Giá VL'!F5</f>
        <v>m3</v>
      </c>
      <c r="G10" s="78">
        <f>PTVT!G10</f>
        <v>6.0000000000000001E-3</v>
      </c>
      <c r="H10" s="96">
        <f>'Giá VL'!V5</f>
        <v>180000</v>
      </c>
      <c r="I10" s="379">
        <f>'Tiên lượng'!V7</f>
        <v>1</v>
      </c>
      <c r="J10" s="96">
        <f t="shared" si="0"/>
        <v>1080</v>
      </c>
    </row>
    <row r="11" spans="1:10" x14ac:dyDescent="0.25">
      <c r="A11" s="119"/>
      <c r="B11" s="238"/>
      <c r="C11" s="308" t="s">
        <v>79</v>
      </c>
      <c r="D11" s="283" t="s">
        <v>634</v>
      </c>
      <c r="E11" s="300" t="str">
        <f>" - " &amp; 'Giá VL'!E8</f>
        <v xml:space="preserve"> - Đinh+dây thép</v>
      </c>
      <c r="F11" s="238" t="str">
        <f>'Giá VL'!F8</f>
        <v>kg</v>
      </c>
      <c r="G11" s="78">
        <f>PTVT!G11</f>
        <v>0.1</v>
      </c>
      <c r="H11" s="96">
        <f>'Giá VL'!V8</f>
        <v>18182</v>
      </c>
      <c r="I11" s="379">
        <f>'Tiên lượng'!V7</f>
        <v>1</v>
      </c>
      <c r="J11" s="96">
        <f t="shared" si="0"/>
        <v>1818.2</v>
      </c>
    </row>
    <row r="12" spans="1:10" x14ac:dyDescent="0.25">
      <c r="A12" s="119"/>
      <c r="B12" s="238"/>
      <c r="C12" s="308" t="s">
        <v>79</v>
      </c>
      <c r="D12" s="283" t="s">
        <v>594</v>
      </c>
      <c r="E12" s="300" t="str">
        <f>" - " &amp; 'Giá VL'!E10</f>
        <v xml:space="preserve"> - Sơn trắng+đỏ</v>
      </c>
      <c r="F12" s="238" t="str">
        <f>'Giá VL'!F10</f>
        <v>kg</v>
      </c>
      <c r="G12" s="78">
        <f>PTVT!G12</f>
        <v>0.2</v>
      </c>
      <c r="H12" s="96">
        <f>'Giá VL'!V10</f>
        <v>40000</v>
      </c>
      <c r="I12" s="379">
        <f>'Tiên lượng'!V7</f>
        <v>1</v>
      </c>
      <c r="J12" s="96">
        <f t="shared" si="0"/>
        <v>8000</v>
      </c>
    </row>
    <row r="13" spans="1:10" x14ac:dyDescent="0.25">
      <c r="A13" s="119"/>
      <c r="B13" s="238"/>
      <c r="C13" s="308" t="s">
        <v>79</v>
      </c>
      <c r="D13" s="283" t="s">
        <v>397</v>
      </c>
      <c r="E13" s="300" t="str">
        <f>" - " &amp; 'Giá VL'!E9</f>
        <v xml:space="preserve"> - Sổ đo</v>
      </c>
      <c r="F13" s="238" t="str">
        <f>'Giá VL'!F9</f>
        <v>quyển</v>
      </c>
      <c r="G13" s="78">
        <f>PTVT!G13</f>
        <v>1</v>
      </c>
      <c r="H13" s="96">
        <f>'Giá VL'!V9</f>
        <v>8000</v>
      </c>
      <c r="I13" s="379">
        <f>'Tiên lượng'!V7</f>
        <v>1</v>
      </c>
      <c r="J13" s="96">
        <f t="shared" si="0"/>
        <v>8000</v>
      </c>
    </row>
    <row r="14" spans="1:10" x14ac:dyDescent="0.25">
      <c r="A14" s="119"/>
      <c r="B14" s="238"/>
      <c r="C14" s="308" t="s">
        <v>79</v>
      </c>
      <c r="D14" s="283" t="s">
        <v>520</v>
      </c>
      <c r="E14" s="300" t="s">
        <v>189</v>
      </c>
      <c r="F14" s="238" t="s">
        <v>873</v>
      </c>
      <c r="G14" s="78">
        <f>PTVT!G14</f>
        <v>10</v>
      </c>
      <c r="H14" s="96">
        <f>IF('Tiên lượng'!V7&lt;&gt;0,SUM(J8:J13)/100/'Tiên lượng'!V7,0)</f>
        <v>251.96354545454554</v>
      </c>
      <c r="I14" s="379">
        <f>'Tiên lượng'!V7</f>
        <v>1</v>
      </c>
      <c r="J14" s="96">
        <f t="shared" si="0"/>
        <v>2519.6354545454556</v>
      </c>
    </row>
    <row r="15" spans="1:10" x14ac:dyDescent="0.25">
      <c r="A15" s="484"/>
      <c r="B15" s="17"/>
      <c r="C15" s="83" t="s">
        <v>79</v>
      </c>
      <c r="D15" s="83" t="s">
        <v>79</v>
      </c>
      <c r="E15" s="523" t="s">
        <v>950</v>
      </c>
      <c r="F15" s="17" t="s">
        <v>799</v>
      </c>
      <c r="G15" s="309"/>
      <c r="H15" s="461"/>
      <c r="I15" s="21"/>
      <c r="J15" s="461">
        <f>SUM(J16:J17)</f>
        <v>1765314.2799999998</v>
      </c>
    </row>
    <row r="16" spans="1:10" x14ac:dyDescent="0.25">
      <c r="A16" s="119"/>
      <c r="B16" s="238"/>
      <c r="C16" s="308" t="s">
        <v>79</v>
      </c>
      <c r="D16" s="283" t="s">
        <v>689</v>
      </c>
      <c r="E16" s="300" t="str">
        <f>" - " &amp; 'Giá NC'!E6</f>
        <v xml:space="preserve"> - Kỹ sư bậc 4,0/8</v>
      </c>
      <c r="F16" s="238" t="str">
        <f>'Giá NC'!F6</f>
        <v>công</v>
      </c>
      <c r="G16" s="78">
        <f>PTVT!G16</f>
        <v>1.76</v>
      </c>
      <c r="H16" s="96">
        <f>'Giá NC'!K6</f>
        <v>296000</v>
      </c>
      <c r="I16" s="379">
        <f>'Tiên lượng'!W7</f>
        <v>1</v>
      </c>
      <c r="J16" s="96">
        <f t="shared" ref="J16:J17" si="1">PRODUCT(G16,H16,I16)</f>
        <v>520960</v>
      </c>
    </row>
    <row r="17" spans="1:10" x14ac:dyDescent="0.25">
      <c r="A17" s="119"/>
      <c r="B17" s="238"/>
      <c r="C17" s="308" t="s">
        <v>79</v>
      </c>
      <c r="D17" s="283" t="s">
        <v>137</v>
      </c>
      <c r="E17" s="300" t="str">
        <f>" - " &amp; 'Giá NC'!E5</f>
        <v xml:space="preserve"> - Nhân công bậc 4,0/7 - Nhóm 2</v>
      </c>
      <c r="F17" s="238" t="str">
        <f>'Giá NC'!F5</f>
        <v>công</v>
      </c>
      <c r="G17" s="78">
        <f>PTVT!G17</f>
        <v>4.3899999999999997</v>
      </c>
      <c r="H17" s="96">
        <f>'Giá NC'!K5</f>
        <v>283452</v>
      </c>
      <c r="I17" s="379">
        <f>'Tiên lượng'!W7</f>
        <v>1</v>
      </c>
      <c r="J17" s="96">
        <f t="shared" si="1"/>
        <v>1244354.2799999998</v>
      </c>
    </row>
    <row r="18" spans="1:10" x14ac:dyDescent="0.25">
      <c r="A18" s="484"/>
      <c r="B18" s="17"/>
      <c r="C18" s="83" t="s">
        <v>79</v>
      </c>
      <c r="D18" s="83" t="s">
        <v>79</v>
      </c>
      <c r="E18" s="523" t="s">
        <v>959</v>
      </c>
      <c r="F18" s="17" t="s">
        <v>112</v>
      </c>
      <c r="G18" s="309"/>
      <c r="H18" s="461"/>
      <c r="I18" s="21"/>
      <c r="J18" s="461">
        <f>SUM(J19:J20)</f>
        <v>95091.216</v>
      </c>
    </row>
    <row r="19" spans="1:10" ht="30" x14ac:dyDescent="0.25">
      <c r="A19" s="119"/>
      <c r="B19" s="238"/>
      <c r="C19" s="308" t="s">
        <v>79</v>
      </c>
      <c r="D19" s="283" t="s">
        <v>996</v>
      </c>
      <c r="E19" s="300" t="str">
        <f>" - " &amp; 'Giá Máy'!E7</f>
        <v xml:space="preserve"> - Bộ thiết bị GPS G3100-R2 hoặc loại tương tự (3 máy)</v>
      </c>
      <c r="F19" s="238" t="str">
        <f>'Giá Máy'!F7</f>
        <v>ca</v>
      </c>
      <c r="G19" s="78">
        <f>PTVT!G19</f>
        <v>0.16</v>
      </c>
      <c r="H19" s="96">
        <f>'Giá Máy'!O7</f>
        <v>540291</v>
      </c>
      <c r="I19" s="379">
        <f>'Tiên lượng'!X7</f>
        <v>1</v>
      </c>
      <c r="J19" s="96">
        <f t="shared" ref="J19:J20" si="2">PRODUCT(G19,H19,I19)</f>
        <v>86446.56</v>
      </c>
    </row>
    <row r="20" spans="1:10" x14ac:dyDescent="0.25">
      <c r="A20" s="119"/>
      <c r="B20" s="238"/>
      <c r="C20" s="308" t="s">
        <v>79</v>
      </c>
      <c r="D20" s="283" t="s">
        <v>914</v>
      </c>
      <c r="E20" s="300" t="s">
        <v>845</v>
      </c>
      <c r="F20" s="238" t="s">
        <v>873</v>
      </c>
      <c r="G20" s="78">
        <f>PTVT!G20</f>
        <v>10</v>
      </c>
      <c r="H20" s="96">
        <f>IF('Tiên lượng'!X7&lt;&gt;0,SUM(J19:J19)/100/'Tiên lượng'!X7,0)</f>
        <v>864.46559999999999</v>
      </c>
      <c r="I20" s="379">
        <f>'Tiên lượng'!X7</f>
        <v>1</v>
      </c>
      <c r="J20" s="96">
        <f t="shared" si="2"/>
        <v>8644.655999999999</v>
      </c>
    </row>
    <row r="21" spans="1:10" x14ac:dyDescent="0.25">
      <c r="A21" s="119"/>
      <c r="B21" s="238"/>
      <c r="C21" s="308" t="s">
        <v>79</v>
      </c>
      <c r="D21" s="283" t="s">
        <v>79</v>
      </c>
      <c r="E21" s="357" t="s">
        <v>756</v>
      </c>
      <c r="F21" s="302" t="s">
        <v>281</v>
      </c>
      <c r="G21" s="68"/>
      <c r="H21" s="96"/>
      <c r="I21" s="379"/>
      <c r="J21" s="286">
        <f>J7+J15+J18</f>
        <v>1888121.4859999998</v>
      </c>
    </row>
    <row r="22" spans="1:10" x14ac:dyDescent="0.25">
      <c r="A22" s="119"/>
      <c r="B22" s="238"/>
      <c r="C22" s="308" t="s">
        <v>79</v>
      </c>
      <c r="D22" s="283" t="s">
        <v>79</v>
      </c>
      <c r="E22" s="300" t="s">
        <v>209</v>
      </c>
      <c r="F22" s="238" t="s">
        <v>508</v>
      </c>
      <c r="G22" s="525">
        <f>'Thông tin'!E69</f>
        <v>0.7</v>
      </c>
      <c r="H22" s="96"/>
      <c r="I22" s="379"/>
      <c r="J22" s="96">
        <f>(J15)*G22</f>
        <v>1235719.9959999998</v>
      </c>
    </row>
    <row r="23" spans="1:10" ht="45" x14ac:dyDescent="0.25">
      <c r="A23" s="119"/>
      <c r="B23" s="238"/>
      <c r="C23" s="308" t="s">
        <v>79</v>
      </c>
      <c r="D23" s="283" t="s">
        <v>79</v>
      </c>
      <c r="E23" s="300" t="s">
        <v>651</v>
      </c>
      <c r="F23" s="238" t="s">
        <v>250</v>
      </c>
      <c r="G23" s="525">
        <f>'Thông tin'!E72</f>
        <v>0.05</v>
      </c>
      <c r="H23" s="96"/>
      <c r="I23" s="379"/>
      <c r="J23" s="96">
        <f>(J21)*G23</f>
        <v>94406.074299999993</v>
      </c>
    </row>
    <row r="24" spans="1:10" x14ac:dyDescent="0.25">
      <c r="A24" s="119"/>
      <c r="B24" s="238"/>
      <c r="C24" s="308" t="s">
        <v>79</v>
      </c>
      <c r="D24" s="283" t="s">
        <v>79</v>
      </c>
      <c r="E24" s="357" t="s">
        <v>327</v>
      </c>
      <c r="F24" s="238" t="s">
        <v>811</v>
      </c>
      <c r="G24" s="68"/>
      <c r="H24" s="96"/>
      <c r="I24" s="379"/>
      <c r="J24" s="96">
        <f>J22+J23</f>
        <v>1330126.0702999998</v>
      </c>
    </row>
    <row r="25" spans="1:10" ht="30" x14ac:dyDescent="0.25">
      <c r="A25" s="119"/>
      <c r="B25" s="238"/>
      <c r="C25" s="308" t="s">
        <v>79</v>
      </c>
      <c r="D25" s="283" t="s">
        <v>79</v>
      </c>
      <c r="E25" s="300" t="s">
        <v>776</v>
      </c>
      <c r="F25" s="238" t="s">
        <v>240</v>
      </c>
      <c r="G25" s="525">
        <f>'Thông tin'!E65</f>
        <v>0.06</v>
      </c>
      <c r="H25" s="96"/>
      <c r="I25" s="379"/>
      <c r="J25" s="96">
        <f>(J21+J24)*G25</f>
        <v>193094.85337799994</v>
      </c>
    </row>
    <row r="26" spans="1:10" x14ac:dyDescent="0.25">
      <c r="A26" s="119"/>
      <c r="B26" s="238"/>
      <c r="C26" s="308" t="s">
        <v>79</v>
      </c>
      <c r="D26" s="283" t="s">
        <v>79</v>
      </c>
      <c r="E26" s="357" t="s">
        <v>90</v>
      </c>
      <c r="F26" s="302" t="s">
        <v>225</v>
      </c>
      <c r="G26" s="68"/>
      <c r="H26" s="96"/>
      <c r="I26" s="379"/>
      <c r="J26" s="286">
        <f>J21+J24+J25</f>
        <v>3411342.4096779991</v>
      </c>
    </row>
    <row r="27" spans="1:10" ht="30" x14ac:dyDescent="0.25">
      <c r="A27" s="119"/>
      <c r="B27" s="238"/>
      <c r="C27" s="308" t="s">
        <v>79</v>
      </c>
      <c r="D27" s="283" t="s">
        <v>79</v>
      </c>
      <c r="E27" s="300" t="s">
        <v>976</v>
      </c>
      <c r="F27" s="238" t="s">
        <v>195</v>
      </c>
      <c r="G27" s="525">
        <f>'Thông tin'!E60</f>
        <v>0.02</v>
      </c>
      <c r="H27" s="96"/>
      <c r="I27" s="379"/>
      <c r="J27" s="96">
        <f>(J21+J24+J25)*G27</f>
        <v>68226.848193559985</v>
      </c>
    </row>
    <row r="28" spans="1:10" ht="30" x14ac:dyDescent="0.25">
      <c r="A28" s="119"/>
      <c r="B28" s="238"/>
      <c r="C28" s="308" t="s">
        <v>79</v>
      </c>
      <c r="D28" s="283" t="s">
        <v>79</v>
      </c>
      <c r="E28" s="300" t="s">
        <v>180</v>
      </c>
      <c r="F28" s="238" t="s">
        <v>410</v>
      </c>
      <c r="G28" s="525">
        <f>'Thông tin'!E67</f>
        <v>0.03</v>
      </c>
      <c r="H28" s="96"/>
      <c r="I28" s="379"/>
      <c r="J28" s="96">
        <f>(J21+J24+J25)*G28</f>
        <v>102340.27229033997</v>
      </c>
    </row>
    <row r="29" spans="1:10" x14ac:dyDescent="0.25">
      <c r="A29" s="119"/>
      <c r="B29" s="238"/>
      <c r="C29" s="308" t="s">
        <v>79</v>
      </c>
      <c r="D29" s="283" t="s">
        <v>79</v>
      </c>
      <c r="E29" s="300" t="s">
        <v>405</v>
      </c>
      <c r="F29" s="238" t="s">
        <v>293</v>
      </c>
      <c r="G29" s="68"/>
      <c r="H29" s="96"/>
      <c r="I29" s="379"/>
      <c r="J29" s="96">
        <v>0</v>
      </c>
    </row>
    <row r="30" spans="1:10" x14ac:dyDescent="0.25">
      <c r="A30" s="119"/>
      <c r="B30" s="238"/>
      <c r="C30" s="308" t="s">
        <v>79</v>
      </c>
      <c r="D30" s="283" t="s">
        <v>79</v>
      </c>
      <c r="E30" s="357" t="s">
        <v>144</v>
      </c>
      <c r="F30" s="302" t="s">
        <v>147</v>
      </c>
      <c r="G30" s="68"/>
      <c r="H30" s="96"/>
      <c r="I30" s="379"/>
      <c r="J30" s="286">
        <f>J26+J27+J28</f>
        <v>3581909.530161899</v>
      </c>
    </row>
    <row r="31" spans="1:10" x14ac:dyDescent="0.25">
      <c r="A31" s="119"/>
      <c r="B31" s="238"/>
      <c r="C31" s="308" t="s">
        <v>79</v>
      </c>
      <c r="D31" s="283" t="s">
        <v>79</v>
      </c>
      <c r="E31" s="300" t="s">
        <v>598</v>
      </c>
      <c r="F31" s="238" t="s">
        <v>656</v>
      </c>
      <c r="G31" s="525">
        <f>'Thông tin'!E63</f>
        <v>0.1</v>
      </c>
      <c r="H31" s="96"/>
      <c r="I31" s="379"/>
      <c r="J31" s="96">
        <f>(J30)*G31</f>
        <v>358190.95301618992</v>
      </c>
    </row>
    <row r="32" spans="1:10" x14ac:dyDescent="0.25">
      <c r="A32" s="119"/>
      <c r="B32" s="238"/>
      <c r="C32" s="308" t="s">
        <v>79</v>
      </c>
      <c r="D32" s="283" t="s">
        <v>79</v>
      </c>
      <c r="E32" s="357" t="s">
        <v>752</v>
      </c>
      <c r="F32" s="302" t="s">
        <v>94</v>
      </c>
      <c r="G32" s="68"/>
      <c r="H32" s="96"/>
      <c r="I32" s="379"/>
      <c r="J32" s="286">
        <f>J30+J31</f>
        <v>3940100.4831780889</v>
      </c>
    </row>
    <row r="33" spans="1:10" x14ac:dyDescent="0.25">
      <c r="A33" s="119"/>
      <c r="B33" s="238"/>
      <c r="C33" s="308" t="s">
        <v>79</v>
      </c>
      <c r="D33" s="283" t="s">
        <v>79</v>
      </c>
      <c r="E33" s="300" t="s">
        <v>892</v>
      </c>
      <c r="F33" s="238" t="s">
        <v>979</v>
      </c>
      <c r="G33" s="525">
        <f>'Thông tin'!E59</f>
        <v>0</v>
      </c>
      <c r="H33" s="96"/>
      <c r="I33" s="379"/>
      <c r="J33" s="96">
        <f>(J32)*G33</f>
        <v>0</v>
      </c>
    </row>
    <row r="34" spans="1:10" x14ac:dyDescent="0.25">
      <c r="A34" s="521"/>
      <c r="B34" s="60"/>
      <c r="C34" s="127" t="s">
        <v>79</v>
      </c>
      <c r="D34" s="97" t="s">
        <v>79</v>
      </c>
      <c r="E34" s="453" t="s">
        <v>882</v>
      </c>
      <c r="F34" s="112" t="s">
        <v>590</v>
      </c>
      <c r="G34" s="360"/>
      <c r="H34" s="498"/>
      <c r="I34" s="63"/>
      <c r="J34" s="155">
        <f>J32+J33</f>
        <v>3940100.4831780889</v>
      </c>
    </row>
    <row r="35" spans="1:10" ht="30" x14ac:dyDescent="0.25">
      <c r="A35" s="430"/>
      <c r="B35" s="351">
        <v>2</v>
      </c>
      <c r="C35" s="70" t="str">
        <f>'Tiên lượng'!C8</f>
        <v>CG.11330</v>
      </c>
      <c r="D35" s="70" t="str">
        <f>'Tiên lượng'!C8</f>
        <v>CG.11330</v>
      </c>
      <c r="E35" s="406" t="str">
        <f>'Tiên lượng'!D8</f>
        <v>Công tác đo khống chế cao, thủy chuẩn kỹ thuật, cấp địa hình III</v>
      </c>
      <c r="F35" s="351" t="str">
        <f>'Tiên lượng'!E8</f>
        <v>km</v>
      </c>
      <c r="G35" s="161"/>
      <c r="H35" s="418"/>
      <c r="I35" s="548"/>
      <c r="J35" s="418"/>
    </row>
    <row r="36" spans="1:10" x14ac:dyDescent="0.25">
      <c r="A36" s="484"/>
      <c r="B36" s="17"/>
      <c r="C36" s="83" t="s">
        <v>79</v>
      </c>
      <c r="D36" s="83" t="s">
        <v>79</v>
      </c>
      <c r="E36" s="523" t="s">
        <v>488</v>
      </c>
      <c r="F36" s="17" t="s">
        <v>757</v>
      </c>
      <c r="G36" s="309"/>
      <c r="H36" s="461"/>
      <c r="I36" s="21"/>
      <c r="J36" s="461">
        <f>SUM(J37:J38)</f>
        <v>3640</v>
      </c>
    </row>
    <row r="37" spans="1:10" x14ac:dyDescent="0.25">
      <c r="A37" s="119"/>
      <c r="B37" s="238"/>
      <c r="C37" s="308" t="s">
        <v>79</v>
      </c>
      <c r="D37" s="283" t="s">
        <v>397</v>
      </c>
      <c r="E37" s="300" t="str">
        <f>" - " &amp; 'Giá VL'!E9</f>
        <v xml:space="preserve"> - Sổ đo</v>
      </c>
      <c r="F37" s="238" t="str">
        <f>'Giá VL'!F9</f>
        <v>quyển</v>
      </c>
      <c r="G37" s="78">
        <f>PTVT!G23</f>
        <v>0.35</v>
      </c>
      <c r="H37" s="96">
        <f>'Giá VL'!V9</f>
        <v>8000</v>
      </c>
      <c r="I37" s="379">
        <f>'Tiên lượng'!V8</f>
        <v>1</v>
      </c>
      <c r="J37" s="96">
        <f t="shared" ref="J37:J38" si="3">PRODUCT(G37,H37,I37)</f>
        <v>2800</v>
      </c>
    </row>
    <row r="38" spans="1:10" x14ac:dyDescent="0.25">
      <c r="A38" s="119"/>
      <c r="B38" s="238"/>
      <c r="C38" s="308" t="s">
        <v>79</v>
      </c>
      <c r="D38" s="283" t="s">
        <v>520</v>
      </c>
      <c r="E38" s="300" t="s">
        <v>189</v>
      </c>
      <c r="F38" s="238" t="s">
        <v>873</v>
      </c>
      <c r="G38" s="78">
        <f>PTVT!G24</f>
        <v>30</v>
      </c>
      <c r="H38" s="96">
        <f>IF('Tiên lượng'!V8&lt;&gt;0,SUM(J37:J37)/100/'Tiên lượng'!V8,0)</f>
        <v>28</v>
      </c>
      <c r="I38" s="379">
        <f>'Tiên lượng'!V8</f>
        <v>1</v>
      </c>
      <c r="J38" s="96">
        <f t="shared" si="3"/>
        <v>840</v>
      </c>
    </row>
    <row r="39" spans="1:10" x14ac:dyDescent="0.25">
      <c r="A39" s="484"/>
      <c r="B39" s="17"/>
      <c r="C39" s="83" t="s">
        <v>79</v>
      </c>
      <c r="D39" s="83" t="s">
        <v>79</v>
      </c>
      <c r="E39" s="523" t="s">
        <v>950</v>
      </c>
      <c r="F39" s="17" t="s">
        <v>799</v>
      </c>
      <c r="G39" s="309"/>
      <c r="H39" s="461"/>
      <c r="I39" s="21"/>
      <c r="J39" s="461">
        <f>SUM(J40:J41)</f>
        <v>1000791.6399999999</v>
      </c>
    </row>
    <row r="40" spans="1:10" x14ac:dyDescent="0.25">
      <c r="A40" s="119"/>
      <c r="B40" s="238"/>
      <c r="C40" s="308" t="s">
        <v>79</v>
      </c>
      <c r="D40" s="283" t="s">
        <v>689</v>
      </c>
      <c r="E40" s="300" t="str">
        <f>" - " &amp; 'Giá NC'!E6</f>
        <v xml:space="preserve"> - Kỹ sư bậc 4,0/8</v>
      </c>
      <c r="F40" s="238" t="str">
        <f>'Giá NC'!F6</f>
        <v>công</v>
      </c>
      <c r="G40" s="78">
        <f>PTVT!G26</f>
        <v>0.92</v>
      </c>
      <c r="H40" s="96">
        <f>'Giá NC'!K6</f>
        <v>296000</v>
      </c>
      <c r="I40" s="379">
        <f>'Tiên lượng'!W8</f>
        <v>1</v>
      </c>
      <c r="J40" s="96">
        <f t="shared" ref="J40:J41" si="4">PRODUCT(G40,H40,I40)</f>
        <v>272320</v>
      </c>
    </row>
    <row r="41" spans="1:10" x14ac:dyDescent="0.25">
      <c r="A41" s="119"/>
      <c r="B41" s="238"/>
      <c r="C41" s="308" t="s">
        <v>79</v>
      </c>
      <c r="D41" s="283" t="s">
        <v>137</v>
      </c>
      <c r="E41" s="300" t="str">
        <f>" - " &amp; 'Giá NC'!E5</f>
        <v xml:space="preserve"> - Nhân công bậc 4,0/7 - Nhóm 2</v>
      </c>
      <c r="F41" s="238" t="str">
        <f>'Giá NC'!F5</f>
        <v>công</v>
      </c>
      <c r="G41" s="78">
        <f>PTVT!G27</f>
        <v>2.57</v>
      </c>
      <c r="H41" s="96">
        <f>'Giá NC'!K5</f>
        <v>283452</v>
      </c>
      <c r="I41" s="379">
        <f>'Tiên lượng'!W8</f>
        <v>1</v>
      </c>
      <c r="J41" s="96">
        <f t="shared" si="4"/>
        <v>728471.6399999999</v>
      </c>
    </row>
    <row r="42" spans="1:10" x14ac:dyDescent="0.25">
      <c r="A42" s="484"/>
      <c r="B42" s="17"/>
      <c r="C42" s="83" t="s">
        <v>79</v>
      </c>
      <c r="D42" s="83" t="s">
        <v>79</v>
      </c>
      <c r="E42" s="523" t="s">
        <v>959</v>
      </c>
      <c r="F42" s="17" t="s">
        <v>112</v>
      </c>
      <c r="G42" s="309"/>
      <c r="H42" s="461"/>
      <c r="I42" s="21"/>
      <c r="J42" s="461">
        <f>SUM(J43:J44)</f>
        <v>4518.7019999999993</v>
      </c>
    </row>
    <row r="43" spans="1:10" x14ac:dyDescent="0.25">
      <c r="A43" s="119"/>
      <c r="B43" s="238"/>
      <c r="C43" s="308" t="s">
        <v>79</v>
      </c>
      <c r="D43" s="283" t="s">
        <v>188</v>
      </c>
      <c r="E43" s="300" t="str">
        <f>" - " &amp; 'Giá Máy'!E5</f>
        <v xml:space="preserve"> - Máy thủy bình điện tử</v>
      </c>
      <c r="F43" s="238" t="str">
        <f>'Giá Máy'!F5</f>
        <v>ca</v>
      </c>
      <c r="G43" s="78">
        <f>PTVT!G29</f>
        <v>0.3</v>
      </c>
      <c r="H43" s="96">
        <f>'Giá Máy'!O5</f>
        <v>14767</v>
      </c>
      <c r="I43" s="379">
        <f>'Tiên lượng'!X8</f>
        <v>1</v>
      </c>
      <c r="J43" s="96">
        <f t="shared" ref="J43:J44" si="5">PRODUCT(G43,H43,I43)</f>
        <v>4430.0999999999995</v>
      </c>
    </row>
    <row r="44" spans="1:10" x14ac:dyDescent="0.25">
      <c r="A44" s="119"/>
      <c r="B44" s="238"/>
      <c r="C44" s="308" t="s">
        <v>79</v>
      </c>
      <c r="D44" s="283" t="s">
        <v>914</v>
      </c>
      <c r="E44" s="300" t="s">
        <v>845</v>
      </c>
      <c r="F44" s="238" t="s">
        <v>873</v>
      </c>
      <c r="G44" s="78">
        <f>PTVT!G30</f>
        <v>2</v>
      </c>
      <c r="H44" s="96">
        <f>IF('Tiên lượng'!X8&lt;&gt;0,SUM(J43:J43)/100/'Tiên lượng'!X8,0)</f>
        <v>44.300999999999995</v>
      </c>
      <c r="I44" s="379">
        <f>'Tiên lượng'!X8</f>
        <v>1</v>
      </c>
      <c r="J44" s="96">
        <f t="shared" si="5"/>
        <v>88.60199999999999</v>
      </c>
    </row>
    <row r="45" spans="1:10" x14ac:dyDescent="0.25">
      <c r="A45" s="119"/>
      <c r="B45" s="238"/>
      <c r="C45" s="308" t="s">
        <v>79</v>
      </c>
      <c r="D45" s="283" t="s">
        <v>79</v>
      </c>
      <c r="E45" s="357" t="s">
        <v>756</v>
      </c>
      <c r="F45" s="302" t="s">
        <v>281</v>
      </c>
      <c r="G45" s="68"/>
      <c r="H45" s="96"/>
      <c r="I45" s="379"/>
      <c r="J45" s="286">
        <f>J36+J39+J42</f>
        <v>1008950.3419999999</v>
      </c>
    </row>
    <row r="46" spans="1:10" x14ac:dyDescent="0.25">
      <c r="A46" s="119"/>
      <c r="B46" s="238"/>
      <c r="C46" s="308" t="s">
        <v>79</v>
      </c>
      <c r="D46" s="283" t="s">
        <v>79</v>
      </c>
      <c r="E46" s="300" t="s">
        <v>209</v>
      </c>
      <c r="F46" s="238" t="s">
        <v>508</v>
      </c>
      <c r="G46" s="525">
        <f>'Thông tin'!E69</f>
        <v>0.7</v>
      </c>
      <c r="H46" s="96"/>
      <c r="I46" s="379"/>
      <c r="J46" s="96">
        <f>(J39)*G46</f>
        <v>700554.14799999993</v>
      </c>
    </row>
    <row r="47" spans="1:10" ht="45" x14ac:dyDescent="0.25">
      <c r="A47" s="119"/>
      <c r="B47" s="238"/>
      <c r="C47" s="308" t="s">
        <v>79</v>
      </c>
      <c r="D47" s="283" t="s">
        <v>79</v>
      </c>
      <c r="E47" s="300" t="s">
        <v>651</v>
      </c>
      <c r="F47" s="238" t="s">
        <v>250</v>
      </c>
      <c r="G47" s="525">
        <f>'Thông tin'!E72</f>
        <v>0.05</v>
      </c>
      <c r="H47" s="96"/>
      <c r="I47" s="379"/>
      <c r="J47" s="96">
        <f>(J45)*G47</f>
        <v>50447.517099999997</v>
      </c>
    </row>
    <row r="48" spans="1:10" x14ac:dyDescent="0.25">
      <c r="A48" s="119"/>
      <c r="B48" s="238"/>
      <c r="C48" s="308" t="s">
        <v>79</v>
      </c>
      <c r="D48" s="283" t="s">
        <v>79</v>
      </c>
      <c r="E48" s="357" t="s">
        <v>327</v>
      </c>
      <c r="F48" s="238" t="s">
        <v>811</v>
      </c>
      <c r="G48" s="68"/>
      <c r="H48" s="96"/>
      <c r="I48" s="379"/>
      <c r="J48" s="96">
        <f>J46+J47</f>
        <v>751001.66509999987</v>
      </c>
    </row>
    <row r="49" spans="1:10" ht="30" x14ac:dyDescent="0.25">
      <c r="A49" s="119"/>
      <c r="B49" s="238"/>
      <c r="C49" s="308" t="s">
        <v>79</v>
      </c>
      <c r="D49" s="283" t="s">
        <v>79</v>
      </c>
      <c r="E49" s="300" t="s">
        <v>776</v>
      </c>
      <c r="F49" s="238" t="s">
        <v>240</v>
      </c>
      <c r="G49" s="525">
        <f>'Thông tin'!E65</f>
        <v>0.06</v>
      </c>
      <c r="H49" s="96"/>
      <c r="I49" s="379"/>
      <c r="J49" s="96">
        <f>(J45+J48)*G49</f>
        <v>105597.12042599998</v>
      </c>
    </row>
    <row r="50" spans="1:10" x14ac:dyDescent="0.25">
      <c r="A50" s="119"/>
      <c r="B50" s="238"/>
      <c r="C50" s="308" t="s">
        <v>79</v>
      </c>
      <c r="D50" s="283" t="s">
        <v>79</v>
      </c>
      <c r="E50" s="357" t="s">
        <v>90</v>
      </c>
      <c r="F50" s="302" t="s">
        <v>225</v>
      </c>
      <c r="G50" s="68"/>
      <c r="H50" s="96"/>
      <c r="I50" s="379"/>
      <c r="J50" s="286">
        <f>J45+J48+J49</f>
        <v>1865549.1275259997</v>
      </c>
    </row>
    <row r="51" spans="1:10" ht="30" x14ac:dyDescent="0.25">
      <c r="A51" s="119"/>
      <c r="B51" s="238"/>
      <c r="C51" s="308" t="s">
        <v>79</v>
      </c>
      <c r="D51" s="283" t="s">
        <v>79</v>
      </c>
      <c r="E51" s="300" t="s">
        <v>976</v>
      </c>
      <c r="F51" s="238" t="s">
        <v>195</v>
      </c>
      <c r="G51" s="525">
        <f>'Thông tin'!E60</f>
        <v>0.02</v>
      </c>
      <c r="H51" s="96"/>
      <c r="I51" s="379"/>
      <c r="J51" s="96">
        <f>(J45+J48+J49)*G51</f>
        <v>37310.982550519991</v>
      </c>
    </row>
    <row r="52" spans="1:10" ht="30" x14ac:dyDescent="0.25">
      <c r="A52" s="119"/>
      <c r="B52" s="238"/>
      <c r="C52" s="308" t="s">
        <v>79</v>
      </c>
      <c r="D52" s="283" t="s">
        <v>79</v>
      </c>
      <c r="E52" s="300" t="s">
        <v>180</v>
      </c>
      <c r="F52" s="238" t="s">
        <v>410</v>
      </c>
      <c r="G52" s="525">
        <f>'Thông tin'!E67</f>
        <v>0.03</v>
      </c>
      <c r="H52" s="96"/>
      <c r="I52" s="379"/>
      <c r="J52" s="96">
        <f>(J45+J48+J49)*G52</f>
        <v>55966.473825779991</v>
      </c>
    </row>
    <row r="53" spans="1:10" x14ac:dyDescent="0.25">
      <c r="A53" s="119"/>
      <c r="B53" s="238"/>
      <c r="C53" s="308" t="s">
        <v>79</v>
      </c>
      <c r="D53" s="283" t="s">
        <v>79</v>
      </c>
      <c r="E53" s="300" t="s">
        <v>405</v>
      </c>
      <c r="F53" s="238" t="s">
        <v>293</v>
      </c>
      <c r="G53" s="68"/>
      <c r="H53" s="96"/>
      <c r="I53" s="379"/>
      <c r="J53" s="96">
        <v>0</v>
      </c>
    </row>
    <row r="54" spans="1:10" x14ac:dyDescent="0.25">
      <c r="A54" s="119"/>
      <c r="B54" s="238"/>
      <c r="C54" s="308" t="s">
        <v>79</v>
      </c>
      <c r="D54" s="283" t="s">
        <v>79</v>
      </c>
      <c r="E54" s="357" t="s">
        <v>144</v>
      </c>
      <c r="F54" s="302" t="s">
        <v>147</v>
      </c>
      <c r="G54" s="68"/>
      <c r="H54" s="96"/>
      <c r="I54" s="379"/>
      <c r="J54" s="286">
        <f>J50+J51+J52</f>
        <v>1958826.5839022996</v>
      </c>
    </row>
    <row r="55" spans="1:10" x14ac:dyDescent="0.25">
      <c r="A55" s="119"/>
      <c r="B55" s="238"/>
      <c r="C55" s="308" t="s">
        <v>79</v>
      </c>
      <c r="D55" s="283" t="s">
        <v>79</v>
      </c>
      <c r="E55" s="300" t="s">
        <v>598</v>
      </c>
      <c r="F55" s="238" t="s">
        <v>656</v>
      </c>
      <c r="G55" s="525">
        <f>'Thông tin'!E63</f>
        <v>0.1</v>
      </c>
      <c r="H55" s="96"/>
      <c r="I55" s="379"/>
      <c r="J55" s="96">
        <f>(J54)*G55</f>
        <v>195882.65839022998</v>
      </c>
    </row>
    <row r="56" spans="1:10" x14ac:dyDescent="0.25">
      <c r="A56" s="119"/>
      <c r="B56" s="238"/>
      <c r="C56" s="308" t="s">
        <v>79</v>
      </c>
      <c r="D56" s="283" t="s">
        <v>79</v>
      </c>
      <c r="E56" s="357" t="s">
        <v>752</v>
      </c>
      <c r="F56" s="302" t="s">
        <v>94</v>
      </c>
      <c r="G56" s="68"/>
      <c r="H56" s="96"/>
      <c r="I56" s="379"/>
      <c r="J56" s="286">
        <f>J54+J55</f>
        <v>2154709.2422925294</v>
      </c>
    </row>
    <row r="57" spans="1:10" x14ac:dyDescent="0.25">
      <c r="A57" s="119"/>
      <c r="B57" s="238"/>
      <c r="C57" s="308" t="s">
        <v>79</v>
      </c>
      <c r="D57" s="283" t="s">
        <v>79</v>
      </c>
      <c r="E57" s="300" t="s">
        <v>892</v>
      </c>
      <c r="F57" s="238" t="s">
        <v>979</v>
      </c>
      <c r="G57" s="525">
        <f>'Thông tin'!E59</f>
        <v>0</v>
      </c>
      <c r="H57" s="96"/>
      <c r="I57" s="379"/>
      <c r="J57" s="96">
        <f>(J56)*G57</f>
        <v>0</v>
      </c>
    </row>
    <row r="58" spans="1:10" x14ac:dyDescent="0.25">
      <c r="A58" s="521"/>
      <c r="B58" s="60"/>
      <c r="C58" s="127" t="s">
        <v>79</v>
      </c>
      <c r="D58" s="97" t="s">
        <v>79</v>
      </c>
      <c r="E58" s="453" t="s">
        <v>882</v>
      </c>
      <c r="F58" s="112" t="s">
        <v>590</v>
      </c>
      <c r="G58" s="360"/>
      <c r="H58" s="498"/>
      <c r="I58" s="63"/>
      <c r="J58" s="155">
        <f>J56+J57</f>
        <v>2154709.2422925294</v>
      </c>
    </row>
    <row r="59" spans="1:10" ht="60" x14ac:dyDescent="0.25">
      <c r="A59" s="430"/>
      <c r="B59" s="351">
        <v>3</v>
      </c>
      <c r="C59" s="70" t="str">
        <f>'Tiên lượng'!C9</f>
        <v>CK.11430</v>
      </c>
      <c r="D59" s="70" t="str">
        <f>'Tiên lượng'!C9</f>
        <v>CK.11430</v>
      </c>
      <c r="E59" s="406" t="str">
        <f>'Tiên lượng'!D9</f>
        <v>Đo vẽ chi tiết bản đồ địa hình trên cạn bằng  máy toàn đạc điện tử và máy thủy bình điện tử; bản đồ tỷ lệ 1/500, đường đồng mức 1m, cấp địa hình III</v>
      </c>
      <c r="F59" s="351" t="str">
        <f>'Tiên lượng'!E9</f>
        <v>1 ha</v>
      </c>
      <c r="G59" s="161"/>
      <c r="H59" s="418"/>
      <c r="I59" s="548"/>
      <c r="J59" s="418"/>
    </row>
    <row r="60" spans="1:10" x14ac:dyDescent="0.25">
      <c r="A60" s="484"/>
      <c r="B60" s="17"/>
      <c r="C60" s="83" t="s">
        <v>79</v>
      </c>
      <c r="D60" s="83" t="s">
        <v>79</v>
      </c>
      <c r="E60" s="523" t="s">
        <v>488</v>
      </c>
      <c r="F60" s="17" t="s">
        <v>757</v>
      </c>
      <c r="G60" s="309"/>
      <c r="H60" s="461"/>
      <c r="I60" s="21"/>
      <c r="J60" s="461">
        <f>SUM(J61:J63)</f>
        <v>23690</v>
      </c>
    </row>
    <row r="61" spans="1:10" x14ac:dyDescent="0.25">
      <c r="A61" s="119"/>
      <c r="B61" s="238"/>
      <c r="C61" s="308" t="s">
        <v>79</v>
      </c>
      <c r="D61" s="283" t="s">
        <v>494</v>
      </c>
      <c r="E61" s="300" t="str">
        <f>" - " &amp; 'Giá VL'!E6</f>
        <v xml:space="preserve"> - Cọc gỗ (4x4x40) cm</v>
      </c>
      <c r="F61" s="238" t="str">
        <f>'Giá VL'!F6</f>
        <v>cái</v>
      </c>
      <c r="G61" s="78">
        <f>PTVT!G33</f>
        <v>3</v>
      </c>
      <c r="H61" s="96">
        <f>'Giá VL'!V6</f>
        <v>5000</v>
      </c>
      <c r="I61" s="379">
        <f>'Tiên lượng'!V9</f>
        <v>1</v>
      </c>
      <c r="J61" s="96">
        <f t="shared" ref="J61:J63" si="6">PRODUCT(G61,H61,I61)</f>
        <v>15000</v>
      </c>
    </row>
    <row r="62" spans="1:10" x14ac:dyDescent="0.25">
      <c r="A62" s="119"/>
      <c r="B62" s="238"/>
      <c r="C62" s="308" t="s">
        <v>79</v>
      </c>
      <c r="D62" s="283" t="s">
        <v>397</v>
      </c>
      <c r="E62" s="300" t="str">
        <f>" - " &amp; 'Giá VL'!E9</f>
        <v xml:space="preserve"> - Sổ đo</v>
      </c>
      <c r="F62" s="238" t="str">
        <f>'Giá VL'!F9</f>
        <v>quyển</v>
      </c>
      <c r="G62" s="78">
        <f>PTVT!G34</f>
        <v>0.7</v>
      </c>
      <c r="H62" s="96">
        <f>'Giá VL'!V9</f>
        <v>8000</v>
      </c>
      <c r="I62" s="379">
        <f>'Tiên lượng'!V9</f>
        <v>1</v>
      </c>
      <c r="J62" s="96">
        <f t="shared" si="6"/>
        <v>5600</v>
      </c>
    </row>
    <row r="63" spans="1:10" x14ac:dyDescent="0.25">
      <c r="A63" s="119"/>
      <c r="B63" s="238"/>
      <c r="C63" s="308" t="s">
        <v>79</v>
      </c>
      <c r="D63" s="283" t="s">
        <v>520</v>
      </c>
      <c r="E63" s="300" t="s">
        <v>189</v>
      </c>
      <c r="F63" s="238" t="s">
        <v>873</v>
      </c>
      <c r="G63" s="78">
        <f>PTVT!G35</f>
        <v>15</v>
      </c>
      <c r="H63" s="96">
        <f>IF('Tiên lượng'!V9&lt;&gt;0,SUM(J61:J62)/100/'Tiên lượng'!V9,0)</f>
        <v>206</v>
      </c>
      <c r="I63" s="379">
        <f>'Tiên lượng'!V9</f>
        <v>1</v>
      </c>
      <c r="J63" s="96">
        <f t="shared" si="6"/>
        <v>3090</v>
      </c>
    </row>
    <row r="64" spans="1:10" x14ac:dyDescent="0.25">
      <c r="A64" s="484"/>
      <c r="B64" s="17"/>
      <c r="C64" s="83" t="s">
        <v>79</v>
      </c>
      <c r="D64" s="83" t="s">
        <v>79</v>
      </c>
      <c r="E64" s="523" t="s">
        <v>950</v>
      </c>
      <c r="F64" s="17" t="s">
        <v>799</v>
      </c>
      <c r="G64" s="309"/>
      <c r="H64" s="461"/>
      <c r="I64" s="21"/>
      <c r="J64" s="461">
        <f>SUM(J65:J66)</f>
        <v>2046182.7200000002</v>
      </c>
    </row>
    <row r="65" spans="1:10" x14ac:dyDescent="0.25">
      <c r="A65" s="119"/>
      <c r="B65" s="238"/>
      <c r="C65" s="308" t="s">
        <v>79</v>
      </c>
      <c r="D65" s="283" t="s">
        <v>689</v>
      </c>
      <c r="E65" s="300" t="str">
        <f>" - " &amp; 'Giá NC'!E6</f>
        <v xml:space="preserve"> - Kỹ sư bậc 4,0/8</v>
      </c>
      <c r="F65" s="238" t="str">
        <f>'Giá NC'!F6</f>
        <v>công</v>
      </c>
      <c r="G65" s="78">
        <f>PTVT!G37</f>
        <v>1.78</v>
      </c>
      <c r="H65" s="96">
        <f>'Giá NC'!K6</f>
        <v>296000</v>
      </c>
      <c r="I65" s="379">
        <f>'Tiên lượng'!W9</f>
        <v>1</v>
      </c>
      <c r="J65" s="96">
        <f t="shared" ref="J65:J66" si="7">PRODUCT(G65,H65,I65)</f>
        <v>526880</v>
      </c>
    </row>
    <row r="66" spans="1:10" x14ac:dyDescent="0.25">
      <c r="A66" s="119"/>
      <c r="B66" s="238"/>
      <c r="C66" s="308" t="s">
        <v>79</v>
      </c>
      <c r="D66" s="283" t="s">
        <v>137</v>
      </c>
      <c r="E66" s="300" t="str">
        <f>" - " &amp; 'Giá NC'!E5</f>
        <v xml:space="preserve"> - Nhân công bậc 4,0/7 - Nhóm 2</v>
      </c>
      <c r="F66" s="238" t="str">
        <f>'Giá NC'!F5</f>
        <v>công</v>
      </c>
      <c r="G66" s="78">
        <f>PTVT!G38</f>
        <v>5.36</v>
      </c>
      <c r="H66" s="96">
        <f>'Giá NC'!K5</f>
        <v>283452</v>
      </c>
      <c r="I66" s="379">
        <f>'Tiên lượng'!W9</f>
        <v>1</v>
      </c>
      <c r="J66" s="96">
        <f t="shared" si="7"/>
        <v>1519302.7200000002</v>
      </c>
    </row>
    <row r="67" spans="1:10" x14ac:dyDescent="0.25">
      <c r="A67" s="484"/>
      <c r="B67" s="17"/>
      <c r="C67" s="83" t="s">
        <v>79</v>
      </c>
      <c r="D67" s="83" t="s">
        <v>79</v>
      </c>
      <c r="E67" s="523" t="s">
        <v>959</v>
      </c>
      <c r="F67" s="17" t="s">
        <v>112</v>
      </c>
      <c r="G67" s="309"/>
      <c r="H67" s="461"/>
      <c r="I67" s="21"/>
      <c r="J67" s="461">
        <f>SUM(J68:J70)</f>
        <v>152872.22500000001</v>
      </c>
    </row>
    <row r="68" spans="1:10" ht="30" x14ac:dyDescent="0.25">
      <c r="A68" s="119"/>
      <c r="B68" s="238"/>
      <c r="C68" s="308" t="s">
        <v>79</v>
      </c>
      <c r="D68" s="283" t="s">
        <v>153</v>
      </c>
      <c r="E68" s="300" t="str">
        <f>" - " &amp; 'Giá Máy'!E6</f>
        <v xml:space="preserve"> - Máy toàn đạc điện tử TS06 hoặc loại tương tự</v>
      </c>
      <c r="F68" s="238" t="str">
        <f>'Giá Máy'!F6</f>
        <v>ca</v>
      </c>
      <c r="G68" s="78">
        <f>PTVT!G40</f>
        <v>0.94</v>
      </c>
      <c r="H68" s="96">
        <f>'Giá Máy'!O6</f>
        <v>147060</v>
      </c>
      <c r="I68" s="379">
        <f>'Tiên lượng'!X9</f>
        <v>1</v>
      </c>
      <c r="J68" s="96">
        <f t="shared" ref="J68:J70" si="8">PRODUCT(G68,H68,I68)</f>
        <v>138236.4</v>
      </c>
    </row>
    <row r="69" spans="1:10" x14ac:dyDescent="0.25">
      <c r="A69" s="119"/>
      <c r="B69" s="238"/>
      <c r="C69" s="308" t="s">
        <v>79</v>
      </c>
      <c r="D69" s="283" t="s">
        <v>188</v>
      </c>
      <c r="E69" s="300" t="str">
        <f>" - " &amp; 'Giá Máy'!E5</f>
        <v xml:space="preserve"> - Máy thủy bình điện tử</v>
      </c>
      <c r="F69" s="238" t="str">
        <f>'Giá Máy'!F5</f>
        <v>ca</v>
      </c>
      <c r="G69" s="78">
        <f>PTVT!G41</f>
        <v>0.05</v>
      </c>
      <c r="H69" s="96">
        <f>'Giá Máy'!O5</f>
        <v>14767</v>
      </c>
      <c r="I69" s="379">
        <f>'Tiên lượng'!X9</f>
        <v>1</v>
      </c>
      <c r="J69" s="96">
        <f t="shared" si="8"/>
        <v>738.35</v>
      </c>
    </row>
    <row r="70" spans="1:10" x14ac:dyDescent="0.25">
      <c r="A70" s="119"/>
      <c r="B70" s="238"/>
      <c r="C70" s="308" t="s">
        <v>79</v>
      </c>
      <c r="D70" s="283" t="s">
        <v>914</v>
      </c>
      <c r="E70" s="300" t="s">
        <v>845</v>
      </c>
      <c r="F70" s="238" t="s">
        <v>873</v>
      </c>
      <c r="G70" s="78">
        <f>PTVT!G42</f>
        <v>10</v>
      </c>
      <c r="H70" s="96">
        <f>IF('Tiên lượng'!X9&lt;&gt;0,SUM(J68:J69)/100/'Tiên lượng'!X9,0)</f>
        <v>1389.7474999999999</v>
      </c>
      <c r="I70" s="379">
        <f>'Tiên lượng'!X9</f>
        <v>1</v>
      </c>
      <c r="J70" s="96">
        <f t="shared" si="8"/>
        <v>13897.474999999999</v>
      </c>
    </row>
    <row r="71" spans="1:10" x14ac:dyDescent="0.25">
      <c r="A71" s="119"/>
      <c r="B71" s="238"/>
      <c r="C71" s="308" t="s">
        <v>79</v>
      </c>
      <c r="D71" s="283" t="s">
        <v>79</v>
      </c>
      <c r="E71" s="357" t="s">
        <v>756</v>
      </c>
      <c r="F71" s="302" t="s">
        <v>281</v>
      </c>
      <c r="G71" s="68"/>
      <c r="H71" s="96"/>
      <c r="I71" s="379"/>
      <c r="J71" s="286">
        <f>J60+J64+J67</f>
        <v>2222744.9450000003</v>
      </c>
    </row>
    <row r="72" spans="1:10" x14ac:dyDescent="0.25">
      <c r="A72" s="119"/>
      <c r="B72" s="238"/>
      <c r="C72" s="308" t="s">
        <v>79</v>
      </c>
      <c r="D72" s="283" t="s">
        <v>79</v>
      </c>
      <c r="E72" s="300" t="s">
        <v>209</v>
      </c>
      <c r="F72" s="238" t="s">
        <v>508</v>
      </c>
      <c r="G72" s="525">
        <f>'Thông tin'!E69</f>
        <v>0.7</v>
      </c>
      <c r="H72" s="96"/>
      <c r="I72" s="379"/>
      <c r="J72" s="96">
        <f>(J64)*G72</f>
        <v>1432327.9040000001</v>
      </c>
    </row>
    <row r="73" spans="1:10" ht="45" x14ac:dyDescent="0.25">
      <c r="A73" s="119"/>
      <c r="B73" s="238"/>
      <c r="C73" s="308" t="s">
        <v>79</v>
      </c>
      <c r="D73" s="283" t="s">
        <v>79</v>
      </c>
      <c r="E73" s="300" t="s">
        <v>651</v>
      </c>
      <c r="F73" s="238" t="s">
        <v>250</v>
      </c>
      <c r="G73" s="525">
        <f>'Thông tin'!E72</f>
        <v>0.05</v>
      </c>
      <c r="H73" s="96"/>
      <c r="I73" s="379"/>
      <c r="J73" s="96">
        <f>(J71)*G73</f>
        <v>111137.24725000001</v>
      </c>
    </row>
    <row r="74" spans="1:10" x14ac:dyDescent="0.25">
      <c r="A74" s="119"/>
      <c r="B74" s="238"/>
      <c r="C74" s="308" t="s">
        <v>79</v>
      </c>
      <c r="D74" s="283" t="s">
        <v>79</v>
      </c>
      <c r="E74" s="357" t="s">
        <v>327</v>
      </c>
      <c r="F74" s="238" t="s">
        <v>811</v>
      </c>
      <c r="G74" s="68"/>
      <c r="H74" s="96"/>
      <c r="I74" s="379"/>
      <c r="J74" s="96">
        <f>J72+J73</f>
        <v>1543465.1512500001</v>
      </c>
    </row>
    <row r="75" spans="1:10" ht="30" x14ac:dyDescent="0.25">
      <c r="A75" s="119"/>
      <c r="B75" s="238"/>
      <c r="C75" s="308" t="s">
        <v>79</v>
      </c>
      <c r="D75" s="283" t="s">
        <v>79</v>
      </c>
      <c r="E75" s="300" t="s">
        <v>776</v>
      </c>
      <c r="F75" s="238" t="s">
        <v>240</v>
      </c>
      <c r="G75" s="525">
        <f>'Thông tin'!E65</f>
        <v>0.06</v>
      </c>
      <c r="H75" s="96"/>
      <c r="I75" s="379"/>
      <c r="J75" s="96">
        <f>(J71+J74)*G75</f>
        <v>225972.605775</v>
      </c>
    </row>
    <row r="76" spans="1:10" x14ac:dyDescent="0.25">
      <c r="A76" s="119"/>
      <c r="B76" s="238"/>
      <c r="C76" s="308" t="s">
        <v>79</v>
      </c>
      <c r="D76" s="283" t="s">
        <v>79</v>
      </c>
      <c r="E76" s="357" t="s">
        <v>90</v>
      </c>
      <c r="F76" s="302" t="s">
        <v>225</v>
      </c>
      <c r="G76" s="68"/>
      <c r="H76" s="96"/>
      <c r="I76" s="379"/>
      <c r="J76" s="286">
        <f>J71+J74+J75</f>
        <v>3992182.7020250005</v>
      </c>
    </row>
    <row r="77" spans="1:10" ht="30" x14ac:dyDescent="0.25">
      <c r="A77" s="119"/>
      <c r="B77" s="238"/>
      <c r="C77" s="308" t="s">
        <v>79</v>
      </c>
      <c r="D77" s="283" t="s">
        <v>79</v>
      </c>
      <c r="E77" s="300" t="s">
        <v>976</v>
      </c>
      <c r="F77" s="238" t="s">
        <v>195</v>
      </c>
      <c r="G77" s="525">
        <f>'Thông tin'!E60</f>
        <v>0.02</v>
      </c>
      <c r="H77" s="96"/>
      <c r="I77" s="379"/>
      <c r="J77" s="96">
        <f>(J71+J74+J75)*G77</f>
        <v>79843.654040500012</v>
      </c>
    </row>
    <row r="78" spans="1:10" ht="30" x14ac:dyDescent="0.25">
      <c r="A78" s="119"/>
      <c r="B78" s="238"/>
      <c r="C78" s="308" t="s">
        <v>79</v>
      </c>
      <c r="D78" s="283" t="s">
        <v>79</v>
      </c>
      <c r="E78" s="300" t="s">
        <v>180</v>
      </c>
      <c r="F78" s="238" t="s">
        <v>410</v>
      </c>
      <c r="G78" s="525">
        <f>'Thông tin'!E67</f>
        <v>0.03</v>
      </c>
      <c r="H78" s="96"/>
      <c r="I78" s="379"/>
      <c r="J78" s="96">
        <f>(J71+J74+J75)*G78</f>
        <v>119765.48106075001</v>
      </c>
    </row>
    <row r="79" spans="1:10" x14ac:dyDescent="0.25">
      <c r="A79" s="119"/>
      <c r="B79" s="238"/>
      <c r="C79" s="308" t="s">
        <v>79</v>
      </c>
      <c r="D79" s="283" t="s">
        <v>79</v>
      </c>
      <c r="E79" s="300" t="s">
        <v>405</v>
      </c>
      <c r="F79" s="238" t="s">
        <v>293</v>
      </c>
      <c r="G79" s="68"/>
      <c r="H79" s="96"/>
      <c r="I79" s="379"/>
      <c r="J79" s="96">
        <v>0</v>
      </c>
    </row>
    <row r="80" spans="1:10" x14ac:dyDescent="0.25">
      <c r="A80" s="119"/>
      <c r="B80" s="238"/>
      <c r="C80" s="308" t="s">
        <v>79</v>
      </c>
      <c r="D80" s="283" t="s">
        <v>79</v>
      </c>
      <c r="E80" s="357" t="s">
        <v>144</v>
      </c>
      <c r="F80" s="302" t="s">
        <v>147</v>
      </c>
      <c r="G80" s="68"/>
      <c r="H80" s="96"/>
      <c r="I80" s="379"/>
      <c r="J80" s="286">
        <f>J76+J77+J78</f>
        <v>4191791.8371262504</v>
      </c>
    </row>
    <row r="81" spans="1:10" x14ac:dyDescent="0.25">
      <c r="A81" s="119"/>
      <c r="B81" s="238"/>
      <c r="C81" s="308" t="s">
        <v>79</v>
      </c>
      <c r="D81" s="283" t="s">
        <v>79</v>
      </c>
      <c r="E81" s="300" t="s">
        <v>598</v>
      </c>
      <c r="F81" s="238" t="s">
        <v>656</v>
      </c>
      <c r="G81" s="525">
        <f>'Thông tin'!E63</f>
        <v>0.1</v>
      </c>
      <c r="H81" s="96"/>
      <c r="I81" s="379"/>
      <c r="J81" s="96">
        <f>(J80)*G81</f>
        <v>419179.18371262506</v>
      </c>
    </row>
    <row r="82" spans="1:10" x14ac:dyDescent="0.25">
      <c r="A82" s="119"/>
      <c r="B82" s="238"/>
      <c r="C82" s="308" t="s">
        <v>79</v>
      </c>
      <c r="D82" s="283" t="s">
        <v>79</v>
      </c>
      <c r="E82" s="357" t="s">
        <v>752</v>
      </c>
      <c r="F82" s="302" t="s">
        <v>94</v>
      </c>
      <c r="G82" s="68"/>
      <c r="H82" s="96"/>
      <c r="I82" s="379"/>
      <c r="J82" s="286">
        <f>J80+J81</f>
        <v>4610971.0208388753</v>
      </c>
    </row>
    <row r="83" spans="1:10" x14ac:dyDescent="0.25">
      <c r="A83" s="119"/>
      <c r="B83" s="238"/>
      <c r="C83" s="308" t="s">
        <v>79</v>
      </c>
      <c r="D83" s="283" t="s">
        <v>79</v>
      </c>
      <c r="E83" s="300" t="s">
        <v>892</v>
      </c>
      <c r="F83" s="238" t="s">
        <v>979</v>
      </c>
      <c r="G83" s="525">
        <f>'Thông tin'!E59</f>
        <v>0</v>
      </c>
      <c r="H83" s="96"/>
      <c r="I83" s="379"/>
      <c r="J83" s="96">
        <f>(J82)*G83</f>
        <v>0</v>
      </c>
    </row>
    <row r="84" spans="1:10" x14ac:dyDescent="0.25">
      <c r="A84" s="521"/>
      <c r="B84" s="60"/>
      <c r="C84" s="127" t="s">
        <v>79</v>
      </c>
      <c r="D84" s="97" t="s">
        <v>79</v>
      </c>
      <c r="E84" s="453" t="s">
        <v>882</v>
      </c>
      <c r="F84" s="112" t="s">
        <v>590</v>
      </c>
      <c r="G84" s="360"/>
      <c r="H84" s="498"/>
      <c r="I84" s="63"/>
      <c r="J84" s="155">
        <f>J82+J83</f>
        <v>4610971.0208388753</v>
      </c>
    </row>
    <row r="85" spans="1:10" ht="60" x14ac:dyDescent="0.25">
      <c r="A85" s="430"/>
      <c r="B85" s="351">
        <v>4</v>
      </c>
      <c r="C85" s="70" t="str">
        <f>'Tiên lượng'!C10</f>
        <v>CK.11440</v>
      </c>
      <c r="D85" s="70" t="str">
        <f>'Tiên lượng'!C10</f>
        <v>CK.11440</v>
      </c>
      <c r="E85" s="406" t="str">
        <f>'Tiên lượng'!D10</f>
        <v>Đo vẽ chi tiết bản đồ địa hình trên cạn bằng  máy toàn đạc điện tử và máy thủy bình điện tử; bản đồ tỷ lệ 1/500, đường đồng mức 1m, cấp địa hình IV</v>
      </c>
      <c r="F85" s="351" t="str">
        <f>'Tiên lượng'!E10</f>
        <v>1 ha</v>
      </c>
      <c r="G85" s="161"/>
      <c r="H85" s="418"/>
      <c r="I85" s="548"/>
      <c r="J85" s="418"/>
    </row>
    <row r="86" spans="1:10" x14ac:dyDescent="0.25">
      <c r="A86" s="484"/>
      <c r="B86" s="17"/>
      <c r="C86" s="83" t="s">
        <v>79</v>
      </c>
      <c r="D86" s="83" t="s">
        <v>79</v>
      </c>
      <c r="E86" s="523" t="s">
        <v>488</v>
      </c>
      <c r="F86" s="17" t="s">
        <v>757</v>
      </c>
      <c r="G86" s="309"/>
      <c r="H86" s="461"/>
      <c r="I86" s="21"/>
      <c r="J86" s="461">
        <f>SUM(J87:J89)</f>
        <v>23690</v>
      </c>
    </row>
    <row r="87" spans="1:10" x14ac:dyDescent="0.25">
      <c r="A87" s="119"/>
      <c r="B87" s="238"/>
      <c r="C87" s="308" t="s">
        <v>79</v>
      </c>
      <c r="D87" s="283" t="s">
        <v>494</v>
      </c>
      <c r="E87" s="300" t="str">
        <f>" - " &amp; 'Giá VL'!E6</f>
        <v xml:space="preserve"> - Cọc gỗ (4x4x40) cm</v>
      </c>
      <c r="F87" s="238" t="str">
        <f>'Giá VL'!F6</f>
        <v>cái</v>
      </c>
      <c r="G87" s="78">
        <f>PTVT!G45</f>
        <v>3</v>
      </c>
      <c r="H87" s="96">
        <f>'Giá VL'!V6</f>
        <v>5000</v>
      </c>
      <c r="I87" s="379">
        <f>'Tiên lượng'!V10</f>
        <v>1</v>
      </c>
      <c r="J87" s="96">
        <f t="shared" ref="J87:J89" si="9">PRODUCT(G87,H87,I87)</f>
        <v>15000</v>
      </c>
    </row>
    <row r="88" spans="1:10" x14ac:dyDescent="0.25">
      <c r="A88" s="119"/>
      <c r="B88" s="238"/>
      <c r="C88" s="308" t="s">
        <v>79</v>
      </c>
      <c r="D88" s="283" t="s">
        <v>397</v>
      </c>
      <c r="E88" s="300" t="str">
        <f>" - " &amp; 'Giá VL'!E9</f>
        <v xml:space="preserve"> - Sổ đo</v>
      </c>
      <c r="F88" s="238" t="str">
        <f>'Giá VL'!F9</f>
        <v>quyển</v>
      </c>
      <c r="G88" s="78">
        <f>PTVT!G46</f>
        <v>0.7</v>
      </c>
      <c r="H88" s="96">
        <f>'Giá VL'!V9</f>
        <v>8000</v>
      </c>
      <c r="I88" s="379">
        <f>'Tiên lượng'!V10</f>
        <v>1</v>
      </c>
      <c r="J88" s="96">
        <f t="shared" si="9"/>
        <v>5600</v>
      </c>
    </row>
    <row r="89" spans="1:10" x14ac:dyDescent="0.25">
      <c r="A89" s="119"/>
      <c r="B89" s="238"/>
      <c r="C89" s="308" t="s">
        <v>79</v>
      </c>
      <c r="D89" s="283" t="s">
        <v>520</v>
      </c>
      <c r="E89" s="300" t="s">
        <v>189</v>
      </c>
      <c r="F89" s="238" t="s">
        <v>873</v>
      </c>
      <c r="G89" s="78">
        <f>PTVT!G47</f>
        <v>15</v>
      </c>
      <c r="H89" s="96">
        <f>IF('Tiên lượng'!V10&lt;&gt;0,SUM(J87:J88)/100/'Tiên lượng'!V10,0)</f>
        <v>206</v>
      </c>
      <c r="I89" s="379">
        <f>'Tiên lượng'!V10</f>
        <v>1</v>
      </c>
      <c r="J89" s="96">
        <f t="shared" si="9"/>
        <v>3090</v>
      </c>
    </row>
    <row r="90" spans="1:10" x14ac:dyDescent="0.25">
      <c r="A90" s="484"/>
      <c r="B90" s="17"/>
      <c r="C90" s="83" t="s">
        <v>79</v>
      </c>
      <c r="D90" s="83" t="s">
        <v>79</v>
      </c>
      <c r="E90" s="523" t="s">
        <v>950</v>
      </c>
      <c r="F90" s="17" t="s">
        <v>799</v>
      </c>
      <c r="G90" s="309"/>
      <c r="H90" s="461"/>
      <c r="I90" s="21"/>
      <c r="J90" s="461">
        <f>SUM(J91:J92)</f>
        <v>2773930.56</v>
      </c>
    </row>
    <row r="91" spans="1:10" x14ac:dyDescent="0.25">
      <c r="A91" s="119"/>
      <c r="B91" s="238"/>
      <c r="C91" s="308" t="s">
        <v>79</v>
      </c>
      <c r="D91" s="283" t="s">
        <v>689</v>
      </c>
      <c r="E91" s="300" t="str">
        <f>" - " &amp; 'Giá NC'!E6</f>
        <v xml:space="preserve"> - Kỹ sư bậc 4,0/8</v>
      </c>
      <c r="F91" s="238" t="str">
        <f>'Giá NC'!F6</f>
        <v>công</v>
      </c>
      <c r="G91" s="78">
        <f>PTVT!G49</f>
        <v>2.4</v>
      </c>
      <c r="H91" s="96">
        <f>'Giá NC'!K6</f>
        <v>296000</v>
      </c>
      <c r="I91" s="379">
        <f>'Tiên lượng'!W10</f>
        <v>1</v>
      </c>
      <c r="J91" s="96">
        <f t="shared" ref="J91:J92" si="10">PRODUCT(G91,H91,I91)</f>
        <v>710400</v>
      </c>
    </row>
    <row r="92" spans="1:10" x14ac:dyDescent="0.25">
      <c r="A92" s="119"/>
      <c r="B92" s="238"/>
      <c r="C92" s="308" t="s">
        <v>79</v>
      </c>
      <c r="D92" s="283" t="s">
        <v>137</v>
      </c>
      <c r="E92" s="300" t="str">
        <f>" - " &amp; 'Giá NC'!E5</f>
        <v xml:space="preserve"> - Nhân công bậc 4,0/7 - Nhóm 2</v>
      </c>
      <c r="F92" s="238" t="str">
        <f>'Giá NC'!F5</f>
        <v>công</v>
      </c>
      <c r="G92" s="78">
        <f>PTVT!G50</f>
        <v>7.28</v>
      </c>
      <c r="H92" s="96">
        <f>'Giá NC'!K5</f>
        <v>283452</v>
      </c>
      <c r="I92" s="379">
        <f>'Tiên lượng'!W10</f>
        <v>1</v>
      </c>
      <c r="J92" s="96">
        <f t="shared" si="10"/>
        <v>2063530.56</v>
      </c>
    </row>
    <row r="93" spans="1:10" x14ac:dyDescent="0.25">
      <c r="A93" s="484"/>
      <c r="B93" s="17"/>
      <c r="C93" s="83" t="s">
        <v>79</v>
      </c>
      <c r="D93" s="83" t="s">
        <v>79</v>
      </c>
      <c r="E93" s="523" t="s">
        <v>959</v>
      </c>
      <c r="F93" s="17" t="s">
        <v>112</v>
      </c>
      <c r="G93" s="309"/>
      <c r="H93" s="461"/>
      <c r="I93" s="21"/>
      <c r="J93" s="461">
        <f>SUM(J94:J96)</f>
        <v>214343.30500000002</v>
      </c>
    </row>
    <row r="94" spans="1:10" ht="30" x14ac:dyDescent="0.25">
      <c r="A94" s="119"/>
      <c r="B94" s="238"/>
      <c r="C94" s="308" t="s">
        <v>79</v>
      </c>
      <c r="D94" s="283" t="s">
        <v>153</v>
      </c>
      <c r="E94" s="300" t="str">
        <f>" - " &amp; 'Giá Máy'!E6</f>
        <v xml:space="preserve"> - Máy toàn đạc điện tử TS06 hoặc loại tương tự</v>
      </c>
      <c r="F94" s="238" t="str">
        <f>'Giá Máy'!F6</f>
        <v>ca</v>
      </c>
      <c r="G94" s="78">
        <f>PTVT!G52</f>
        <v>1.32</v>
      </c>
      <c r="H94" s="96">
        <f>'Giá Máy'!O6</f>
        <v>147060</v>
      </c>
      <c r="I94" s="379">
        <f>'Tiên lượng'!X10</f>
        <v>1</v>
      </c>
      <c r="J94" s="96">
        <f t="shared" ref="J94:J96" si="11">PRODUCT(G94,H94,I94)</f>
        <v>194119.2</v>
      </c>
    </row>
    <row r="95" spans="1:10" x14ac:dyDescent="0.25">
      <c r="A95" s="119"/>
      <c r="B95" s="238"/>
      <c r="C95" s="308" t="s">
        <v>79</v>
      </c>
      <c r="D95" s="283" t="s">
        <v>188</v>
      </c>
      <c r="E95" s="300" t="str">
        <f>" - " &amp; 'Giá Máy'!E5</f>
        <v xml:space="preserve"> - Máy thủy bình điện tử</v>
      </c>
      <c r="F95" s="238" t="str">
        <f>'Giá Máy'!F5</f>
        <v>ca</v>
      </c>
      <c r="G95" s="78">
        <f>PTVT!G53</f>
        <v>0.05</v>
      </c>
      <c r="H95" s="96">
        <f>'Giá Máy'!O5</f>
        <v>14767</v>
      </c>
      <c r="I95" s="379">
        <f>'Tiên lượng'!X10</f>
        <v>1</v>
      </c>
      <c r="J95" s="96">
        <f t="shared" si="11"/>
        <v>738.35</v>
      </c>
    </row>
    <row r="96" spans="1:10" x14ac:dyDescent="0.25">
      <c r="A96" s="119"/>
      <c r="B96" s="238"/>
      <c r="C96" s="308" t="s">
        <v>79</v>
      </c>
      <c r="D96" s="283" t="s">
        <v>914</v>
      </c>
      <c r="E96" s="300" t="s">
        <v>845</v>
      </c>
      <c r="F96" s="238" t="s">
        <v>873</v>
      </c>
      <c r="G96" s="78">
        <f>PTVT!G54</f>
        <v>10</v>
      </c>
      <c r="H96" s="96">
        <f>IF('Tiên lượng'!X10&lt;&gt;0,SUM(J94:J95)/100/'Tiên lượng'!X10,0)</f>
        <v>1948.5755000000001</v>
      </c>
      <c r="I96" s="379">
        <f>'Tiên lượng'!X10</f>
        <v>1</v>
      </c>
      <c r="J96" s="96">
        <f t="shared" si="11"/>
        <v>19485.755000000001</v>
      </c>
    </row>
    <row r="97" spans="1:10" x14ac:dyDescent="0.25">
      <c r="A97" s="119"/>
      <c r="B97" s="238"/>
      <c r="C97" s="308" t="s">
        <v>79</v>
      </c>
      <c r="D97" s="283" t="s">
        <v>79</v>
      </c>
      <c r="E97" s="357" t="s">
        <v>756</v>
      </c>
      <c r="F97" s="302" t="s">
        <v>281</v>
      </c>
      <c r="G97" s="68"/>
      <c r="H97" s="96"/>
      <c r="I97" s="379"/>
      <c r="J97" s="286">
        <f>J86+J90+J93</f>
        <v>3011963.8650000002</v>
      </c>
    </row>
    <row r="98" spans="1:10" x14ac:dyDescent="0.25">
      <c r="A98" s="119"/>
      <c r="B98" s="238"/>
      <c r="C98" s="308" t="s">
        <v>79</v>
      </c>
      <c r="D98" s="283" t="s">
        <v>79</v>
      </c>
      <c r="E98" s="300" t="s">
        <v>209</v>
      </c>
      <c r="F98" s="238" t="s">
        <v>508</v>
      </c>
      <c r="G98" s="525">
        <f>'Thông tin'!E69</f>
        <v>0.7</v>
      </c>
      <c r="H98" s="96"/>
      <c r="I98" s="379"/>
      <c r="J98" s="96">
        <f>(J90)*G98</f>
        <v>1941751.392</v>
      </c>
    </row>
    <row r="99" spans="1:10" ht="45" x14ac:dyDescent="0.25">
      <c r="A99" s="119"/>
      <c r="B99" s="238"/>
      <c r="C99" s="308" t="s">
        <v>79</v>
      </c>
      <c r="D99" s="283" t="s">
        <v>79</v>
      </c>
      <c r="E99" s="300" t="s">
        <v>651</v>
      </c>
      <c r="F99" s="238" t="s">
        <v>250</v>
      </c>
      <c r="G99" s="525">
        <f>'Thông tin'!E72</f>
        <v>0.05</v>
      </c>
      <c r="H99" s="96"/>
      <c r="I99" s="379"/>
      <c r="J99" s="96">
        <f>(J97)*G99</f>
        <v>150598.19325000001</v>
      </c>
    </row>
    <row r="100" spans="1:10" x14ac:dyDescent="0.25">
      <c r="A100" s="119"/>
      <c r="B100" s="238"/>
      <c r="C100" s="308" t="s">
        <v>79</v>
      </c>
      <c r="D100" s="283" t="s">
        <v>79</v>
      </c>
      <c r="E100" s="357" t="s">
        <v>327</v>
      </c>
      <c r="F100" s="238" t="s">
        <v>811</v>
      </c>
      <c r="G100" s="68"/>
      <c r="H100" s="96"/>
      <c r="I100" s="379"/>
      <c r="J100" s="96">
        <f>J98+J99</f>
        <v>2092349.58525</v>
      </c>
    </row>
    <row r="101" spans="1:10" ht="30" x14ac:dyDescent="0.25">
      <c r="A101" s="119"/>
      <c r="B101" s="238"/>
      <c r="C101" s="308" t="s">
        <v>79</v>
      </c>
      <c r="D101" s="283" t="s">
        <v>79</v>
      </c>
      <c r="E101" s="300" t="s">
        <v>776</v>
      </c>
      <c r="F101" s="238" t="s">
        <v>240</v>
      </c>
      <c r="G101" s="525">
        <f>'Thông tin'!E65</f>
        <v>0.06</v>
      </c>
      <c r="H101" s="96"/>
      <c r="I101" s="379"/>
      <c r="J101" s="96">
        <f>(J97+J100)*G101</f>
        <v>306258.80701499997</v>
      </c>
    </row>
    <row r="102" spans="1:10" x14ac:dyDescent="0.25">
      <c r="A102" s="119"/>
      <c r="B102" s="238"/>
      <c r="C102" s="308" t="s">
        <v>79</v>
      </c>
      <c r="D102" s="283" t="s">
        <v>79</v>
      </c>
      <c r="E102" s="357" t="s">
        <v>90</v>
      </c>
      <c r="F102" s="302" t="s">
        <v>225</v>
      </c>
      <c r="G102" s="68"/>
      <c r="H102" s="96"/>
      <c r="I102" s="379"/>
      <c r="J102" s="286">
        <f>J97+J100+J101</f>
        <v>5410572.2572649997</v>
      </c>
    </row>
    <row r="103" spans="1:10" ht="30" x14ac:dyDescent="0.25">
      <c r="A103" s="119"/>
      <c r="B103" s="238"/>
      <c r="C103" s="308" t="s">
        <v>79</v>
      </c>
      <c r="D103" s="283" t="s">
        <v>79</v>
      </c>
      <c r="E103" s="300" t="s">
        <v>976</v>
      </c>
      <c r="F103" s="238" t="s">
        <v>195</v>
      </c>
      <c r="G103" s="525">
        <f>'Thông tin'!E60</f>
        <v>0.02</v>
      </c>
      <c r="H103" s="96"/>
      <c r="I103" s="379"/>
      <c r="J103" s="96">
        <f>(J97+J100+J101)*G103</f>
        <v>108211.44514529999</v>
      </c>
    </row>
    <row r="104" spans="1:10" ht="30" x14ac:dyDescent="0.25">
      <c r="A104" s="119"/>
      <c r="B104" s="238"/>
      <c r="C104" s="308" t="s">
        <v>79</v>
      </c>
      <c r="D104" s="283" t="s">
        <v>79</v>
      </c>
      <c r="E104" s="300" t="s">
        <v>180</v>
      </c>
      <c r="F104" s="238" t="s">
        <v>410</v>
      </c>
      <c r="G104" s="525">
        <f>'Thông tin'!E67</f>
        <v>0.03</v>
      </c>
      <c r="H104" s="96"/>
      <c r="I104" s="379"/>
      <c r="J104" s="96">
        <f>(J97+J100+J101)*G104</f>
        <v>162317.16771794998</v>
      </c>
    </row>
    <row r="105" spans="1:10" x14ac:dyDescent="0.25">
      <c r="A105" s="119"/>
      <c r="B105" s="238"/>
      <c r="C105" s="308" t="s">
        <v>79</v>
      </c>
      <c r="D105" s="283" t="s">
        <v>79</v>
      </c>
      <c r="E105" s="300" t="s">
        <v>405</v>
      </c>
      <c r="F105" s="238" t="s">
        <v>293</v>
      </c>
      <c r="G105" s="68"/>
      <c r="H105" s="96"/>
      <c r="I105" s="379"/>
      <c r="J105" s="96">
        <v>0</v>
      </c>
    </row>
    <row r="106" spans="1:10" x14ac:dyDescent="0.25">
      <c r="A106" s="119"/>
      <c r="B106" s="238"/>
      <c r="C106" s="308" t="s">
        <v>79</v>
      </c>
      <c r="D106" s="283" t="s">
        <v>79</v>
      </c>
      <c r="E106" s="357" t="s">
        <v>144</v>
      </c>
      <c r="F106" s="302" t="s">
        <v>147</v>
      </c>
      <c r="G106" s="68"/>
      <c r="H106" s="96"/>
      <c r="I106" s="379"/>
      <c r="J106" s="286">
        <f>J102+J103+J104</f>
        <v>5681100.8701282497</v>
      </c>
    </row>
    <row r="107" spans="1:10" x14ac:dyDescent="0.25">
      <c r="A107" s="119"/>
      <c r="B107" s="238"/>
      <c r="C107" s="308" t="s">
        <v>79</v>
      </c>
      <c r="D107" s="283" t="s">
        <v>79</v>
      </c>
      <c r="E107" s="300" t="s">
        <v>598</v>
      </c>
      <c r="F107" s="238" t="s">
        <v>656</v>
      </c>
      <c r="G107" s="525">
        <f>'Thông tin'!E63</f>
        <v>0.1</v>
      </c>
      <c r="H107" s="96"/>
      <c r="I107" s="379"/>
      <c r="J107" s="96">
        <f>(J106)*G107</f>
        <v>568110.08701282495</v>
      </c>
    </row>
    <row r="108" spans="1:10" x14ac:dyDescent="0.25">
      <c r="A108" s="119"/>
      <c r="B108" s="238"/>
      <c r="C108" s="308" t="s">
        <v>79</v>
      </c>
      <c r="D108" s="283" t="s">
        <v>79</v>
      </c>
      <c r="E108" s="357" t="s">
        <v>752</v>
      </c>
      <c r="F108" s="302" t="s">
        <v>94</v>
      </c>
      <c r="G108" s="68"/>
      <c r="H108" s="96"/>
      <c r="I108" s="379"/>
      <c r="J108" s="286">
        <f>J106+J107</f>
        <v>6249210.9571410744</v>
      </c>
    </row>
    <row r="109" spans="1:10" x14ac:dyDescent="0.25">
      <c r="A109" s="119"/>
      <c r="B109" s="238"/>
      <c r="C109" s="308" t="s">
        <v>79</v>
      </c>
      <c r="D109" s="283" t="s">
        <v>79</v>
      </c>
      <c r="E109" s="300" t="s">
        <v>892</v>
      </c>
      <c r="F109" s="238" t="s">
        <v>979</v>
      </c>
      <c r="G109" s="525">
        <f>'Thông tin'!E59</f>
        <v>0</v>
      </c>
      <c r="H109" s="96"/>
      <c r="I109" s="379"/>
      <c r="J109" s="96">
        <f>(J108)*G109</f>
        <v>0</v>
      </c>
    </row>
    <row r="110" spans="1:10" x14ac:dyDescent="0.25">
      <c r="A110" s="521"/>
      <c r="B110" s="60"/>
      <c r="C110" s="127" t="s">
        <v>79</v>
      </c>
      <c r="D110" s="97" t="s">
        <v>79</v>
      </c>
      <c r="E110" s="453" t="s">
        <v>882</v>
      </c>
      <c r="F110" s="112" t="s">
        <v>590</v>
      </c>
      <c r="G110" s="360"/>
      <c r="H110" s="498"/>
      <c r="I110" s="63"/>
      <c r="J110" s="155">
        <f>J108+J109</f>
        <v>6249210.9571410744</v>
      </c>
    </row>
  </sheetData>
  <mergeCells count="4">
    <mergeCell ref="A1:J1"/>
    <mergeCell ref="A2:J2"/>
    <mergeCell ref="A3:J3"/>
    <mergeCell ref="A4:J4"/>
  </mergeCells>
  <conditionalFormatting sqref="I1:I110">
    <cfRule type="cellIs" dxfId="3" priority="1" stopIfTrue="1" operator="equal">
      <formula>1</formula>
    </cfRule>
  </conditionalFormatting>
  <pageMargins left="0.60000000000000009" right="0.60000000000000009" top="0.79" bottom="0.79" header="0.3" footer="0.3"/>
  <pageSetup paperSize="9" scale="90" orientation="portrait" useFirstPageNumber="1" horizontalDpi="65532"/>
  <headerFooter>
    <oddFooter>&amp;CTrang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sheetPr>
  <dimension ref="A1:L10"/>
  <sheetViews>
    <sheetView showZeros="0" topLeftCell="B1" workbookViewId="0">
      <selection activeCell="E12" sqref="E12"/>
    </sheetView>
  </sheetViews>
  <sheetFormatPr defaultColWidth="9.140625" defaultRowHeight="15" x14ac:dyDescent="0.25"/>
  <cols>
    <col min="1" max="1" width="9.140625" style="460" hidden="1" customWidth="1"/>
    <col min="2" max="2" width="4.7109375" style="460" bestFit="1" customWidth="1"/>
    <col min="3" max="3" width="9.140625" style="460" bestFit="1" customWidth="1"/>
    <col min="4" max="4" width="55.42578125" style="460" customWidth="1"/>
    <col min="5" max="5" width="11" style="460" customWidth="1"/>
    <col min="6" max="7" width="14.28515625" style="460" customWidth="1"/>
    <col min="8" max="8" width="18" style="460" customWidth="1"/>
    <col min="9" max="9" width="9.140625" style="460" customWidth="1"/>
    <col min="10" max="16384" width="9.140625" style="460"/>
  </cols>
  <sheetData>
    <row r="1" spans="1:12" ht="18.75" x14ac:dyDescent="0.25">
      <c r="A1" s="624" t="s">
        <v>39</v>
      </c>
      <c r="B1" s="624"/>
      <c r="C1" s="624"/>
      <c r="D1" s="625"/>
      <c r="E1" s="624"/>
      <c r="F1" s="626"/>
      <c r="G1" s="627"/>
      <c r="H1" s="627"/>
      <c r="I1" s="232"/>
      <c r="J1" s="232"/>
      <c r="K1" s="232"/>
      <c r="L1" s="232"/>
    </row>
    <row r="2" spans="1:12" x14ac:dyDescent="0.25">
      <c r="A2" s="628" t="s">
        <v>471</v>
      </c>
      <c r="B2" s="628"/>
      <c r="C2" s="628"/>
      <c r="D2" s="629"/>
      <c r="E2" s="628"/>
      <c r="F2" s="630"/>
      <c r="G2" s="631"/>
      <c r="H2" s="631"/>
      <c r="I2" s="232"/>
      <c r="J2" s="232"/>
      <c r="K2" s="232"/>
      <c r="L2" s="232"/>
    </row>
    <row r="3" spans="1:12" x14ac:dyDescent="0.25">
      <c r="A3" s="628" t="s">
        <v>178</v>
      </c>
      <c r="B3" s="628"/>
      <c r="C3" s="628"/>
      <c r="D3" s="629"/>
      <c r="E3" s="628"/>
      <c r="F3" s="630"/>
      <c r="G3" s="631"/>
      <c r="H3" s="631"/>
      <c r="I3" s="232"/>
      <c r="J3" s="232"/>
      <c r="K3" s="232"/>
      <c r="L3" s="232"/>
    </row>
    <row r="4" spans="1:12" x14ac:dyDescent="0.25">
      <c r="A4" s="628"/>
      <c r="B4" s="628"/>
      <c r="C4" s="628"/>
      <c r="D4" s="629"/>
      <c r="E4" s="628"/>
      <c r="F4" s="630"/>
      <c r="G4" s="631"/>
      <c r="H4" s="631"/>
      <c r="I4" s="232"/>
      <c r="J4" s="232"/>
      <c r="K4" s="232"/>
      <c r="L4" s="232"/>
    </row>
    <row r="5" spans="1:12" x14ac:dyDescent="0.25">
      <c r="A5" s="134" t="s">
        <v>874</v>
      </c>
      <c r="B5" s="134" t="s">
        <v>306</v>
      </c>
      <c r="C5" s="134" t="s">
        <v>170</v>
      </c>
      <c r="D5" s="481" t="s">
        <v>924</v>
      </c>
      <c r="E5" s="134" t="s">
        <v>891</v>
      </c>
      <c r="F5" s="142" t="s">
        <v>357</v>
      </c>
      <c r="G5" s="273" t="s">
        <v>649</v>
      </c>
      <c r="H5" s="273" t="s">
        <v>97</v>
      </c>
      <c r="I5" s="232"/>
      <c r="J5" s="232"/>
      <c r="K5" s="232"/>
      <c r="L5" s="232"/>
    </row>
    <row r="6" spans="1:12" ht="30" x14ac:dyDescent="0.25">
      <c r="A6" s="37"/>
      <c r="B6" s="234">
        <v>1</v>
      </c>
      <c r="C6" s="37" t="str">
        <f>'Tiên lượng'!C7</f>
        <v>CF.11620</v>
      </c>
      <c r="D6" s="458" t="str">
        <f>'Tiên lượng'!D7</f>
        <v>Công tác đo lưới khống chế mặt bằng, đường chuyền cấp II, Bộ thiết bị GPS (3 máy)</v>
      </c>
      <c r="E6" s="234" t="str">
        <f>'Tiên lượng'!E7</f>
        <v>điểm</v>
      </c>
      <c r="F6" s="261">
        <f>'Tiên lượng'!M7</f>
        <v>22</v>
      </c>
      <c r="G6" s="251">
        <f>'Chiết tính'!J34</f>
        <v>3940100.4831780889</v>
      </c>
      <c r="H6" s="251">
        <f t="shared" ref="H6:H9" si="0">F6*G6</f>
        <v>86682210.629917949</v>
      </c>
      <c r="I6" s="232"/>
      <c r="J6" s="232"/>
      <c r="K6" s="232"/>
      <c r="L6" s="232"/>
    </row>
    <row r="7" spans="1:12" ht="30" x14ac:dyDescent="0.25">
      <c r="A7" s="510"/>
      <c r="B7" s="45">
        <v>2</v>
      </c>
      <c r="C7" s="510" t="str">
        <f>'Tiên lượng'!C8</f>
        <v>CG.11330</v>
      </c>
      <c r="D7" s="277" t="str">
        <f>'Tiên lượng'!D8</f>
        <v>Công tác đo khống chế cao, thủy chuẩn kỹ thuật, cấp địa hình III</v>
      </c>
      <c r="E7" s="45" t="str">
        <f>'Tiên lượng'!E8</f>
        <v>km</v>
      </c>
      <c r="F7" s="526">
        <f>'Tiên lượng'!M8</f>
        <v>10</v>
      </c>
      <c r="G7" s="61">
        <f>'Chiết tính'!J58</f>
        <v>2154709.2422925294</v>
      </c>
      <c r="H7" s="61">
        <f t="shared" si="0"/>
        <v>21547092.422925293</v>
      </c>
      <c r="I7" s="232"/>
      <c r="J7" s="232"/>
      <c r="K7" s="232"/>
      <c r="L7" s="232"/>
    </row>
    <row r="8" spans="1:12" ht="45" x14ac:dyDescent="0.25">
      <c r="A8" s="510"/>
      <c r="B8" s="45">
        <v>3</v>
      </c>
      <c r="C8" s="510" t="str">
        <f>'Tiên lượng'!C9</f>
        <v>CK.11430</v>
      </c>
      <c r="D8" s="277" t="str">
        <f>'Tiên lượng'!D9</f>
        <v>Đo vẽ chi tiết bản đồ địa hình trên cạn bằng  máy toàn đạc điện tử và máy thủy bình điện tử; bản đồ tỷ lệ 1/500, đường đồng mức 1m, cấp địa hình III</v>
      </c>
      <c r="E8" s="45" t="str">
        <f>'Tiên lượng'!E9</f>
        <v>1 ha</v>
      </c>
      <c r="F8" s="526">
        <f>'Tiên lượng'!M9</f>
        <v>56</v>
      </c>
      <c r="G8" s="61">
        <f>'Chiết tính'!J84</f>
        <v>4610971.0208388753</v>
      </c>
      <c r="H8" s="61">
        <f t="shared" si="0"/>
        <v>258214377.16697702</v>
      </c>
      <c r="I8" s="232"/>
      <c r="J8" s="232"/>
      <c r="K8" s="232"/>
      <c r="L8" s="232"/>
    </row>
    <row r="9" spans="1:12" ht="45" x14ac:dyDescent="0.25">
      <c r="A9" s="206"/>
      <c r="B9" s="334">
        <v>4</v>
      </c>
      <c r="C9" s="206" t="str">
        <f>'Tiên lượng'!C10</f>
        <v>CK.11440</v>
      </c>
      <c r="D9" s="553" t="str">
        <f>'Tiên lượng'!D10</f>
        <v>Đo vẽ chi tiết bản đồ địa hình trên cạn bằng  máy toàn đạc điện tử và máy thủy bình điện tử; bản đồ tỷ lệ 1/500, đường đồng mức 1m, cấp địa hình IV</v>
      </c>
      <c r="E9" s="334" t="str">
        <f>'Tiên lượng'!E10</f>
        <v>1 ha</v>
      </c>
      <c r="F9" s="227">
        <f>'Tiên lượng'!M10</f>
        <v>130</v>
      </c>
      <c r="G9" s="352">
        <f>'Chiết tính'!J110</f>
        <v>6249210.9571410744</v>
      </c>
      <c r="H9" s="352">
        <f t="shared" si="0"/>
        <v>812397424.42833972</v>
      </c>
      <c r="I9" s="232"/>
      <c r="J9" s="232"/>
      <c r="K9" s="232"/>
      <c r="L9" s="232"/>
    </row>
    <row r="10" spans="1:12" x14ac:dyDescent="0.25">
      <c r="A10" s="159" t="s">
        <v>186</v>
      </c>
      <c r="B10" s="294"/>
      <c r="C10" s="159"/>
      <c r="D10" s="503" t="s">
        <v>887</v>
      </c>
      <c r="E10" s="294"/>
      <c r="F10" s="176"/>
      <c r="G10" s="304"/>
      <c r="H10" s="304">
        <f>SUMIF(B6:B9,"&gt;0",H6:H9)</f>
        <v>1178841104.64816</v>
      </c>
      <c r="I10" s="232"/>
      <c r="J10" s="232"/>
      <c r="K10" s="232"/>
      <c r="L10" s="232"/>
    </row>
  </sheetData>
  <mergeCells count="4">
    <mergeCell ref="A1:H1"/>
    <mergeCell ref="A2:H2"/>
    <mergeCell ref="A3:H3"/>
    <mergeCell ref="A4:H4"/>
  </mergeCells>
  <pageMargins left="0.75" right="0.75" top="0.79" bottom="0.79" header="0.3" footer="0.3"/>
  <pageSetup paperSize="9" orientation="landscape" useFirstPageNumber="1" horizontalDpi="65532"/>
  <headerFooter>
    <oddFooter>&amp;CTrang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sheetPr>
  <dimension ref="A1:W11"/>
  <sheetViews>
    <sheetView showZeros="0" topLeftCell="B1" workbookViewId="0">
      <selection activeCell="B5" sqref="B5"/>
    </sheetView>
  </sheetViews>
  <sheetFormatPr defaultColWidth="9.140625" defaultRowHeight="15" x14ac:dyDescent="0.25"/>
  <cols>
    <col min="1" max="1" width="5.140625" style="460" hidden="1" customWidth="1"/>
    <col min="2" max="2" width="4.7109375" style="460" bestFit="1" customWidth="1"/>
    <col min="3" max="3" width="8" style="460" bestFit="1" customWidth="1"/>
    <col min="4" max="4" width="10.85546875" style="460" hidden="1" customWidth="1"/>
    <col min="5" max="5" width="29" style="460" customWidth="1"/>
    <col min="6" max="6" width="6.7109375" style="460" customWidth="1"/>
    <col min="7" max="7" width="9" style="460" customWidth="1"/>
    <col min="8" max="9" width="9.140625" style="460" hidden="1" customWidth="1"/>
    <col min="10" max="10" width="9" style="460" customWidth="1"/>
    <col min="11" max="11" width="9.140625" style="460" hidden="1" customWidth="1"/>
    <col min="12" max="19" width="12.7109375" style="460" hidden="1" customWidth="1"/>
    <col min="20" max="20" width="12.85546875" style="460" customWidth="1"/>
    <col min="21" max="21" width="12.7109375" style="460" hidden="1" customWidth="1"/>
    <col min="22" max="22" width="9" style="460" customWidth="1"/>
    <col min="23" max="23" width="9.140625" style="460" customWidth="1"/>
    <col min="24" max="16384" width="9.140625" style="460"/>
  </cols>
  <sheetData>
    <row r="1" spans="1:23" ht="18.75" x14ac:dyDescent="0.3">
      <c r="B1" s="590" t="s">
        <v>498</v>
      </c>
      <c r="C1" s="590"/>
      <c r="D1" s="590"/>
      <c r="E1" s="590"/>
      <c r="F1" s="590"/>
      <c r="G1" s="590"/>
      <c r="H1" s="590"/>
      <c r="I1" s="590"/>
      <c r="J1" s="590"/>
      <c r="K1" s="590"/>
      <c r="L1" s="590"/>
      <c r="M1" s="590"/>
      <c r="N1" s="590"/>
      <c r="O1" s="590"/>
      <c r="P1" s="590"/>
      <c r="Q1" s="590"/>
      <c r="R1" s="590"/>
      <c r="S1" s="590"/>
      <c r="T1" s="590"/>
      <c r="U1" s="590"/>
      <c r="V1" s="590"/>
    </row>
    <row r="2" spans="1:23" x14ac:dyDescent="0.25">
      <c r="B2" s="594" t="s">
        <v>917</v>
      </c>
      <c r="C2" s="594"/>
      <c r="D2" s="594"/>
      <c r="E2" s="594"/>
      <c r="F2" s="594"/>
      <c r="G2" s="594"/>
      <c r="H2" s="594"/>
      <c r="I2" s="594"/>
      <c r="J2" s="594"/>
      <c r="K2" s="594"/>
      <c r="L2" s="594"/>
      <c r="M2" s="594"/>
      <c r="N2" s="594"/>
      <c r="O2" s="594"/>
      <c r="P2" s="594"/>
      <c r="Q2" s="594"/>
      <c r="R2" s="594"/>
      <c r="S2" s="594"/>
      <c r="T2" s="594"/>
      <c r="U2" s="594"/>
      <c r="V2" s="594"/>
    </row>
    <row r="3" spans="1:23" x14ac:dyDescent="0.25">
      <c r="B3" s="595" t="s">
        <v>350</v>
      </c>
      <c r="C3" s="595"/>
      <c r="D3" s="595"/>
      <c r="E3" s="595"/>
      <c r="F3" s="595"/>
      <c r="G3" s="595"/>
      <c r="H3" s="595"/>
      <c r="I3" s="595"/>
      <c r="J3" s="595"/>
      <c r="K3" s="595"/>
      <c r="L3" s="595"/>
      <c r="M3" s="595"/>
      <c r="N3" s="595"/>
      <c r="O3" s="595"/>
      <c r="P3" s="595"/>
      <c r="Q3" s="595"/>
      <c r="R3" s="595"/>
      <c r="S3" s="595"/>
      <c r="T3" s="595"/>
      <c r="U3" s="595"/>
      <c r="V3" s="595"/>
    </row>
    <row r="4" spans="1:23" ht="19.5" customHeight="1" x14ac:dyDescent="0.25">
      <c r="B4" s="482" t="s">
        <v>306</v>
      </c>
      <c r="C4" s="482" t="s">
        <v>587</v>
      </c>
      <c r="D4" s="482"/>
      <c r="E4" s="482" t="s">
        <v>122</v>
      </c>
      <c r="F4" s="482" t="s">
        <v>891</v>
      </c>
      <c r="G4" s="482" t="s">
        <v>723</v>
      </c>
      <c r="H4" s="482"/>
      <c r="I4" s="482"/>
      <c r="J4" s="482" t="s">
        <v>47</v>
      </c>
      <c r="K4" s="482" t="s">
        <v>764</v>
      </c>
      <c r="L4" s="482" t="s">
        <v>448</v>
      </c>
      <c r="M4" s="482" t="s">
        <v>939</v>
      </c>
      <c r="N4" s="482" t="s">
        <v>200</v>
      </c>
      <c r="O4" s="482" t="s">
        <v>480</v>
      </c>
      <c r="P4" s="482" t="s">
        <v>406</v>
      </c>
      <c r="Q4" s="482" t="s">
        <v>7</v>
      </c>
      <c r="R4" s="482"/>
      <c r="S4" s="482" t="s">
        <v>335</v>
      </c>
      <c r="T4" s="482"/>
      <c r="U4" s="482" t="s">
        <v>389</v>
      </c>
      <c r="V4" s="482" t="s">
        <v>670</v>
      </c>
      <c r="W4" s="482" t="s">
        <v>877</v>
      </c>
    </row>
    <row r="5" spans="1:23" x14ac:dyDescent="0.25">
      <c r="A5" s="356"/>
      <c r="B5" s="365">
        <v>1</v>
      </c>
      <c r="C5" s="224" t="s">
        <v>793</v>
      </c>
      <c r="D5" s="356"/>
      <c r="E5" s="356" t="s">
        <v>562</v>
      </c>
      <c r="F5" s="365" t="s">
        <v>749</v>
      </c>
      <c r="G5" s="114">
        <v>180000</v>
      </c>
      <c r="H5" s="114"/>
      <c r="I5" s="114"/>
      <c r="J5" s="310">
        <v>180000</v>
      </c>
      <c r="K5" s="180">
        <v>1</v>
      </c>
      <c r="L5" s="114">
        <f t="shared" ref="L5:L11" si="0">J5*K5</f>
        <v>180000</v>
      </c>
      <c r="M5" s="114">
        <v>0</v>
      </c>
      <c r="N5" s="114">
        <v>0</v>
      </c>
      <c r="O5" s="114">
        <v>0</v>
      </c>
      <c r="P5" s="114">
        <v>0</v>
      </c>
      <c r="Q5" s="114">
        <v>0</v>
      </c>
      <c r="R5" s="114"/>
      <c r="S5" s="114"/>
      <c r="T5" s="114">
        <v>0</v>
      </c>
      <c r="U5" s="114">
        <f t="shared" ref="U5:U11" si="1">SUM(M5:T5)</f>
        <v>0</v>
      </c>
      <c r="V5" s="114">
        <f t="shared" ref="V5:V11" si="2">J5+U5</f>
        <v>180000</v>
      </c>
      <c r="W5" s="356"/>
    </row>
    <row r="6" spans="1:23" x14ac:dyDescent="0.25">
      <c r="A6" s="152"/>
      <c r="B6" s="156">
        <v>2</v>
      </c>
      <c r="C6" s="499" t="s">
        <v>494</v>
      </c>
      <c r="D6" s="152"/>
      <c r="E6" s="152" t="s">
        <v>265</v>
      </c>
      <c r="F6" s="156" t="s">
        <v>496</v>
      </c>
      <c r="G6" s="402">
        <v>5000</v>
      </c>
      <c r="H6" s="402"/>
      <c r="I6" s="402"/>
      <c r="J6" s="118">
        <v>5000</v>
      </c>
      <c r="K6" s="459">
        <v>1</v>
      </c>
      <c r="L6" s="402">
        <f t="shared" si="0"/>
        <v>5000</v>
      </c>
      <c r="M6" s="402">
        <v>0</v>
      </c>
      <c r="N6" s="402">
        <v>0</v>
      </c>
      <c r="O6" s="402">
        <v>0</v>
      </c>
      <c r="P6" s="402">
        <v>0</v>
      </c>
      <c r="Q6" s="402">
        <v>0</v>
      </c>
      <c r="R6" s="402"/>
      <c r="S6" s="402"/>
      <c r="T6" s="402">
        <v>0</v>
      </c>
      <c r="U6" s="402">
        <f t="shared" si="1"/>
        <v>0</v>
      </c>
      <c r="V6" s="402">
        <f t="shared" si="2"/>
        <v>5000</v>
      </c>
      <c r="W6" s="152"/>
    </row>
    <row r="7" spans="1:23" x14ac:dyDescent="0.25">
      <c r="A7" s="152"/>
      <c r="B7" s="156">
        <v>3</v>
      </c>
      <c r="C7" s="499" t="s">
        <v>475</v>
      </c>
      <c r="D7" s="152"/>
      <c r="E7" s="152" t="s">
        <v>386</v>
      </c>
      <c r="F7" s="156" t="s">
        <v>749</v>
      </c>
      <c r="G7" s="402">
        <v>207088.181818182</v>
      </c>
      <c r="H7" s="402"/>
      <c r="I7" s="402"/>
      <c r="J7" s="118">
        <v>207088.181818182</v>
      </c>
      <c r="K7" s="459">
        <v>1</v>
      </c>
      <c r="L7" s="402">
        <f t="shared" si="0"/>
        <v>207088.181818182</v>
      </c>
      <c r="M7" s="402">
        <v>0</v>
      </c>
      <c r="N7" s="402">
        <v>0</v>
      </c>
      <c r="O7" s="402">
        <v>0</v>
      </c>
      <c r="P7" s="402">
        <v>0</v>
      </c>
      <c r="Q7" s="402">
        <v>0</v>
      </c>
      <c r="R7" s="402"/>
      <c r="S7" s="402"/>
      <c r="T7" s="402">
        <v>0</v>
      </c>
      <c r="U7" s="402">
        <f t="shared" si="1"/>
        <v>0</v>
      </c>
      <c r="V7" s="402">
        <f t="shared" si="2"/>
        <v>207088.181818182</v>
      </c>
      <c r="W7" s="152"/>
    </row>
    <row r="8" spans="1:23" x14ac:dyDescent="0.25">
      <c r="A8" s="152"/>
      <c r="B8" s="156">
        <v>4</v>
      </c>
      <c r="C8" s="499" t="s">
        <v>634</v>
      </c>
      <c r="D8" s="152"/>
      <c r="E8" s="152" t="s">
        <v>81</v>
      </c>
      <c r="F8" s="156" t="s">
        <v>661</v>
      </c>
      <c r="G8" s="402">
        <v>18182</v>
      </c>
      <c r="H8" s="402"/>
      <c r="I8" s="402"/>
      <c r="J8" s="118">
        <v>18182</v>
      </c>
      <c r="K8" s="459">
        <v>1</v>
      </c>
      <c r="L8" s="402">
        <f t="shared" si="0"/>
        <v>18182</v>
      </c>
      <c r="M8" s="402">
        <v>0</v>
      </c>
      <c r="N8" s="402">
        <v>0</v>
      </c>
      <c r="O8" s="402">
        <v>0</v>
      </c>
      <c r="P8" s="402">
        <v>0</v>
      </c>
      <c r="Q8" s="402">
        <v>0</v>
      </c>
      <c r="R8" s="402"/>
      <c r="S8" s="402"/>
      <c r="T8" s="402">
        <v>0</v>
      </c>
      <c r="U8" s="402">
        <f t="shared" si="1"/>
        <v>0</v>
      </c>
      <c r="V8" s="402">
        <f t="shared" si="2"/>
        <v>18182</v>
      </c>
      <c r="W8" s="152"/>
    </row>
    <row r="9" spans="1:23" x14ac:dyDescent="0.25">
      <c r="A9" s="152"/>
      <c r="B9" s="156">
        <v>5</v>
      </c>
      <c r="C9" s="499" t="s">
        <v>397</v>
      </c>
      <c r="D9" s="152"/>
      <c r="E9" s="152" t="s">
        <v>165</v>
      </c>
      <c r="F9" s="156" t="s">
        <v>626</v>
      </c>
      <c r="G9" s="402">
        <v>8000</v>
      </c>
      <c r="H9" s="402"/>
      <c r="I9" s="402"/>
      <c r="J9" s="118">
        <v>8000</v>
      </c>
      <c r="K9" s="459">
        <v>1</v>
      </c>
      <c r="L9" s="402">
        <f t="shared" si="0"/>
        <v>8000</v>
      </c>
      <c r="M9" s="402">
        <v>0</v>
      </c>
      <c r="N9" s="402">
        <v>0</v>
      </c>
      <c r="O9" s="402">
        <v>0</v>
      </c>
      <c r="P9" s="402">
        <v>0</v>
      </c>
      <c r="Q9" s="402">
        <v>0</v>
      </c>
      <c r="R9" s="402"/>
      <c r="S9" s="402"/>
      <c r="T9" s="402">
        <v>0</v>
      </c>
      <c r="U9" s="402">
        <f t="shared" si="1"/>
        <v>0</v>
      </c>
      <c r="V9" s="402">
        <f t="shared" si="2"/>
        <v>8000</v>
      </c>
      <c r="W9" s="152"/>
    </row>
    <row r="10" spans="1:23" x14ac:dyDescent="0.25">
      <c r="A10" s="152"/>
      <c r="B10" s="156">
        <v>6</v>
      </c>
      <c r="C10" s="499" t="s">
        <v>594</v>
      </c>
      <c r="D10" s="152"/>
      <c r="E10" s="152" t="s">
        <v>242</v>
      </c>
      <c r="F10" s="156" t="s">
        <v>661</v>
      </c>
      <c r="G10" s="402">
        <v>40000</v>
      </c>
      <c r="H10" s="402"/>
      <c r="I10" s="402"/>
      <c r="J10" s="118">
        <v>40000</v>
      </c>
      <c r="K10" s="459">
        <v>1</v>
      </c>
      <c r="L10" s="402">
        <f t="shared" si="0"/>
        <v>40000</v>
      </c>
      <c r="M10" s="402">
        <v>0</v>
      </c>
      <c r="N10" s="402">
        <v>0</v>
      </c>
      <c r="O10" s="402">
        <v>0</v>
      </c>
      <c r="P10" s="402">
        <v>0</v>
      </c>
      <c r="Q10" s="402">
        <v>0</v>
      </c>
      <c r="R10" s="402"/>
      <c r="S10" s="402"/>
      <c r="T10" s="402">
        <v>0</v>
      </c>
      <c r="U10" s="402">
        <f t="shared" si="1"/>
        <v>0</v>
      </c>
      <c r="V10" s="402">
        <f t="shared" si="2"/>
        <v>40000</v>
      </c>
      <c r="W10" s="152"/>
    </row>
    <row r="11" spans="1:23" x14ac:dyDescent="0.25">
      <c r="A11" s="439"/>
      <c r="B11" s="447">
        <v>7</v>
      </c>
      <c r="C11" s="323" t="s">
        <v>126</v>
      </c>
      <c r="D11" s="439"/>
      <c r="E11" s="439" t="s">
        <v>468</v>
      </c>
      <c r="F11" s="447" t="s">
        <v>661</v>
      </c>
      <c r="G11" s="203">
        <v>1409.0909090909099</v>
      </c>
      <c r="H11" s="203"/>
      <c r="I11" s="203"/>
      <c r="J11" s="415">
        <v>1409.0909090909099</v>
      </c>
      <c r="K11" s="291">
        <v>1</v>
      </c>
      <c r="L11" s="203">
        <f t="shared" si="0"/>
        <v>1409.0909090909099</v>
      </c>
      <c r="M11" s="203">
        <v>0</v>
      </c>
      <c r="N11" s="203">
        <v>0</v>
      </c>
      <c r="O11" s="203">
        <v>0</v>
      </c>
      <c r="P11" s="203">
        <v>0</v>
      </c>
      <c r="Q11" s="203">
        <v>0</v>
      </c>
      <c r="R11" s="203"/>
      <c r="S11" s="203"/>
      <c r="T11" s="203">
        <v>0</v>
      </c>
      <c r="U11" s="203">
        <f t="shared" si="1"/>
        <v>0</v>
      </c>
      <c r="V11" s="203">
        <f t="shared" si="2"/>
        <v>1409.0909090909099</v>
      </c>
      <c r="W11" s="439"/>
    </row>
  </sheetData>
  <mergeCells count="3">
    <mergeCell ref="B1:V1"/>
    <mergeCell ref="B2:V2"/>
    <mergeCell ref="B3:V3"/>
  </mergeCells>
  <conditionalFormatting sqref="K5:K12">
    <cfRule type="cellIs" dxfId="12" priority="1" stopIfTrue="1" operator="equal">
      <formula>1</formula>
    </cfRule>
  </conditionalFormatting>
  <conditionalFormatting sqref="G5:G11">
    <cfRule type="cellIs" dxfId="11" priority="2" stopIfTrue="1" operator="equal">
      <formula>0</formula>
    </cfRule>
  </conditionalFormatting>
  <conditionalFormatting sqref="J5:J11">
    <cfRule type="cellIs" dxfId="10" priority="3" stopIfTrue="1" operator="equal">
      <formula>0</formula>
    </cfRule>
  </conditionalFormatting>
  <pageMargins left="0.75" right="0.75" top="0.79" bottom="0.79" header="0.3" footer="0.3"/>
  <pageSetup paperSize="9" orientation="portrait" useFirstPageNumber="1" horizontalDpi="65532"/>
  <headerFooter>
    <oddFooter>&amp;CTrang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J20"/>
  <sheetViews>
    <sheetView showGridLines="0" topLeftCell="B1" workbookViewId="0"/>
  </sheetViews>
  <sheetFormatPr defaultRowHeight="15" x14ac:dyDescent="0.25"/>
  <cols>
    <col min="1" max="1" width="8.85546875" hidden="1" customWidth="1"/>
    <col min="2" max="2" width="5" customWidth="1"/>
    <col min="3" max="3" width="52.7109375" customWidth="1"/>
    <col min="4" max="4" width="15.7109375" customWidth="1"/>
    <col min="5" max="5" width="14" customWidth="1"/>
    <col min="6" max="6" width="13.42578125" customWidth="1"/>
    <col min="7" max="7" width="9.42578125" customWidth="1"/>
    <col min="8" max="8" width="17" customWidth="1"/>
    <col min="9" max="10" width="9.42578125" customWidth="1"/>
  </cols>
  <sheetData>
    <row r="1" spans="1:10" ht="18.75" x14ac:dyDescent="0.25">
      <c r="A1" s="151"/>
      <c r="B1" s="632" t="s">
        <v>646</v>
      </c>
      <c r="C1" s="632"/>
      <c r="D1" s="632"/>
      <c r="E1" s="632"/>
      <c r="F1" s="632"/>
      <c r="G1" s="632"/>
      <c r="H1" s="632"/>
      <c r="I1" s="151"/>
    </row>
    <row r="2" spans="1:10" ht="15.75" x14ac:dyDescent="0.25">
      <c r="A2" s="164"/>
      <c r="B2" s="633" t="s">
        <v>825</v>
      </c>
      <c r="C2" s="633"/>
      <c r="D2" s="633"/>
      <c r="E2" s="633"/>
      <c r="F2" s="633"/>
      <c r="G2" s="633"/>
      <c r="H2" s="633"/>
      <c r="I2" s="164"/>
    </row>
    <row r="3" spans="1:10" ht="15.75" x14ac:dyDescent="0.25">
      <c r="A3" s="164"/>
      <c r="B3" s="633" t="s">
        <v>966</v>
      </c>
      <c r="C3" s="633"/>
      <c r="D3" s="633"/>
      <c r="E3" s="633"/>
      <c r="F3" s="633"/>
      <c r="G3" s="633"/>
      <c r="H3" s="633"/>
      <c r="I3" s="164"/>
    </row>
    <row r="4" spans="1:10" x14ac:dyDescent="0.25">
      <c r="A4" s="516"/>
      <c r="B4" s="516"/>
      <c r="C4" s="516"/>
      <c r="D4" s="516"/>
      <c r="E4" s="516"/>
      <c r="F4" s="516"/>
      <c r="G4" s="516"/>
      <c r="H4" s="516"/>
      <c r="I4" s="516"/>
    </row>
    <row r="5" spans="1:10" ht="42.75" x14ac:dyDescent="0.25">
      <c r="A5" s="473" t="s">
        <v>874</v>
      </c>
      <c r="B5" s="473" t="s">
        <v>306</v>
      </c>
      <c r="C5" s="473" t="s">
        <v>424</v>
      </c>
      <c r="D5" s="473" t="s">
        <v>246</v>
      </c>
      <c r="E5" s="473" t="s">
        <v>296</v>
      </c>
      <c r="F5" s="473" t="s">
        <v>40</v>
      </c>
      <c r="G5" s="473" t="s">
        <v>430</v>
      </c>
      <c r="H5" s="473" t="s">
        <v>855</v>
      </c>
      <c r="I5" s="473" t="s">
        <v>140</v>
      </c>
    </row>
    <row r="6" spans="1:10" x14ac:dyDescent="0.25">
      <c r="A6" s="16"/>
      <c r="B6" s="16" t="s">
        <v>898</v>
      </c>
      <c r="C6" s="16" t="s">
        <v>938</v>
      </c>
      <c r="D6" s="16" t="s">
        <v>989</v>
      </c>
      <c r="E6" s="16" t="s">
        <v>441</v>
      </c>
      <c r="F6" s="16" t="s">
        <v>489</v>
      </c>
      <c r="G6" s="16" t="s">
        <v>536</v>
      </c>
      <c r="H6" s="473"/>
      <c r="I6" s="473"/>
    </row>
    <row r="7" spans="1:10" x14ac:dyDescent="0.25">
      <c r="A7" s="217"/>
      <c r="B7" s="221">
        <v>1</v>
      </c>
      <c r="C7" s="153" t="s">
        <v>500</v>
      </c>
      <c r="D7" s="175">
        <f t="shared" ref="D7:F7" si="0">SUM(D8:D8)</f>
        <v>1071673731.4983271</v>
      </c>
      <c r="E7" s="175">
        <f t="shared" si="0"/>
        <v>107167373.14983273</v>
      </c>
      <c r="F7" s="175">
        <f t="shared" si="0"/>
        <v>1178841104.64816</v>
      </c>
      <c r="G7" s="221" t="s">
        <v>563</v>
      </c>
      <c r="H7" s="535"/>
      <c r="I7" s="532"/>
    </row>
    <row r="8" spans="1:10" x14ac:dyDescent="0.25">
      <c r="A8" s="436"/>
      <c r="B8" s="442"/>
      <c r="C8" s="130" t="s">
        <v>589</v>
      </c>
      <c r="D8" s="282">
        <f>ĐGTH!H10/(1+I8)</f>
        <v>1071673731.4983271</v>
      </c>
      <c r="E8" s="282">
        <f>D8*I8</f>
        <v>107167373.14983273</v>
      </c>
      <c r="F8" s="282">
        <f>D8+E8</f>
        <v>1178841104.64816</v>
      </c>
      <c r="G8" s="442"/>
      <c r="H8" s="442"/>
      <c r="I8" s="145">
        <v>0.1</v>
      </c>
      <c r="J8" s="275"/>
    </row>
    <row r="9" spans="1:10" x14ac:dyDescent="0.25">
      <c r="A9" s="488"/>
      <c r="B9" s="495">
        <v>2</v>
      </c>
      <c r="C9" s="433" t="s">
        <v>786</v>
      </c>
      <c r="D9" s="455">
        <f t="shared" ref="D9:F9" si="1">ROUND(SUM(D10:D12),0)</f>
        <v>0</v>
      </c>
      <c r="E9" s="455">
        <f t="shared" si="1"/>
        <v>0</v>
      </c>
      <c r="F9" s="455">
        <f t="shared" si="1"/>
        <v>0</v>
      </c>
      <c r="G9" s="495" t="s">
        <v>60</v>
      </c>
      <c r="H9" s="229"/>
      <c r="I9" s="222"/>
    </row>
    <row r="10" spans="1:10" ht="30" x14ac:dyDescent="0.25">
      <c r="A10" s="222"/>
      <c r="B10" s="229"/>
      <c r="C10" s="157" t="s">
        <v>377</v>
      </c>
      <c r="D10" s="182">
        <f t="shared" ref="D10:D11" si="2">$D$7*I10</f>
        <v>0</v>
      </c>
      <c r="E10" s="182">
        <f t="shared" ref="E10:E11" si="3">D10*10%</f>
        <v>0</v>
      </c>
      <c r="F10" s="282">
        <f t="shared" ref="F10:F11" si="4">D10+E10</f>
        <v>0</v>
      </c>
      <c r="G10" s="229"/>
      <c r="H10" s="229" t="s">
        <v>896</v>
      </c>
      <c r="I10" s="475">
        <v>0</v>
      </c>
    </row>
    <row r="11" spans="1:10" ht="30" x14ac:dyDescent="0.25">
      <c r="A11" s="222"/>
      <c r="B11" s="229"/>
      <c r="C11" s="157" t="s">
        <v>215</v>
      </c>
      <c r="D11" s="182">
        <f t="shared" si="2"/>
        <v>0</v>
      </c>
      <c r="E11" s="182">
        <f t="shared" si="3"/>
        <v>0</v>
      </c>
      <c r="F11" s="282">
        <f t="shared" si="4"/>
        <v>0</v>
      </c>
      <c r="G11" s="229"/>
      <c r="H11" s="229" t="s">
        <v>808</v>
      </c>
      <c r="I11" s="475">
        <v>0</v>
      </c>
    </row>
    <row r="12" spans="1:10" x14ac:dyDescent="0.25">
      <c r="A12" s="222"/>
      <c r="B12" s="229"/>
      <c r="C12" s="157" t="s">
        <v>319</v>
      </c>
      <c r="D12" s="182"/>
      <c r="E12" s="182"/>
      <c r="F12" s="182"/>
      <c r="G12" s="229"/>
      <c r="H12" s="229"/>
      <c r="I12" s="222"/>
    </row>
    <row r="13" spans="1:10" x14ac:dyDescent="0.25">
      <c r="A13" s="488"/>
      <c r="B13" s="495">
        <v>3</v>
      </c>
      <c r="C13" s="433" t="s">
        <v>481</v>
      </c>
      <c r="D13" s="455">
        <f t="shared" ref="D13:F13" si="5">ROUND(SUM(D14:D15),0)</f>
        <v>0</v>
      </c>
      <c r="E13" s="455">
        <f t="shared" si="5"/>
        <v>0</v>
      </c>
      <c r="F13" s="455">
        <f t="shared" si="5"/>
        <v>0</v>
      </c>
      <c r="G13" s="495" t="s">
        <v>685</v>
      </c>
      <c r="H13" s="229" t="s">
        <v>533</v>
      </c>
      <c r="I13" s="222"/>
    </row>
    <row r="14" spans="1:10" x14ac:dyDescent="0.25">
      <c r="A14" s="222"/>
      <c r="B14" s="229"/>
      <c r="C14" s="157" t="s">
        <v>885</v>
      </c>
      <c r="D14" s="182">
        <f t="shared" ref="D14:D15" si="6">(D$7+$D$9)*I14</f>
        <v>0</v>
      </c>
      <c r="E14" s="182">
        <f t="shared" ref="E14:E15" si="7">D14*10%</f>
        <v>0</v>
      </c>
      <c r="F14" s="282">
        <f t="shared" ref="F14:F15" si="8">D14+E14</f>
        <v>0</v>
      </c>
      <c r="G14" s="442" t="s">
        <v>529</v>
      </c>
      <c r="H14" s="229" t="s">
        <v>277</v>
      </c>
      <c r="I14" s="475">
        <v>0</v>
      </c>
    </row>
    <row r="15" spans="1:10" x14ac:dyDescent="0.25">
      <c r="A15" s="43"/>
      <c r="B15" s="47"/>
      <c r="C15" s="568" t="s">
        <v>817</v>
      </c>
      <c r="D15" s="182">
        <f t="shared" si="6"/>
        <v>0</v>
      </c>
      <c r="E15" s="182">
        <f t="shared" si="7"/>
        <v>0</v>
      </c>
      <c r="F15" s="282">
        <f t="shared" si="8"/>
        <v>0</v>
      </c>
      <c r="G15" s="269" t="s">
        <v>819</v>
      </c>
      <c r="H15" s="47"/>
      <c r="I15" s="43"/>
    </row>
    <row r="16" spans="1:10" x14ac:dyDescent="0.25">
      <c r="A16" s="504"/>
      <c r="B16" s="507"/>
      <c r="C16" s="449" t="s">
        <v>321</v>
      </c>
      <c r="D16" s="355">
        <f t="shared" ref="D16:F16" si="9">D7+D9+D13</f>
        <v>1071673731.4983271</v>
      </c>
      <c r="E16" s="355">
        <f t="shared" si="9"/>
        <v>107167373.14983273</v>
      </c>
      <c r="F16" s="355">
        <f t="shared" si="9"/>
        <v>1178841104.64816</v>
      </c>
      <c r="G16" s="507" t="s">
        <v>600</v>
      </c>
      <c r="H16" s="507"/>
      <c r="I16" s="504"/>
    </row>
    <row r="17" spans="1:9" x14ac:dyDescent="0.25">
      <c r="A17" s="516"/>
      <c r="B17" s="516"/>
      <c r="C17" s="516"/>
      <c r="D17" s="516"/>
      <c r="E17" s="516"/>
      <c r="F17" s="516"/>
      <c r="G17" s="516"/>
      <c r="H17" s="516"/>
      <c r="I17" s="5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sheetData>
  <mergeCells count="3">
    <mergeCell ref="B1:H1"/>
    <mergeCell ref="B2:H2"/>
    <mergeCell ref="B3:H3"/>
  </mergeCells>
  <pageMargins left="0.7" right="0.7" top="0.75" bottom="0.75" header="0.3" footer="0.3"/>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2"/>
  </sheetPr>
  <dimension ref="A1:R54"/>
  <sheetViews>
    <sheetView showZeros="0" topLeftCell="B7" workbookViewId="0">
      <selection activeCell="G27" sqref="G27"/>
    </sheetView>
  </sheetViews>
  <sheetFormatPr defaultColWidth="9.140625" defaultRowHeight="15" x14ac:dyDescent="0.25"/>
  <cols>
    <col min="1" max="1" width="9.140625" style="460" hidden="1" customWidth="1"/>
    <col min="2" max="2" width="4.7109375" style="460" bestFit="1" customWidth="1"/>
    <col min="3" max="3" width="9.140625" style="211" bestFit="1" customWidth="1"/>
    <col min="4" max="4" width="44.5703125" style="460" customWidth="1"/>
    <col min="5" max="5" width="8" style="460" customWidth="1"/>
    <col min="6" max="6" width="10.85546875" style="460" customWidth="1"/>
    <col min="7" max="7" width="12.5703125" style="460" customWidth="1"/>
    <col min="8" max="8" width="10" style="460" customWidth="1"/>
    <col min="9" max="9" width="14.140625" style="460" customWidth="1"/>
    <col min="10" max="10" width="9.140625" style="460" hidden="1" customWidth="1"/>
    <col min="11" max="11" width="11" style="460" hidden="1" customWidth="1"/>
    <col min="12" max="12" width="8.85546875" style="460" hidden="1" customWidth="1"/>
    <col min="13" max="13" width="10.7109375" style="460" hidden="1" bestFit="1" customWidth="1"/>
    <col min="14" max="15" width="10.7109375" style="460" hidden="1" customWidth="1"/>
    <col min="16" max="16" width="9.140625" style="460" hidden="1" customWidth="1"/>
    <col min="17" max="17" width="12" style="460" hidden="1" customWidth="1"/>
    <col min="18" max="18" width="9.85546875" style="460" customWidth="1"/>
    <col min="19" max="19" width="9.140625" style="460" customWidth="1"/>
    <col min="20" max="16384" width="9.140625" style="460"/>
  </cols>
  <sheetData>
    <row r="1" spans="1:18" ht="18.75" x14ac:dyDescent="0.25">
      <c r="A1" s="637" t="s">
        <v>657</v>
      </c>
      <c r="B1" s="637" t="s">
        <v>657</v>
      </c>
      <c r="C1" s="637" t="s">
        <v>657</v>
      </c>
      <c r="D1" s="637" t="s">
        <v>657</v>
      </c>
      <c r="E1" s="637" t="s">
        <v>657</v>
      </c>
      <c r="F1" s="637" t="s">
        <v>657</v>
      </c>
      <c r="G1" s="637" t="s">
        <v>657</v>
      </c>
      <c r="H1" s="637" t="s">
        <v>657</v>
      </c>
      <c r="I1" s="637" t="s">
        <v>657</v>
      </c>
      <c r="J1" s="637" t="s">
        <v>657</v>
      </c>
      <c r="K1" s="637" t="s">
        <v>657</v>
      </c>
      <c r="L1" s="637" t="s">
        <v>657</v>
      </c>
      <c r="M1" s="637" t="s">
        <v>657</v>
      </c>
      <c r="N1" s="637" t="s">
        <v>657</v>
      </c>
      <c r="O1" s="637" t="s">
        <v>657</v>
      </c>
      <c r="P1" s="637" t="s">
        <v>657</v>
      </c>
      <c r="Q1" s="637" t="s">
        <v>657</v>
      </c>
    </row>
    <row r="2" spans="1:18" x14ac:dyDescent="0.25">
      <c r="A2" s="638" t="s">
        <v>471</v>
      </c>
      <c r="B2" s="638" t="s">
        <v>471</v>
      </c>
      <c r="C2" s="638" t="s">
        <v>471</v>
      </c>
      <c r="D2" s="638" t="s">
        <v>471</v>
      </c>
      <c r="E2" s="638" t="s">
        <v>471</v>
      </c>
      <c r="F2" s="638" t="s">
        <v>471</v>
      </c>
      <c r="G2" s="638" t="s">
        <v>471</v>
      </c>
      <c r="H2" s="638" t="s">
        <v>471</v>
      </c>
      <c r="I2" s="638" t="s">
        <v>471</v>
      </c>
      <c r="J2" s="638" t="s">
        <v>471</v>
      </c>
      <c r="K2" s="638" t="s">
        <v>471</v>
      </c>
      <c r="L2" s="638" t="s">
        <v>471</v>
      </c>
      <c r="M2" s="638" t="s">
        <v>471</v>
      </c>
      <c r="N2" s="638" t="s">
        <v>471</v>
      </c>
      <c r="O2" s="638" t="s">
        <v>471</v>
      </c>
      <c r="P2" s="638" t="s">
        <v>471</v>
      </c>
      <c r="Q2" s="638" t="s">
        <v>471</v>
      </c>
    </row>
    <row r="3" spans="1:18" ht="17.25" customHeight="1" x14ac:dyDescent="0.25">
      <c r="A3" s="639" t="s">
        <v>813</v>
      </c>
      <c r="B3" s="639" t="s">
        <v>813</v>
      </c>
      <c r="C3" s="639" t="s">
        <v>813</v>
      </c>
      <c r="D3" s="639" t="s">
        <v>813</v>
      </c>
      <c r="E3" s="639" t="s">
        <v>813</v>
      </c>
      <c r="F3" s="639" t="s">
        <v>813</v>
      </c>
      <c r="G3" s="639" t="s">
        <v>813</v>
      </c>
      <c r="H3" s="639" t="s">
        <v>813</v>
      </c>
      <c r="I3" s="639" t="s">
        <v>813</v>
      </c>
      <c r="J3" s="639" t="s">
        <v>813</v>
      </c>
      <c r="K3" s="639" t="s">
        <v>813</v>
      </c>
      <c r="L3" s="639" t="s">
        <v>813</v>
      </c>
      <c r="M3" s="639" t="s">
        <v>813</v>
      </c>
      <c r="N3" s="639" t="s">
        <v>813</v>
      </c>
      <c r="O3" s="639" t="s">
        <v>813</v>
      </c>
      <c r="P3" s="639" t="s">
        <v>813</v>
      </c>
      <c r="Q3" s="639" t="s">
        <v>813</v>
      </c>
    </row>
    <row r="4" spans="1:18" x14ac:dyDescent="0.25">
      <c r="B4" s="592" t="s">
        <v>306</v>
      </c>
      <c r="C4" s="640" t="s">
        <v>587</v>
      </c>
      <c r="D4" s="592" t="s">
        <v>902</v>
      </c>
      <c r="E4" s="592" t="s">
        <v>891</v>
      </c>
      <c r="F4" s="635" t="s">
        <v>357</v>
      </c>
      <c r="G4" s="642"/>
      <c r="H4" s="642"/>
      <c r="I4" s="636"/>
      <c r="J4" s="635" t="s">
        <v>710</v>
      </c>
      <c r="K4" s="636"/>
      <c r="L4" s="635" t="s">
        <v>247</v>
      </c>
      <c r="M4" s="636"/>
      <c r="N4" s="409"/>
      <c r="O4" s="409"/>
      <c r="P4" s="635" t="s">
        <v>903</v>
      </c>
      <c r="Q4" s="636"/>
      <c r="R4" s="634" t="s">
        <v>521</v>
      </c>
    </row>
    <row r="5" spans="1:18" x14ac:dyDescent="0.25">
      <c r="B5" s="593"/>
      <c r="C5" s="641"/>
      <c r="D5" s="593"/>
      <c r="E5" s="593"/>
      <c r="F5" s="482" t="s">
        <v>10</v>
      </c>
      <c r="G5" s="482" t="s">
        <v>975</v>
      </c>
      <c r="H5" s="482" t="s">
        <v>764</v>
      </c>
      <c r="I5" s="482" t="s">
        <v>36</v>
      </c>
      <c r="J5" s="482" t="s">
        <v>723</v>
      </c>
      <c r="K5" s="482" t="s">
        <v>97</v>
      </c>
      <c r="L5" s="482" t="s">
        <v>47</v>
      </c>
      <c r="M5" s="482" t="s">
        <v>97</v>
      </c>
      <c r="N5" s="482"/>
      <c r="O5" s="482"/>
      <c r="P5" s="482" t="s">
        <v>670</v>
      </c>
      <c r="Q5" s="482" t="s">
        <v>97</v>
      </c>
      <c r="R5" s="634"/>
    </row>
    <row r="6" spans="1:18" ht="30" x14ac:dyDescent="0.25">
      <c r="A6" s="37"/>
      <c r="B6" s="76">
        <v>1</v>
      </c>
      <c r="C6" s="344" t="str">
        <f>'Tiên lượng'!C7</f>
        <v>CF.11620</v>
      </c>
      <c r="D6" s="305" t="str">
        <f>'Tiên lượng'!D7</f>
        <v>Công tác đo lưới khống chế mặt bằng, đường chuyền cấp II, Bộ thiết bị GPS (3 máy)</v>
      </c>
      <c r="E6" s="76" t="str">
        <f>'Tiên lượng'!E7</f>
        <v>điểm</v>
      </c>
      <c r="F6" s="87">
        <f>'Tiên lượng'!M7</f>
        <v>22</v>
      </c>
      <c r="G6" s="556">
        <v>0</v>
      </c>
      <c r="H6" s="556">
        <v>0</v>
      </c>
      <c r="I6" s="556">
        <v>0</v>
      </c>
      <c r="J6" s="86">
        <v>0</v>
      </c>
      <c r="K6" s="86">
        <v>0</v>
      </c>
      <c r="L6" s="86">
        <v>0</v>
      </c>
      <c r="M6" s="86">
        <v>0</v>
      </c>
      <c r="N6" s="86">
        <v>0</v>
      </c>
      <c r="O6" s="86">
        <v>0</v>
      </c>
      <c r="P6" s="86">
        <v>0</v>
      </c>
      <c r="Q6" s="86">
        <v>0</v>
      </c>
      <c r="R6" s="356">
        <v>0</v>
      </c>
    </row>
    <row r="7" spans="1:18" x14ac:dyDescent="0.25">
      <c r="A7" s="484"/>
      <c r="B7" s="318">
        <v>0</v>
      </c>
      <c r="C7" s="83" t="s">
        <v>79</v>
      </c>
      <c r="D7" s="538" t="s">
        <v>431</v>
      </c>
      <c r="E7" s="318"/>
      <c r="F7" s="337">
        <v>0</v>
      </c>
      <c r="G7" s="209">
        <v>0</v>
      </c>
      <c r="H7" s="209"/>
      <c r="I7" s="209">
        <v>0</v>
      </c>
      <c r="J7" s="336">
        <v>0</v>
      </c>
      <c r="K7" s="336">
        <f>SUM(K8:K14)</f>
        <v>27715.990000000009</v>
      </c>
      <c r="L7" s="336">
        <v>0</v>
      </c>
      <c r="M7" s="336">
        <f>SUM(M8:M14)</f>
        <v>27715.990000000009</v>
      </c>
      <c r="N7" s="336">
        <v>0</v>
      </c>
      <c r="O7" s="336">
        <v>0</v>
      </c>
      <c r="P7" s="336">
        <v>0</v>
      </c>
      <c r="Q7" s="336">
        <f>SUM(Q8:Q14)</f>
        <v>27715.990000000009</v>
      </c>
      <c r="R7" s="152">
        <v>0</v>
      </c>
    </row>
    <row r="8" spans="1:18" x14ac:dyDescent="0.25">
      <c r="A8" s="510"/>
      <c r="B8" s="364">
        <v>0</v>
      </c>
      <c r="C8" s="579" t="s">
        <v>126</v>
      </c>
      <c r="D8" s="570" t="str">
        <f>" - " &amp; 'Giá VL'!E11</f>
        <v xml:space="preserve"> - Xi măng PCB30</v>
      </c>
      <c r="E8" s="364" t="str">
        <f>'Giá VL'!F11</f>
        <v>kg</v>
      </c>
      <c r="F8" s="376">
        <v>0</v>
      </c>
      <c r="G8" s="250">
        <v>3</v>
      </c>
      <c r="H8" s="250">
        <f>'Tiên lượng'!V7</f>
        <v>1</v>
      </c>
      <c r="I8" s="250">
        <f>PRODUCT(F6, G8, H8)</f>
        <v>66</v>
      </c>
      <c r="J8" s="375">
        <f>'Giá VL'!G11</f>
        <v>1409.0909090909099</v>
      </c>
      <c r="K8" s="375">
        <f t="shared" ref="K8:K14" si="0">PRODUCT(G8, H8, J8)</f>
        <v>4227.2727272727298</v>
      </c>
      <c r="L8" s="375">
        <f>'Giá VL'!J11</f>
        <v>1409.0909090909099</v>
      </c>
      <c r="M8" s="375">
        <f t="shared" ref="M8:M14" si="1">PRODUCT(G8, H8, L8)</f>
        <v>4227.2727272727298</v>
      </c>
      <c r="N8" s="375">
        <v>0</v>
      </c>
      <c r="O8" s="375">
        <v>0</v>
      </c>
      <c r="P8" s="375">
        <f>'Giá VL'!V11</f>
        <v>1409.0909090909099</v>
      </c>
      <c r="Q8" s="375">
        <f t="shared" ref="Q8:Q14" si="2">PRODUCT(G8, H8, P8)</f>
        <v>4227.2727272727298</v>
      </c>
      <c r="R8" s="152">
        <v>10</v>
      </c>
    </row>
    <row r="9" spans="1:18" x14ac:dyDescent="0.25">
      <c r="A9" s="510"/>
      <c r="B9" s="364">
        <v>0</v>
      </c>
      <c r="C9" s="579" t="s">
        <v>475</v>
      </c>
      <c r="D9" s="570" t="str">
        <f>" - " &amp; 'Giá VL'!E7</f>
        <v xml:space="preserve"> - Đá 1x2</v>
      </c>
      <c r="E9" s="364" t="str">
        <f>'Giá VL'!F7</f>
        <v>m3</v>
      </c>
      <c r="F9" s="376">
        <v>0</v>
      </c>
      <c r="G9" s="250">
        <v>0.01</v>
      </c>
      <c r="H9" s="250">
        <f>'Tiên lượng'!V7</f>
        <v>1</v>
      </c>
      <c r="I9" s="250">
        <f>PRODUCT(F6, G9, H9)</f>
        <v>0.22</v>
      </c>
      <c r="J9" s="375">
        <f>'Giá VL'!G7</f>
        <v>207088.181818182</v>
      </c>
      <c r="K9" s="375">
        <f t="shared" si="0"/>
        <v>2070.8818181818201</v>
      </c>
      <c r="L9" s="375">
        <f>'Giá VL'!J7</f>
        <v>207088.181818182</v>
      </c>
      <c r="M9" s="375">
        <f t="shared" si="1"/>
        <v>2070.8818181818201</v>
      </c>
      <c r="N9" s="375">
        <v>0</v>
      </c>
      <c r="O9" s="375">
        <v>0</v>
      </c>
      <c r="P9" s="375">
        <f>'Giá VL'!V7</f>
        <v>207088.181818182</v>
      </c>
      <c r="Q9" s="375">
        <f t="shared" si="2"/>
        <v>2070.8818181818201</v>
      </c>
      <c r="R9" s="152">
        <v>10</v>
      </c>
    </row>
    <row r="10" spans="1:18" x14ac:dyDescent="0.25">
      <c r="A10" s="510"/>
      <c r="B10" s="364">
        <v>0</v>
      </c>
      <c r="C10" s="579" t="s">
        <v>793</v>
      </c>
      <c r="D10" s="570" t="str">
        <f>" - " &amp; 'Giá VL'!E5</f>
        <v xml:space="preserve"> - Cát vàng</v>
      </c>
      <c r="E10" s="364" t="str">
        <f>'Giá VL'!F5</f>
        <v>m3</v>
      </c>
      <c r="F10" s="376">
        <v>0</v>
      </c>
      <c r="G10" s="250">
        <v>6.0000000000000001E-3</v>
      </c>
      <c r="H10" s="250">
        <f>'Tiên lượng'!V7</f>
        <v>1</v>
      </c>
      <c r="I10" s="250">
        <f>PRODUCT(F6, G10, H10)</f>
        <v>0.13200000000000001</v>
      </c>
      <c r="J10" s="375">
        <f>'Giá VL'!G5</f>
        <v>180000</v>
      </c>
      <c r="K10" s="375">
        <f t="shared" si="0"/>
        <v>1080</v>
      </c>
      <c r="L10" s="375">
        <f>'Giá VL'!J5</f>
        <v>180000</v>
      </c>
      <c r="M10" s="375">
        <f t="shared" si="1"/>
        <v>1080</v>
      </c>
      <c r="N10" s="375">
        <v>0</v>
      </c>
      <c r="O10" s="375">
        <v>0</v>
      </c>
      <c r="P10" s="375">
        <f>'Giá VL'!V5</f>
        <v>180000</v>
      </c>
      <c r="Q10" s="375">
        <f t="shared" si="2"/>
        <v>1080</v>
      </c>
      <c r="R10" s="152">
        <v>10</v>
      </c>
    </row>
    <row r="11" spans="1:18" x14ac:dyDescent="0.25">
      <c r="A11" s="510"/>
      <c r="B11" s="364">
        <v>0</v>
      </c>
      <c r="C11" s="579" t="s">
        <v>634</v>
      </c>
      <c r="D11" s="570" t="str">
        <f>" - " &amp; 'Giá VL'!E8</f>
        <v xml:space="preserve"> - Đinh+dây thép</v>
      </c>
      <c r="E11" s="364" t="str">
        <f>'Giá VL'!F8</f>
        <v>kg</v>
      </c>
      <c r="F11" s="376">
        <v>0</v>
      </c>
      <c r="G11" s="250">
        <v>0.1</v>
      </c>
      <c r="H11" s="250">
        <f>'Tiên lượng'!V7</f>
        <v>1</v>
      </c>
      <c r="I11" s="250">
        <f>PRODUCT(F6, G11, H11)</f>
        <v>2.2000000000000002</v>
      </c>
      <c r="J11" s="375">
        <f>'Giá VL'!G8</f>
        <v>18182</v>
      </c>
      <c r="K11" s="375">
        <f t="shared" si="0"/>
        <v>1818.2</v>
      </c>
      <c r="L11" s="375">
        <f>'Giá VL'!J8</f>
        <v>18182</v>
      </c>
      <c r="M11" s="375">
        <f t="shared" si="1"/>
        <v>1818.2</v>
      </c>
      <c r="N11" s="375">
        <v>0</v>
      </c>
      <c r="O11" s="375">
        <v>0</v>
      </c>
      <c r="P11" s="375">
        <f>'Giá VL'!V8</f>
        <v>18182</v>
      </c>
      <c r="Q11" s="375">
        <f t="shared" si="2"/>
        <v>1818.2</v>
      </c>
      <c r="R11" s="152">
        <v>10</v>
      </c>
    </row>
    <row r="12" spans="1:18" x14ac:dyDescent="0.25">
      <c r="A12" s="510"/>
      <c r="B12" s="364">
        <v>0</v>
      </c>
      <c r="C12" s="579" t="s">
        <v>594</v>
      </c>
      <c r="D12" s="570" t="str">
        <f>" - " &amp; 'Giá VL'!E10</f>
        <v xml:space="preserve"> - Sơn trắng+đỏ</v>
      </c>
      <c r="E12" s="364" t="str">
        <f>'Giá VL'!F10</f>
        <v>kg</v>
      </c>
      <c r="F12" s="376">
        <v>0</v>
      </c>
      <c r="G12" s="250">
        <v>0.2</v>
      </c>
      <c r="H12" s="250">
        <f>'Tiên lượng'!V7</f>
        <v>1</v>
      </c>
      <c r="I12" s="250">
        <f>PRODUCT(F6, G12, H12)</f>
        <v>4.4000000000000004</v>
      </c>
      <c r="J12" s="375">
        <f>'Giá VL'!G10</f>
        <v>40000</v>
      </c>
      <c r="K12" s="375">
        <f t="shared" si="0"/>
        <v>8000</v>
      </c>
      <c r="L12" s="375">
        <f>'Giá VL'!J10</f>
        <v>40000</v>
      </c>
      <c r="M12" s="375">
        <f t="shared" si="1"/>
        <v>8000</v>
      </c>
      <c r="N12" s="375">
        <v>0</v>
      </c>
      <c r="O12" s="375">
        <v>0</v>
      </c>
      <c r="P12" s="375">
        <f>'Giá VL'!V10</f>
        <v>40000</v>
      </c>
      <c r="Q12" s="375">
        <f t="shared" si="2"/>
        <v>8000</v>
      </c>
      <c r="R12" s="152">
        <v>10</v>
      </c>
    </row>
    <row r="13" spans="1:18" x14ac:dyDescent="0.25">
      <c r="A13" s="510"/>
      <c r="B13" s="364">
        <v>0</v>
      </c>
      <c r="C13" s="579" t="s">
        <v>397</v>
      </c>
      <c r="D13" s="570" t="str">
        <f>" - " &amp; 'Giá VL'!E9</f>
        <v xml:space="preserve"> - Sổ đo</v>
      </c>
      <c r="E13" s="364" t="str">
        <f>'Giá VL'!F9</f>
        <v>quyển</v>
      </c>
      <c r="F13" s="376">
        <v>0</v>
      </c>
      <c r="G13" s="250">
        <v>1</v>
      </c>
      <c r="H13" s="250">
        <f>'Tiên lượng'!V7</f>
        <v>1</v>
      </c>
      <c r="I13" s="250">
        <f>PRODUCT(F6, G13, H13)</f>
        <v>22</v>
      </c>
      <c r="J13" s="375">
        <f>'Giá VL'!G9</f>
        <v>8000</v>
      </c>
      <c r="K13" s="375">
        <f t="shared" si="0"/>
        <v>8000</v>
      </c>
      <c r="L13" s="375">
        <f>'Giá VL'!J9</f>
        <v>8000</v>
      </c>
      <c r="M13" s="375">
        <f t="shared" si="1"/>
        <v>8000</v>
      </c>
      <c r="N13" s="375">
        <v>0</v>
      </c>
      <c r="O13" s="375">
        <v>0</v>
      </c>
      <c r="P13" s="375">
        <f>'Giá VL'!V9</f>
        <v>8000</v>
      </c>
      <c r="Q13" s="375">
        <f t="shared" si="2"/>
        <v>8000</v>
      </c>
      <c r="R13" s="152">
        <v>10</v>
      </c>
    </row>
    <row r="14" spans="1:18" x14ac:dyDescent="0.25">
      <c r="A14" s="510"/>
      <c r="B14" s="364">
        <v>0</v>
      </c>
      <c r="C14" s="579" t="s">
        <v>520</v>
      </c>
      <c r="D14" s="570" t="s">
        <v>189</v>
      </c>
      <c r="E14" s="364" t="s">
        <v>873</v>
      </c>
      <c r="F14" s="376">
        <v>0</v>
      </c>
      <c r="G14" s="250">
        <f>AVERAGE(R8:R13)</f>
        <v>10</v>
      </c>
      <c r="H14" s="250">
        <f>'Tiên lượng'!V7</f>
        <v>1</v>
      </c>
      <c r="I14" s="250">
        <f>PRODUCT(F6, G14, H14)</f>
        <v>220</v>
      </c>
      <c r="J14" s="375">
        <f>(G8*J8+G9*J9+G10*J10+G11*J11+G12*J12+G13*J13)/100</f>
        <v>251.96354545454554</v>
      </c>
      <c r="K14" s="375">
        <f t="shared" si="0"/>
        <v>2519.6354545454556</v>
      </c>
      <c r="L14" s="375">
        <f>(G8*L8+G9*L9+G10*L10+G11*L11+G12*L12+G13*L13)/100</f>
        <v>251.96354545454554</v>
      </c>
      <c r="M14" s="375">
        <f t="shared" si="1"/>
        <v>2519.6354545454556</v>
      </c>
      <c r="N14" s="375">
        <v>0</v>
      </c>
      <c r="O14" s="375">
        <v>0</v>
      </c>
      <c r="P14" s="375">
        <f>(G8*P8+G9*P9+G10*P10+G11*P11+G12*P12+G13*P13)/100</f>
        <v>251.96354545454554</v>
      </c>
      <c r="Q14" s="375">
        <f t="shared" si="2"/>
        <v>2519.6354545454556</v>
      </c>
      <c r="R14" s="152">
        <v>0</v>
      </c>
    </row>
    <row r="15" spans="1:18" x14ac:dyDescent="0.25">
      <c r="A15" s="484"/>
      <c r="B15" s="318">
        <v>0</v>
      </c>
      <c r="C15" s="83" t="s">
        <v>79</v>
      </c>
      <c r="D15" s="538" t="s">
        <v>236</v>
      </c>
      <c r="E15" s="318"/>
      <c r="F15" s="337">
        <v>0</v>
      </c>
      <c r="G15" s="209">
        <v>0</v>
      </c>
      <c r="H15" s="209"/>
      <c r="I15" s="209">
        <v>0</v>
      </c>
      <c r="J15" s="336">
        <v>0</v>
      </c>
      <c r="K15" s="336">
        <f>SUM(K16:K17)</f>
        <v>1765314.2799999998</v>
      </c>
      <c r="L15" s="336">
        <v>0</v>
      </c>
      <c r="M15" s="336">
        <f>SUM(M16:M17)</f>
        <v>1765314.2799999998</v>
      </c>
      <c r="N15" s="336">
        <v>0</v>
      </c>
      <c r="O15" s="336">
        <v>0</v>
      </c>
      <c r="P15" s="336">
        <v>0</v>
      </c>
      <c r="Q15" s="336">
        <f>SUM(Q16:Q17)</f>
        <v>1765314.2799999998</v>
      </c>
      <c r="R15" s="152">
        <v>0</v>
      </c>
    </row>
    <row r="16" spans="1:18" x14ac:dyDescent="0.25">
      <c r="A16" s="510"/>
      <c r="B16" s="364">
        <v>0</v>
      </c>
      <c r="C16" s="579" t="s">
        <v>689</v>
      </c>
      <c r="D16" s="570" t="str">
        <f>" - " &amp; 'Giá NC'!E6</f>
        <v xml:space="preserve"> - Kỹ sư bậc 4,0/8</v>
      </c>
      <c r="E16" s="364" t="str">
        <f>'Giá NC'!F6</f>
        <v>công</v>
      </c>
      <c r="F16" s="376">
        <v>0</v>
      </c>
      <c r="G16" s="250">
        <v>1.76</v>
      </c>
      <c r="H16" s="250">
        <f>'Tiên lượng'!W7</f>
        <v>1</v>
      </c>
      <c r="I16" s="250">
        <f>PRODUCT(F6, G16, H16)</f>
        <v>38.72</v>
      </c>
      <c r="J16" s="375">
        <f>'Giá NC'!G6</f>
        <v>296000</v>
      </c>
      <c r="K16" s="375">
        <f t="shared" ref="K16:K17" si="3">PRODUCT(G16, H16, J16)</f>
        <v>520960</v>
      </c>
      <c r="L16" s="375">
        <f>'Giá NC'!G6</f>
        <v>296000</v>
      </c>
      <c r="M16" s="375">
        <f t="shared" ref="M16:M17" si="4">PRODUCT(G16, H16, L16)</f>
        <v>520960</v>
      </c>
      <c r="N16" s="375">
        <v>0</v>
      </c>
      <c r="O16" s="375">
        <v>0</v>
      </c>
      <c r="P16" s="375">
        <f>'Giá NC'!K6</f>
        <v>296000</v>
      </c>
      <c r="Q16" s="375">
        <f t="shared" ref="Q16:Q17" si="5">PRODUCT(G16, H16, P16)</f>
        <v>520960</v>
      </c>
      <c r="R16" s="152">
        <v>0</v>
      </c>
    </row>
    <row r="17" spans="1:18" x14ac:dyDescent="0.25">
      <c r="A17" s="510"/>
      <c r="B17" s="364">
        <v>0</v>
      </c>
      <c r="C17" s="579" t="s">
        <v>137</v>
      </c>
      <c r="D17" s="570" t="str">
        <f>" - " &amp; 'Giá NC'!E5</f>
        <v xml:space="preserve"> - Nhân công bậc 4,0/7 - Nhóm 2</v>
      </c>
      <c r="E17" s="364" t="str">
        <f>'Giá NC'!F5</f>
        <v>công</v>
      </c>
      <c r="F17" s="376">
        <v>0</v>
      </c>
      <c r="G17" s="250">
        <v>4.3899999999999997</v>
      </c>
      <c r="H17" s="250">
        <f>'Tiên lượng'!W7</f>
        <v>1</v>
      </c>
      <c r="I17" s="250">
        <f>PRODUCT(F6, G17, H17)</f>
        <v>96.58</v>
      </c>
      <c r="J17" s="375">
        <f>'Giá NC'!G5</f>
        <v>283452</v>
      </c>
      <c r="K17" s="375">
        <f t="shared" si="3"/>
        <v>1244354.2799999998</v>
      </c>
      <c r="L17" s="375">
        <f>'Giá NC'!G5</f>
        <v>283452</v>
      </c>
      <c r="M17" s="375">
        <f t="shared" si="4"/>
        <v>1244354.2799999998</v>
      </c>
      <c r="N17" s="375">
        <v>0</v>
      </c>
      <c r="O17" s="375">
        <v>0</v>
      </c>
      <c r="P17" s="375">
        <f>'Giá NC'!K5</f>
        <v>283452</v>
      </c>
      <c r="Q17" s="375">
        <f t="shared" si="5"/>
        <v>1244354.2799999998</v>
      </c>
      <c r="R17" s="152">
        <v>0</v>
      </c>
    </row>
    <row r="18" spans="1:18" x14ac:dyDescent="0.25">
      <c r="A18" s="484"/>
      <c r="B18" s="318">
        <v>0</v>
      </c>
      <c r="C18" s="83" t="s">
        <v>79</v>
      </c>
      <c r="D18" s="538" t="s">
        <v>927</v>
      </c>
      <c r="E18" s="318"/>
      <c r="F18" s="337">
        <v>0</v>
      </c>
      <c r="G18" s="209">
        <v>0</v>
      </c>
      <c r="H18" s="209"/>
      <c r="I18" s="209">
        <v>0</v>
      </c>
      <c r="J18" s="336">
        <v>0</v>
      </c>
      <c r="K18" s="336">
        <f>SUM(K19:K20)</f>
        <v>95091.216</v>
      </c>
      <c r="L18" s="336">
        <v>0</v>
      </c>
      <c r="M18" s="336">
        <f>SUM(M19:M20)</f>
        <v>95091.216</v>
      </c>
      <c r="N18" s="336">
        <v>0</v>
      </c>
      <c r="O18" s="336">
        <v>0</v>
      </c>
      <c r="P18" s="336">
        <v>0</v>
      </c>
      <c r="Q18" s="336">
        <f>SUM(Q19:Q20)</f>
        <v>95091.216</v>
      </c>
      <c r="R18" s="152">
        <v>0</v>
      </c>
    </row>
    <row r="19" spans="1:18" ht="30" x14ac:dyDescent="0.25">
      <c r="A19" s="510"/>
      <c r="B19" s="364">
        <v>0</v>
      </c>
      <c r="C19" s="579" t="s">
        <v>996</v>
      </c>
      <c r="D19" s="570" t="str">
        <f>" - " &amp; 'Giá Máy'!E7</f>
        <v xml:space="preserve"> - Bộ thiết bị GPS G3100-R2 hoặc loại tương tự (3 máy)</v>
      </c>
      <c r="E19" s="364" t="str">
        <f>'Giá Máy'!F7</f>
        <v>ca</v>
      </c>
      <c r="F19" s="376">
        <v>0</v>
      </c>
      <c r="G19" s="250">
        <v>0.16</v>
      </c>
      <c r="H19" s="250">
        <f>'Tiên lượng'!X7</f>
        <v>1</v>
      </c>
      <c r="I19" s="250">
        <f>PRODUCT(F6, G19, H19)</f>
        <v>3.52</v>
      </c>
      <c r="J19" s="375">
        <f>'Giá Máy'!G7</f>
        <v>540291</v>
      </c>
      <c r="K19" s="375">
        <f t="shared" ref="K19:K20" si="6">PRODUCT(G19, H19, J19)</f>
        <v>86446.56</v>
      </c>
      <c r="L19" s="375">
        <f>'Giá Máy'!H7</f>
        <v>540291</v>
      </c>
      <c r="M19" s="375">
        <f t="shared" ref="M19:M20" si="7">PRODUCT(G19, H19, L19)</f>
        <v>86446.56</v>
      </c>
      <c r="N19" s="375">
        <v>0</v>
      </c>
      <c r="O19" s="375">
        <v>0</v>
      </c>
      <c r="P19" s="375">
        <f>'Giá Máy'!O7</f>
        <v>540291</v>
      </c>
      <c r="Q19" s="375">
        <f t="shared" ref="Q19:Q20" si="8">PRODUCT(G19, H19, P19)</f>
        <v>86446.56</v>
      </c>
      <c r="R19" s="152">
        <v>10</v>
      </c>
    </row>
    <row r="20" spans="1:18" x14ac:dyDescent="0.25">
      <c r="A20" s="206"/>
      <c r="B20" s="163">
        <v>0</v>
      </c>
      <c r="C20" s="280" t="s">
        <v>914</v>
      </c>
      <c r="D20" s="407" t="s">
        <v>845</v>
      </c>
      <c r="E20" s="163" t="s">
        <v>873</v>
      </c>
      <c r="F20" s="181">
        <v>0</v>
      </c>
      <c r="G20" s="71">
        <f>AVERAGE(R19:R19)</f>
        <v>10</v>
      </c>
      <c r="H20" s="71">
        <f>'Tiên lượng'!X7</f>
        <v>1</v>
      </c>
      <c r="I20" s="71">
        <f>PRODUCT(F6, G20, H20)</f>
        <v>220</v>
      </c>
      <c r="J20" s="179">
        <f>(G19*J19)/100</f>
        <v>864.46559999999999</v>
      </c>
      <c r="K20" s="179">
        <f t="shared" si="6"/>
        <v>8644.655999999999</v>
      </c>
      <c r="L20" s="179">
        <f>(G19*L19)/100</f>
        <v>864.46559999999999</v>
      </c>
      <c r="M20" s="179">
        <f t="shared" si="7"/>
        <v>8644.655999999999</v>
      </c>
      <c r="N20" s="179">
        <v>0</v>
      </c>
      <c r="O20" s="179">
        <v>0</v>
      </c>
      <c r="P20" s="179">
        <f>(G19*P19)/100</f>
        <v>864.46559999999999</v>
      </c>
      <c r="Q20" s="179">
        <f t="shared" si="8"/>
        <v>8644.655999999999</v>
      </c>
      <c r="R20" s="439">
        <v>0</v>
      </c>
    </row>
    <row r="21" spans="1:18" ht="30" x14ac:dyDescent="0.25">
      <c r="A21" s="37"/>
      <c r="B21" s="76">
        <v>2</v>
      </c>
      <c r="C21" s="344" t="str">
        <f>'Tiên lượng'!C8</f>
        <v>CG.11330</v>
      </c>
      <c r="D21" s="305" t="str">
        <f>'Tiên lượng'!D8</f>
        <v>Công tác đo khống chế cao, thủy chuẩn kỹ thuật, cấp địa hình III</v>
      </c>
      <c r="E21" s="76" t="str">
        <f>'Tiên lượng'!E8</f>
        <v>km</v>
      </c>
      <c r="F21" s="87">
        <f>'Tiên lượng'!M8</f>
        <v>10</v>
      </c>
      <c r="G21" s="556">
        <v>0</v>
      </c>
      <c r="H21" s="556">
        <v>0</v>
      </c>
      <c r="I21" s="556">
        <v>0</v>
      </c>
      <c r="J21" s="86">
        <v>0</v>
      </c>
      <c r="K21" s="86">
        <v>0</v>
      </c>
      <c r="L21" s="86">
        <v>0</v>
      </c>
      <c r="M21" s="86">
        <v>0</v>
      </c>
      <c r="N21" s="86">
        <v>0</v>
      </c>
      <c r="O21" s="86">
        <v>0</v>
      </c>
      <c r="P21" s="86">
        <v>0</v>
      </c>
      <c r="Q21" s="86">
        <v>0</v>
      </c>
      <c r="R21" s="356">
        <v>0</v>
      </c>
    </row>
    <row r="22" spans="1:18" x14ac:dyDescent="0.25">
      <c r="A22" s="484"/>
      <c r="B22" s="318">
        <v>0</v>
      </c>
      <c r="C22" s="83" t="s">
        <v>79</v>
      </c>
      <c r="D22" s="538" t="s">
        <v>431</v>
      </c>
      <c r="E22" s="318"/>
      <c r="F22" s="337">
        <v>0</v>
      </c>
      <c r="G22" s="209">
        <v>0</v>
      </c>
      <c r="H22" s="209"/>
      <c r="I22" s="209">
        <v>0</v>
      </c>
      <c r="J22" s="336">
        <v>0</v>
      </c>
      <c r="K22" s="336">
        <f>SUM(K23:K24)</f>
        <v>3640</v>
      </c>
      <c r="L22" s="336">
        <v>0</v>
      </c>
      <c r="M22" s="336">
        <f>SUM(M23:M24)</f>
        <v>3640</v>
      </c>
      <c r="N22" s="336">
        <v>0</v>
      </c>
      <c r="O22" s="336">
        <v>0</v>
      </c>
      <c r="P22" s="336">
        <v>0</v>
      </c>
      <c r="Q22" s="336">
        <f>SUM(Q23:Q24)</f>
        <v>3640</v>
      </c>
      <c r="R22" s="152">
        <v>0</v>
      </c>
    </row>
    <row r="23" spans="1:18" x14ac:dyDescent="0.25">
      <c r="A23" s="510"/>
      <c r="B23" s="364">
        <v>0</v>
      </c>
      <c r="C23" s="579" t="s">
        <v>397</v>
      </c>
      <c r="D23" s="570" t="str">
        <f>" - " &amp; 'Giá VL'!E9</f>
        <v xml:space="preserve"> - Sổ đo</v>
      </c>
      <c r="E23" s="364" t="str">
        <f>'Giá VL'!F9</f>
        <v>quyển</v>
      </c>
      <c r="F23" s="376">
        <v>0</v>
      </c>
      <c r="G23" s="250">
        <v>0.35</v>
      </c>
      <c r="H23" s="250">
        <f>'Tiên lượng'!V8</f>
        <v>1</v>
      </c>
      <c r="I23" s="250">
        <f>PRODUCT(F21, G23, H23)</f>
        <v>3.5</v>
      </c>
      <c r="J23" s="375">
        <f>'Giá VL'!G9</f>
        <v>8000</v>
      </c>
      <c r="K23" s="375">
        <f t="shared" ref="K23:K24" si="9">PRODUCT(G23, H23, J23)</f>
        <v>2800</v>
      </c>
      <c r="L23" s="375">
        <f>'Giá VL'!J9</f>
        <v>8000</v>
      </c>
      <c r="M23" s="375">
        <f t="shared" ref="M23:M24" si="10">PRODUCT(G23, H23, L23)</f>
        <v>2800</v>
      </c>
      <c r="N23" s="375">
        <v>0</v>
      </c>
      <c r="O23" s="375">
        <v>0</v>
      </c>
      <c r="P23" s="375">
        <f>'Giá VL'!V9</f>
        <v>8000</v>
      </c>
      <c r="Q23" s="375">
        <f t="shared" ref="Q23:Q24" si="11">PRODUCT(G23, H23, P23)</f>
        <v>2800</v>
      </c>
      <c r="R23" s="152">
        <v>30</v>
      </c>
    </row>
    <row r="24" spans="1:18" x14ac:dyDescent="0.25">
      <c r="A24" s="510"/>
      <c r="B24" s="364">
        <v>0</v>
      </c>
      <c r="C24" s="579" t="s">
        <v>520</v>
      </c>
      <c r="D24" s="570" t="s">
        <v>189</v>
      </c>
      <c r="E24" s="364" t="s">
        <v>873</v>
      </c>
      <c r="F24" s="376">
        <v>0</v>
      </c>
      <c r="G24" s="250">
        <f>AVERAGE(R23:R23)</f>
        <v>30</v>
      </c>
      <c r="H24" s="250">
        <f>'Tiên lượng'!V8</f>
        <v>1</v>
      </c>
      <c r="I24" s="250">
        <f>PRODUCT(F21, G24, H24)</f>
        <v>300</v>
      </c>
      <c r="J24" s="375">
        <f>(G23*J23)/100</f>
        <v>28</v>
      </c>
      <c r="K24" s="375">
        <f t="shared" si="9"/>
        <v>840</v>
      </c>
      <c r="L24" s="375">
        <f>(G23*L23)/100</f>
        <v>28</v>
      </c>
      <c r="M24" s="375">
        <f t="shared" si="10"/>
        <v>840</v>
      </c>
      <c r="N24" s="375">
        <v>0</v>
      </c>
      <c r="O24" s="375">
        <v>0</v>
      </c>
      <c r="P24" s="375">
        <f>(G23*P23)/100</f>
        <v>28</v>
      </c>
      <c r="Q24" s="375">
        <f t="shared" si="11"/>
        <v>840</v>
      </c>
      <c r="R24" s="152">
        <v>0</v>
      </c>
    </row>
    <row r="25" spans="1:18" x14ac:dyDescent="0.25">
      <c r="A25" s="484"/>
      <c r="B25" s="318">
        <v>0</v>
      </c>
      <c r="C25" s="83" t="s">
        <v>79</v>
      </c>
      <c r="D25" s="538" t="s">
        <v>236</v>
      </c>
      <c r="E25" s="318"/>
      <c r="F25" s="337">
        <v>0</v>
      </c>
      <c r="G25" s="209">
        <v>0</v>
      </c>
      <c r="H25" s="209"/>
      <c r="I25" s="209">
        <v>0</v>
      </c>
      <c r="J25" s="336">
        <v>0</v>
      </c>
      <c r="K25" s="336">
        <f>SUM(K26:K27)</f>
        <v>1000791.6399999999</v>
      </c>
      <c r="L25" s="336">
        <v>0</v>
      </c>
      <c r="M25" s="336">
        <f>SUM(M26:M27)</f>
        <v>1000791.6399999999</v>
      </c>
      <c r="N25" s="336">
        <v>0</v>
      </c>
      <c r="O25" s="336">
        <v>0</v>
      </c>
      <c r="P25" s="336">
        <v>0</v>
      </c>
      <c r="Q25" s="336">
        <f>SUM(Q26:Q27)</f>
        <v>1000791.6399999999</v>
      </c>
      <c r="R25" s="152">
        <v>0</v>
      </c>
    </row>
    <row r="26" spans="1:18" x14ac:dyDescent="0.25">
      <c r="A26" s="510"/>
      <c r="B26" s="364">
        <v>0</v>
      </c>
      <c r="C26" s="579" t="s">
        <v>689</v>
      </c>
      <c r="D26" s="570" t="str">
        <f>" - " &amp; 'Giá NC'!E6</f>
        <v xml:space="preserve"> - Kỹ sư bậc 4,0/8</v>
      </c>
      <c r="E26" s="364" t="str">
        <f>'Giá NC'!F6</f>
        <v>công</v>
      </c>
      <c r="F26" s="376">
        <v>0</v>
      </c>
      <c r="G26" s="250">
        <v>0.92</v>
      </c>
      <c r="H26" s="250">
        <f>'Tiên lượng'!W8</f>
        <v>1</v>
      </c>
      <c r="I26" s="250">
        <f>PRODUCT(F21, G26, H26)</f>
        <v>9.2000000000000011</v>
      </c>
      <c r="J26" s="375">
        <f>'Giá NC'!G6</f>
        <v>296000</v>
      </c>
      <c r="K26" s="375">
        <f t="shared" ref="K26:K27" si="12">PRODUCT(G26, H26, J26)</f>
        <v>272320</v>
      </c>
      <c r="L26" s="375">
        <f>'Giá NC'!G6</f>
        <v>296000</v>
      </c>
      <c r="M26" s="375">
        <f t="shared" ref="M26:M27" si="13">PRODUCT(G26, H26, L26)</f>
        <v>272320</v>
      </c>
      <c r="N26" s="375">
        <v>0</v>
      </c>
      <c r="O26" s="375">
        <v>0</v>
      </c>
      <c r="P26" s="375">
        <f>'Giá NC'!K6</f>
        <v>296000</v>
      </c>
      <c r="Q26" s="375">
        <f t="shared" ref="Q26:Q27" si="14">PRODUCT(G26, H26, P26)</f>
        <v>272320</v>
      </c>
      <c r="R26" s="152">
        <v>0</v>
      </c>
    </row>
    <row r="27" spans="1:18" x14ac:dyDescent="0.25">
      <c r="A27" s="510"/>
      <c r="B27" s="364">
        <v>0</v>
      </c>
      <c r="C27" s="579" t="s">
        <v>137</v>
      </c>
      <c r="D27" s="570" t="str">
        <f>" - " &amp; 'Giá NC'!E5</f>
        <v xml:space="preserve"> - Nhân công bậc 4,0/7 - Nhóm 2</v>
      </c>
      <c r="E27" s="364" t="str">
        <f>'Giá NC'!F5</f>
        <v>công</v>
      </c>
      <c r="F27" s="376">
        <v>0</v>
      </c>
      <c r="G27" s="250">
        <v>2.57</v>
      </c>
      <c r="H27" s="250">
        <f>'Tiên lượng'!W8</f>
        <v>1</v>
      </c>
      <c r="I27" s="250">
        <f>PRODUCT(F21, G27, H27)</f>
        <v>25.7</v>
      </c>
      <c r="J27" s="375">
        <f>'Giá NC'!G5</f>
        <v>283452</v>
      </c>
      <c r="K27" s="375">
        <f t="shared" si="12"/>
        <v>728471.6399999999</v>
      </c>
      <c r="L27" s="375">
        <f>'Giá NC'!G5</f>
        <v>283452</v>
      </c>
      <c r="M27" s="375">
        <f t="shared" si="13"/>
        <v>728471.6399999999</v>
      </c>
      <c r="N27" s="375">
        <v>0</v>
      </c>
      <c r="O27" s="375">
        <v>0</v>
      </c>
      <c r="P27" s="375">
        <f>'Giá NC'!K5</f>
        <v>283452</v>
      </c>
      <c r="Q27" s="375">
        <f t="shared" si="14"/>
        <v>728471.6399999999</v>
      </c>
      <c r="R27" s="152">
        <v>0</v>
      </c>
    </row>
    <row r="28" spans="1:18" x14ac:dyDescent="0.25">
      <c r="A28" s="484"/>
      <c r="B28" s="318">
        <v>0</v>
      </c>
      <c r="C28" s="83" t="s">
        <v>79</v>
      </c>
      <c r="D28" s="538" t="s">
        <v>927</v>
      </c>
      <c r="E28" s="318"/>
      <c r="F28" s="337">
        <v>0</v>
      </c>
      <c r="G28" s="209">
        <v>0</v>
      </c>
      <c r="H28" s="209"/>
      <c r="I28" s="209">
        <v>0</v>
      </c>
      <c r="J28" s="336">
        <v>0</v>
      </c>
      <c r="K28" s="336">
        <f>SUM(K29:K30)</f>
        <v>4518.7019999999993</v>
      </c>
      <c r="L28" s="336">
        <v>0</v>
      </c>
      <c r="M28" s="336">
        <f>SUM(M29:M30)</f>
        <v>4518.7019999999993</v>
      </c>
      <c r="N28" s="336">
        <v>0</v>
      </c>
      <c r="O28" s="336">
        <v>0</v>
      </c>
      <c r="P28" s="336">
        <v>0</v>
      </c>
      <c r="Q28" s="336">
        <f>SUM(Q29:Q30)</f>
        <v>4518.7019999999993</v>
      </c>
      <c r="R28" s="152">
        <v>0</v>
      </c>
    </row>
    <row r="29" spans="1:18" x14ac:dyDescent="0.25">
      <c r="A29" s="510"/>
      <c r="B29" s="364">
        <v>0</v>
      </c>
      <c r="C29" s="579" t="s">
        <v>188</v>
      </c>
      <c r="D29" s="570" t="str">
        <f>" - " &amp; 'Giá Máy'!E5</f>
        <v xml:space="preserve"> - Máy thủy bình điện tử</v>
      </c>
      <c r="E29" s="364" t="str">
        <f>'Giá Máy'!F5</f>
        <v>ca</v>
      </c>
      <c r="F29" s="376">
        <v>0</v>
      </c>
      <c r="G29" s="250">
        <v>0.3</v>
      </c>
      <c r="H29" s="250">
        <f>'Tiên lượng'!X8</f>
        <v>1</v>
      </c>
      <c r="I29" s="250">
        <f>PRODUCT(F21, G29, H29)</f>
        <v>3</v>
      </c>
      <c r="J29" s="375">
        <f>'Giá Máy'!G5</f>
        <v>14767</v>
      </c>
      <c r="K29" s="375">
        <f t="shared" ref="K29:K30" si="15">PRODUCT(G29, H29, J29)</f>
        <v>4430.0999999999995</v>
      </c>
      <c r="L29" s="375">
        <f>'Giá Máy'!H5</f>
        <v>14767</v>
      </c>
      <c r="M29" s="375">
        <f t="shared" ref="M29:M30" si="16">PRODUCT(G29, H29, L29)</f>
        <v>4430.0999999999995</v>
      </c>
      <c r="N29" s="375">
        <v>0</v>
      </c>
      <c r="O29" s="375">
        <v>0</v>
      </c>
      <c r="P29" s="375">
        <f>'Giá Máy'!O5</f>
        <v>14767</v>
      </c>
      <c r="Q29" s="375">
        <f t="shared" ref="Q29:Q30" si="17">PRODUCT(G29, H29, P29)</f>
        <v>4430.0999999999995</v>
      </c>
      <c r="R29" s="152">
        <v>2</v>
      </c>
    </row>
    <row r="30" spans="1:18" x14ac:dyDescent="0.25">
      <c r="A30" s="206"/>
      <c r="B30" s="163">
        <v>0</v>
      </c>
      <c r="C30" s="280" t="s">
        <v>914</v>
      </c>
      <c r="D30" s="407" t="s">
        <v>845</v>
      </c>
      <c r="E30" s="163" t="s">
        <v>873</v>
      </c>
      <c r="F30" s="181">
        <v>0</v>
      </c>
      <c r="G30" s="71">
        <f>AVERAGE(R29:R29)</f>
        <v>2</v>
      </c>
      <c r="H30" s="71">
        <f>'Tiên lượng'!X8</f>
        <v>1</v>
      </c>
      <c r="I30" s="71">
        <f>PRODUCT(F21, G30, H30)</f>
        <v>20</v>
      </c>
      <c r="J30" s="179">
        <f>(G29*J29)/100</f>
        <v>44.300999999999995</v>
      </c>
      <c r="K30" s="179">
        <f t="shared" si="15"/>
        <v>88.60199999999999</v>
      </c>
      <c r="L30" s="179">
        <f>(G29*L29)/100</f>
        <v>44.300999999999995</v>
      </c>
      <c r="M30" s="179">
        <f t="shared" si="16"/>
        <v>88.60199999999999</v>
      </c>
      <c r="N30" s="179">
        <v>0</v>
      </c>
      <c r="O30" s="179">
        <v>0</v>
      </c>
      <c r="P30" s="179">
        <f>(G29*P29)/100</f>
        <v>44.300999999999995</v>
      </c>
      <c r="Q30" s="179">
        <f t="shared" si="17"/>
        <v>88.60199999999999</v>
      </c>
      <c r="R30" s="439">
        <v>0</v>
      </c>
    </row>
    <row r="31" spans="1:18" ht="45" x14ac:dyDescent="0.25">
      <c r="A31" s="37"/>
      <c r="B31" s="76">
        <v>3</v>
      </c>
      <c r="C31" s="344" t="str">
        <f>'Tiên lượng'!C9</f>
        <v>CK.11430</v>
      </c>
      <c r="D31" s="305" t="str">
        <f>'Tiên lượng'!D9</f>
        <v>Đo vẽ chi tiết bản đồ địa hình trên cạn bằng  máy toàn đạc điện tử và máy thủy bình điện tử; bản đồ tỷ lệ 1/500, đường đồng mức 1m, cấp địa hình III</v>
      </c>
      <c r="E31" s="76" t="str">
        <f>'Tiên lượng'!E9</f>
        <v>1 ha</v>
      </c>
      <c r="F31" s="87">
        <f>'Tiên lượng'!M9</f>
        <v>56</v>
      </c>
      <c r="G31" s="556">
        <v>0</v>
      </c>
      <c r="H31" s="556">
        <v>0</v>
      </c>
      <c r="I31" s="556">
        <v>0</v>
      </c>
      <c r="J31" s="86">
        <v>0</v>
      </c>
      <c r="K31" s="86">
        <v>0</v>
      </c>
      <c r="L31" s="86">
        <v>0</v>
      </c>
      <c r="M31" s="86">
        <v>0</v>
      </c>
      <c r="N31" s="86">
        <v>0</v>
      </c>
      <c r="O31" s="86">
        <v>0</v>
      </c>
      <c r="P31" s="86">
        <v>0</v>
      </c>
      <c r="Q31" s="86">
        <v>0</v>
      </c>
      <c r="R31" s="356">
        <v>0</v>
      </c>
    </row>
    <row r="32" spans="1:18" x14ac:dyDescent="0.25">
      <c r="A32" s="484"/>
      <c r="B32" s="318">
        <v>0</v>
      </c>
      <c r="C32" s="83" t="s">
        <v>79</v>
      </c>
      <c r="D32" s="538" t="s">
        <v>431</v>
      </c>
      <c r="E32" s="318"/>
      <c r="F32" s="337">
        <v>0</v>
      </c>
      <c r="G32" s="209">
        <v>0</v>
      </c>
      <c r="H32" s="209"/>
      <c r="I32" s="209">
        <v>0</v>
      </c>
      <c r="J32" s="336">
        <v>0</v>
      </c>
      <c r="K32" s="336">
        <f>SUM(K33:K35)</f>
        <v>23690</v>
      </c>
      <c r="L32" s="336">
        <v>0</v>
      </c>
      <c r="M32" s="336">
        <f>SUM(M33:M35)</f>
        <v>23690</v>
      </c>
      <c r="N32" s="336">
        <v>0</v>
      </c>
      <c r="O32" s="336">
        <v>0</v>
      </c>
      <c r="P32" s="336">
        <v>0</v>
      </c>
      <c r="Q32" s="336">
        <f>SUM(Q33:Q35)</f>
        <v>23690</v>
      </c>
      <c r="R32" s="152">
        <v>0</v>
      </c>
    </row>
    <row r="33" spans="1:18" x14ac:dyDescent="0.25">
      <c r="A33" s="510"/>
      <c r="B33" s="364">
        <v>0</v>
      </c>
      <c r="C33" s="579" t="s">
        <v>494</v>
      </c>
      <c r="D33" s="570" t="str">
        <f>" - " &amp; 'Giá VL'!E6</f>
        <v xml:space="preserve"> - Cọc gỗ (4x4x40) cm</v>
      </c>
      <c r="E33" s="364" t="str">
        <f>'Giá VL'!F6</f>
        <v>cái</v>
      </c>
      <c r="F33" s="376">
        <v>0</v>
      </c>
      <c r="G33" s="250">
        <v>3</v>
      </c>
      <c r="H33" s="250">
        <f>'Tiên lượng'!V9</f>
        <v>1</v>
      </c>
      <c r="I33" s="250">
        <f>PRODUCT(F31, G33, H33)</f>
        <v>168</v>
      </c>
      <c r="J33" s="375">
        <f>'Giá VL'!G6</f>
        <v>5000</v>
      </c>
      <c r="K33" s="375">
        <f t="shared" ref="K33:K35" si="18">PRODUCT(G33, H33, J33)</f>
        <v>15000</v>
      </c>
      <c r="L33" s="375">
        <f>'Giá VL'!J6</f>
        <v>5000</v>
      </c>
      <c r="M33" s="375">
        <f t="shared" ref="M33:M35" si="19">PRODUCT(G33, H33, L33)</f>
        <v>15000</v>
      </c>
      <c r="N33" s="375">
        <v>0</v>
      </c>
      <c r="O33" s="375">
        <v>0</v>
      </c>
      <c r="P33" s="375">
        <f>'Giá VL'!V6</f>
        <v>5000</v>
      </c>
      <c r="Q33" s="375">
        <f t="shared" ref="Q33:Q35" si="20">PRODUCT(G33, H33, P33)</f>
        <v>15000</v>
      </c>
      <c r="R33" s="152">
        <v>15</v>
      </c>
    </row>
    <row r="34" spans="1:18" x14ac:dyDescent="0.25">
      <c r="A34" s="510"/>
      <c r="B34" s="364">
        <v>0</v>
      </c>
      <c r="C34" s="579" t="s">
        <v>397</v>
      </c>
      <c r="D34" s="570" t="str">
        <f>" - " &amp; 'Giá VL'!E9</f>
        <v xml:space="preserve"> - Sổ đo</v>
      </c>
      <c r="E34" s="364" t="str">
        <f>'Giá VL'!F9</f>
        <v>quyển</v>
      </c>
      <c r="F34" s="376">
        <v>0</v>
      </c>
      <c r="G34" s="250">
        <v>0.7</v>
      </c>
      <c r="H34" s="250">
        <f>'Tiên lượng'!V9</f>
        <v>1</v>
      </c>
      <c r="I34" s="250">
        <f>PRODUCT(F31, G34, H34)</f>
        <v>39.199999999999996</v>
      </c>
      <c r="J34" s="375">
        <f>'Giá VL'!G9</f>
        <v>8000</v>
      </c>
      <c r="K34" s="375">
        <f t="shared" si="18"/>
        <v>5600</v>
      </c>
      <c r="L34" s="375">
        <f>'Giá VL'!J9</f>
        <v>8000</v>
      </c>
      <c r="M34" s="375">
        <f t="shared" si="19"/>
        <v>5600</v>
      </c>
      <c r="N34" s="375">
        <v>0</v>
      </c>
      <c r="O34" s="375">
        <v>0</v>
      </c>
      <c r="P34" s="375">
        <f>'Giá VL'!V9</f>
        <v>8000</v>
      </c>
      <c r="Q34" s="375">
        <f t="shared" si="20"/>
        <v>5600</v>
      </c>
      <c r="R34" s="152">
        <v>15</v>
      </c>
    </row>
    <row r="35" spans="1:18" x14ac:dyDescent="0.25">
      <c r="A35" s="510"/>
      <c r="B35" s="364">
        <v>0</v>
      </c>
      <c r="C35" s="579" t="s">
        <v>520</v>
      </c>
      <c r="D35" s="570" t="s">
        <v>189</v>
      </c>
      <c r="E35" s="364" t="s">
        <v>873</v>
      </c>
      <c r="F35" s="376">
        <v>0</v>
      </c>
      <c r="G35" s="250">
        <f>AVERAGE(R33:R34)</f>
        <v>15</v>
      </c>
      <c r="H35" s="250">
        <f>'Tiên lượng'!V9</f>
        <v>1</v>
      </c>
      <c r="I35" s="250">
        <f>PRODUCT(F31, G35, H35)</f>
        <v>840</v>
      </c>
      <c r="J35" s="375">
        <f>(G33*J33+G34*J34)/100</f>
        <v>206</v>
      </c>
      <c r="K35" s="375">
        <f t="shared" si="18"/>
        <v>3090</v>
      </c>
      <c r="L35" s="375">
        <f>(G33*L33+G34*L34)/100</f>
        <v>206</v>
      </c>
      <c r="M35" s="375">
        <f t="shared" si="19"/>
        <v>3090</v>
      </c>
      <c r="N35" s="375">
        <v>0</v>
      </c>
      <c r="O35" s="375">
        <v>0</v>
      </c>
      <c r="P35" s="375">
        <f>(G33*P33+G34*P34)/100</f>
        <v>206</v>
      </c>
      <c r="Q35" s="375">
        <f t="shared" si="20"/>
        <v>3090</v>
      </c>
      <c r="R35" s="152">
        <v>0</v>
      </c>
    </row>
    <row r="36" spans="1:18" x14ac:dyDescent="0.25">
      <c r="A36" s="484"/>
      <c r="B36" s="318">
        <v>0</v>
      </c>
      <c r="C36" s="83" t="s">
        <v>79</v>
      </c>
      <c r="D36" s="538" t="s">
        <v>236</v>
      </c>
      <c r="E36" s="318"/>
      <c r="F36" s="337">
        <v>0</v>
      </c>
      <c r="G36" s="209">
        <v>0</v>
      </c>
      <c r="H36" s="209"/>
      <c r="I36" s="209">
        <v>0</v>
      </c>
      <c r="J36" s="336">
        <v>0</v>
      </c>
      <c r="K36" s="336">
        <f>SUM(K37:K38)</f>
        <v>2046182.7200000002</v>
      </c>
      <c r="L36" s="336">
        <v>0</v>
      </c>
      <c r="M36" s="336">
        <f>SUM(M37:M38)</f>
        <v>2046182.7200000002</v>
      </c>
      <c r="N36" s="336">
        <v>0</v>
      </c>
      <c r="O36" s="336">
        <v>0</v>
      </c>
      <c r="P36" s="336">
        <v>0</v>
      </c>
      <c r="Q36" s="336">
        <f>SUM(Q37:Q38)</f>
        <v>2046182.7200000002</v>
      </c>
      <c r="R36" s="152">
        <v>0</v>
      </c>
    </row>
    <row r="37" spans="1:18" x14ac:dyDescent="0.25">
      <c r="A37" s="510"/>
      <c r="B37" s="364">
        <v>0</v>
      </c>
      <c r="C37" s="579" t="s">
        <v>689</v>
      </c>
      <c r="D37" s="570" t="str">
        <f>" - " &amp; 'Giá NC'!E6</f>
        <v xml:space="preserve"> - Kỹ sư bậc 4,0/8</v>
      </c>
      <c r="E37" s="364" t="str">
        <f>'Giá NC'!F6</f>
        <v>công</v>
      </c>
      <c r="F37" s="376">
        <v>0</v>
      </c>
      <c r="G37" s="250">
        <v>1.78</v>
      </c>
      <c r="H37" s="250">
        <f>'Tiên lượng'!W9</f>
        <v>1</v>
      </c>
      <c r="I37" s="250">
        <f>PRODUCT(F31, G37, H37)</f>
        <v>99.68</v>
      </c>
      <c r="J37" s="375">
        <f>'Giá NC'!G6</f>
        <v>296000</v>
      </c>
      <c r="K37" s="375">
        <f t="shared" ref="K37:K38" si="21">PRODUCT(G37, H37, J37)</f>
        <v>526880</v>
      </c>
      <c r="L37" s="375">
        <f>'Giá NC'!G6</f>
        <v>296000</v>
      </c>
      <c r="M37" s="375">
        <f t="shared" ref="M37:M38" si="22">PRODUCT(G37, H37, L37)</f>
        <v>526880</v>
      </c>
      <c r="N37" s="375">
        <v>0</v>
      </c>
      <c r="O37" s="375">
        <v>0</v>
      </c>
      <c r="P37" s="375">
        <f>'Giá NC'!K6</f>
        <v>296000</v>
      </c>
      <c r="Q37" s="375">
        <f t="shared" ref="Q37:Q38" si="23">PRODUCT(G37, H37, P37)</f>
        <v>526880</v>
      </c>
      <c r="R37" s="152">
        <v>0</v>
      </c>
    </row>
    <row r="38" spans="1:18" x14ac:dyDescent="0.25">
      <c r="A38" s="510"/>
      <c r="B38" s="45">
        <v>0</v>
      </c>
      <c r="C38" s="144" t="s">
        <v>137</v>
      </c>
      <c r="D38" s="277" t="str">
        <f>" - " &amp; 'Giá NC'!E5</f>
        <v xml:space="preserve"> - Nhân công bậc 4,0/7 - Nhóm 2</v>
      </c>
      <c r="E38" s="45" t="str">
        <f>'Giá NC'!F5</f>
        <v>công</v>
      </c>
      <c r="F38" s="62">
        <v>0</v>
      </c>
      <c r="G38" s="526">
        <v>5.36</v>
      </c>
      <c r="H38" s="526">
        <f>'Tiên lượng'!W9</f>
        <v>1</v>
      </c>
      <c r="I38" s="526">
        <f>PRODUCT(F31, G38, H38)</f>
        <v>300.16000000000003</v>
      </c>
      <c r="J38" s="61">
        <f>'Giá NC'!G5</f>
        <v>283452</v>
      </c>
      <c r="K38" s="61">
        <f t="shared" si="21"/>
        <v>1519302.7200000002</v>
      </c>
      <c r="L38" s="61">
        <f>'Giá NC'!G5</f>
        <v>283452</v>
      </c>
      <c r="M38" s="297">
        <f t="shared" si="22"/>
        <v>1519302.7200000002</v>
      </c>
      <c r="N38" s="297">
        <v>0</v>
      </c>
      <c r="O38" s="297">
        <v>0</v>
      </c>
      <c r="P38" s="297">
        <f>'Giá NC'!K5</f>
        <v>283452</v>
      </c>
      <c r="Q38" s="297">
        <f t="shared" si="23"/>
        <v>1519302.7200000002</v>
      </c>
      <c r="R38" s="152">
        <v>0</v>
      </c>
    </row>
    <row r="39" spans="1:18" x14ac:dyDescent="0.25">
      <c r="A39" s="484"/>
      <c r="B39" s="17">
        <v>0</v>
      </c>
      <c r="C39" s="243" t="s">
        <v>79</v>
      </c>
      <c r="D39" s="242" t="s">
        <v>927</v>
      </c>
      <c r="E39" s="17"/>
      <c r="F39" s="34">
        <v>0</v>
      </c>
      <c r="G39" s="494">
        <v>0</v>
      </c>
      <c r="H39" s="494"/>
      <c r="I39" s="494">
        <v>0</v>
      </c>
      <c r="J39" s="485">
        <v>0</v>
      </c>
      <c r="K39" s="485">
        <f>SUM(K40:K42)</f>
        <v>152872.22500000001</v>
      </c>
      <c r="L39" s="485">
        <v>0</v>
      </c>
      <c r="M39" s="262">
        <f>SUM(M40:M42)</f>
        <v>152872.22500000001</v>
      </c>
      <c r="N39" s="262">
        <v>0</v>
      </c>
      <c r="O39" s="262">
        <v>0</v>
      </c>
      <c r="P39" s="262">
        <v>0</v>
      </c>
      <c r="Q39" s="262">
        <f>SUM(Q40:Q42)</f>
        <v>152872.22500000001</v>
      </c>
      <c r="R39" s="152">
        <v>0</v>
      </c>
    </row>
    <row r="40" spans="1:18" x14ac:dyDescent="0.25">
      <c r="A40" s="510"/>
      <c r="B40" s="45">
        <v>0</v>
      </c>
      <c r="C40" s="144" t="s">
        <v>153</v>
      </c>
      <c r="D40" s="277" t="str">
        <f>" - " &amp; 'Giá Máy'!E6</f>
        <v xml:space="preserve"> - Máy toàn đạc điện tử TS06 hoặc loại tương tự</v>
      </c>
      <c r="E40" s="45" t="str">
        <f>'Giá Máy'!F6</f>
        <v>ca</v>
      </c>
      <c r="F40" s="62">
        <v>0</v>
      </c>
      <c r="G40" s="526">
        <v>0.94</v>
      </c>
      <c r="H40" s="526">
        <f>'Tiên lượng'!X9</f>
        <v>1</v>
      </c>
      <c r="I40" s="526">
        <f>PRODUCT(F31, G40, H40)</f>
        <v>52.64</v>
      </c>
      <c r="J40" s="61">
        <f>'Giá Máy'!G6</f>
        <v>147060</v>
      </c>
      <c r="K40" s="61">
        <f t="shared" ref="K40:K42" si="24">PRODUCT(G40, H40, J40)</f>
        <v>138236.4</v>
      </c>
      <c r="L40" s="61">
        <f>'Giá Máy'!H6</f>
        <v>147060</v>
      </c>
      <c r="M40" s="297">
        <f t="shared" ref="M40:M42" si="25">PRODUCT(G40, H40, L40)</f>
        <v>138236.4</v>
      </c>
      <c r="N40" s="297">
        <v>0</v>
      </c>
      <c r="O40" s="297">
        <v>0</v>
      </c>
      <c r="P40" s="297">
        <f>'Giá Máy'!O6</f>
        <v>147060</v>
      </c>
      <c r="Q40" s="297">
        <f t="shared" ref="Q40:Q42" si="26">PRODUCT(G40, H40, P40)</f>
        <v>138236.4</v>
      </c>
      <c r="R40" s="152">
        <v>10</v>
      </c>
    </row>
    <row r="41" spans="1:18" x14ac:dyDescent="0.25">
      <c r="A41" s="510"/>
      <c r="B41" s="45">
        <v>0</v>
      </c>
      <c r="C41" s="144" t="s">
        <v>188</v>
      </c>
      <c r="D41" s="277" t="str">
        <f>" - " &amp; 'Giá Máy'!E5</f>
        <v xml:space="preserve"> - Máy thủy bình điện tử</v>
      </c>
      <c r="E41" s="45" t="str">
        <f>'Giá Máy'!F5</f>
        <v>ca</v>
      </c>
      <c r="F41" s="62">
        <v>0</v>
      </c>
      <c r="G41" s="526">
        <v>0.05</v>
      </c>
      <c r="H41" s="526">
        <f>'Tiên lượng'!X9</f>
        <v>1</v>
      </c>
      <c r="I41" s="526">
        <f>PRODUCT(F31, G41, H41)</f>
        <v>2.8000000000000003</v>
      </c>
      <c r="J41" s="61">
        <f>'Giá Máy'!G5</f>
        <v>14767</v>
      </c>
      <c r="K41" s="61">
        <f t="shared" si="24"/>
        <v>738.35</v>
      </c>
      <c r="L41" s="61">
        <f>'Giá Máy'!H5</f>
        <v>14767</v>
      </c>
      <c r="M41" s="297">
        <f t="shared" si="25"/>
        <v>738.35</v>
      </c>
      <c r="N41" s="297">
        <v>0</v>
      </c>
      <c r="O41" s="297">
        <v>0</v>
      </c>
      <c r="P41" s="297">
        <f>'Giá Máy'!O5</f>
        <v>14767</v>
      </c>
      <c r="Q41" s="297">
        <f t="shared" si="26"/>
        <v>738.35</v>
      </c>
      <c r="R41" s="152">
        <v>10</v>
      </c>
    </row>
    <row r="42" spans="1:18" x14ac:dyDescent="0.25">
      <c r="A42" s="206"/>
      <c r="B42" s="334">
        <v>0</v>
      </c>
      <c r="C42" s="557" t="s">
        <v>914</v>
      </c>
      <c r="D42" s="553" t="s">
        <v>845</v>
      </c>
      <c r="E42" s="334" t="s">
        <v>873</v>
      </c>
      <c r="F42" s="354">
        <v>0</v>
      </c>
      <c r="G42" s="227">
        <f>AVERAGE(R40:R41)</f>
        <v>10</v>
      </c>
      <c r="H42" s="227">
        <f>'Tiên lượng'!X9</f>
        <v>1</v>
      </c>
      <c r="I42" s="227">
        <f>PRODUCT(F31, G42, H42)</f>
        <v>560</v>
      </c>
      <c r="J42" s="352">
        <f>(G40*J40+G41*J41)/100</f>
        <v>1389.7474999999999</v>
      </c>
      <c r="K42" s="352">
        <f t="shared" si="24"/>
        <v>13897.474999999999</v>
      </c>
      <c r="L42" s="352">
        <f>(G40*L40+G41*L41)/100</f>
        <v>1389.7474999999999</v>
      </c>
      <c r="M42" s="567">
        <f t="shared" si="25"/>
        <v>13897.474999999999</v>
      </c>
      <c r="N42" s="567">
        <v>0</v>
      </c>
      <c r="O42" s="567">
        <v>0</v>
      </c>
      <c r="P42" s="567">
        <f>(G40*P40+G41*P41)/100</f>
        <v>1389.7474999999999</v>
      </c>
      <c r="Q42" s="567">
        <f t="shared" si="26"/>
        <v>13897.474999999999</v>
      </c>
      <c r="R42" s="439">
        <v>0</v>
      </c>
    </row>
    <row r="43" spans="1:18" ht="45" x14ac:dyDescent="0.25">
      <c r="A43" s="37"/>
      <c r="B43" s="234">
        <v>4</v>
      </c>
      <c r="C43" s="37" t="str">
        <f>'Tiên lượng'!C10</f>
        <v>CK.11440</v>
      </c>
      <c r="D43" s="458" t="str">
        <f>'Tiên lượng'!D10</f>
        <v>Đo vẽ chi tiết bản đồ địa hình trên cạn bằng  máy toàn đạc điện tử và máy thủy bình điện tử; bản đồ tỷ lệ 1/500, đường đồng mức 1m, cấp địa hình IV</v>
      </c>
      <c r="E43" s="234" t="str">
        <f>'Tiên lượng'!E10</f>
        <v>1 ha</v>
      </c>
      <c r="F43" s="388">
        <f>'Tiên lượng'!M10</f>
        <v>130</v>
      </c>
      <c r="G43" s="261">
        <v>0</v>
      </c>
      <c r="H43" s="261">
        <v>0</v>
      </c>
      <c r="I43" s="261">
        <v>0</v>
      </c>
      <c r="J43" s="251">
        <v>0</v>
      </c>
      <c r="K43" s="251">
        <v>0</v>
      </c>
      <c r="L43" s="251">
        <v>0</v>
      </c>
      <c r="M43" s="478">
        <v>0</v>
      </c>
      <c r="N43" s="478">
        <v>0</v>
      </c>
      <c r="O43" s="478">
        <v>0</v>
      </c>
      <c r="P43" s="478">
        <v>0</v>
      </c>
      <c r="Q43" s="478">
        <v>0</v>
      </c>
      <c r="R43" s="356">
        <v>0</v>
      </c>
    </row>
    <row r="44" spans="1:18" x14ac:dyDescent="0.25">
      <c r="A44" s="484"/>
      <c r="B44" s="17">
        <v>0</v>
      </c>
      <c r="C44" s="243" t="s">
        <v>79</v>
      </c>
      <c r="D44" s="242" t="s">
        <v>431</v>
      </c>
      <c r="E44" s="17"/>
      <c r="F44" s="34">
        <v>0</v>
      </c>
      <c r="G44" s="494">
        <v>0</v>
      </c>
      <c r="H44" s="494"/>
      <c r="I44" s="494">
        <v>0</v>
      </c>
      <c r="J44" s="485">
        <v>0</v>
      </c>
      <c r="K44" s="485">
        <f>SUM(K45:K47)</f>
        <v>23690</v>
      </c>
      <c r="L44" s="485">
        <v>0</v>
      </c>
      <c r="M44" s="262">
        <f>SUM(M45:M47)</f>
        <v>23690</v>
      </c>
      <c r="N44" s="262">
        <v>0</v>
      </c>
      <c r="O44" s="262">
        <v>0</v>
      </c>
      <c r="P44" s="262">
        <v>0</v>
      </c>
      <c r="Q44" s="262">
        <f>SUM(Q45:Q47)</f>
        <v>23690</v>
      </c>
      <c r="R44" s="152">
        <v>0</v>
      </c>
    </row>
    <row r="45" spans="1:18" x14ac:dyDescent="0.25">
      <c r="A45" s="510"/>
      <c r="B45" s="45">
        <v>0</v>
      </c>
      <c r="C45" s="144" t="s">
        <v>494</v>
      </c>
      <c r="D45" s="277" t="str">
        <f>" - " &amp; 'Giá VL'!E6</f>
        <v xml:space="preserve"> - Cọc gỗ (4x4x40) cm</v>
      </c>
      <c r="E45" s="45" t="str">
        <f>'Giá VL'!F6</f>
        <v>cái</v>
      </c>
      <c r="F45" s="62">
        <v>0</v>
      </c>
      <c r="G45" s="526">
        <v>3</v>
      </c>
      <c r="H45" s="526">
        <f>'Tiên lượng'!V10</f>
        <v>1</v>
      </c>
      <c r="I45" s="526">
        <f>PRODUCT(F43, G45, H45)</f>
        <v>390</v>
      </c>
      <c r="J45" s="61">
        <f>'Giá VL'!G6</f>
        <v>5000</v>
      </c>
      <c r="K45" s="61">
        <f t="shared" ref="K45:K47" si="27">PRODUCT(G45, H45, J45)</f>
        <v>15000</v>
      </c>
      <c r="L45" s="61">
        <f>'Giá VL'!J6</f>
        <v>5000</v>
      </c>
      <c r="M45" s="297">
        <f t="shared" ref="M45:M47" si="28">PRODUCT(G45, H45, L45)</f>
        <v>15000</v>
      </c>
      <c r="N45" s="297">
        <v>0</v>
      </c>
      <c r="O45" s="297">
        <v>0</v>
      </c>
      <c r="P45" s="297">
        <f>'Giá VL'!V6</f>
        <v>5000</v>
      </c>
      <c r="Q45" s="297">
        <f t="shared" ref="Q45:Q47" si="29">PRODUCT(G45, H45, P45)</f>
        <v>15000</v>
      </c>
      <c r="R45" s="152">
        <v>15</v>
      </c>
    </row>
    <row r="46" spans="1:18" x14ac:dyDescent="0.25">
      <c r="A46" s="510"/>
      <c r="B46" s="45">
        <v>0</v>
      </c>
      <c r="C46" s="144" t="s">
        <v>397</v>
      </c>
      <c r="D46" s="277" t="str">
        <f>" - " &amp; 'Giá VL'!E9</f>
        <v xml:space="preserve"> - Sổ đo</v>
      </c>
      <c r="E46" s="45" t="str">
        <f>'Giá VL'!F9</f>
        <v>quyển</v>
      </c>
      <c r="F46" s="62">
        <v>0</v>
      </c>
      <c r="G46" s="526">
        <v>0.7</v>
      </c>
      <c r="H46" s="526">
        <f>'Tiên lượng'!V10</f>
        <v>1</v>
      </c>
      <c r="I46" s="526">
        <f>PRODUCT(F43, G46, H46)</f>
        <v>91</v>
      </c>
      <c r="J46" s="61">
        <f>'Giá VL'!G9</f>
        <v>8000</v>
      </c>
      <c r="K46" s="61">
        <f t="shared" si="27"/>
        <v>5600</v>
      </c>
      <c r="L46" s="61">
        <f>'Giá VL'!J9</f>
        <v>8000</v>
      </c>
      <c r="M46" s="297">
        <f t="shared" si="28"/>
        <v>5600</v>
      </c>
      <c r="N46" s="297">
        <v>0</v>
      </c>
      <c r="O46" s="297">
        <v>0</v>
      </c>
      <c r="P46" s="297">
        <f>'Giá VL'!V9</f>
        <v>8000</v>
      </c>
      <c r="Q46" s="297">
        <f t="shared" si="29"/>
        <v>5600</v>
      </c>
      <c r="R46" s="152">
        <v>15</v>
      </c>
    </row>
    <row r="47" spans="1:18" x14ac:dyDescent="0.25">
      <c r="A47" s="510"/>
      <c r="B47" s="45">
        <v>0</v>
      </c>
      <c r="C47" s="144" t="s">
        <v>520</v>
      </c>
      <c r="D47" s="277" t="s">
        <v>189</v>
      </c>
      <c r="E47" s="45" t="s">
        <v>873</v>
      </c>
      <c r="F47" s="62">
        <v>0</v>
      </c>
      <c r="G47" s="526">
        <f>AVERAGE(R45:R46)</f>
        <v>15</v>
      </c>
      <c r="H47" s="526">
        <f>'Tiên lượng'!V10</f>
        <v>1</v>
      </c>
      <c r="I47" s="526">
        <f>PRODUCT(F43, G47, H47)</f>
        <v>1950</v>
      </c>
      <c r="J47" s="61">
        <f>(G45*J45+G46*J46)/100</f>
        <v>206</v>
      </c>
      <c r="K47" s="61">
        <f t="shared" si="27"/>
        <v>3090</v>
      </c>
      <c r="L47" s="61">
        <f>(G45*L45+G46*L46)/100</f>
        <v>206</v>
      </c>
      <c r="M47" s="297">
        <f t="shared" si="28"/>
        <v>3090</v>
      </c>
      <c r="N47" s="297">
        <v>0</v>
      </c>
      <c r="O47" s="297">
        <v>0</v>
      </c>
      <c r="P47" s="297">
        <f>(G45*P45+G46*P46)/100</f>
        <v>206</v>
      </c>
      <c r="Q47" s="297">
        <f t="shared" si="29"/>
        <v>3090</v>
      </c>
      <c r="R47" s="152">
        <v>0</v>
      </c>
    </row>
    <row r="48" spans="1:18" x14ac:dyDescent="0.25">
      <c r="A48" s="484"/>
      <c r="B48" s="17">
        <v>0</v>
      </c>
      <c r="C48" s="243" t="s">
        <v>79</v>
      </c>
      <c r="D48" s="242" t="s">
        <v>236</v>
      </c>
      <c r="E48" s="17"/>
      <c r="F48" s="34">
        <v>0</v>
      </c>
      <c r="G48" s="494">
        <v>0</v>
      </c>
      <c r="H48" s="494"/>
      <c r="I48" s="494">
        <v>0</v>
      </c>
      <c r="J48" s="485">
        <v>0</v>
      </c>
      <c r="K48" s="485">
        <f>SUM(K49:K50)</f>
        <v>2773930.56</v>
      </c>
      <c r="L48" s="485">
        <v>0</v>
      </c>
      <c r="M48" s="262">
        <f>SUM(M49:M50)</f>
        <v>2773930.56</v>
      </c>
      <c r="N48" s="262">
        <v>0</v>
      </c>
      <c r="O48" s="262">
        <v>0</v>
      </c>
      <c r="P48" s="262">
        <v>0</v>
      </c>
      <c r="Q48" s="262">
        <f>SUM(Q49:Q50)</f>
        <v>2773930.56</v>
      </c>
      <c r="R48" s="152">
        <v>0</v>
      </c>
    </row>
    <row r="49" spans="1:18" x14ac:dyDescent="0.25">
      <c r="A49" s="510"/>
      <c r="B49" s="45">
        <v>0</v>
      </c>
      <c r="C49" s="144" t="s">
        <v>689</v>
      </c>
      <c r="D49" s="277" t="str">
        <f>" - " &amp; 'Giá NC'!E6</f>
        <v xml:space="preserve"> - Kỹ sư bậc 4,0/8</v>
      </c>
      <c r="E49" s="45" t="str">
        <f>'Giá NC'!F6</f>
        <v>công</v>
      </c>
      <c r="F49" s="62">
        <v>0</v>
      </c>
      <c r="G49" s="526">
        <v>2.4</v>
      </c>
      <c r="H49" s="526">
        <f>'Tiên lượng'!W10</f>
        <v>1</v>
      </c>
      <c r="I49" s="526">
        <f>PRODUCT(F43, G49, H49)</f>
        <v>312</v>
      </c>
      <c r="J49" s="61">
        <f>'Giá NC'!G6</f>
        <v>296000</v>
      </c>
      <c r="K49" s="61">
        <f t="shared" ref="K49:K50" si="30">PRODUCT(G49, H49, J49)</f>
        <v>710400</v>
      </c>
      <c r="L49" s="61">
        <f>'Giá NC'!G6</f>
        <v>296000</v>
      </c>
      <c r="M49" s="297">
        <f t="shared" ref="M49:M50" si="31">PRODUCT(G49, H49, L49)</f>
        <v>710400</v>
      </c>
      <c r="N49" s="297">
        <v>0</v>
      </c>
      <c r="O49" s="297">
        <v>0</v>
      </c>
      <c r="P49" s="297">
        <f>'Giá NC'!K6</f>
        <v>296000</v>
      </c>
      <c r="Q49" s="297">
        <f t="shared" ref="Q49:Q50" si="32">PRODUCT(G49, H49, P49)</f>
        <v>710400</v>
      </c>
      <c r="R49" s="152">
        <v>0</v>
      </c>
    </row>
    <row r="50" spans="1:18" x14ac:dyDescent="0.25">
      <c r="A50" s="510"/>
      <c r="B50" s="45">
        <v>0</v>
      </c>
      <c r="C50" s="144" t="s">
        <v>137</v>
      </c>
      <c r="D50" s="277" t="str">
        <f>" - " &amp; 'Giá NC'!E5</f>
        <v xml:space="preserve"> - Nhân công bậc 4,0/7 - Nhóm 2</v>
      </c>
      <c r="E50" s="45" t="str">
        <f>'Giá NC'!F5</f>
        <v>công</v>
      </c>
      <c r="F50" s="62">
        <v>0</v>
      </c>
      <c r="G50" s="526">
        <v>7.28</v>
      </c>
      <c r="H50" s="526">
        <f>'Tiên lượng'!W10</f>
        <v>1</v>
      </c>
      <c r="I50" s="526">
        <f>PRODUCT(F43, G50, H50)</f>
        <v>946.4</v>
      </c>
      <c r="J50" s="61">
        <f>'Giá NC'!G5</f>
        <v>283452</v>
      </c>
      <c r="K50" s="61">
        <f t="shared" si="30"/>
        <v>2063530.56</v>
      </c>
      <c r="L50" s="61">
        <f>'Giá NC'!G5</f>
        <v>283452</v>
      </c>
      <c r="M50" s="297">
        <f t="shared" si="31"/>
        <v>2063530.56</v>
      </c>
      <c r="N50" s="297">
        <v>0</v>
      </c>
      <c r="O50" s="297">
        <v>0</v>
      </c>
      <c r="P50" s="297">
        <f>'Giá NC'!K5</f>
        <v>283452</v>
      </c>
      <c r="Q50" s="297">
        <f t="shared" si="32"/>
        <v>2063530.56</v>
      </c>
      <c r="R50" s="152">
        <v>0</v>
      </c>
    </row>
    <row r="51" spans="1:18" x14ac:dyDescent="0.25">
      <c r="A51" s="484"/>
      <c r="B51" s="17">
        <v>0</v>
      </c>
      <c r="C51" s="243" t="s">
        <v>79</v>
      </c>
      <c r="D51" s="242" t="s">
        <v>927</v>
      </c>
      <c r="E51" s="17"/>
      <c r="F51" s="34">
        <v>0</v>
      </c>
      <c r="G51" s="494">
        <v>0</v>
      </c>
      <c r="H51" s="494"/>
      <c r="I51" s="494">
        <v>0</v>
      </c>
      <c r="J51" s="485">
        <v>0</v>
      </c>
      <c r="K51" s="485">
        <f>SUM(K52:K54)</f>
        <v>214343.30500000002</v>
      </c>
      <c r="L51" s="485">
        <v>0</v>
      </c>
      <c r="M51" s="262">
        <f>SUM(M52:M54)</f>
        <v>214343.30500000002</v>
      </c>
      <c r="N51" s="262">
        <v>0</v>
      </c>
      <c r="O51" s="262">
        <v>0</v>
      </c>
      <c r="P51" s="262">
        <v>0</v>
      </c>
      <c r="Q51" s="262">
        <f>SUM(Q52:Q54)</f>
        <v>214343.30500000002</v>
      </c>
      <c r="R51" s="152">
        <v>0</v>
      </c>
    </row>
    <row r="52" spans="1:18" x14ac:dyDescent="0.25">
      <c r="A52" s="510"/>
      <c r="B52" s="45">
        <v>0</v>
      </c>
      <c r="C52" s="144" t="s">
        <v>153</v>
      </c>
      <c r="D52" s="277" t="str">
        <f>" - " &amp; 'Giá Máy'!E6</f>
        <v xml:space="preserve"> - Máy toàn đạc điện tử TS06 hoặc loại tương tự</v>
      </c>
      <c r="E52" s="45" t="str">
        <f>'Giá Máy'!F6</f>
        <v>ca</v>
      </c>
      <c r="F52" s="62">
        <v>0</v>
      </c>
      <c r="G52" s="526">
        <v>1.32</v>
      </c>
      <c r="H52" s="526">
        <f>'Tiên lượng'!X10</f>
        <v>1</v>
      </c>
      <c r="I52" s="526">
        <f>PRODUCT(F43, G52, H52)</f>
        <v>171.6</v>
      </c>
      <c r="J52" s="61">
        <f>'Giá Máy'!G6</f>
        <v>147060</v>
      </c>
      <c r="K52" s="61">
        <f t="shared" ref="K52:K54" si="33">PRODUCT(G52, H52, J52)</f>
        <v>194119.2</v>
      </c>
      <c r="L52" s="61">
        <f>'Giá Máy'!H6</f>
        <v>147060</v>
      </c>
      <c r="M52" s="297">
        <f t="shared" ref="M52:M54" si="34">PRODUCT(G52, H52, L52)</f>
        <v>194119.2</v>
      </c>
      <c r="N52" s="297">
        <v>0</v>
      </c>
      <c r="O52" s="297">
        <v>0</v>
      </c>
      <c r="P52" s="297">
        <f>'Giá Máy'!O6</f>
        <v>147060</v>
      </c>
      <c r="Q52" s="297">
        <f t="shared" ref="Q52:Q54" si="35">PRODUCT(G52, H52, P52)</f>
        <v>194119.2</v>
      </c>
      <c r="R52" s="152">
        <v>10</v>
      </c>
    </row>
    <row r="53" spans="1:18" x14ac:dyDescent="0.25">
      <c r="A53" s="510"/>
      <c r="B53" s="45">
        <v>0</v>
      </c>
      <c r="C53" s="144" t="s">
        <v>188</v>
      </c>
      <c r="D53" s="277" t="str">
        <f>" - " &amp; 'Giá Máy'!E5</f>
        <v xml:space="preserve"> - Máy thủy bình điện tử</v>
      </c>
      <c r="E53" s="45" t="str">
        <f>'Giá Máy'!F5</f>
        <v>ca</v>
      </c>
      <c r="F53" s="62">
        <v>0</v>
      </c>
      <c r="G53" s="526">
        <v>0.05</v>
      </c>
      <c r="H53" s="526">
        <f>'Tiên lượng'!X10</f>
        <v>1</v>
      </c>
      <c r="I53" s="526">
        <f>PRODUCT(F43, G53, H53)</f>
        <v>6.5</v>
      </c>
      <c r="J53" s="61">
        <f>'Giá Máy'!G5</f>
        <v>14767</v>
      </c>
      <c r="K53" s="61">
        <f t="shared" si="33"/>
        <v>738.35</v>
      </c>
      <c r="L53" s="61">
        <f>'Giá Máy'!H5</f>
        <v>14767</v>
      </c>
      <c r="M53" s="297">
        <f t="shared" si="34"/>
        <v>738.35</v>
      </c>
      <c r="N53" s="297">
        <v>0</v>
      </c>
      <c r="O53" s="297">
        <v>0</v>
      </c>
      <c r="P53" s="297">
        <f>'Giá Máy'!O5</f>
        <v>14767</v>
      </c>
      <c r="Q53" s="297">
        <f t="shared" si="35"/>
        <v>738.35</v>
      </c>
      <c r="R53" s="152">
        <v>10</v>
      </c>
    </row>
    <row r="54" spans="1:18" x14ac:dyDescent="0.25">
      <c r="A54" s="206"/>
      <c r="B54" s="334">
        <v>0</v>
      </c>
      <c r="C54" s="557" t="s">
        <v>914</v>
      </c>
      <c r="D54" s="553" t="s">
        <v>845</v>
      </c>
      <c r="E54" s="334" t="s">
        <v>873</v>
      </c>
      <c r="F54" s="354">
        <v>0</v>
      </c>
      <c r="G54" s="227">
        <f>AVERAGE(R52:R53)</f>
        <v>10</v>
      </c>
      <c r="H54" s="227">
        <f>'Tiên lượng'!X10</f>
        <v>1</v>
      </c>
      <c r="I54" s="227">
        <f>PRODUCT(F43, G54, H54)</f>
        <v>1300</v>
      </c>
      <c r="J54" s="352">
        <f>(G52*J52+G53*J53)/100</f>
        <v>1948.5755000000001</v>
      </c>
      <c r="K54" s="352">
        <f t="shared" si="33"/>
        <v>19485.755000000001</v>
      </c>
      <c r="L54" s="352">
        <f>(G52*L52+G53*L53)/100</f>
        <v>1948.5755000000001</v>
      </c>
      <c r="M54" s="567">
        <f t="shared" si="34"/>
        <v>19485.755000000001</v>
      </c>
      <c r="N54" s="567">
        <v>0</v>
      </c>
      <c r="O54" s="567">
        <v>0</v>
      </c>
      <c r="P54" s="567">
        <f>(G52*P52+G53*P53)/100</f>
        <v>1948.5755000000001</v>
      </c>
      <c r="Q54" s="567">
        <f t="shared" si="35"/>
        <v>19485.755000000001</v>
      </c>
      <c r="R54" s="439">
        <v>0</v>
      </c>
    </row>
  </sheetData>
  <mergeCells count="12">
    <mergeCell ref="R4:R5"/>
    <mergeCell ref="P4:Q4"/>
    <mergeCell ref="A1:Q1"/>
    <mergeCell ref="A2:Q2"/>
    <mergeCell ref="A3:Q3"/>
    <mergeCell ref="B4:B5"/>
    <mergeCell ref="C4:C5"/>
    <mergeCell ref="D4:D5"/>
    <mergeCell ref="E4:E5"/>
    <mergeCell ref="F4:I4"/>
    <mergeCell ref="J4:K4"/>
    <mergeCell ref="L4:M4"/>
  </mergeCells>
  <conditionalFormatting sqref="H4:H5">
    <cfRule type="cellIs" dxfId="2" priority="1" stopIfTrue="1" operator="equal">
      <formula>1</formula>
    </cfRule>
  </conditionalFormatting>
  <conditionalFormatting sqref="H6:H55">
    <cfRule type="cellIs" dxfId="1" priority="2" stopIfTrue="1" operator="equal">
      <formula>1</formula>
    </cfRule>
  </conditionalFormatting>
  <pageMargins left="0.5" right="0.5" top="0.79" bottom="0.79" header="0.3" footer="0.3"/>
  <pageSetup paperSize="9" scale="75" orientation="portrait" useFirstPageNumber="1" horizontalDpi="65532"/>
  <headerFooter>
    <oddFooter>&amp;CTrang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3"/>
  </sheetPr>
  <dimension ref="A1:O13"/>
  <sheetViews>
    <sheetView showZeros="0" topLeftCell="B1" workbookViewId="0">
      <selection activeCell="J13" sqref="B13:O13"/>
    </sheetView>
  </sheetViews>
  <sheetFormatPr defaultColWidth="9.140625" defaultRowHeight="15" x14ac:dyDescent="0.25"/>
  <cols>
    <col min="1" max="1" width="9.140625" style="460" hidden="1" customWidth="1"/>
    <col min="2" max="2" width="9.42578125" style="460" customWidth="1"/>
    <col min="3" max="9" width="10.42578125" style="460" customWidth="1"/>
    <col min="10" max="10" width="10.140625" style="460" customWidth="1"/>
    <col min="11" max="11" width="10.42578125" style="460" customWidth="1"/>
    <col min="12" max="12" width="9.5703125" style="460" customWidth="1"/>
    <col min="13" max="15" width="9" style="460" customWidth="1"/>
    <col min="16" max="16" width="9.140625" style="460" customWidth="1"/>
    <col min="17" max="16384" width="9.140625" style="460"/>
  </cols>
  <sheetData>
    <row r="1" spans="1:15" ht="15.75" x14ac:dyDescent="0.25">
      <c r="J1" s="643" t="s">
        <v>363</v>
      </c>
      <c r="K1" s="643"/>
      <c r="L1" s="643"/>
      <c r="M1" s="643"/>
      <c r="N1" s="643"/>
      <c r="O1" s="643"/>
    </row>
    <row r="2" spans="1:15" ht="16.5" x14ac:dyDescent="0.25">
      <c r="B2" s="591"/>
      <c r="C2" s="591"/>
      <c r="D2" s="591"/>
      <c r="E2" s="591"/>
      <c r="F2" s="591"/>
      <c r="J2" s="644" t="s">
        <v>445</v>
      </c>
      <c r="K2" s="644"/>
      <c r="L2" s="644"/>
      <c r="M2" s="644"/>
      <c r="N2" s="644"/>
      <c r="O2" s="644"/>
    </row>
    <row r="3" spans="1:15" ht="16.5" x14ac:dyDescent="0.25">
      <c r="J3" s="645" t="s">
        <v>671</v>
      </c>
      <c r="K3" s="646"/>
      <c r="L3" s="646"/>
      <c r="M3" s="646"/>
      <c r="N3" s="646"/>
      <c r="O3" s="646"/>
    </row>
    <row r="7" spans="1:15" ht="18.75" x14ac:dyDescent="0.3">
      <c r="B7" s="590" t="s">
        <v>993</v>
      </c>
      <c r="C7" s="590"/>
      <c r="D7" s="590"/>
      <c r="E7" s="590"/>
      <c r="F7" s="590"/>
      <c r="G7" s="590"/>
      <c r="H7" s="590"/>
      <c r="I7" s="590"/>
      <c r="J7" s="590"/>
      <c r="K7" s="590"/>
      <c r="L7" s="590"/>
      <c r="M7" s="590"/>
      <c r="N7" s="590"/>
      <c r="O7" s="590"/>
    </row>
    <row r="8" spans="1:15" x14ac:dyDescent="0.25">
      <c r="B8" s="591" t="s">
        <v>471</v>
      </c>
      <c r="C8" s="591"/>
      <c r="D8" s="591"/>
      <c r="E8" s="591"/>
      <c r="F8" s="591"/>
      <c r="G8" s="591"/>
      <c r="H8" s="591"/>
      <c r="I8" s="591"/>
      <c r="J8" s="591"/>
      <c r="K8" s="591"/>
      <c r="L8" s="591"/>
      <c r="M8" s="591"/>
      <c r="N8" s="591"/>
      <c r="O8" s="591"/>
    </row>
    <row r="9" spans="1:15" x14ac:dyDescent="0.25">
      <c r="B9" s="595" t="s">
        <v>875</v>
      </c>
      <c r="C9" s="595"/>
      <c r="D9" s="595"/>
      <c r="E9" s="595"/>
      <c r="F9" s="595"/>
      <c r="G9" s="595"/>
      <c r="H9" s="595"/>
      <c r="I9" s="595"/>
      <c r="J9" s="595"/>
      <c r="K9" s="595"/>
      <c r="L9" s="595"/>
      <c r="M9" s="595"/>
      <c r="N9" s="595"/>
      <c r="O9" s="595"/>
    </row>
    <row r="10" spans="1:15" ht="18" customHeight="1" x14ac:dyDescent="0.25">
      <c r="B10" s="235" t="s">
        <v>306</v>
      </c>
      <c r="C10" s="603" t="s">
        <v>673</v>
      </c>
      <c r="D10" s="603"/>
      <c r="E10" s="603"/>
      <c r="F10" s="603"/>
      <c r="G10" s="603"/>
      <c r="H10" s="603"/>
      <c r="I10" s="603"/>
      <c r="J10" s="603" t="s">
        <v>347</v>
      </c>
      <c r="K10" s="603"/>
      <c r="L10" s="603"/>
      <c r="M10" s="603" t="s">
        <v>877</v>
      </c>
      <c r="N10" s="603"/>
      <c r="O10" s="603"/>
    </row>
    <row r="11" spans="1:15" x14ac:dyDescent="0.25">
      <c r="A11" s="356"/>
      <c r="B11" s="365">
        <v>1</v>
      </c>
      <c r="C11" s="648" t="s">
        <v>5</v>
      </c>
      <c r="D11" s="648"/>
      <c r="E11" s="648"/>
      <c r="F11" s="648"/>
      <c r="G11" s="648"/>
      <c r="H11" s="648"/>
      <c r="I11" s="648"/>
      <c r="J11" s="649">
        <f>ĐGTH!H10</f>
        <v>1178841104.64816</v>
      </c>
      <c r="K11" s="648"/>
      <c r="L11" s="648"/>
      <c r="M11" s="648"/>
      <c r="N11" s="648"/>
      <c r="O11" s="648"/>
    </row>
    <row r="12" spans="1:15" x14ac:dyDescent="0.25">
      <c r="A12" s="427"/>
      <c r="B12" s="428"/>
      <c r="C12" s="650" t="s">
        <v>887</v>
      </c>
      <c r="D12" s="650"/>
      <c r="E12" s="650"/>
      <c r="F12" s="650"/>
      <c r="G12" s="650"/>
      <c r="H12" s="650"/>
      <c r="I12" s="650"/>
      <c r="J12" s="651">
        <f>SUM(J11:L11)</f>
        <v>1178841104.64816</v>
      </c>
      <c r="K12" s="650"/>
      <c r="L12" s="650"/>
      <c r="M12" s="650"/>
      <c r="N12" s="650"/>
      <c r="O12" s="650"/>
    </row>
    <row r="13" spans="1:15" x14ac:dyDescent="0.25">
      <c r="B13" s="647" t="s">
        <v>895</v>
      </c>
      <c r="C13" s="647" t="s">
        <v>895</v>
      </c>
      <c r="D13" s="647" t="s">
        <v>895</v>
      </c>
      <c r="E13" s="647" t="s">
        <v>895</v>
      </c>
      <c r="F13" s="647" t="s">
        <v>895</v>
      </c>
      <c r="G13" s="647" t="s">
        <v>895</v>
      </c>
      <c r="H13" s="647" t="s">
        <v>895</v>
      </c>
      <c r="I13" s="647" t="s">
        <v>895</v>
      </c>
      <c r="J13" s="647" t="s">
        <v>895</v>
      </c>
      <c r="K13" s="647" t="s">
        <v>895</v>
      </c>
      <c r="L13" s="647" t="s">
        <v>895</v>
      </c>
      <c r="M13" s="647" t="s">
        <v>895</v>
      </c>
      <c r="N13" s="647" t="s">
        <v>895</v>
      </c>
      <c r="O13" s="647" t="s">
        <v>895</v>
      </c>
    </row>
  </sheetData>
  <mergeCells count="17">
    <mergeCell ref="B13:O13"/>
    <mergeCell ref="C11:I11"/>
    <mergeCell ref="J11:L11"/>
    <mergeCell ref="M11:O11"/>
    <mergeCell ref="C12:I12"/>
    <mergeCell ref="J12:L12"/>
    <mergeCell ref="M12:O12"/>
    <mergeCell ref="B9:O9"/>
    <mergeCell ref="C10:I10"/>
    <mergeCell ref="J10:L10"/>
    <mergeCell ref="M10:O10"/>
    <mergeCell ref="J1:O1"/>
    <mergeCell ref="B2:F2"/>
    <mergeCell ref="J2:O2"/>
    <mergeCell ref="J3:O3"/>
    <mergeCell ref="B7:O7"/>
    <mergeCell ref="B8:O8"/>
  </mergeCells>
  <pageMargins left="0.60000000000000009" right="0.60000000000000009" top="0.79" bottom="0.79" header="0.3" footer="0.3"/>
  <pageSetup paperSize="9" scale="95" orientation="landscape" useFirstPageNumber="1" horizontalDpi="65532"/>
  <headerFooter>
    <oddFooter>&amp;CTrang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26"/>
  </sheetPr>
  <dimension ref="A1:W13"/>
  <sheetViews>
    <sheetView showZeros="0" topLeftCell="B1" workbookViewId="0">
      <selection activeCell="G13" sqref="B13:H13"/>
    </sheetView>
  </sheetViews>
  <sheetFormatPr defaultColWidth="9.140625" defaultRowHeight="15" x14ac:dyDescent="0.25"/>
  <cols>
    <col min="1" max="1" width="2.28515625" style="460" hidden="1" customWidth="1"/>
    <col min="2" max="2" width="6.5703125" style="460" customWidth="1"/>
    <col min="3" max="3" width="44" style="460" customWidth="1"/>
    <col min="4" max="4" width="16" style="460" customWidth="1"/>
    <col min="5" max="5" width="12.42578125" style="460" customWidth="1"/>
    <col min="6" max="6" width="14.42578125" style="460" customWidth="1"/>
    <col min="7" max="7" width="13.5703125" style="460" customWidth="1"/>
    <col min="8" max="8" width="14.85546875" style="460" customWidth="1"/>
    <col min="9" max="9" width="9.140625" style="460" customWidth="1"/>
    <col min="10" max="16384" width="9.140625" style="460"/>
  </cols>
  <sheetData>
    <row r="1" spans="1:23" x14ac:dyDescent="0.25">
      <c r="F1" s="591" t="s">
        <v>363</v>
      </c>
      <c r="G1" s="591"/>
      <c r="H1" s="591"/>
      <c r="I1" s="66"/>
      <c r="J1" s="66"/>
      <c r="K1" s="66"/>
      <c r="L1" s="66"/>
      <c r="M1" s="66"/>
      <c r="N1" s="66"/>
      <c r="O1" s="66"/>
      <c r="P1" s="66"/>
      <c r="Q1" s="66"/>
      <c r="R1" s="66"/>
      <c r="S1" s="66"/>
      <c r="T1" s="66"/>
      <c r="U1" s="66"/>
      <c r="V1" s="66"/>
      <c r="W1" s="66"/>
    </row>
    <row r="2" spans="1:23" ht="16.5" customHeight="1" x14ac:dyDescent="0.25">
      <c r="B2" s="591"/>
      <c r="C2" s="591"/>
      <c r="D2" s="4"/>
      <c r="E2" s="4"/>
      <c r="F2" s="591" t="s">
        <v>445</v>
      </c>
      <c r="G2" s="591"/>
      <c r="H2" s="591"/>
      <c r="I2" s="66"/>
      <c r="J2" s="66"/>
      <c r="K2" s="66"/>
      <c r="L2" s="66"/>
      <c r="M2" s="66"/>
      <c r="N2" s="66"/>
      <c r="O2" s="66"/>
      <c r="P2" s="66"/>
      <c r="Q2" s="66"/>
      <c r="R2" s="66"/>
      <c r="S2" s="66"/>
      <c r="T2" s="66"/>
      <c r="U2" s="66"/>
      <c r="V2" s="66"/>
      <c r="W2" s="66"/>
    </row>
    <row r="3" spans="1:23" ht="16.5" customHeight="1" x14ac:dyDescent="0.25">
      <c r="F3" s="652" t="s">
        <v>671</v>
      </c>
      <c r="G3" s="653"/>
      <c r="H3" s="653"/>
      <c r="I3" s="66"/>
      <c r="J3" s="66"/>
      <c r="K3" s="66"/>
      <c r="L3" s="66"/>
      <c r="M3" s="66"/>
      <c r="N3" s="66"/>
      <c r="O3" s="66"/>
      <c r="P3" s="66"/>
      <c r="Q3" s="66"/>
      <c r="R3" s="66"/>
      <c r="S3" s="66"/>
      <c r="T3" s="66"/>
      <c r="U3" s="66"/>
      <c r="V3" s="66"/>
      <c r="W3" s="66"/>
    </row>
    <row r="4" spans="1:23" x14ac:dyDescent="0.25">
      <c r="I4" s="66"/>
      <c r="J4" s="66"/>
      <c r="K4" s="66"/>
      <c r="L4" s="66"/>
      <c r="M4" s="66"/>
      <c r="N4" s="66"/>
      <c r="O4" s="66"/>
      <c r="P4" s="66"/>
      <c r="Q4" s="66"/>
      <c r="R4" s="66"/>
      <c r="S4" s="66"/>
      <c r="T4" s="66"/>
      <c r="U4" s="66"/>
      <c r="V4" s="66"/>
      <c r="W4" s="66"/>
    </row>
    <row r="7" spans="1:23" ht="18.75" x14ac:dyDescent="0.3">
      <c r="B7" s="590" t="s">
        <v>812</v>
      </c>
      <c r="C7" s="590"/>
      <c r="D7" s="590"/>
      <c r="E7" s="590"/>
      <c r="F7" s="590"/>
      <c r="G7" s="590"/>
      <c r="H7" s="590"/>
    </row>
    <row r="8" spans="1:23" x14ac:dyDescent="0.25">
      <c r="B8" s="591" t="s">
        <v>471</v>
      </c>
      <c r="C8" s="591"/>
      <c r="D8" s="591"/>
      <c r="E8" s="591"/>
      <c r="F8" s="591"/>
      <c r="G8" s="591"/>
      <c r="H8" s="591"/>
    </row>
    <row r="9" spans="1:23" x14ac:dyDescent="0.25">
      <c r="B9" s="604" t="s">
        <v>875</v>
      </c>
      <c r="C9" s="604"/>
      <c r="D9" s="604"/>
      <c r="E9" s="604"/>
      <c r="F9" s="604"/>
      <c r="G9" s="604"/>
      <c r="H9" s="604"/>
    </row>
    <row r="10" spans="1:23" ht="42.75" x14ac:dyDescent="0.25">
      <c r="B10" s="19" t="s">
        <v>306</v>
      </c>
      <c r="C10" s="19" t="s">
        <v>673</v>
      </c>
      <c r="D10" s="19" t="s">
        <v>114</v>
      </c>
      <c r="E10" s="19" t="s">
        <v>629</v>
      </c>
      <c r="F10" s="19" t="s">
        <v>752</v>
      </c>
      <c r="G10" s="19" t="s">
        <v>781</v>
      </c>
      <c r="H10" s="19" t="s">
        <v>940</v>
      </c>
    </row>
    <row r="11" spans="1:23" x14ac:dyDescent="0.25">
      <c r="A11" s="356"/>
      <c r="B11" s="365">
        <v>1</v>
      </c>
      <c r="C11" s="356" t="s">
        <v>5</v>
      </c>
      <c r="D11" s="444">
        <f>THKPHM!F25</f>
        <v>1020641649.046026</v>
      </c>
      <c r="E11" s="444">
        <f>D11*'Thông tin'!E63</f>
        <v>102064164.9046026</v>
      </c>
      <c r="F11" s="444">
        <f>D11+E11</f>
        <v>1122705813.9506285</v>
      </c>
      <c r="G11" s="444">
        <v>0</v>
      </c>
      <c r="H11" s="444">
        <f>F11+G11</f>
        <v>1122705813.9506285</v>
      </c>
    </row>
    <row r="12" spans="1:23" x14ac:dyDescent="0.25">
      <c r="A12" s="427"/>
      <c r="B12" s="428"/>
      <c r="C12" s="427" t="s">
        <v>887</v>
      </c>
      <c r="D12" s="403">
        <f t="shared" ref="D12:H12" si="0">SUM(D11:D11)</f>
        <v>1020641649.046026</v>
      </c>
      <c r="E12" s="403">
        <f t="shared" si="0"/>
        <v>102064164.9046026</v>
      </c>
      <c r="F12" s="403">
        <f t="shared" si="0"/>
        <v>1122705813.9506285</v>
      </c>
      <c r="G12" s="403">
        <f t="shared" si="0"/>
        <v>0</v>
      </c>
      <c r="H12" s="403">
        <f t="shared" si="0"/>
        <v>1122705813.9506285</v>
      </c>
    </row>
    <row r="13" spans="1:23" x14ac:dyDescent="0.25">
      <c r="B13" s="647" t="s">
        <v>895</v>
      </c>
      <c r="C13" s="647" t="s">
        <v>895</v>
      </c>
      <c r="D13" s="647" t="s">
        <v>895</v>
      </c>
      <c r="E13" s="647" t="s">
        <v>895</v>
      </c>
      <c r="F13" s="647" t="s">
        <v>895</v>
      </c>
      <c r="G13" s="647" t="s">
        <v>895</v>
      </c>
      <c r="H13" s="647" t="s">
        <v>895</v>
      </c>
    </row>
  </sheetData>
  <mergeCells count="8">
    <mergeCell ref="B13:H13"/>
    <mergeCell ref="B9:H9"/>
    <mergeCell ref="F1:H1"/>
    <mergeCell ref="B2:C2"/>
    <mergeCell ref="F2:H2"/>
    <mergeCell ref="F3:H3"/>
    <mergeCell ref="B7:H7"/>
    <mergeCell ref="B8:H8"/>
  </mergeCells>
  <pageMargins left="1.18" right="0.59" top="0.79" bottom="0.79" header="0.3" footer="0.3"/>
  <pageSetup scale="90" orientation="landscape" horizontalDpi="65532"/>
  <headerFooter>
    <oddFooter>&amp;LDự toán Eta 2012&amp;CTrang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5000"/>
  <sheetViews>
    <sheetView showGridLines="0" showZeros="0" topLeftCell="B1" workbookViewId="0">
      <selection activeCell="F16" sqref="F16"/>
    </sheetView>
  </sheetViews>
  <sheetFormatPr defaultColWidth="9.140625" defaultRowHeight="15" x14ac:dyDescent="0.25"/>
  <cols>
    <col min="1" max="1" width="7.85546875" style="460" hidden="1" customWidth="1"/>
    <col min="2" max="2" width="6.140625" style="460" customWidth="1"/>
    <col min="3" max="3" width="45.7109375" style="460" customWidth="1"/>
    <col min="4" max="4" width="8.140625" style="460" customWidth="1"/>
    <col min="5" max="5" width="9.85546875" style="460" customWidth="1"/>
    <col min="6" max="6" width="12" style="460" customWidth="1"/>
    <col min="7" max="7" width="11.42578125" style="460" customWidth="1"/>
    <col min="8" max="8" width="9.85546875" style="460" customWidth="1"/>
    <col min="9" max="9" width="12" style="460" customWidth="1"/>
    <col min="10" max="10" width="11.42578125" style="460" customWidth="1"/>
    <col min="11" max="11" width="9.85546875" style="460" customWidth="1"/>
    <col min="12" max="12" width="9.140625" style="460" customWidth="1"/>
    <col min="13" max="16384" width="9.140625" style="460"/>
  </cols>
  <sheetData>
    <row r="1" spans="1:11" x14ac:dyDescent="0.25">
      <c r="F1" s="4"/>
      <c r="G1" s="591" t="s">
        <v>363</v>
      </c>
      <c r="H1" s="591"/>
      <c r="I1" s="591"/>
      <c r="J1" s="591"/>
      <c r="K1" s="4"/>
    </row>
    <row r="2" spans="1:11" x14ac:dyDescent="0.25">
      <c r="B2" s="591"/>
      <c r="C2" s="591"/>
      <c r="D2" s="4"/>
      <c r="E2" s="4"/>
      <c r="F2" s="4"/>
      <c r="G2" s="591" t="s">
        <v>445</v>
      </c>
      <c r="H2" s="591"/>
      <c r="I2" s="591"/>
      <c r="J2" s="591"/>
      <c r="K2" s="4"/>
    </row>
    <row r="3" spans="1:11" x14ac:dyDescent="0.25">
      <c r="F3" s="520"/>
      <c r="G3" s="652" t="s">
        <v>671</v>
      </c>
      <c r="H3" s="652"/>
      <c r="I3" s="652"/>
      <c r="J3" s="652"/>
      <c r="K3" s="66"/>
    </row>
    <row r="7" spans="1:11" ht="18.75" x14ac:dyDescent="0.3">
      <c r="B7" s="590" t="s">
        <v>201</v>
      </c>
      <c r="C7" s="590"/>
      <c r="D7" s="590"/>
      <c r="E7" s="590"/>
      <c r="F7" s="590"/>
      <c r="G7" s="590"/>
      <c r="H7" s="590"/>
      <c r="I7" s="590"/>
      <c r="J7" s="590"/>
      <c r="K7" s="590"/>
    </row>
    <row r="8" spans="1:11" x14ac:dyDescent="0.25">
      <c r="B8" s="591" t="str">
        <f>"CÔNG TRÌNH: "  &amp; 'Thông tin'!E5</f>
        <v>CÔNG TRÌNH: Dự án: Quy hoạch chi tiết tỷ lệ 1/500 trung tâm thị trấn Tủa Chùa, huyện Tủa Chùa.</v>
      </c>
      <c r="C8" s="591"/>
      <c r="D8" s="591"/>
      <c r="E8" s="591"/>
      <c r="F8" s="591"/>
      <c r="G8" s="591"/>
      <c r="H8" s="591"/>
      <c r="I8" s="591"/>
      <c r="J8" s="591"/>
      <c r="K8" s="591"/>
    </row>
    <row r="9" spans="1:11" x14ac:dyDescent="0.25">
      <c r="B9" s="604" t="s">
        <v>875</v>
      </c>
      <c r="C9" s="604"/>
      <c r="D9" s="604"/>
      <c r="E9" s="604"/>
      <c r="F9" s="604"/>
      <c r="G9" s="604"/>
      <c r="H9" s="604"/>
      <c r="I9" s="604"/>
      <c r="J9" s="604"/>
      <c r="K9" s="604"/>
    </row>
    <row r="10" spans="1:11" x14ac:dyDescent="0.25">
      <c r="B10" s="597" t="s">
        <v>306</v>
      </c>
      <c r="C10" s="597" t="s">
        <v>681</v>
      </c>
      <c r="D10" s="597" t="s">
        <v>891</v>
      </c>
      <c r="E10" s="597" t="s">
        <v>644</v>
      </c>
      <c r="F10" s="603" t="s">
        <v>649</v>
      </c>
      <c r="G10" s="603"/>
      <c r="H10" s="603"/>
      <c r="I10" s="584" t="s">
        <v>97</v>
      </c>
      <c r="J10" s="584"/>
      <c r="K10" s="584"/>
    </row>
    <row r="11" spans="1:11" x14ac:dyDescent="0.25">
      <c r="B11" s="599"/>
      <c r="C11" s="599"/>
      <c r="D11" s="599"/>
      <c r="E11" s="599"/>
      <c r="F11" s="482" t="s">
        <v>765</v>
      </c>
      <c r="G11" s="482" t="s">
        <v>638</v>
      </c>
      <c r="H11" s="482" t="s">
        <v>18</v>
      </c>
      <c r="I11" s="482" t="s">
        <v>765</v>
      </c>
      <c r="J11" s="482" t="s">
        <v>638</v>
      </c>
      <c r="K11" s="482" t="s">
        <v>18</v>
      </c>
    </row>
    <row r="12" spans="1:11" x14ac:dyDescent="0.25">
      <c r="A12" s="245"/>
      <c r="B12" s="74"/>
      <c r="C12" s="126" t="s">
        <v>79</v>
      </c>
      <c r="D12" s="74"/>
      <c r="E12" s="391"/>
      <c r="F12" s="456">
        <v>0</v>
      </c>
      <c r="G12" s="456"/>
      <c r="H12" s="456">
        <f t="shared" ref="H12:H16" si="0">F12+G12</f>
        <v>0</v>
      </c>
      <c r="I12" s="456">
        <v>0</v>
      </c>
      <c r="J12" s="456">
        <v>0</v>
      </c>
      <c r="K12" s="456">
        <v>0</v>
      </c>
    </row>
    <row r="13" spans="1:11" x14ac:dyDescent="0.25">
      <c r="A13" s="59"/>
      <c r="B13" s="358"/>
      <c r="C13" s="414" t="s">
        <v>79</v>
      </c>
      <c r="D13" s="358"/>
      <c r="E13" s="185"/>
      <c r="F13" s="140">
        <v>0</v>
      </c>
      <c r="G13" s="140"/>
      <c r="H13" s="140">
        <f t="shared" si="0"/>
        <v>0</v>
      </c>
      <c r="I13" s="140">
        <v>0</v>
      </c>
      <c r="J13" s="140">
        <v>0</v>
      </c>
      <c r="K13" s="140">
        <v>0</v>
      </c>
    </row>
    <row r="14" spans="1:11" x14ac:dyDescent="0.25">
      <c r="A14" s="59"/>
      <c r="B14" s="358"/>
      <c r="C14" s="414" t="s">
        <v>79</v>
      </c>
      <c r="D14" s="358"/>
      <c r="E14" s="185"/>
      <c r="F14" s="140">
        <v>0</v>
      </c>
      <c r="G14" s="140"/>
      <c r="H14" s="140">
        <f t="shared" si="0"/>
        <v>0</v>
      </c>
      <c r="I14" s="140">
        <v>0</v>
      </c>
      <c r="J14" s="140">
        <v>0</v>
      </c>
      <c r="K14" s="140">
        <v>0</v>
      </c>
    </row>
    <row r="15" spans="1:11" x14ac:dyDescent="0.25">
      <c r="A15" s="59"/>
      <c r="B15" s="358"/>
      <c r="C15" s="414" t="s">
        <v>79</v>
      </c>
      <c r="D15" s="358"/>
      <c r="E15" s="185"/>
      <c r="F15" s="140">
        <v>0</v>
      </c>
      <c r="G15" s="140"/>
      <c r="H15" s="140">
        <f t="shared" si="0"/>
        <v>0</v>
      </c>
      <c r="I15" s="140">
        <v>0</v>
      </c>
      <c r="J15" s="140">
        <v>0</v>
      </c>
      <c r="K15" s="140">
        <v>0</v>
      </c>
    </row>
    <row r="16" spans="1:11" x14ac:dyDescent="0.25">
      <c r="A16" s="346"/>
      <c r="B16" s="160"/>
      <c r="C16" s="218" t="s">
        <v>79</v>
      </c>
      <c r="D16" s="160"/>
      <c r="E16" s="474"/>
      <c r="F16" s="551">
        <v>0</v>
      </c>
      <c r="G16" s="551"/>
      <c r="H16" s="551">
        <f t="shared" si="0"/>
        <v>0</v>
      </c>
      <c r="I16" s="551">
        <v>0</v>
      </c>
      <c r="J16" s="551">
        <v>0</v>
      </c>
      <c r="K16" s="551">
        <v>0</v>
      </c>
    </row>
    <row r="17" spans="1:11" x14ac:dyDescent="0.25">
      <c r="A17" s="654" t="s">
        <v>887</v>
      </c>
      <c r="B17" s="655" t="s">
        <v>887</v>
      </c>
      <c r="C17" s="654" t="s">
        <v>887</v>
      </c>
      <c r="D17" s="655" t="s">
        <v>887</v>
      </c>
      <c r="E17" s="656" t="s">
        <v>887</v>
      </c>
      <c r="F17" s="657" t="s">
        <v>887</v>
      </c>
      <c r="G17" s="657" t="s">
        <v>887</v>
      </c>
      <c r="H17" s="657" t="s">
        <v>887</v>
      </c>
      <c r="I17" s="200">
        <f>SUMIF(D12:D16,"&lt;&gt;",I12:I16)</f>
        <v>0</v>
      </c>
      <c r="J17" s="200">
        <f>SUMIF(D12:D16,"&lt;&gt;",J12:J16)</f>
        <v>0</v>
      </c>
      <c r="K17" s="200">
        <f>SUMIF(D12:D16,"&lt;&gt;",K12:K16)</f>
        <v>0</v>
      </c>
    </row>
    <row r="18" spans="1:11" x14ac:dyDescent="0.25">
      <c r="A18" s="57"/>
      <c r="B18" s="658" t="s">
        <v>534</v>
      </c>
      <c r="C18" s="658" t="s">
        <v>534</v>
      </c>
      <c r="D18" s="658" t="s">
        <v>534</v>
      </c>
      <c r="E18" s="658" t="s">
        <v>534</v>
      </c>
      <c r="F18" s="658" t="s">
        <v>534</v>
      </c>
      <c r="G18" s="658" t="s">
        <v>534</v>
      </c>
      <c r="H18" s="658" t="s">
        <v>534</v>
      </c>
      <c r="I18" s="658" t="s">
        <v>534</v>
      </c>
      <c r="J18" s="658" t="s">
        <v>534</v>
      </c>
      <c r="K18" s="658" t="s">
        <v>534</v>
      </c>
    </row>
    <row r="19" spans="1:11" x14ac:dyDescent="0.25">
      <c r="A19" s="57"/>
      <c r="B19" s="57"/>
      <c r="C19" s="412"/>
      <c r="D19" s="57"/>
      <c r="E19" s="57"/>
      <c r="F19" s="57"/>
      <c r="G19" s="57"/>
      <c r="H19" s="57"/>
      <c r="I19" s="57"/>
      <c r="J19" s="57"/>
      <c r="K19" s="57"/>
    </row>
    <row r="20" spans="1:11" x14ac:dyDescent="0.25">
      <c r="A20" s="57"/>
      <c r="B20" s="57"/>
      <c r="C20" s="223" t="s">
        <v>796</v>
      </c>
      <c r="D20" s="57"/>
      <c r="E20" s="57"/>
      <c r="F20" s="57"/>
      <c r="G20" s="57"/>
      <c r="H20" s="659" t="s">
        <v>794</v>
      </c>
      <c r="I20" s="659" t="s">
        <v>794</v>
      </c>
      <c r="J20" s="659" t="s">
        <v>794</v>
      </c>
      <c r="K20" s="659" t="s">
        <v>794</v>
      </c>
    </row>
    <row r="21" spans="1:11" x14ac:dyDescent="0.25">
      <c r="A21" s="57"/>
      <c r="B21" s="57"/>
      <c r="C21" s="412"/>
      <c r="D21" s="57"/>
      <c r="E21" s="57"/>
      <c r="F21" s="57"/>
      <c r="G21" s="57"/>
      <c r="H21" s="660" t="s">
        <v>900</v>
      </c>
      <c r="I21" s="660" t="s">
        <v>900</v>
      </c>
      <c r="J21" s="660" t="s">
        <v>900</v>
      </c>
      <c r="K21" s="660" t="s">
        <v>900</v>
      </c>
    </row>
    <row r="22" spans="1:11" x14ac:dyDescent="0.25">
      <c r="A22" s="57"/>
      <c r="B22" s="57"/>
      <c r="C22" s="412"/>
      <c r="D22" s="57"/>
      <c r="E22" s="57"/>
      <c r="F22" s="57"/>
      <c r="G22" s="57"/>
      <c r="H22" s="57"/>
      <c r="I22" s="57"/>
      <c r="J22" s="57"/>
      <c r="K22" s="57"/>
    </row>
    <row r="23" spans="1:11" x14ac:dyDescent="0.25">
      <c r="C23" s="211"/>
    </row>
    <row r="24" spans="1:11" x14ac:dyDescent="0.25">
      <c r="C24" s="211"/>
    </row>
    <row r="25" spans="1:11" x14ac:dyDescent="0.25">
      <c r="C25" s="211"/>
    </row>
    <row r="26" spans="1:11" x14ac:dyDescent="0.25">
      <c r="C26" s="211"/>
    </row>
    <row r="27" spans="1:11" x14ac:dyDescent="0.25">
      <c r="C27" s="211"/>
    </row>
    <row r="28" spans="1:11" x14ac:dyDescent="0.25">
      <c r="C28" s="211"/>
    </row>
    <row r="29" spans="1:11" x14ac:dyDescent="0.25">
      <c r="C29" s="211"/>
    </row>
    <row r="30" spans="1:11" x14ac:dyDescent="0.25">
      <c r="C30" s="211"/>
    </row>
    <row r="31" spans="1:11" x14ac:dyDescent="0.25">
      <c r="C31" s="211"/>
    </row>
    <row r="32" spans="1:11" x14ac:dyDescent="0.25">
      <c r="C32" s="211"/>
    </row>
    <row r="33" spans="3:3" x14ac:dyDescent="0.25">
      <c r="C33" s="211"/>
    </row>
    <row r="34" spans="3:3" x14ac:dyDescent="0.25">
      <c r="C34" s="211"/>
    </row>
    <row r="35" spans="3:3" x14ac:dyDescent="0.25">
      <c r="C35" s="211"/>
    </row>
    <row r="36" spans="3:3" x14ac:dyDescent="0.25">
      <c r="C36" s="211"/>
    </row>
    <row r="37" spans="3:3" x14ac:dyDescent="0.25">
      <c r="C37" s="211"/>
    </row>
    <row r="38" spans="3:3" x14ac:dyDescent="0.25">
      <c r="C38" s="211"/>
    </row>
    <row r="39" spans="3:3" x14ac:dyDescent="0.25">
      <c r="C39" s="211"/>
    </row>
    <row r="40" spans="3:3" x14ac:dyDescent="0.25">
      <c r="C40" s="211"/>
    </row>
    <row r="41" spans="3:3" x14ac:dyDescent="0.25">
      <c r="C41" s="211"/>
    </row>
    <row r="42" spans="3:3" x14ac:dyDescent="0.25">
      <c r="C42" s="211"/>
    </row>
    <row r="43" spans="3:3" x14ac:dyDescent="0.25">
      <c r="C43" s="211"/>
    </row>
    <row r="44" spans="3:3" x14ac:dyDescent="0.25">
      <c r="C44" s="211"/>
    </row>
    <row r="45" spans="3:3" x14ac:dyDescent="0.25">
      <c r="C45" s="211"/>
    </row>
    <row r="46" spans="3:3" x14ac:dyDescent="0.25">
      <c r="C46" s="211"/>
    </row>
    <row r="47" spans="3:3" x14ac:dyDescent="0.25">
      <c r="C47" s="211"/>
    </row>
    <row r="48" spans="3:3" x14ac:dyDescent="0.25">
      <c r="C48" s="211"/>
    </row>
    <row r="49" spans="3:3" x14ac:dyDescent="0.25">
      <c r="C49" s="211"/>
    </row>
    <row r="50" spans="3:3" x14ac:dyDescent="0.25">
      <c r="C50" s="211"/>
    </row>
    <row r="51" spans="3:3" x14ac:dyDescent="0.25">
      <c r="C51" s="211"/>
    </row>
    <row r="52" spans="3:3" x14ac:dyDescent="0.25">
      <c r="C52" s="211"/>
    </row>
    <row r="53" spans="3:3" x14ac:dyDescent="0.25">
      <c r="C53" s="211"/>
    </row>
    <row r="54" spans="3:3" x14ac:dyDescent="0.25">
      <c r="C54" s="211"/>
    </row>
    <row r="55" spans="3:3" x14ac:dyDescent="0.25">
      <c r="C55" s="211"/>
    </row>
    <row r="56" spans="3:3" x14ac:dyDescent="0.25">
      <c r="C56" s="211"/>
    </row>
    <row r="57" spans="3:3" x14ac:dyDescent="0.25">
      <c r="C57" s="211"/>
    </row>
    <row r="58" spans="3:3" x14ac:dyDescent="0.25">
      <c r="C58" s="211"/>
    </row>
    <row r="59" spans="3:3" x14ac:dyDescent="0.25">
      <c r="C59" s="211"/>
    </row>
    <row r="60" spans="3:3" x14ac:dyDescent="0.25">
      <c r="C60" s="211"/>
    </row>
    <row r="61" spans="3:3" x14ac:dyDescent="0.25">
      <c r="C61" s="211"/>
    </row>
    <row r="62" spans="3:3" x14ac:dyDescent="0.25">
      <c r="C62" s="211"/>
    </row>
    <row r="63" spans="3:3" x14ac:dyDescent="0.25">
      <c r="C63" s="211"/>
    </row>
    <row r="64" spans="3:3" x14ac:dyDescent="0.25">
      <c r="C64" s="211"/>
    </row>
    <row r="65" spans="3:3" x14ac:dyDescent="0.25">
      <c r="C65" s="211"/>
    </row>
    <row r="66" spans="3:3" x14ac:dyDescent="0.25">
      <c r="C66" s="211"/>
    </row>
    <row r="67" spans="3:3" x14ac:dyDescent="0.25">
      <c r="C67" s="211"/>
    </row>
    <row r="68" spans="3:3" x14ac:dyDescent="0.25">
      <c r="C68" s="211"/>
    </row>
    <row r="69" spans="3:3" x14ac:dyDescent="0.25">
      <c r="C69" s="211"/>
    </row>
    <row r="70" spans="3:3" x14ac:dyDescent="0.25">
      <c r="C70" s="211"/>
    </row>
    <row r="71" spans="3:3" x14ac:dyDescent="0.25">
      <c r="C71" s="211"/>
    </row>
    <row r="72" spans="3:3" x14ac:dyDescent="0.25">
      <c r="C72" s="211"/>
    </row>
    <row r="73" spans="3:3" x14ac:dyDescent="0.25">
      <c r="C73" s="211"/>
    </row>
    <row r="74" spans="3:3" x14ac:dyDescent="0.25">
      <c r="C74" s="211"/>
    </row>
    <row r="75" spans="3:3" x14ac:dyDescent="0.25">
      <c r="C75" s="211"/>
    </row>
    <row r="76" spans="3:3" x14ac:dyDescent="0.25">
      <c r="C76" s="211"/>
    </row>
    <row r="77" spans="3:3" x14ac:dyDescent="0.25">
      <c r="C77" s="211"/>
    </row>
    <row r="78" spans="3:3" x14ac:dyDescent="0.25">
      <c r="C78" s="211"/>
    </row>
    <row r="79" spans="3:3" x14ac:dyDescent="0.25">
      <c r="C79" s="211"/>
    </row>
    <row r="80" spans="3:3" x14ac:dyDescent="0.25">
      <c r="C80" s="211"/>
    </row>
    <row r="81" spans="3:3" x14ac:dyDescent="0.25">
      <c r="C81" s="211"/>
    </row>
    <row r="82" spans="3:3" x14ac:dyDescent="0.25">
      <c r="C82" s="211"/>
    </row>
    <row r="83" spans="3:3" x14ac:dyDescent="0.25">
      <c r="C83" s="211"/>
    </row>
    <row r="84" spans="3:3" x14ac:dyDescent="0.25">
      <c r="C84" s="211"/>
    </row>
    <row r="85" spans="3:3" x14ac:dyDescent="0.25">
      <c r="C85" s="211"/>
    </row>
    <row r="86" spans="3:3" x14ac:dyDescent="0.25">
      <c r="C86" s="211"/>
    </row>
    <row r="87" spans="3:3" x14ac:dyDescent="0.25">
      <c r="C87" s="211"/>
    </row>
    <row r="88" spans="3:3" x14ac:dyDescent="0.25">
      <c r="C88" s="211"/>
    </row>
    <row r="89" spans="3:3" x14ac:dyDescent="0.25">
      <c r="C89" s="211"/>
    </row>
    <row r="90" spans="3:3" x14ac:dyDescent="0.25">
      <c r="C90" s="211"/>
    </row>
    <row r="91" spans="3:3" x14ac:dyDescent="0.25">
      <c r="C91" s="211"/>
    </row>
    <row r="92" spans="3:3" x14ac:dyDescent="0.25">
      <c r="C92" s="211"/>
    </row>
    <row r="93" spans="3:3" x14ac:dyDescent="0.25">
      <c r="C93" s="211"/>
    </row>
    <row r="94" spans="3:3" x14ac:dyDescent="0.25">
      <c r="C94" s="211"/>
    </row>
    <row r="95" spans="3:3" x14ac:dyDescent="0.25">
      <c r="C95" s="211"/>
    </row>
    <row r="96" spans="3:3" x14ac:dyDescent="0.25">
      <c r="C96" s="211"/>
    </row>
    <row r="97" spans="3:3" x14ac:dyDescent="0.25">
      <c r="C97" s="211"/>
    </row>
    <row r="98" spans="3:3" x14ac:dyDescent="0.25">
      <c r="C98" s="211"/>
    </row>
    <row r="99" spans="3:3" x14ac:dyDescent="0.25">
      <c r="C99" s="211"/>
    </row>
    <row r="100" spans="3:3" x14ac:dyDescent="0.25">
      <c r="C100" s="211"/>
    </row>
    <row r="101" spans="3:3" x14ac:dyDescent="0.25">
      <c r="C101" s="211"/>
    </row>
    <row r="102" spans="3:3" x14ac:dyDescent="0.25">
      <c r="C102" s="211"/>
    </row>
    <row r="103" spans="3:3" x14ac:dyDescent="0.25">
      <c r="C103" s="211"/>
    </row>
    <row r="104" spans="3:3" x14ac:dyDescent="0.25">
      <c r="C104" s="211"/>
    </row>
    <row r="105" spans="3:3" x14ac:dyDescent="0.25">
      <c r="C105" s="211"/>
    </row>
    <row r="106" spans="3:3" x14ac:dyDescent="0.25">
      <c r="C106" s="211"/>
    </row>
    <row r="107" spans="3:3" x14ac:dyDescent="0.25">
      <c r="C107" s="211"/>
    </row>
    <row r="108" spans="3:3" x14ac:dyDescent="0.25">
      <c r="C108" s="211"/>
    </row>
    <row r="109" spans="3:3" x14ac:dyDescent="0.25">
      <c r="C109" s="211"/>
    </row>
    <row r="110" spans="3:3" x14ac:dyDescent="0.25">
      <c r="C110" s="211"/>
    </row>
    <row r="111" spans="3:3" x14ac:dyDescent="0.25">
      <c r="C111" s="211"/>
    </row>
    <row r="112" spans="3:3" x14ac:dyDescent="0.25">
      <c r="C112" s="211"/>
    </row>
    <row r="113" spans="3:3" x14ac:dyDescent="0.25">
      <c r="C113" s="211"/>
    </row>
    <row r="114" spans="3:3" x14ac:dyDescent="0.25">
      <c r="C114" s="211"/>
    </row>
    <row r="115" spans="3:3" x14ac:dyDescent="0.25">
      <c r="C115" s="211"/>
    </row>
    <row r="116" spans="3:3" x14ac:dyDescent="0.25">
      <c r="C116" s="211"/>
    </row>
    <row r="117" spans="3:3" x14ac:dyDescent="0.25">
      <c r="C117" s="211"/>
    </row>
    <row r="118" spans="3:3" x14ac:dyDescent="0.25">
      <c r="C118" s="211"/>
    </row>
    <row r="119" spans="3:3" x14ac:dyDescent="0.25">
      <c r="C119" s="211"/>
    </row>
    <row r="120" spans="3:3" x14ac:dyDescent="0.25">
      <c r="C120" s="211"/>
    </row>
    <row r="121" spans="3:3" x14ac:dyDescent="0.25">
      <c r="C121" s="211"/>
    </row>
    <row r="122" spans="3:3" x14ac:dyDescent="0.25">
      <c r="C122" s="211"/>
    </row>
    <row r="123" spans="3:3" x14ac:dyDescent="0.25">
      <c r="C123" s="211"/>
    </row>
    <row r="124" spans="3:3" x14ac:dyDescent="0.25">
      <c r="C124" s="211"/>
    </row>
    <row r="125" spans="3:3" x14ac:dyDescent="0.25">
      <c r="C125" s="211"/>
    </row>
    <row r="126" spans="3:3" x14ac:dyDescent="0.25">
      <c r="C126" s="211"/>
    </row>
    <row r="127" spans="3:3" x14ac:dyDescent="0.25">
      <c r="C127" s="211"/>
    </row>
    <row r="128" spans="3:3" x14ac:dyDescent="0.25">
      <c r="C128" s="211"/>
    </row>
    <row r="129" spans="3:3" x14ac:dyDescent="0.25">
      <c r="C129" s="211"/>
    </row>
    <row r="130" spans="3:3" x14ac:dyDescent="0.25">
      <c r="C130" s="211"/>
    </row>
    <row r="131" spans="3:3" x14ac:dyDescent="0.25">
      <c r="C131" s="211"/>
    </row>
    <row r="132" spans="3:3" x14ac:dyDescent="0.25">
      <c r="C132" s="211"/>
    </row>
    <row r="133" spans="3:3" x14ac:dyDescent="0.25">
      <c r="C133" s="211"/>
    </row>
    <row r="134" spans="3:3" x14ac:dyDescent="0.25">
      <c r="C134" s="211"/>
    </row>
    <row r="135" spans="3:3" x14ac:dyDescent="0.25">
      <c r="C135" s="211"/>
    </row>
    <row r="136" spans="3:3" x14ac:dyDescent="0.25">
      <c r="C136" s="211"/>
    </row>
    <row r="137" spans="3:3" x14ac:dyDescent="0.25">
      <c r="C137" s="211"/>
    </row>
    <row r="138" spans="3:3" x14ac:dyDescent="0.25">
      <c r="C138" s="211"/>
    </row>
    <row r="139" spans="3:3" x14ac:dyDescent="0.25">
      <c r="C139" s="211"/>
    </row>
    <row r="140" spans="3:3" x14ac:dyDescent="0.25">
      <c r="C140" s="211"/>
    </row>
    <row r="141" spans="3:3" x14ac:dyDescent="0.25">
      <c r="C141" s="211"/>
    </row>
    <row r="142" spans="3:3" x14ac:dyDescent="0.25">
      <c r="C142" s="211"/>
    </row>
    <row r="143" spans="3:3" x14ac:dyDescent="0.25">
      <c r="C143" s="211"/>
    </row>
    <row r="144" spans="3:3" x14ac:dyDescent="0.25">
      <c r="C144" s="211"/>
    </row>
    <row r="145" spans="3:3" x14ac:dyDescent="0.25">
      <c r="C145" s="211"/>
    </row>
    <row r="146" spans="3:3" x14ac:dyDescent="0.25">
      <c r="C146" s="211"/>
    </row>
    <row r="147" spans="3:3" x14ac:dyDescent="0.25">
      <c r="C147" s="211"/>
    </row>
    <row r="148" spans="3:3" x14ac:dyDescent="0.25">
      <c r="C148" s="211"/>
    </row>
    <row r="149" spans="3:3" x14ac:dyDescent="0.25">
      <c r="C149" s="211"/>
    </row>
    <row r="150" spans="3:3" x14ac:dyDescent="0.25">
      <c r="C150" s="211"/>
    </row>
    <row r="151" spans="3:3" x14ac:dyDescent="0.25">
      <c r="C151" s="211"/>
    </row>
    <row r="152" spans="3:3" x14ac:dyDescent="0.25">
      <c r="C152" s="211"/>
    </row>
    <row r="153" spans="3:3" x14ac:dyDescent="0.25">
      <c r="C153" s="211"/>
    </row>
    <row r="154" spans="3:3" x14ac:dyDescent="0.25">
      <c r="C154" s="211"/>
    </row>
    <row r="155" spans="3:3" x14ac:dyDescent="0.25">
      <c r="C155" s="211"/>
    </row>
    <row r="156" spans="3:3" x14ac:dyDescent="0.25">
      <c r="C156" s="211"/>
    </row>
    <row r="157" spans="3:3" x14ac:dyDescent="0.25">
      <c r="C157" s="211"/>
    </row>
    <row r="158" spans="3:3" x14ac:dyDescent="0.25">
      <c r="C158" s="211"/>
    </row>
    <row r="159" spans="3:3" x14ac:dyDescent="0.25">
      <c r="C159" s="211"/>
    </row>
    <row r="160" spans="3:3" x14ac:dyDescent="0.25">
      <c r="C160" s="211"/>
    </row>
    <row r="161" spans="3:3" x14ac:dyDescent="0.25">
      <c r="C161" s="211"/>
    </row>
    <row r="162" spans="3:3" x14ac:dyDescent="0.25">
      <c r="C162" s="211"/>
    </row>
    <row r="163" spans="3:3" x14ac:dyDescent="0.25">
      <c r="C163" s="211"/>
    </row>
    <row r="164" spans="3:3" x14ac:dyDescent="0.25">
      <c r="C164" s="211"/>
    </row>
    <row r="165" spans="3:3" x14ac:dyDescent="0.25">
      <c r="C165" s="211"/>
    </row>
    <row r="166" spans="3:3" x14ac:dyDescent="0.25">
      <c r="C166" s="211"/>
    </row>
    <row r="167" spans="3:3" x14ac:dyDescent="0.25">
      <c r="C167" s="211"/>
    </row>
    <row r="168" spans="3:3" x14ac:dyDescent="0.25">
      <c r="C168" s="211"/>
    </row>
    <row r="169" spans="3:3" x14ac:dyDescent="0.25">
      <c r="C169" s="211"/>
    </row>
    <row r="170" spans="3:3" x14ac:dyDescent="0.25">
      <c r="C170" s="211"/>
    </row>
    <row r="171" spans="3:3" x14ac:dyDescent="0.25">
      <c r="C171" s="211"/>
    </row>
    <row r="172" spans="3:3" x14ac:dyDescent="0.25">
      <c r="C172" s="211"/>
    </row>
    <row r="173" spans="3:3" x14ac:dyDescent="0.25">
      <c r="C173" s="211"/>
    </row>
    <row r="174" spans="3:3" x14ac:dyDescent="0.25">
      <c r="C174" s="211"/>
    </row>
    <row r="175" spans="3:3" x14ac:dyDescent="0.25">
      <c r="C175" s="211"/>
    </row>
    <row r="176" spans="3:3" x14ac:dyDescent="0.25">
      <c r="C176" s="211"/>
    </row>
    <row r="177" spans="3:3" x14ac:dyDescent="0.25">
      <c r="C177" s="211"/>
    </row>
    <row r="178" spans="3:3" x14ac:dyDescent="0.25">
      <c r="C178" s="211"/>
    </row>
    <row r="179" spans="3:3" x14ac:dyDescent="0.25">
      <c r="C179" s="211"/>
    </row>
    <row r="180" spans="3:3" x14ac:dyDescent="0.25">
      <c r="C180" s="211"/>
    </row>
    <row r="181" spans="3:3" x14ac:dyDescent="0.25">
      <c r="C181" s="211"/>
    </row>
    <row r="182" spans="3:3" x14ac:dyDescent="0.25">
      <c r="C182" s="211"/>
    </row>
    <row r="183" spans="3:3" x14ac:dyDescent="0.25">
      <c r="C183" s="211"/>
    </row>
    <row r="184" spans="3:3" x14ac:dyDescent="0.25">
      <c r="C184" s="211"/>
    </row>
    <row r="185" spans="3:3" x14ac:dyDescent="0.25">
      <c r="C185" s="211"/>
    </row>
    <row r="186" spans="3:3" x14ac:dyDescent="0.25">
      <c r="C186" s="211"/>
    </row>
    <row r="187" spans="3:3" x14ac:dyDescent="0.25">
      <c r="C187" s="211"/>
    </row>
    <row r="188" spans="3:3" x14ac:dyDescent="0.25">
      <c r="C188" s="211"/>
    </row>
    <row r="189" spans="3:3" x14ac:dyDescent="0.25">
      <c r="C189" s="211"/>
    </row>
    <row r="190" spans="3:3" x14ac:dyDescent="0.25">
      <c r="C190" s="211"/>
    </row>
    <row r="191" spans="3:3" x14ac:dyDescent="0.25">
      <c r="C191" s="211"/>
    </row>
    <row r="192" spans="3:3" x14ac:dyDescent="0.25">
      <c r="C192" s="211"/>
    </row>
    <row r="193" spans="3:3" x14ac:dyDescent="0.25">
      <c r="C193" s="211"/>
    </row>
    <row r="194" spans="3:3" x14ac:dyDescent="0.25">
      <c r="C194" s="211"/>
    </row>
    <row r="195" spans="3:3" x14ac:dyDescent="0.25">
      <c r="C195" s="211"/>
    </row>
    <row r="196" spans="3:3" x14ac:dyDescent="0.25">
      <c r="C196" s="211"/>
    </row>
    <row r="197" spans="3:3" x14ac:dyDescent="0.25">
      <c r="C197" s="211"/>
    </row>
    <row r="198" spans="3:3" x14ac:dyDescent="0.25">
      <c r="C198" s="211"/>
    </row>
    <row r="199" spans="3:3" x14ac:dyDescent="0.25">
      <c r="C199" s="211"/>
    </row>
    <row r="200" spans="3:3" x14ac:dyDescent="0.25">
      <c r="C200" s="211"/>
    </row>
    <row r="201" spans="3:3" x14ac:dyDescent="0.25">
      <c r="C201" s="211"/>
    </row>
    <row r="202" spans="3:3" x14ac:dyDescent="0.25">
      <c r="C202" s="211"/>
    </row>
    <row r="203" spans="3:3" x14ac:dyDescent="0.25">
      <c r="C203" s="211"/>
    </row>
    <row r="204" spans="3:3" x14ac:dyDescent="0.25">
      <c r="C204" s="211"/>
    </row>
    <row r="205" spans="3:3" x14ac:dyDescent="0.25">
      <c r="C205" s="211"/>
    </row>
    <row r="206" spans="3:3" x14ac:dyDescent="0.25">
      <c r="C206" s="211"/>
    </row>
    <row r="207" spans="3:3" x14ac:dyDescent="0.25">
      <c r="C207" s="211"/>
    </row>
    <row r="208" spans="3:3" x14ac:dyDescent="0.25">
      <c r="C208" s="211"/>
    </row>
    <row r="209" spans="3:3" x14ac:dyDescent="0.25">
      <c r="C209" s="211"/>
    </row>
    <row r="210" spans="3:3" x14ac:dyDescent="0.25">
      <c r="C210" s="211"/>
    </row>
    <row r="211" spans="3:3" x14ac:dyDescent="0.25">
      <c r="C211" s="211"/>
    </row>
    <row r="212" spans="3:3" x14ac:dyDescent="0.25">
      <c r="C212" s="211"/>
    </row>
    <row r="213" spans="3:3" x14ac:dyDescent="0.25">
      <c r="C213" s="211"/>
    </row>
    <row r="214" spans="3:3" x14ac:dyDescent="0.25">
      <c r="C214" s="211"/>
    </row>
    <row r="215" spans="3:3" x14ac:dyDescent="0.25">
      <c r="C215" s="211"/>
    </row>
    <row r="216" spans="3:3" x14ac:dyDescent="0.25">
      <c r="C216" s="211"/>
    </row>
    <row r="217" spans="3:3" x14ac:dyDescent="0.25">
      <c r="C217" s="211"/>
    </row>
    <row r="218" spans="3:3" x14ac:dyDescent="0.25">
      <c r="C218" s="211"/>
    </row>
    <row r="219" spans="3:3" x14ac:dyDescent="0.25">
      <c r="C219" s="211"/>
    </row>
    <row r="220" spans="3:3" x14ac:dyDescent="0.25">
      <c r="C220" s="211"/>
    </row>
    <row r="221" spans="3:3" x14ac:dyDescent="0.25">
      <c r="C221" s="211"/>
    </row>
    <row r="222" spans="3:3" x14ac:dyDescent="0.25">
      <c r="C222" s="211"/>
    </row>
    <row r="223" spans="3:3" x14ac:dyDescent="0.25">
      <c r="C223" s="211"/>
    </row>
    <row r="224" spans="3:3" x14ac:dyDescent="0.25">
      <c r="C224" s="211"/>
    </row>
    <row r="225" spans="3:3" x14ac:dyDescent="0.25">
      <c r="C225" s="211"/>
    </row>
    <row r="226" spans="3:3" x14ac:dyDescent="0.25">
      <c r="C226" s="211"/>
    </row>
    <row r="227" spans="3:3" x14ac:dyDescent="0.25">
      <c r="C227" s="211"/>
    </row>
    <row r="228" spans="3:3" x14ac:dyDescent="0.25">
      <c r="C228" s="211"/>
    </row>
    <row r="229" spans="3:3" x14ac:dyDescent="0.25">
      <c r="C229" s="211"/>
    </row>
    <row r="230" spans="3:3" x14ac:dyDescent="0.25">
      <c r="C230" s="211"/>
    </row>
    <row r="231" spans="3:3" x14ac:dyDescent="0.25">
      <c r="C231" s="211"/>
    </row>
    <row r="232" spans="3:3" x14ac:dyDescent="0.25">
      <c r="C232" s="211"/>
    </row>
    <row r="233" spans="3:3" x14ac:dyDescent="0.25">
      <c r="C233" s="211"/>
    </row>
    <row r="234" spans="3:3" x14ac:dyDescent="0.25">
      <c r="C234" s="211"/>
    </row>
    <row r="235" spans="3:3" x14ac:dyDescent="0.25">
      <c r="C235" s="211"/>
    </row>
    <row r="236" spans="3:3" x14ac:dyDescent="0.25">
      <c r="C236" s="211"/>
    </row>
    <row r="237" spans="3:3" x14ac:dyDescent="0.25">
      <c r="C237" s="211"/>
    </row>
    <row r="238" spans="3:3" x14ac:dyDescent="0.25">
      <c r="C238" s="211"/>
    </row>
    <row r="239" spans="3:3" x14ac:dyDescent="0.25">
      <c r="C239" s="211"/>
    </row>
    <row r="240" spans="3:3" x14ac:dyDescent="0.25">
      <c r="C240" s="211"/>
    </row>
    <row r="241" spans="3:3" x14ac:dyDescent="0.25">
      <c r="C241" s="211"/>
    </row>
    <row r="242" spans="3:3" x14ac:dyDescent="0.25">
      <c r="C242" s="211"/>
    </row>
    <row r="243" spans="3:3" x14ac:dyDescent="0.25">
      <c r="C243" s="211"/>
    </row>
    <row r="244" spans="3:3" x14ac:dyDescent="0.25">
      <c r="C244" s="211"/>
    </row>
    <row r="245" spans="3:3" x14ac:dyDescent="0.25">
      <c r="C245" s="211"/>
    </row>
    <row r="246" spans="3:3" x14ac:dyDescent="0.25">
      <c r="C246" s="211"/>
    </row>
    <row r="247" spans="3:3" x14ac:dyDescent="0.25">
      <c r="C247" s="211"/>
    </row>
    <row r="248" spans="3:3" x14ac:dyDescent="0.25">
      <c r="C248" s="211"/>
    </row>
    <row r="249" spans="3:3" x14ac:dyDescent="0.25">
      <c r="C249" s="211"/>
    </row>
    <row r="250" spans="3:3" x14ac:dyDescent="0.25">
      <c r="C250" s="211"/>
    </row>
    <row r="251" spans="3:3" x14ac:dyDescent="0.25">
      <c r="C251" s="211"/>
    </row>
    <row r="252" spans="3:3" x14ac:dyDescent="0.25">
      <c r="C252" s="211"/>
    </row>
    <row r="253" spans="3:3" x14ac:dyDescent="0.25">
      <c r="C253" s="211"/>
    </row>
    <row r="254" spans="3:3" x14ac:dyDescent="0.25">
      <c r="C254" s="211"/>
    </row>
    <row r="255" spans="3:3" x14ac:dyDescent="0.25">
      <c r="C255" s="211"/>
    </row>
    <row r="256" spans="3:3" x14ac:dyDescent="0.25">
      <c r="C256" s="211"/>
    </row>
    <row r="257" spans="3:3" x14ac:dyDescent="0.25">
      <c r="C257" s="211"/>
    </row>
    <row r="258" spans="3:3" x14ac:dyDescent="0.25">
      <c r="C258" s="211"/>
    </row>
    <row r="259" spans="3:3" x14ac:dyDescent="0.25">
      <c r="C259" s="211"/>
    </row>
    <row r="260" spans="3:3" x14ac:dyDescent="0.25">
      <c r="C260" s="211"/>
    </row>
    <row r="261" spans="3:3" x14ac:dyDescent="0.25">
      <c r="C261" s="211"/>
    </row>
    <row r="262" spans="3:3" x14ac:dyDescent="0.25">
      <c r="C262" s="211"/>
    </row>
    <row r="263" spans="3:3" x14ac:dyDescent="0.25">
      <c r="C263" s="211"/>
    </row>
    <row r="264" spans="3:3" x14ac:dyDescent="0.25">
      <c r="C264" s="211"/>
    </row>
    <row r="265" spans="3:3" x14ac:dyDescent="0.25">
      <c r="C265" s="211"/>
    </row>
    <row r="266" spans="3:3" x14ac:dyDescent="0.25">
      <c r="C266" s="211"/>
    </row>
    <row r="267" spans="3:3" x14ac:dyDescent="0.25">
      <c r="C267" s="211"/>
    </row>
    <row r="268" spans="3:3" x14ac:dyDescent="0.25">
      <c r="C268" s="211"/>
    </row>
    <row r="269" spans="3:3" x14ac:dyDescent="0.25">
      <c r="C269" s="211"/>
    </row>
    <row r="270" spans="3:3" x14ac:dyDescent="0.25">
      <c r="C270" s="211"/>
    </row>
    <row r="271" spans="3:3" x14ac:dyDescent="0.25">
      <c r="C271" s="211"/>
    </row>
    <row r="272" spans="3:3" x14ac:dyDescent="0.25">
      <c r="C272" s="211"/>
    </row>
    <row r="273" spans="3:3" x14ac:dyDescent="0.25">
      <c r="C273" s="211"/>
    </row>
    <row r="274" spans="3:3" x14ac:dyDescent="0.25">
      <c r="C274" s="211"/>
    </row>
    <row r="275" spans="3:3" x14ac:dyDescent="0.25">
      <c r="C275" s="211"/>
    </row>
    <row r="276" spans="3:3" x14ac:dyDescent="0.25">
      <c r="C276" s="211"/>
    </row>
    <row r="277" spans="3:3" x14ac:dyDescent="0.25">
      <c r="C277" s="211"/>
    </row>
    <row r="278" spans="3:3" x14ac:dyDescent="0.25">
      <c r="C278" s="211"/>
    </row>
    <row r="279" spans="3:3" x14ac:dyDescent="0.25">
      <c r="C279" s="211"/>
    </row>
    <row r="280" spans="3:3" x14ac:dyDescent="0.25">
      <c r="C280" s="211"/>
    </row>
    <row r="281" spans="3:3" x14ac:dyDescent="0.25">
      <c r="C281" s="211"/>
    </row>
    <row r="282" spans="3:3" x14ac:dyDescent="0.25">
      <c r="C282" s="211"/>
    </row>
    <row r="283" spans="3:3" x14ac:dyDescent="0.25">
      <c r="C283" s="211"/>
    </row>
    <row r="284" spans="3:3" x14ac:dyDescent="0.25">
      <c r="C284" s="211"/>
    </row>
    <row r="285" spans="3:3" x14ac:dyDescent="0.25">
      <c r="C285" s="211"/>
    </row>
    <row r="286" spans="3:3" x14ac:dyDescent="0.25">
      <c r="C286" s="211"/>
    </row>
    <row r="287" spans="3:3" x14ac:dyDescent="0.25">
      <c r="C287" s="211"/>
    </row>
    <row r="288" spans="3:3" x14ac:dyDescent="0.25">
      <c r="C288" s="211"/>
    </row>
    <row r="289" spans="3:3" x14ac:dyDescent="0.25">
      <c r="C289" s="211"/>
    </row>
    <row r="290" spans="3:3" x14ac:dyDescent="0.25">
      <c r="C290" s="211"/>
    </row>
    <row r="291" spans="3:3" x14ac:dyDescent="0.25">
      <c r="C291" s="211"/>
    </row>
    <row r="292" spans="3:3" x14ac:dyDescent="0.25">
      <c r="C292" s="211"/>
    </row>
    <row r="293" spans="3:3" x14ac:dyDescent="0.25">
      <c r="C293" s="211"/>
    </row>
    <row r="294" spans="3:3" x14ac:dyDescent="0.25">
      <c r="C294" s="211"/>
    </row>
    <row r="295" spans="3:3" x14ac:dyDescent="0.25">
      <c r="C295" s="211"/>
    </row>
    <row r="296" spans="3:3" x14ac:dyDescent="0.25">
      <c r="C296" s="211"/>
    </row>
    <row r="297" spans="3:3" x14ac:dyDescent="0.25">
      <c r="C297" s="211"/>
    </row>
    <row r="298" spans="3:3" x14ac:dyDescent="0.25">
      <c r="C298" s="211"/>
    </row>
    <row r="299" spans="3:3" x14ac:dyDescent="0.25">
      <c r="C299" s="211"/>
    </row>
    <row r="300" spans="3:3" x14ac:dyDescent="0.25">
      <c r="C300" s="211"/>
    </row>
    <row r="301" spans="3:3" x14ac:dyDescent="0.25">
      <c r="C301" s="211"/>
    </row>
    <row r="302" spans="3:3" x14ac:dyDescent="0.25">
      <c r="C302" s="211"/>
    </row>
    <row r="303" spans="3:3" x14ac:dyDescent="0.25">
      <c r="C303" s="211"/>
    </row>
    <row r="304" spans="3:3" x14ac:dyDescent="0.25">
      <c r="C304" s="211"/>
    </row>
    <row r="305" spans="3:3" x14ac:dyDescent="0.25">
      <c r="C305" s="211"/>
    </row>
    <row r="306" spans="3:3" x14ac:dyDescent="0.25">
      <c r="C306" s="211"/>
    </row>
    <row r="307" spans="3:3" x14ac:dyDescent="0.25">
      <c r="C307" s="211"/>
    </row>
    <row r="308" spans="3:3" x14ac:dyDescent="0.25">
      <c r="C308" s="211"/>
    </row>
    <row r="309" spans="3:3" x14ac:dyDescent="0.25">
      <c r="C309" s="211"/>
    </row>
    <row r="310" spans="3:3" x14ac:dyDescent="0.25">
      <c r="C310" s="211"/>
    </row>
    <row r="311" spans="3:3" x14ac:dyDescent="0.25">
      <c r="C311" s="211"/>
    </row>
    <row r="312" spans="3:3" x14ac:dyDescent="0.25">
      <c r="C312" s="211"/>
    </row>
    <row r="313" spans="3:3" x14ac:dyDescent="0.25">
      <c r="C313" s="211"/>
    </row>
    <row r="314" spans="3:3" x14ac:dyDescent="0.25">
      <c r="C314" s="211"/>
    </row>
    <row r="315" spans="3:3" x14ac:dyDescent="0.25">
      <c r="C315" s="211"/>
    </row>
    <row r="316" spans="3:3" x14ac:dyDescent="0.25">
      <c r="C316" s="211"/>
    </row>
    <row r="317" spans="3:3" x14ac:dyDescent="0.25">
      <c r="C317" s="211"/>
    </row>
    <row r="318" spans="3:3" x14ac:dyDescent="0.25">
      <c r="C318" s="211"/>
    </row>
    <row r="319" spans="3:3" x14ac:dyDescent="0.25">
      <c r="C319" s="211"/>
    </row>
    <row r="320" spans="3:3" x14ac:dyDescent="0.25">
      <c r="C320" s="211"/>
    </row>
    <row r="321" spans="3:3" x14ac:dyDescent="0.25">
      <c r="C321" s="211"/>
    </row>
    <row r="322" spans="3:3" x14ac:dyDescent="0.25">
      <c r="C322" s="211"/>
    </row>
    <row r="323" spans="3:3" x14ac:dyDescent="0.25">
      <c r="C323" s="211"/>
    </row>
    <row r="324" spans="3:3" x14ac:dyDescent="0.25">
      <c r="C324" s="211"/>
    </row>
    <row r="325" spans="3:3" x14ac:dyDescent="0.25">
      <c r="C325" s="211"/>
    </row>
    <row r="326" spans="3:3" x14ac:dyDescent="0.25">
      <c r="C326" s="211"/>
    </row>
    <row r="327" spans="3:3" x14ac:dyDescent="0.25">
      <c r="C327" s="211"/>
    </row>
    <row r="328" spans="3:3" x14ac:dyDescent="0.25">
      <c r="C328" s="211"/>
    </row>
    <row r="329" spans="3:3" x14ac:dyDescent="0.25">
      <c r="C329" s="211"/>
    </row>
    <row r="330" spans="3:3" x14ac:dyDescent="0.25">
      <c r="C330" s="211"/>
    </row>
    <row r="331" spans="3:3" x14ac:dyDescent="0.25">
      <c r="C331" s="211"/>
    </row>
    <row r="332" spans="3:3" x14ac:dyDescent="0.25">
      <c r="C332" s="211"/>
    </row>
    <row r="333" spans="3:3" x14ac:dyDescent="0.25">
      <c r="C333" s="211"/>
    </row>
    <row r="334" spans="3:3" x14ac:dyDescent="0.25">
      <c r="C334" s="211"/>
    </row>
    <row r="335" spans="3:3" x14ac:dyDescent="0.25">
      <c r="C335" s="211"/>
    </row>
    <row r="336" spans="3:3" x14ac:dyDescent="0.25">
      <c r="C336" s="211"/>
    </row>
    <row r="337" spans="3:3" x14ac:dyDescent="0.25">
      <c r="C337" s="211"/>
    </row>
    <row r="338" spans="3:3" x14ac:dyDescent="0.25">
      <c r="C338" s="211"/>
    </row>
    <row r="339" spans="3:3" x14ac:dyDescent="0.25">
      <c r="C339" s="211"/>
    </row>
    <row r="340" spans="3:3" x14ac:dyDescent="0.25">
      <c r="C340" s="211"/>
    </row>
    <row r="341" spans="3:3" x14ac:dyDescent="0.25">
      <c r="C341" s="211"/>
    </row>
    <row r="342" spans="3:3" x14ac:dyDescent="0.25">
      <c r="C342" s="211"/>
    </row>
    <row r="343" spans="3:3" x14ac:dyDescent="0.25">
      <c r="C343" s="211"/>
    </row>
    <row r="344" spans="3:3" x14ac:dyDescent="0.25">
      <c r="C344" s="211"/>
    </row>
    <row r="345" spans="3:3" x14ac:dyDescent="0.25">
      <c r="C345" s="211"/>
    </row>
    <row r="346" spans="3:3" x14ac:dyDescent="0.25">
      <c r="C346" s="211"/>
    </row>
    <row r="347" spans="3:3" x14ac:dyDescent="0.25">
      <c r="C347" s="211"/>
    </row>
    <row r="348" spans="3:3" x14ac:dyDescent="0.25">
      <c r="C348" s="211"/>
    </row>
    <row r="349" spans="3:3" x14ac:dyDescent="0.25">
      <c r="C349" s="211"/>
    </row>
    <row r="350" spans="3:3" x14ac:dyDescent="0.25">
      <c r="C350" s="211"/>
    </row>
    <row r="351" spans="3:3" x14ac:dyDescent="0.25">
      <c r="C351" s="211"/>
    </row>
    <row r="352" spans="3:3" x14ac:dyDescent="0.25">
      <c r="C352" s="211"/>
    </row>
    <row r="353" spans="3:3" x14ac:dyDescent="0.25">
      <c r="C353" s="211"/>
    </row>
    <row r="354" spans="3:3" x14ac:dyDescent="0.25">
      <c r="C354" s="211"/>
    </row>
    <row r="355" spans="3:3" x14ac:dyDescent="0.25">
      <c r="C355" s="211"/>
    </row>
    <row r="356" spans="3:3" x14ac:dyDescent="0.25">
      <c r="C356" s="211"/>
    </row>
    <row r="357" spans="3:3" x14ac:dyDescent="0.25">
      <c r="C357" s="211"/>
    </row>
    <row r="358" spans="3:3" x14ac:dyDescent="0.25">
      <c r="C358" s="211"/>
    </row>
    <row r="359" spans="3:3" x14ac:dyDescent="0.25">
      <c r="C359" s="211"/>
    </row>
    <row r="360" spans="3:3" x14ac:dyDescent="0.25">
      <c r="C360" s="211"/>
    </row>
    <row r="361" spans="3:3" x14ac:dyDescent="0.25">
      <c r="C361" s="211"/>
    </row>
    <row r="362" spans="3:3" x14ac:dyDescent="0.25">
      <c r="C362" s="211"/>
    </row>
    <row r="363" spans="3:3" x14ac:dyDescent="0.25">
      <c r="C363" s="211"/>
    </row>
    <row r="364" spans="3:3" x14ac:dyDescent="0.25">
      <c r="C364" s="211"/>
    </row>
    <row r="365" spans="3:3" x14ac:dyDescent="0.25">
      <c r="C365" s="211"/>
    </row>
    <row r="366" spans="3:3" x14ac:dyDescent="0.25">
      <c r="C366" s="211"/>
    </row>
    <row r="367" spans="3:3" x14ac:dyDescent="0.25">
      <c r="C367" s="211"/>
    </row>
    <row r="368" spans="3:3" x14ac:dyDescent="0.25">
      <c r="C368" s="211"/>
    </row>
    <row r="369" spans="3:3" x14ac:dyDescent="0.25">
      <c r="C369" s="211"/>
    </row>
    <row r="370" spans="3:3" x14ac:dyDescent="0.25">
      <c r="C370" s="211"/>
    </row>
    <row r="371" spans="3:3" x14ac:dyDescent="0.25">
      <c r="C371" s="211"/>
    </row>
    <row r="372" spans="3:3" x14ac:dyDescent="0.25">
      <c r="C372" s="211"/>
    </row>
    <row r="373" spans="3:3" x14ac:dyDescent="0.25">
      <c r="C373" s="211"/>
    </row>
    <row r="374" spans="3:3" x14ac:dyDescent="0.25">
      <c r="C374" s="211"/>
    </row>
    <row r="375" spans="3:3" x14ac:dyDescent="0.25">
      <c r="C375" s="211"/>
    </row>
    <row r="376" spans="3:3" x14ac:dyDescent="0.25">
      <c r="C376" s="211"/>
    </row>
    <row r="377" spans="3:3" x14ac:dyDescent="0.25">
      <c r="C377" s="211"/>
    </row>
    <row r="378" spans="3:3" x14ac:dyDescent="0.25">
      <c r="C378" s="211"/>
    </row>
    <row r="379" spans="3:3" x14ac:dyDescent="0.25">
      <c r="C379" s="211"/>
    </row>
    <row r="380" spans="3:3" x14ac:dyDescent="0.25">
      <c r="C380" s="211"/>
    </row>
    <row r="381" spans="3:3" x14ac:dyDescent="0.25">
      <c r="C381" s="211"/>
    </row>
    <row r="382" spans="3:3" x14ac:dyDescent="0.25">
      <c r="C382" s="211"/>
    </row>
    <row r="383" spans="3:3" x14ac:dyDescent="0.25">
      <c r="C383" s="211"/>
    </row>
    <row r="384" spans="3:3" x14ac:dyDescent="0.25">
      <c r="C384" s="211"/>
    </row>
    <row r="385" spans="3:3" x14ac:dyDescent="0.25">
      <c r="C385" s="211"/>
    </row>
    <row r="386" spans="3:3" x14ac:dyDescent="0.25">
      <c r="C386" s="211"/>
    </row>
    <row r="387" spans="3:3" x14ac:dyDescent="0.25">
      <c r="C387" s="211"/>
    </row>
    <row r="388" spans="3:3" x14ac:dyDescent="0.25">
      <c r="C388" s="211"/>
    </row>
    <row r="389" spans="3:3" x14ac:dyDescent="0.25">
      <c r="C389" s="211"/>
    </row>
    <row r="390" spans="3:3" x14ac:dyDescent="0.25">
      <c r="C390" s="211"/>
    </row>
    <row r="391" spans="3:3" x14ac:dyDescent="0.25">
      <c r="C391" s="211"/>
    </row>
    <row r="392" spans="3:3" x14ac:dyDescent="0.25">
      <c r="C392" s="211"/>
    </row>
    <row r="393" spans="3:3" x14ac:dyDescent="0.25">
      <c r="C393" s="211"/>
    </row>
    <row r="394" spans="3:3" x14ac:dyDescent="0.25">
      <c r="C394" s="211"/>
    </row>
    <row r="395" spans="3:3" x14ac:dyDescent="0.25">
      <c r="C395" s="211"/>
    </row>
    <row r="396" spans="3:3" x14ac:dyDescent="0.25">
      <c r="C396" s="211"/>
    </row>
    <row r="397" spans="3:3" x14ac:dyDescent="0.25">
      <c r="C397" s="211"/>
    </row>
    <row r="398" spans="3:3" x14ac:dyDescent="0.25">
      <c r="C398" s="211"/>
    </row>
    <row r="399" spans="3:3" x14ac:dyDescent="0.25">
      <c r="C399" s="211"/>
    </row>
    <row r="400" spans="3:3" x14ac:dyDescent="0.25">
      <c r="C400" s="211"/>
    </row>
    <row r="401" spans="3:3" x14ac:dyDescent="0.25">
      <c r="C401" s="211"/>
    </row>
    <row r="402" spans="3:3" x14ac:dyDescent="0.25">
      <c r="C402" s="211"/>
    </row>
    <row r="403" spans="3:3" x14ac:dyDescent="0.25">
      <c r="C403" s="211"/>
    </row>
    <row r="404" spans="3:3" x14ac:dyDescent="0.25">
      <c r="C404" s="211"/>
    </row>
    <row r="405" spans="3:3" x14ac:dyDescent="0.25">
      <c r="C405" s="211"/>
    </row>
    <row r="406" spans="3:3" x14ac:dyDescent="0.25">
      <c r="C406" s="211"/>
    </row>
    <row r="407" spans="3:3" x14ac:dyDescent="0.25">
      <c r="C407" s="211"/>
    </row>
    <row r="408" spans="3:3" x14ac:dyDescent="0.25">
      <c r="C408" s="211"/>
    </row>
    <row r="409" spans="3:3" x14ac:dyDescent="0.25">
      <c r="C409" s="211"/>
    </row>
    <row r="410" spans="3:3" x14ac:dyDescent="0.25">
      <c r="C410" s="211"/>
    </row>
    <row r="411" spans="3:3" x14ac:dyDescent="0.25">
      <c r="C411" s="211"/>
    </row>
    <row r="412" spans="3:3" x14ac:dyDescent="0.25">
      <c r="C412" s="211"/>
    </row>
    <row r="413" spans="3:3" x14ac:dyDescent="0.25">
      <c r="C413" s="211"/>
    </row>
    <row r="414" spans="3:3" x14ac:dyDescent="0.25">
      <c r="C414" s="211"/>
    </row>
    <row r="415" spans="3:3" x14ac:dyDescent="0.25">
      <c r="C415" s="211"/>
    </row>
    <row r="416" spans="3:3" x14ac:dyDescent="0.25">
      <c r="C416" s="211"/>
    </row>
    <row r="417" spans="3:3" x14ac:dyDescent="0.25">
      <c r="C417" s="211"/>
    </row>
    <row r="418" spans="3:3" x14ac:dyDescent="0.25">
      <c r="C418" s="211"/>
    </row>
    <row r="419" spans="3:3" x14ac:dyDescent="0.25">
      <c r="C419" s="211"/>
    </row>
    <row r="420" spans="3:3" x14ac:dyDescent="0.25">
      <c r="C420" s="211"/>
    </row>
    <row r="421" spans="3:3" x14ac:dyDescent="0.25">
      <c r="C421" s="211"/>
    </row>
    <row r="422" spans="3:3" x14ac:dyDescent="0.25">
      <c r="C422" s="211"/>
    </row>
    <row r="423" spans="3:3" x14ac:dyDescent="0.25">
      <c r="C423" s="211"/>
    </row>
    <row r="424" spans="3:3" x14ac:dyDescent="0.25">
      <c r="C424" s="211"/>
    </row>
    <row r="425" spans="3:3" x14ac:dyDescent="0.25">
      <c r="C425" s="211"/>
    </row>
    <row r="426" spans="3:3" x14ac:dyDescent="0.25">
      <c r="C426" s="211"/>
    </row>
    <row r="427" spans="3:3" x14ac:dyDescent="0.25">
      <c r="C427" s="211"/>
    </row>
    <row r="428" spans="3:3" x14ac:dyDescent="0.25">
      <c r="C428" s="211"/>
    </row>
    <row r="429" spans="3:3" x14ac:dyDescent="0.25">
      <c r="C429" s="211"/>
    </row>
    <row r="430" spans="3:3" x14ac:dyDescent="0.25">
      <c r="C430" s="211"/>
    </row>
    <row r="431" spans="3:3" x14ac:dyDescent="0.25">
      <c r="C431" s="211"/>
    </row>
    <row r="432" spans="3:3" x14ac:dyDescent="0.25">
      <c r="C432" s="211"/>
    </row>
    <row r="433" spans="3:3" x14ac:dyDescent="0.25">
      <c r="C433" s="211"/>
    </row>
    <row r="434" spans="3:3" x14ac:dyDescent="0.25">
      <c r="C434" s="211"/>
    </row>
    <row r="435" spans="3:3" x14ac:dyDescent="0.25">
      <c r="C435" s="211"/>
    </row>
    <row r="436" spans="3:3" x14ac:dyDescent="0.25">
      <c r="C436" s="211"/>
    </row>
    <row r="437" spans="3:3" x14ac:dyDescent="0.25">
      <c r="C437" s="211"/>
    </row>
    <row r="438" spans="3:3" x14ac:dyDescent="0.25">
      <c r="C438" s="211"/>
    </row>
    <row r="439" spans="3:3" x14ac:dyDescent="0.25">
      <c r="C439" s="211"/>
    </row>
    <row r="440" spans="3:3" x14ac:dyDescent="0.25">
      <c r="C440" s="211"/>
    </row>
    <row r="441" spans="3:3" x14ac:dyDescent="0.25">
      <c r="C441" s="211"/>
    </row>
    <row r="442" spans="3:3" x14ac:dyDescent="0.25">
      <c r="C442" s="211"/>
    </row>
    <row r="443" spans="3:3" x14ac:dyDescent="0.25">
      <c r="C443" s="211"/>
    </row>
    <row r="444" spans="3:3" x14ac:dyDescent="0.25">
      <c r="C444" s="211"/>
    </row>
    <row r="445" spans="3:3" x14ac:dyDescent="0.25">
      <c r="C445" s="211"/>
    </row>
    <row r="446" spans="3:3" x14ac:dyDescent="0.25">
      <c r="C446" s="211"/>
    </row>
    <row r="447" spans="3:3" x14ac:dyDescent="0.25">
      <c r="C447" s="211"/>
    </row>
    <row r="448" spans="3:3" x14ac:dyDescent="0.25">
      <c r="C448" s="211"/>
    </row>
    <row r="449" spans="3:3" x14ac:dyDescent="0.25">
      <c r="C449" s="211"/>
    </row>
    <row r="450" spans="3:3" x14ac:dyDescent="0.25">
      <c r="C450" s="211"/>
    </row>
    <row r="451" spans="3:3" x14ac:dyDescent="0.25">
      <c r="C451" s="211"/>
    </row>
    <row r="452" spans="3:3" x14ac:dyDescent="0.25">
      <c r="C452" s="211"/>
    </row>
    <row r="453" spans="3:3" x14ac:dyDescent="0.25">
      <c r="C453" s="211"/>
    </row>
    <row r="454" spans="3:3" x14ac:dyDescent="0.25">
      <c r="C454" s="211"/>
    </row>
    <row r="455" spans="3:3" x14ac:dyDescent="0.25">
      <c r="C455" s="211"/>
    </row>
    <row r="456" spans="3:3" x14ac:dyDescent="0.25">
      <c r="C456" s="211"/>
    </row>
    <row r="457" spans="3:3" x14ac:dyDescent="0.25">
      <c r="C457" s="211"/>
    </row>
    <row r="458" spans="3:3" x14ac:dyDescent="0.25">
      <c r="C458" s="211"/>
    </row>
    <row r="459" spans="3:3" x14ac:dyDescent="0.25">
      <c r="C459" s="211"/>
    </row>
    <row r="460" spans="3:3" x14ac:dyDescent="0.25">
      <c r="C460" s="211"/>
    </row>
    <row r="461" spans="3:3" x14ac:dyDescent="0.25">
      <c r="C461" s="211"/>
    </row>
    <row r="462" spans="3:3" x14ac:dyDescent="0.25">
      <c r="C462" s="211"/>
    </row>
    <row r="463" spans="3:3" x14ac:dyDescent="0.25">
      <c r="C463" s="211"/>
    </row>
    <row r="464" spans="3:3" x14ac:dyDescent="0.25">
      <c r="C464" s="211"/>
    </row>
    <row r="465" spans="3:3" x14ac:dyDescent="0.25">
      <c r="C465" s="211"/>
    </row>
    <row r="466" spans="3:3" x14ac:dyDescent="0.25">
      <c r="C466" s="211"/>
    </row>
    <row r="467" spans="3:3" x14ac:dyDescent="0.25">
      <c r="C467" s="211"/>
    </row>
    <row r="468" spans="3:3" x14ac:dyDescent="0.25">
      <c r="C468" s="211"/>
    </row>
    <row r="469" spans="3:3" x14ac:dyDescent="0.25">
      <c r="C469" s="211"/>
    </row>
    <row r="470" spans="3:3" x14ac:dyDescent="0.25">
      <c r="C470" s="211"/>
    </row>
    <row r="471" spans="3:3" x14ac:dyDescent="0.25">
      <c r="C471" s="211"/>
    </row>
    <row r="472" spans="3:3" x14ac:dyDescent="0.25">
      <c r="C472" s="211"/>
    </row>
    <row r="473" spans="3:3" x14ac:dyDescent="0.25">
      <c r="C473" s="211"/>
    </row>
    <row r="474" spans="3:3" x14ac:dyDescent="0.25">
      <c r="C474" s="211"/>
    </row>
    <row r="475" spans="3:3" x14ac:dyDescent="0.25">
      <c r="C475" s="211"/>
    </row>
    <row r="476" spans="3:3" x14ac:dyDescent="0.25">
      <c r="C476" s="211"/>
    </row>
    <row r="477" spans="3:3" x14ac:dyDescent="0.25">
      <c r="C477" s="211"/>
    </row>
    <row r="478" spans="3:3" x14ac:dyDescent="0.25">
      <c r="C478" s="211"/>
    </row>
    <row r="479" spans="3:3" x14ac:dyDescent="0.25">
      <c r="C479" s="211"/>
    </row>
    <row r="480" spans="3:3" x14ac:dyDescent="0.25">
      <c r="C480" s="211"/>
    </row>
    <row r="481" spans="3:3" x14ac:dyDescent="0.25">
      <c r="C481" s="211"/>
    </row>
    <row r="482" spans="3:3" x14ac:dyDescent="0.25">
      <c r="C482" s="211"/>
    </row>
    <row r="483" spans="3:3" x14ac:dyDescent="0.25">
      <c r="C483" s="211"/>
    </row>
    <row r="484" spans="3:3" x14ac:dyDescent="0.25">
      <c r="C484" s="211"/>
    </row>
    <row r="485" spans="3:3" x14ac:dyDescent="0.25">
      <c r="C485" s="211"/>
    </row>
    <row r="486" spans="3:3" x14ac:dyDescent="0.25">
      <c r="C486" s="211"/>
    </row>
    <row r="487" spans="3:3" x14ac:dyDescent="0.25">
      <c r="C487" s="211"/>
    </row>
    <row r="488" spans="3:3" x14ac:dyDescent="0.25">
      <c r="C488" s="211"/>
    </row>
    <row r="489" spans="3:3" x14ac:dyDescent="0.25">
      <c r="C489" s="211"/>
    </row>
    <row r="490" spans="3:3" x14ac:dyDescent="0.25">
      <c r="C490" s="211"/>
    </row>
    <row r="491" spans="3:3" x14ac:dyDescent="0.25">
      <c r="C491" s="211"/>
    </row>
    <row r="492" spans="3:3" x14ac:dyDescent="0.25">
      <c r="C492" s="211"/>
    </row>
    <row r="493" spans="3:3" x14ac:dyDescent="0.25">
      <c r="C493" s="211"/>
    </row>
    <row r="494" spans="3:3" x14ac:dyDescent="0.25">
      <c r="C494" s="211"/>
    </row>
    <row r="495" spans="3:3" x14ac:dyDescent="0.25">
      <c r="C495" s="211"/>
    </row>
    <row r="496" spans="3:3" x14ac:dyDescent="0.25">
      <c r="C496" s="211"/>
    </row>
    <row r="497" spans="3:3" x14ac:dyDescent="0.25">
      <c r="C497" s="211"/>
    </row>
    <row r="498" spans="3:3" x14ac:dyDescent="0.25">
      <c r="C498" s="211"/>
    </row>
    <row r="499" spans="3:3" x14ac:dyDescent="0.25">
      <c r="C499" s="211"/>
    </row>
    <row r="500" spans="3:3" x14ac:dyDescent="0.25">
      <c r="C500" s="211"/>
    </row>
    <row r="501" spans="3:3" x14ac:dyDescent="0.25">
      <c r="C501" s="211"/>
    </row>
    <row r="502" spans="3:3" x14ac:dyDescent="0.25">
      <c r="C502" s="211"/>
    </row>
    <row r="503" spans="3:3" x14ac:dyDescent="0.25">
      <c r="C503" s="211"/>
    </row>
    <row r="504" spans="3:3" x14ac:dyDescent="0.25">
      <c r="C504" s="211"/>
    </row>
    <row r="505" spans="3:3" x14ac:dyDescent="0.25">
      <c r="C505" s="211"/>
    </row>
    <row r="506" spans="3:3" x14ac:dyDescent="0.25">
      <c r="C506" s="211"/>
    </row>
    <row r="507" spans="3:3" x14ac:dyDescent="0.25">
      <c r="C507" s="211"/>
    </row>
    <row r="508" spans="3:3" x14ac:dyDescent="0.25">
      <c r="C508" s="211"/>
    </row>
    <row r="509" spans="3:3" x14ac:dyDescent="0.25">
      <c r="C509" s="211"/>
    </row>
    <row r="510" spans="3:3" x14ac:dyDescent="0.25">
      <c r="C510" s="211"/>
    </row>
    <row r="511" spans="3:3" x14ac:dyDescent="0.25">
      <c r="C511" s="211"/>
    </row>
    <row r="512" spans="3:3" x14ac:dyDescent="0.25">
      <c r="C512" s="211"/>
    </row>
    <row r="513" spans="3:3" x14ac:dyDescent="0.25">
      <c r="C513" s="211"/>
    </row>
    <row r="514" spans="3:3" x14ac:dyDescent="0.25">
      <c r="C514" s="211"/>
    </row>
    <row r="515" spans="3:3" x14ac:dyDescent="0.25">
      <c r="C515" s="211"/>
    </row>
    <row r="516" spans="3:3" x14ac:dyDescent="0.25">
      <c r="C516" s="211"/>
    </row>
    <row r="517" spans="3:3" x14ac:dyDescent="0.25">
      <c r="C517" s="211"/>
    </row>
    <row r="518" spans="3:3" x14ac:dyDescent="0.25">
      <c r="C518" s="211"/>
    </row>
    <row r="519" spans="3:3" x14ac:dyDescent="0.25">
      <c r="C519" s="211"/>
    </row>
    <row r="520" spans="3:3" x14ac:dyDescent="0.25">
      <c r="C520" s="211"/>
    </row>
    <row r="521" spans="3:3" x14ac:dyDescent="0.25">
      <c r="C521" s="211"/>
    </row>
    <row r="522" spans="3:3" x14ac:dyDescent="0.25">
      <c r="C522" s="211"/>
    </row>
    <row r="523" spans="3:3" x14ac:dyDescent="0.25">
      <c r="C523" s="211"/>
    </row>
    <row r="524" spans="3:3" x14ac:dyDescent="0.25">
      <c r="C524" s="211"/>
    </row>
    <row r="525" spans="3:3" x14ac:dyDescent="0.25">
      <c r="C525" s="211"/>
    </row>
    <row r="526" spans="3:3" x14ac:dyDescent="0.25">
      <c r="C526" s="211"/>
    </row>
    <row r="527" spans="3:3" x14ac:dyDescent="0.25">
      <c r="C527" s="211"/>
    </row>
    <row r="528" spans="3:3" x14ac:dyDescent="0.25">
      <c r="C528" s="211"/>
    </row>
    <row r="529" spans="3:3" x14ac:dyDescent="0.25">
      <c r="C529" s="211"/>
    </row>
    <row r="530" spans="3:3" x14ac:dyDescent="0.25">
      <c r="C530" s="211"/>
    </row>
    <row r="531" spans="3:3" x14ac:dyDescent="0.25">
      <c r="C531" s="211"/>
    </row>
    <row r="532" spans="3:3" x14ac:dyDescent="0.25">
      <c r="C532" s="211"/>
    </row>
    <row r="533" spans="3:3" x14ac:dyDescent="0.25">
      <c r="C533" s="211"/>
    </row>
    <row r="534" spans="3:3" x14ac:dyDescent="0.25">
      <c r="C534" s="211"/>
    </row>
    <row r="535" spans="3:3" x14ac:dyDescent="0.25">
      <c r="C535" s="211"/>
    </row>
    <row r="536" spans="3:3" x14ac:dyDescent="0.25">
      <c r="C536" s="211"/>
    </row>
    <row r="537" spans="3:3" x14ac:dyDescent="0.25">
      <c r="C537" s="211"/>
    </row>
    <row r="538" spans="3:3" x14ac:dyDescent="0.25">
      <c r="C538" s="211"/>
    </row>
    <row r="539" spans="3:3" x14ac:dyDescent="0.25">
      <c r="C539" s="211"/>
    </row>
    <row r="540" spans="3:3" x14ac:dyDescent="0.25">
      <c r="C540" s="211"/>
    </row>
    <row r="541" spans="3:3" x14ac:dyDescent="0.25">
      <c r="C541" s="211"/>
    </row>
    <row r="542" spans="3:3" x14ac:dyDescent="0.25">
      <c r="C542" s="211"/>
    </row>
    <row r="543" spans="3:3" x14ac:dyDescent="0.25">
      <c r="C543" s="211"/>
    </row>
    <row r="544" spans="3:3" x14ac:dyDescent="0.25">
      <c r="C544" s="211"/>
    </row>
    <row r="545" spans="3:3" x14ac:dyDescent="0.25">
      <c r="C545" s="211"/>
    </row>
    <row r="546" spans="3:3" x14ac:dyDescent="0.25">
      <c r="C546" s="211"/>
    </row>
    <row r="547" spans="3:3" x14ac:dyDescent="0.25">
      <c r="C547" s="211"/>
    </row>
    <row r="548" spans="3:3" x14ac:dyDescent="0.25">
      <c r="C548" s="211"/>
    </row>
    <row r="549" spans="3:3" x14ac:dyDescent="0.25">
      <c r="C549" s="211"/>
    </row>
    <row r="550" spans="3:3" x14ac:dyDescent="0.25">
      <c r="C550" s="211"/>
    </row>
    <row r="551" spans="3:3" x14ac:dyDescent="0.25">
      <c r="C551" s="211"/>
    </row>
    <row r="552" spans="3:3" x14ac:dyDescent="0.25">
      <c r="C552" s="211"/>
    </row>
    <row r="553" spans="3:3" x14ac:dyDescent="0.25">
      <c r="C553" s="211"/>
    </row>
    <row r="554" spans="3:3" x14ac:dyDescent="0.25">
      <c r="C554" s="211"/>
    </row>
    <row r="555" spans="3:3" x14ac:dyDescent="0.25">
      <c r="C555" s="211"/>
    </row>
    <row r="556" spans="3:3" x14ac:dyDescent="0.25">
      <c r="C556" s="211"/>
    </row>
    <row r="557" spans="3:3" x14ac:dyDescent="0.25">
      <c r="C557" s="211"/>
    </row>
    <row r="558" spans="3:3" x14ac:dyDescent="0.25">
      <c r="C558" s="211"/>
    </row>
    <row r="559" spans="3:3" x14ac:dyDescent="0.25">
      <c r="C559" s="211"/>
    </row>
    <row r="560" spans="3:3" x14ac:dyDescent="0.25">
      <c r="C560" s="211"/>
    </row>
    <row r="561" spans="3:3" x14ac:dyDescent="0.25">
      <c r="C561" s="211"/>
    </row>
    <row r="562" spans="3:3" x14ac:dyDescent="0.25">
      <c r="C562" s="211"/>
    </row>
    <row r="563" spans="3:3" x14ac:dyDescent="0.25">
      <c r="C563" s="211"/>
    </row>
    <row r="564" spans="3:3" x14ac:dyDescent="0.25">
      <c r="C564" s="211"/>
    </row>
    <row r="565" spans="3:3" x14ac:dyDescent="0.25">
      <c r="C565" s="211"/>
    </row>
    <row r="566" spans="3:3" x14ac:dyDescent="0.25">
      <c r="C566" s="211"/>
    </row>
    <row r="567" spans="3:3" x14ac:dyDescent="0.25">
      <c r="C567" s="211"/>
    </row>
    <row r="568" spans="3:3" x14ac:dyDescent="0.25">
      <c r="C568" s="211"/>
    </row>
    <row r="569" spans="3:3" x14ac:dyDescent="0.25">
      <c r="C569" s="211"/>
    </row>
    <row r="570" spans="3:3" x14ac:dyDescent="0.25">
      <c r="C570" s="211"/>
    </row>
    <row r="571" spans="3:3" x14ac:dyDescent="0.25">
      <c r="C571" s="211"/>
    </row>
    <row r="572" spans="3:3" x14ac:dyDescent="0.25">
      <c r="C572" s="211"/>
    </row>
    <row r="573" spans="3:3" x14ac:dyDescent="0.25">
      <c r="C573" s="211"/>
    </row>
    <row r="574" spans="3:3" x14ac:dyDescent="0.25">
      <c r="C574" s="211"/>
    </row>
    <row r="575" spans="3:3" x14ac:dyDescent="0.25">
      <c r="C575" s="211"/>
    </row>
    <row r="576" spans="3:3" x14ac:dyDescent="0.25">
      <c r="C576" s="211"/>
    </row>
    <row r="577" spans="3:3" x14ac:dyDescent="0.25">
      <c r="C577" s="211"/>
    </row>
    <row r="578" spans="3:3" x14ac:dyDescent="0.25">
      <c r="C578" s="211"/>
    </row>
    <row r="579" spans="3:3" x14ac:dyDescent="0.25">
      <c r="C579" s="211"/>
    </row>
    <row r="580" spans="3:3" x14ac:dyDescent="0.25">
      <c r="C580" s="211"/>
    </row>
    <row r="581" spans="3:3" x14ac:dyDescent="0.25">
      <c r="C581" s="211"/>
    </row>
    <row r="582" spans="3:3" x14ac:dyDescent="0.25">
      <c r="C582" s="211"/>
    </row>
    <row r="583" spans="3:3" x14ac:dyDescent="0.25">
      <c r="C583" s="211"/>
    </row>
    <row r="584" spans="3:3" x14ac:dyDescent="0.25">
      <c r="C584" s="211"/>
    </row>
    <row r="585" spans="3:3" x14ac:dyDescent="0.25">
      <c r="C585" s="211"/>
    </row>
    <row r="586" spans="3:3" x14ac:dyDescent="0.25">
      <c r="C586" s="211"/>
    </row>
    <row r="587" spans="3:3" x14ac:dyDescent="0.25">
      <c r="C587" s="211"/>
    </row>
    <row r="588" spans="3:3" x14ac:dyDescent="0.25">
      <c r="C588" s="211"/>
    </row>
    <row r="589" spans="3:3" x14ac:dyDescent="0.25">
      <c r="C589" s="211"/>
    </row>
    <row r="590" spans="3:3" x14ac:dyDescent="0.25">
      <c r="C590" s="211"/>
    </row>
    <row r="591" spans="3:3" x14ac:dyDescent="0.25">
      <c r="C591" s="211"/>
    </row>
    <row r="592" spans="3:3" x14ac:dyDescent="0.25">
      <c r="C592" s="211"/>
    </row>
    <row r="593" spans="3:3" x14ac:dyDescent="0.25">
      <c r="C593" s="211"/>
    </row>
    <row r="594" spans="3:3" x14ac:dyDescent="0.25">
      <c r="C594" s="211"/>
    </row>
    <row r="595" spans="3:3" x14ac:dyDescent="0.25">
      <c r="C595" s="211"/>
    </row>
    <row r="596" spans="3:3" x14ac:dyDescent="0.25">
      <c r="C596" s="211"/>
    </row>
    <row r="597" spans="3:3" x14ac:dyDescent="0.25">
      <c r="C597" s="211"/>
    </row>
    <row r="598" spans="3:3" x14ac:dyDescent="0.25">
      <c r="C598" s="211"/>
    </row>
    <row r="599" spans="3:3" x14ac:dyDescent="0.25">
      <c r="C599" s="211"/>
    </row>
    <row r="600" spans="3:3" x14ac:dyDescent="0.25">
      <c r="C600" s="211"/>
    </row>
    <row r="601" spans="3:3" x14ac:dyDescent="0.25">
      <c r="C601" s="211"/>
    </row>
    <row r="602" spans="3:3" x14ac:dyDescent="0.25">
      <c r="C602" s="211"/>
    </row>
    <row r="603" spans="3:3" x14ac:dyDescent="0.25">
      <c r="C603" s="211"/>
    </row>
    <row r="604" spans="3:3" x14ac:dyDescent="0.25">
      <c r="C604" s="211"/>
    </row>
    <row r="605" spans="3:3" x14ac:dyDescent="0.25">
      <c r="C605" s="211"/>
    </row>
    <row r="606" spans="3:3" x14ac:dyDescent="0.25">
      <c r="C606" s="211"/>
    </row>
    <row r="607" spans="3:3" x14ac:dyDescent="0.25">
      <c r="C607" s="211"/>
    </row>
    <row r="608" spans="3:3" x14ac:dyDescent="0.25">
      <c r="C608" s="211"/>
    </row>
    <row r="609" spans="3:3" x14ac:dyDescent="0.25">
      <c r="C609" s="211"/>
    </row>
    <row r="610" spans="3:3" x14ac:dyDescent="0.25">
      <c r="C610" s="211"/>
    </row>
    <row r="611" spans="3:3" x14ac:dyDescent="0.25">
      <c r="C611" s="211"/>
    </row>
    <row r="612" spans="3:3" x14ac:dyDescent="0.25">
      <c r="C612" s="211"/>
    </row>
    <row r="613" spans="3:3" x14ac:dyDescent="0.25">
      <c r="C613" s="211"/>
    </row>
    <row r="614" spans="3:3" x14ac:dyDescent="0.25">
      <c r="C614" s="211"/>
    </row>
    <row r="615" spans="3:3" x14ac:dyDescent="0.25">
      <c r="C615" s="211"/>
    </row>
    <row r="616" spans="3:3" x14ac:dyDescent="0.25">
      <c r="C616" s="211"/>
    </row>
    <row r="617" spans="3:3" x14ac:dyDescent="0.25">
      <c r="C617" s="211"/>
    </row>
    <row r="618" spans="3:3" x14ac:dyDescent="0.25">
      <c r="C618" s="211"/>
    </row>
    <row r="619" spans="3:3" x14ac:dyDescent="0.25">
      <c r="C619" s="211"/>
    </row>
    <row r="620" spans="3:3" x14ac:dyDescent="0.25">
      <c r="C620" s="211"/>
    </row>
    <row r="621" spans="3:3" x14ac:dyDescent="0.25">
      <c r="C621" s="211"/>
    </row>
    <row r="622" spans="3:3" x14ac:dyDescent="0.25">
      <c r="C622" s="211"/>
    </row>
    <row r="623" spans="3:3" x14ac:dyDescent="0.25">
      <c r="C623" s="211"/>
    </row>
    <row r="624" spans="3:3" x14ac:dyDescent="0.25">
      <c r="C624" s="211"/>
    </row>
    <row r="625" spans="3:3" x14ac:dyDescent="0.25">
      <c r="C625" s="211"/>
    </row>
    <row r="626" spans="3:3" x14ac:dyDescent="0.25">
      <c r="C626" s="211"/>
    </row>
    <row r="627" spans="3:3" x14ac:dyDescent="0.25">
      <c r="C627" s="211"/>
    </row>
    <row r="628" spans="3:3" x14ac:dyDescent="0.25">
      <c r="C628" s="211"/>
    </row>
    <row r="629" spans="3:3" x14ac:dyDescent="0.25">
      <c r="C629" s="211"/>
    </row>
    <row r="630" spans="3:3" x14ac:dyDescent="0.25">
      <c r="C630" s="211"/>
    </row>
    <row r="631" spans="3:3" x14ac:dyDescent="0.25">
      <c r="C631" s="211"/>
    </row>
    <row r="632" spans="3:3" x14ac:dyDescent="0.25">
      <c r="C632" s="211"/>
    </row>
    <row r="633" spans="3:3" x14ac:dyDescent="0.25">
      <c r="C633" s="211"/>
    </row>
    <row r="634" spans="3:3" x14ac:dyDescent="0.25">
      <c r="C634" s="211"/>
    </row>
    <row r="635" spans="3:3" x14ac:dyDescent="0.25">
      <c r="C635" s="211"/>
    </row>
    <row r="636" spans="3:3" x14ac:dyDescent="0.25">
      <c r="C636" s="211"/>
    </row>
    <row r="637" spans="3:3" x14ac:dyDescent="0.25">
      <c r="C637" s="211"/>
    </row>
    <row r="638" spans="3:3" x14ac:dyDescent="0.25">
      <c r="C638" s="211"/>
    </row>
    <row r="639" spans="3:3" x14ac:dyDescent="0.25">
      <c r="C639" s="211"/>
    </row>
    <row r="640" spans="3:3" x14ac:dyDescent="0.25">
      <c r="C640" s="211"/>
    </row>
    <row r="641" spans="3:3" x14ac:dyDescent="0.25">
      <c r="C641" s="211"/>
    </row>
    <row r="642" spans="3:3" x14ac:dyDescent="0.25">
      <c r="C642" s="211"/>
    </row>
    <row r="643" spans="3:3" x14ac:dyDescent="0.25">
      <c r="C643" s="211"/>
    </row>
    <row r="644" spans="3:3" x14ac:dyDescent="0.25">
      <c r="C644" s="211"/>
    </row>
    <row r="645" spans="3:3" x14ac:dyDescent="0.25">
      <c r="C645" s="211"/>
    </row>
    <row r="646" spans="3:3" x14ac:dyDescent="0.25">
      <c r="C646" s="211"/>
    </row>
    <row r="647" spans="3:3" x14ac:dyDescent="0.25">
      <c r="C647" s="211"/>
    </row>
    <row r="648" spans="3:3" x14ac:dyDescent="0.25">
      <c r="C648" s="211"/>
    </row>
    <row r="649" spans="3:3" x14ac:dyDescent="0.25">
      <c r="C649" s="211"/>
    </row>
    <row r="650" spans="3:3" x14ac:dyDescent="0.25">
      <c r="C650" s="211"/>
    </row>
    <row r="651" spans="3:3" x14ac:dyDescent="0.25">
      <c r="C651" s="211"/>
    </row>
    <row r="652" spans="3:3" x14ac:dyDescent="0.25">
      <c r="C652" s="211"/>
    </row>
    <row r="653" spans="3:3" x14ac:dyDescent="0.25">
      <c r="C653" s="211"/>
    </row>
    <row r="654" spans="3:3" x14ac:dyDescent="0.25">
      <c r="C654" s="211"/>
    </row>
    <row r="655" spans="3:3" x14ac:dyDescent="0.25">
      <c r="C655" s="211"/>
    </row>
    <row r="656" spans="3:3" x14ac:dyDescent="0.25">
      <c r="C656" s="211"/>
    </row>
    <row r="657" spans="3:3" x14ac:dyDescent="0.25">
      <c r="C657" s="211"/>
    </row>
    <row r="658" spans="3:3" x14ac:dyDescent="0.25">
      <c r="C658" s="211"/>
    </row>
    <row r="659" spans="3:3" x14ac:dyDescent="0.25">
      <c r="C659" s="211"/>
    </row>
    <row r="660" spans="3:3" x14ac:dyDescent="0.25">
      <c r="C660" s="211"/>
    </row>
    <row r="661" spans="3:3" x14ac:dyDescent="0.25">
      <c r="C661" s="211"/>
    </row>
    <row r="662" spans="3:3" x14ac:dyDescent="0.25">
      <c r="C662" s="211"/>
    </row>
    <row r="663" spans="3:3" x14ac:dyDescent="0.25">
      <c r="C663" s="211"/>
    </row>
    <row r="664" spans="3:3" x14ac:dyDescent="0.25">
      <c r="C664" s="211"/>
    </row>
    <row r="665" spans="3:3" x14ac:dyDescent="0.25">
      <c r="C665" s="211"/>
    </row>
    <row r="666" spans="3:3" x14ac:dyDescent="0.25">
      <c r="C666" s="211"/>
    </row>
    <row r="667" spans="3:3" x14ac:dyDescent="0.25">
      <c r="C667" s="211"/>
    </row>
    <row r="668" spans="3:3" x14ac:dyDescent="0.25">
      <c r="C668" s="211"/>
    </row>
    <row r="669" spans="3:3" x14ac:dyDescent="0.25">
      <c r="C669" s="211"/>
    </row>
    <row r="670" spans="3:3" x14ac:dyDescent="0.25">
      <c r="C670" s="211"/>
    </row>
    <row r="671" spans="3:3" x14ac:dyDescent="0.25">
      <c r="C671" s="211"/>
    </row>
    <row r="672" spans="3:3" x14ac:dyDescent="0.25">
      <c r="C672" s="211"/>
    </row>
    <row r="673" spans="3:3" x14ac:dyDescent="0.25">
      <c r="C673" s="211"/>
    </row>
    <row r="674" spans="3:3" x14ac:dyDescent="0.25">
      <c r="C674" s="211"/>
    </row>
    <row r="675" spans="3:3" x14ac:dyDescent="0.25">
      <c r="C675" s="211"/>
    </row>
    <row r="676" spans="3:3" x14ac:dyDescent="0.25">
      <c r="C676" s="211"/>
    </row>
    <row r="677" spans="3:3" x14ac:dyDescent="0.25">
      <c r="C677" s="211"/>
    </row>
    <row r="678" spans="3:3" x14ac:dyDescent="0.25">
      <c r="C678" s="211"/>
    </row>
    <row r="679" spans="3:3" x14ac:dyDescent="0.25">
      <c r="C679" s="211"/>
    </row>
    <row r="680" spans="3:3" x14ac:dyDescent="0.25">
      <c r="C680" s="211"/>
    </row>
    <row r="681" spans="3:3" x14ac:dyDescent="0.25">
      <c r="C681" s="211"/>
    </row>
    <row r="682" spans="3:3" x14ac:dyDescent="0.25">
      <c r="C682" s="211"/>
    </row>
    <row r="683" spans="3:3" x14ac:dyDescent="0.25">
      <c r="C683" s="211"/>
    </row>
    <row r="684" spans="3:3" x14ac:dyDescent="0.25">
      <c r="C684" s="211"/>
    </row>
    <row r="685" spans="3:3" x14ac:dyDescent="0.25">
      <c r="C685" s="211"/>
    </row>
    <row r="686" spans="3:3" x14ac:dyDescent="0.25">
      <c r="C686" s="211"/>
    </row>
    <row r="687" spans="3:3" x14ac:dyDescent="0.25">
      <c r="C687" s="211"/>
    </row>
    <row r="688" spans="3:3" x14ac:dyDescent="0.25">
      <c r="C688" s="211"/>
    </row>
    <row r="689" spans="3:3" x14ac:dyDescent="0.25">
      <c r="C689" s="211"/>
    </row>
    <row r="690" spans="3:3" x14ac:dyDescent="0.25">
      <c r="C690" s="211"/>
    </row>
    <row r="691" spans="3:3" x14ac:dyDescent="0.25">
      <c r="C691" s="211"/>
    </row>
    <row r="692" spans="3:3" x14ac:dyDescent="0.25">
      <c r="C692" s="211"/>
    </row>
    <row r="693" spans="3:3" x14ac:dyDescent="0.25">
      <c r="C693" s="211"/>
    </row>
    <row r="694" spans="3:3" x14ac:dyDescent="0.25">
      <c r="C694" s="211"/>
    </row>
    <row r="695" spans="3:3" x14ac:dyDescent="0.25">
      <c r="C695" s="211"/>
    </row>
    <row r="696" spans="3:3" x14ac:dyDescent="0.25">
      <c r="C696" s="211"/>
    </row>
    <row r="697" spans="3:3" x14ac:dyDescent="0.25">
      <c r="C697" s="211"/>
    </row>
    <row r="698" spans="3:3" x14ac:dyDescent="0.25">
      <c r="C698" s="211"/>
    </row>
    <row r="699" spans="3:3" x14ac:dyDescent="0.25">
      <c r="C699" s="211"/>
    </row>
    <row r="700" spans="3:3" x14ac:dyDescent="0.25">
      <c r="C700" s="211"/>
    </row>
    <row r="701" spans="3:3" x14ac:dyDescent="0.25">
      <c r="C701" s="211"/>
    </row>
    <row r="702" spans="3:3" x14ac:dyDescent="0.25">
      <c r="C702" s="211"/>
    </row>
    <row r="703" spans="3:3" x14ac:dyDescent="0.25">
      <c r="C703" s="211"/>
    </row>
    <row r="704" spans="3:3" x14ac:dyDescent="0.25">
      <c r="C704" s="211"/>
    </row>
    <row r="705" spans="3:3" x14ac:dyDescent="0.25">
      <c r="C705" s="211"/>
    </row>
    <row r="706" spans="3:3" x14ac:dyDescent="0.25">
      <c r="C706" s="211"/>
    </row>
    <row r="707" spans="3:3" x14ac:dyDescent="0.25">
      <c r="C707" s="211"/>
    </row>
    <row r="708" spans="3:3" x14ac:dyDescent="0.25">
      <c r="C708" s="211"/>
    </row>
    <row r="709" spans="3:3" x14ac:dyDescent="0.25">
      <c r="C709" s="211"/>
    </row>
    <row r="710" spans="3:3" x14ac:dyDescent="0.25">
      <c r="C710" s="211"/>
    </row>
    <row r="711" spans="3:3" x14ac:dyDescent="0.25">
      <c r="C711" s="211"/>
    </row>
    <row r="712" spans="3:3" x14ac:dyDescent="0.25">
      <c r="C712" s="211"/>
    </row>
    <row r="713" spans="3:3" x14ac:dyDescent="0.25">
      <c r="C713" s="211"/>
    </row>
    <row r="714" spans="3:3" x14ac:dyDescent="0.25">
      <c r="C714" s="211"/>
    </row>
    <row r="715" spans="3:3" x14ac:dyDescent="0.25">
      <c r="C715" s="211"/>
    </row>
    <row r="716" spans="3:3" x14ac:dyDescent="0.25">
      <c r="C716" s="211"/>
    </row>
    <row r="717" spans="3:3" x14ac:dyDescent="0.25">
      <c r="C717" s="211"/>
    </row>
    <row r="718" spans="3:3" x14ac:dyDescent="0.25">
      <c r="C718" s="211"/>
    </row>
    <row r="719" spans="3:3" x14ac:dyDescent="0.25">
      <c r="C719" s="211"/>
    </row>
    <row r="720" spans="3:3" x14ac:dyDescent="0.25">
      <c r="C720" s="211"/>
    </row>
    <row r="721" spans="3:3" x14ac:dyDescent="0.25">
      <c r="C721" s="211"/>
    </row>
    <row r="722" spans="3:3" x14ac:dyDescent="0.25">
      <c r="C722" s="211"/>
    </row>
    <row r="723" spans="3:3" x14ac:dyDescent="0.25">
      <c r="C723" s="211"/>
    </row>
    <row r="724" spans="3:3" x14ac:dyDescent="0.25">
      <c r="C724" s="211"/>
    </row>
    <row r="725" spans="3:3" x14ac:dyDescent="0.25">
      <c r="C725" s="211"/>
    </row>
    <row r="726" spans="3:3" x14ac:dyDescent="0.25">
      <c r="C726" s="211"/>
    </row>
    <row r="727" spans="3:3" x14ac:dyDescent="0.25">
      <c r="C727" s="211"/>
    </row>
    <row r="728" spans="3:3" x14ac:dyDescent="0.25">
      <c r="C728" s="211"/>
    </row>
    <row r="729" spans="3:3" x14ac:dyDescent="0.25">
      <c r="C729" s="211"/>
    </row>
    <row r="730" spans="3:3" x14ac:dyDescent="0.25">
      <c r="C730" s="211"/>
    </row>
    <row r="731" spans="3:3" x14ac:dyDescent="0.25">
      <c r="C731" s="211"/>
    </row>
    <row r="732" spans="3:3" x14ac:dyDescent="0.25">
      <c r="C732" s="211"/>
    </row>
    <row r="733" spans="3:3" x14ac:dyDescent="0.25">
      <c r="C733" s="211"/>
    </row>
    <row r="734" spans="3:3" x14ac:dyDescent="0.25">
      <c r="C734" s="211"/>
    </row>
    <row r="735" spans="3:3" x14ac:dyDescent="0.25">
      <c r="C735" s="211"/>
    </row>
    <row r="736" spans="3:3" x14ac:dyDescent="0.25">
      <c r="C736" s="211"/>
    </row>
    <row r="737" spans="3:3" x14ac:dyDescent="0.25">
      <c r="C737" s="211"/>
    </row>
    <row r="738" spans="3:3" x14ac:dyDescent="0.25">
      <c r="C738" s="211"/>
    </row>
    <row r="739" spans="3:3" x14ac:dyDescent="0.25">
      <c r="C739" s="211"/>
    </row>
    <row r="740" spans="3:3" x14ac:dyDescent="0.25">
      <c r="C740" s="211"/>
    </row>
    <row r="741" spans="3:3" x14ac:dyDescent="0.25">
      <c r="C741" s="211"/>
    </row>
    <row r="742" spans="3:3" x14ac:dyDescent="0.25">
      <c r="C742" s="211"/>
    </row>
    <row r="743" spans="3:3" x14ac:dyDescent="0.25">
      <c r="C743" s="211"/>
    </row>
    <row r="744" spans="3:3" x14ac:dyDescent="0.25">
      <c r="C744" s="211"/>
    </row>
    <row r="745" spans="3:3" x14ac:dyDescent="0.25">
      <c r="C745" s="211"/>
    </row>
    <row r="746" spans="3:3" x14ac:dyDescent="0.25">
      <c r="C746" s="211"/>
    </row>
    <row r="747" spans="3:3" x14ac:dyDescent="0.25">
      <c r="C747" s="211"/>
    </row>
    <row r="748" spans="3:3" x14ac:dyDescent="0.25">
      <c r="C748" s="211"/>
    </row>
    <row r="749" spans="3:3" x14ac:dyDescent="0.25">
      <c r="C749" s="211"/>
    </row>
    <row r="750" spans="3:3" x14ac:dyDescent="0.25">
      <c r="C750" s="211"/>
    </row>
    <row r="751" spans="3:3" x14ac:dyDescent="0.25">
      <c r="C751" s="211"/>
    </row>
    <row r="752" spans="3:3" x14ac:dyDescent="0.25">
      <c r="C752" s="211"/>
    </row>
    <row r="753" spans="3:3" x14ac:dyDescent="0.25">
      <c r="C753" s="211"/>
    </row>
    <row r="754" spans="3:3" x14ac:dyDescent="0.25">
      <c r="C754" s="211"/>
    </row>
    <row r="755" spans="3:3" x14ac:dyDescent="0.25">
      <c r="C755" s="211"/>
    </row>
    <row r="756" spans="3:3" x14ac:dyDescent="0.25">
      <c r="C756" s="211"/>
    </row>
    <row r="757" spans="3:3" x14ac:dyDescent="0.25">
      <c r="C757" s="211"/>
    </row>
    <row r="758" spans="3:3" x14ac:dyDescent="0.25">
      <c r="C758" s="211"/>
    </row>
    <row r="759" spans="3:3" x14ac:dyDescent="0.25">
      <c r="C759" s="211"/>
    </row>
    <row r="760" spans="3:3" x14ac:dyDescent="0.25">
      <c r="C760" s="211"/>
    </row>
    <row r="761" spans="3:3" x14ac:dyDescent="0.25">
      <c r="C761" s="211"/>
    </row>
    <row r="762" spans="3:3" x14ac:dyDescent="0.25">
      <c r="C762" s="211"/>
    </row>
    <row r="763" spans="3:3" x14ac:dyDescent="0.25">
      <c r="C763" s="211"/>
    </row>
    <row r="764" spans="3:3" x14ac:dyDescent="0.25">
      <c r="C764" s="211"/>
    </row>
    <row r="765" spans="3:3" x14ac:dyDescent="0.25">
      <c r="C765" s="211"/>
    </row>
    <row r="766" spans="3:3" x14ac:dyDescent="0.25">
      <c r="C766" s="211"/>
    </row>
    <row r="767" spans="3:3" x14ac:dyDescent="0.25">
      <c r="C767" s="211"/>
    </row>
    <row r="768" spans="3:3" x14ac:dyDescent="0.25">
      <c r="C768" s="211"/>
    </row>
    <row r="769" spans="3:3" x14ac:dyDescent="0.25">
      <c r="C769" s="211"/>
    </row>
    <row r="770" spans="3:3" x14ac:dyDescent="0.25">
      <c r="C770" s="211"/>
    </row>
    <row r="771" spans="3:3" x14ac:dyDescent="0.25">
      <c r="C771" s="211"/>
    </row>
    <row r="772" spans="3:3" x14ac:dyDescent="0.25">
      <c r="C772" s="211"/>
    </row>
    <row r="773" spans="3:3" x14ac:dyDescent="0.25">
      <c r="C773" s="211"/>
    </row>
    <row r="774" spans="3:3" x14ac:dyDescent="0.25">
      <c r="C774" s="211"/>
    </row>
    <row r="775" spans="3:3" x14ac:dyDescent="0.25">
      <c r="C775" s="211"/>
    </row>
    <row r="776" spans="3:3" x14ac:dyDescent="0.25">
      <c r="C776" s="211"/>
    </row>
    <row r="777" spans="3:3" x14ac:dyDescent="0.25">
      <c r="C777" s="211"/>
    </row>
    <row r="778" spans="3:3" x14ac:dyDescent="0.25">
      <c r="C778" s="211"/>
    </row>
    <row r="779" spans="3:3" x14ac:dyDescent="0.25">
      <c r="C779" s="211"/>
    </row>
    <row r="780" spans="3:3" x14ac:dyDescent="0.25">
      <c r="C780" s="211"/>
    </row>
    <row r="781" spans="3:3" x14ac:dyDescent="0.25">
      <c r="C781" s="211"/>
    </row>
    <row r="782" spans="3:3" x14ac:dyDescent="0.25">
      <c r="C782" s="211"/>
    </row>
    <row r="783" spans="3:3" x14ac:dyDescent="0.25">
      <c r="C783" s="211"/>
    </row>
    <row r="784" spans="3:3" x14ac:dyDescent="0.25">
      <c r="C784" s="211"/>
    </row>
    <row r="785" spans="3:3" x14ac:dyDescent="0.25">
      <c r="C785" s="211"/>
    </row>
    <row r="786" spans="3:3" x14ac:dyDescent="0.25">
      <c r="C786" s="211"/>
    </row>
    <row r="787" spans="3:3" x14ac:dyDescent="0.25">
      <c r="C787" s="211"/>
    </row>
    <row r="788" spans="3:3" x14ac:dyDescent="0.25">
      <c r="C788" s="211"/>
    </row>
    <row r="789" spans="3:3" x14ac:dyDescent="0.25">
      <c r="C789" s="211"/>
    </row>
    <row r="790" spans="3:3" x14ac:dyDescent="0.25">
      <c r="C790" s="211"/>
    </row>
    <row r="791" spans="3:3" x14ac:dyDescent="0.25">
      <c r="C791" s="211"/>
    </row>
    <row r="792" spans="3:3" x14ac:dyDescent="0.25">
      <c r="C792" s="211"/>
    </row>
    <row r="793" spans="3:3" x14ac:dyDescent="0.25">
      <c r="C793" s="211"/>
    </row>
    <row r="794" spans="3:3" x14ac:dyDescent="0.25">
      <c r="C794" s="211"/>
    </row>
    <row r="795" spans="3:3" x14ac:dyDescent="0.25">
      <c r="C795" s="211"/>
    </row>
    <row r="796" spans="3:3" x14ac:dyDescent="0.25">
      <c r="C796" s="211"/>
    </row>
    <row r="797" spans="3:3" x14ac:dyDescent="0.25">
      <c r="C797" s="211"/>
    </row>
    <row r="798" spans="3:3" x14ac:dyDescent="0.25">
      <c r="C798" s="211"/>
    </row>
    <row r="799" spans="3:3" x14ac:dyDescent="0.25">
      <c r="C799" s="211"/>
    </row>
    <row r="800" spans="3:3" x14ac:dyDescent="0.25">
      <c r="C800" s="211"/>
    </row>
    <row r="801" spans="3:3" x14ac:dyDescent="0.25">
      <c r="C801" s="211"/>
    </row>
    <row r="802" spans="3:3" x14ac:dyDescent="0.25">
      <c r="C802" s="211"/>
    </row>
    <row r="803" spans="3:3" x14ac:dyDescent="0.25">
      <c r="C803" s="211"/>
    </row>
    <row r="804" spans="3:3" x14ac:dyDescent="0.25">
      <c r="C804" s="211"/>
    </row>
    <row r="805" spans="3:3" x14ac:dyDescent="0.25">
      <c r="C805" s="211"/>
    </row>
    <row r="806" spans="3:3" x14ac:dyDescent="0.25">
      <c r="C806" s="211"/>
    </row>
    <row r="807" spans="3:3" x14ac:dyDescent="0.25">
      <c r="C807" s="211"/>
    </row>
    <row r="808" spans="3:3" x14ac:dyDescent="0.25">
      <c r="C808" s="211"/>
    </row>
    <row r="809" spans="3:3" x14ac:dyDescent="0.25">
      <c r="C809" s="211"/>
    </row>
    <row r="810" spans="3:3" x14ac:dyDescent="0.25">
      <c r="C810" s="211"/>
    </row>
    <row r="811" spans="3:3" x14ac:dyDescent="0.25">
      <c r="C811" s="211"/>
    </row>
    <row r="812" spans="3:3" x14ac:dyDescent="0.25">
      <c r="C812" s="211"/>
    </row>
    <row r="813" spans="3:3" x14ac:dyDescent="0.25">
      <c r="C813" s="211"/>
    </row>
    <row r="814" spans="3:3" x14ac:dyDescent="0.25">
      <c r="C814" s="211"/>
    </row>
    <row r="815" spans="3:3" x14ac:dyDescent="0.25">
      <c r="C815" s="211"/>
    </row>
    <row r="816" spans="3:3" x14ac:dyDescent="0.25">
      <c r="C816" s="211"/>
    </row>
    <row r="817" spans="3:3" x14ac:dyDescent="0.25">
      <c r="C817" s="211"/>
    </row>
    <row r="818" spans="3:3" x14ac:dyDescent="0.25">
      <c r="C818" s="211"/>
    </row>
    <row r="819" spans="3:3" x14ac:dyDescent="0.25">
      <c r="C819" s="211"/>
    </row>
    <row r="820" spans="3:3" x14ac:dyDescent="0.25">
      <c r="C820" s="211"/>
    </row>
    <row r="821" spans="3:3" x14ac:dyDescent="0.25">
      <c r="C821" s="211"/>
    </row>
    <row r="822" spans="3:3" x14ac:dyDescent="0.25">
      <c r="C822" s="211"/>
    </row>
    <row r="823" spans="3:3" x14ac:dyDescent="0.25">
      <c r="C823" s="211"/>
    </row>
    <row r="824" spans="3:3" x14ac:dyDescent="0.25">
      <c r="C824" s="211"/>
    </row>
    <row r="825" spans="3:3" x14ac:dyDescent="0.25">
      <c r="C825" s="211"/>
    </row>
    <row r="826" spans="3:3" x14ac:dyDescent="0.25">
      <c r="C826" s="211"/>
    </row>
    <row r="827" spans="3:3" x14ac:dyDescent="0.25">
      <c r="C827" s="211"/>
    </row>
    <row r="828" spans="3:3" x14ac:dyDescent="0.25">
      <c r="C828" s="211"/>
    </row>
    <row r="829" spans="3:3" x14ac:dyDescent="0.25">
      <c r="C829" s="211"/>
    </row>
    <row r="830" spans="3:3" x14ac:dyDescent="0.25">
      <c r="C830" s="211"/>
    </row>
    <row r="831" spans="3:3" x14ac:dyDescent="0.25">
      <c r="C831" s="211"/>
    </row>
    <row r="832" spans="3:3" x14ac:dyDescent="0.25">
      <c r="C832" s="211"/>
    </row>
    <row r="833" spans="3:3" x14ac:dyDescent="0.25">
      <c r="C833" s="211"/>
    </row>
    <row r="834" spans="3:3" x14ac:dyDescent="0.25">
      <c r="C834" s="211"/>
    </row>
    <row r="835" spans="3:3" x14ac:dyDescent="0.25">
      <c r="C835" s="211"/>
    </row>
    <row r="836" spans="3:3" x14ac:dyDescent="0.25">
      <c r="C836" s="211"/>
    </row>
    <row r="837" spans="3:3" x14ac:dyDescent="0.25">
      <c r="C837" s="211"/>
    </row>
    <row r="838" spans="3:3" x14ac:dyDescent="0.25">
      <c r="C838" s="211"/>
    </row>
    <row r="839" spans="3:3" x14ac:dyDescent="0.25">
      <c r="C839" s="211"/>
    </row>
    <row r="840" spans="3:3" x14ac:dyDescent="0.25">
      <c r="C840" s="211"/>
    </row>
    <row r="841" spans="3:3" x14ac:dyDescent="0.25">
      <c r="C841" s="211"/>
    </row>
    <row r="842" spans="3:3" x14ac:dyDescent="0.25">
      <c r="C842" s="211"/>
    </row>
    <row r="843" spans="3:3" x14ac:dyDescent="0.25">
      <c r="C843" s="211"/>
    </row>
    <row r="844" spans="3:3" x14ac:dyDescent="0.25">
      <c r="C844" s="211"/>
    </row>
    <row r="845" spans="3:3" x14ac:dyDescent="0.25">
      <c r="C845" s="211"/>
    </row>
    <row r="846" spans="3:3" x14ac:dyDescent="0.25">
      <c r="C846" s="211"/>
    </row>
    <row r="847" spans="3:3" x14ac:dyDescent="0.25">
      <c r="C847" s="211"/>
    </row>
    <row r="848" spans="3:3" x14ac:dyDescent="0.25">
      <c r="C848" s="211"/>
    </row>
    <row r="849" spans="3:3" x14ac:dyDescent="0.25">
      <c r="C849" s="211"/>
    </row>
    <row r="850" spans="3:3" x14ac:dyDescent="0.25">
      <c r="C850" s="211"/>
    </row>
    <row r="851" spans="3:3" x14ac:dyDescent="0.25">
      <c r="C851" s="211"/>
    </row>
    <row r="852" spans="3:3" x14ac:dyDescent="0.25">
      <c r="C852" s="211"/>
    </row>
    <row r="853" spans="3:3" x14ac:dyDescent="0.25">
      <c r="C853" s="211"/>
    </row>
    <row r="854" spans="3:3" x14ac:dyDescent="0.25">
      <c r="C854" s="211"/>
    </row>
    <row r="855" spans="3:3" x14ac:dyDescent="0.25">
      <c r="C855" s="211"/>
    </row>
    <row r="856" spans="3:3" x14ac:dyDescent="0.25">
      <c r="C856" s="211"/>
    </row>
    <row r="857" spans="3:3" x14ac:dyDescent="0.25">
      <c r="C857" s="211"/>
    </row>
    <row r="858" spans="3:3" x14ac:dyDescent="0.25">
      <c r="C858" s="211"/>
    </row>
    <row r="859" spans="3:3" x14ac:dyDescent="0.25">
      <c r="C859" s="211"/>
    </row>
    <row r="860" spans="3:3" x14ac:dyDescent="0.25">
      <c r="C860" s="211"/>
    </row>
    <row r="861" spans="3:3" x14ac:dyDescent="0.25">
      <c r="C861" s="211"/>
    </row>
    <row r="862" spans="3:3" x14ac:dyDescent="0.25">
      <c r="C862" s="211"/>
    </row>
    <row r="863" spans="3:3" x14ac:dyDescent="0.25">
      <c r="C863" s="211"/>
    </row>
    <row r="864" spans="3:3" x14ac:dyDescent="0.25">
      <c r="C864" s="211"/>
    </row>
    <row r="865" spans="3:3" x14ac:dyDescent="0.25">
      <c r="C865" s="211"/>
    </row>
    <row r="866" spans="3:3" x14ac:dyDescent="0.25">
      <c r="C866" s="211"/>
    </row>
    <row r="867" spans="3:3" x14ac:dyDescent="0.25">
      <c r="C867" s="211"/>
    </row>
    <row r="868" spans="3:3" x14ac:dyDescent="0.25">
      <c r="C868" s="211"/>
    </row>
    <row r="869" spans="3:3" x14ac:dyDescent="0.25">
      <c r="C869" s="211"/>
    </row>
    <row r="870" spans="3:3" x14ac:dyDescent="0.25">
      <c r="C870" s="211"/>
    </row>
    <row r="871" spans="3:3" x14ac:dyDescent="0.25">
      <c r="C871" s="211"/>
    </row>
    <row r="872" spans="3:3" x14ac:dyDescent="0.25">
      <c r="C872" s="211"/>
    </row>
    <row r="873" spans="3:3" x14ac:dyDescent="0.25">
      <c r="C873" s="211"/>
    </row>
    <row r="874" spans="3:3" x14ac:dyDescent="0.25">
      <c r="C874" s="211"/>
    </row>
    <row r="875" spans="3:3" x14ac:dyDescent="0.25">
      <c r="C875" s="211"/>
    </row>
    <row r="876" spans="3:3" x14ac:dyDescent="0.25">
      <c r="C876" s="211"/>
    </row>
    <row r="877" spans="3:3" x14ac:dyDescent="0.25">
      <c r="C877" s="211"/>
    </row>
    <row r="878" spans="3:3" x14ac:dyDescent="0.25">
      <c r="C878" s="211"/>
    </row>
    <row r="879" spans="3:3" x14ac:dyDescent="0.25">
      <c r="C879" s="211"/>
    </row>
    <row r="880" spans="3:3" x14ac:dyDescent="0.25">
      <c r="C880" s="211"/>
    </row>
    <row r="881" spans="3:3" x14ac:dyDescent="0.25">
      <c r="C881" s="211"/>
    </row>
    <row r="882" spans="3:3" x14ac:dyDescent="0.25">
      <c r="C882" s="211"/>
    </row>
    <row r="883" spans="3:3" x14ac:dyDescent="0.25">
      <c r="C883" s="211"/>
    </row>
    <row r="884" spans="3:3" x14ac:dyDescent="0.25">
      <c r="C884" s="211"/>
    </row>
    <row r="885" spans="3:3" x14ac:dyDescent="0.25">
      <c r="C885" s="211"/>
    </row>
    <row r="886" spans="3:3" x14ac:dyDescent="0.25">
      <c r="C886" s="211"/>
    </row>
    <row r="887" spans="3:3" x14ac:dyDescent="0.25">
      <c r="C887" s="211"/>
    </row>
    <row r="888" spans="3:3" x14ac:dyDescent="0.25">
      <c r="C888" s="211"/>
    </row>
    <row r="889" spans="3:3" x14ac:dyDescent="0.25">
      <c r="C889" s="211"/>
    </row>
    <row r="890" spans="3:3" x14ac:dyDescent="0.25">
      <c r="C890" s="211"/>
    </row>
    <row r="891" spans="3:3" x14ac:dyDescent="0.25">
      <c r="C891" s="211"/>
    </row>
    <row r="892" spans="3:3" x14ac:dyDescent="0.25">
      <c r="C892" s="211"/>
    </row>
    <row r="893" spans="3:3" x14ac:dyDescent="0.25">
      <c r="C893" s="211"/>
    </row>
    <row r="894" spans="3:3" x14ac:dyDescent="0.25">
      <c r="C894" s="211"/>
    </row>
    <row r="895" spans="3:3" x14ac:dyDescent="0.25">
      <c r="C895" s="211"/>
    </row>
    <row r="896" spans="3:3" x14ac:dyDescent="0.25">
      <c r="C896" s="211"/>
    </row>
    <row r="897" spans="3:3" x14ac:dyDescent="0.25">
      <c r="C897" s="211"/>
    </row>
    <row r="898" spans="3:3" x14ac:dyDescent="0.25">
      <c r="C898" s="211"/>
    </row>
    <row r="899" spans="3:3" x14ac:dyDescent="0.25">
      <c r="C899" s="211"/>
    </row>
    <row r="900" spans="3:3" x14ac:dyDescent="0.25">
      <c r="C900" s="211"/>
    </row>
    <row r="901" spans="3:3" x14ac:dyDescent="0.25">
      <c r="C901" s="211"/>
    </row>
    <row r="902" spans="3:3" x14ac:dyDescent="0.25">
      <c r="C902" s="211"/>
    </row>
    <row r="903" spans="3:3" x14ac:dyDescent="0.25">
      <c r="C903" s="211"/>
    </row>
    <row r="904" spans="3:3" x14ac:dyDescent="0.25">
      <c r="C904" s="211"/>
    </row>
    <row r="905" spans="3:3" x14ac:dyDescent="0.25">
      <c r="C905" s="211"/>
    </row>
    <row r="906" spans="3:3" x14ac:dyDescent="0.25">
      <c r="C906" s="211"/>
    </row>
    <row r="907" spans="3:3" x14ac:dyDescent="0.25">
      <c r="C907" s="211"/>
    </row>
    <row r="908" spans="3:3" x14ac:dyDescent="0.25">
      <c r="C908" s="211"/>
    </row>
    <row r="909" spans="3:3" x14ac:dyDescent="0.25">
      <c r="C909" s="211"/>
    </row>
    <row r="910" spans="3:3" x14ac:dyDescent="0.25">
      <c r="C910" s="211"/>
    </row>
    <row r="911" spans="3:3" x14ac:dyDescent="0.25">
      <c r="C911" s="211"/>
    </row>
    <row r="912" spans="3:3" x14ac:dyDescent="0.25">
      <c r="C912" s="211"/>
    </row>
    <row r="913" spans="3:3" x14ac:dyDescent="0.25">
      <c r="C913" s="211"/>
    </row>
    <row r="914" spans="3:3" x14ac:dyDescent="0.25">
      <c r="C914" s="211"/>
    </row>
    <row r="915" spans="3:3" x14ac:dyDescent="0.25">
      <c r="C915" s="211"/>
    </row>
    <row r="916" spans="3:3" x14ac:dyDescent="0.25">
      <c r="C916" s="211"/>
    </row>
    <row r="917" spans="3:3" x14ac:dyDescent="0.25">
      <c r="C917" s="211"/>
    </row>
    <row r="918" spans="3:3" x14ac:dyDescent="0.25">
      <c r="C918" s="211"/>
    </row>
    <row r="919" spans="3:3" x14ac:dyDescent="0.25">
      <c r="C919" s="211"/>
    </row>
    <row r="920" spans="3:3" x14ac:dyDescent="0.25">
      <c r="C920" s="211"/>
    </row>
    <row r="921" spans="3:3" x14ac:dyDescent="0.25">
      <c r="C921" s="211"/>
    </row>
    <row r="922" spans="3:3" x14ac:dyDescent="0.25">
      <c r="C922" s="211"/>
    </row>
    <row r="923" spans="3:3" x14ac:dyDescent="0.25">
      <c r="C923" s="211"/>
    </row>
    <row r="924" spans="3:3" x14ac:dyDescent="0.25">
      <c r="C924" s="211"/>
    </row>
    <row r="925" spans="3:3" x14ac:dyDescent="0.25">
      <c r="C925" s="211"/>
    </row>
    <row r="926" spans="3:3" x14ac:dyDescent="0.25">
      <c r="C926" s="211"/>
    </row>
    <row r="927" spans="3:3" x14ac:dyDescent="0.25">
      <c r="C927" s="211"/>
    </row>
    <row r="928" spans="3:3" x14ac:dyDescent="0.25">
      <c r="C928" s="211"/>
    </row>
    <row r="929" spans="3:3" x14ac:dyDescent="0.25">
      <c r="C929" s="211"/>
    </row>
    <row r="930" spans="3:3" x14ac:dyDescent="0.25">
      <c r="C930" s="211"/>
    </row>
    <row r="931" spans="3:3" x14ac:dyDescent="0.25">
      <c r="C931" s="211"/>
    </row>
    <row r="932" spans="3:3" x14ac:dyDescent="0.25">
      <c r="C932" s="211"/>
    </row>
    <row r="933" spans="3:3" x14ac:dyDescent="0.25">
      <c r="C933" s="211"/>
    </row>
    <row r="934" spans="3:3" x14ac:dyDescent="0.25">
      <c r="C934" s="211"/>
    </row>
    <row r="935" spans="3:3" x14ac:dyDescent="0.25">
      <c r="C935" s="211"/>
    </row>
    <row r="936" spans="3:3" x14ac:dyDescent="0.25">
      <c r="C936" s="211"/>
    </row>
    <row r="937" spans="3:3" x14ac:dyDescent="0.25">
      <c r="C937" s="211"/>
    </row>
    <row r="938" spans="3:3" x14ac:dyDescent="0.25">
      <c r="C938" s="211"/>
    </row>
    <row r="939" spans="3:3" x14ac:dyDescent="0.25">
      <c r="C939" s="211"/>
    </row>
    <row r="940" spans="3:3" x14ac:dyDescent="0.25">
      <c r="C940" s="211"/>
    </row>
    <row r="941" spans="3:3" x14ac:dyDescent="0.25">
      <c r="C941" s="211"/>
    </row>
    <row r="942" spans="3:3" x14ac:dyDescent="0.25">
      <c r="C942" s="211"/>
    </row>
    <row r="943" spans="3:3" x14ac:dyDescent="0.25">
      <c r="C943" s="211"/>
    </row>
    <row r="944" spans="3:3" x14ac:dyDescent="0.25">
      <c r="C944" s="211"/>
    </row>
    <row r="945" spans="3:3" x14ac:dyDescent="0.25">
      <c r="C945" s="211"/>
    </row>
    <row r="946" spans="3:3" x14ac:dyDescent="0.25">
      <c r="C946" s="211"/>
    </row>
    <row r="947" spans="3:3" x14ac:dyDescent="0.25">
      <c r="C947" s="211"/>
    </row>
    <row r="948" spans="3:3" x14ac:dyDescent="0.25">
      <c r="C948" s="211"/>
    </row>
    <row r="949" spans="3:3" x14ac:dyDescent="0.25">
      <c r="C949" s="211"/>
    </row>
    <row r="950" spans="3:3" x14ac:dyDescent="0.25">
      <c r="C950" s="211"/>
    </row>
    <row r="951" spans="3:3" x14ac:dyDescent="0.25">
      <c r="C951" s="211"/>
    </row>
    <row r="952" spans="3:3" x14ac:dyDescent="0.25">
      <c r="C952" s="211"/>
    </row>
    <row r="953" spans="3:3" x14ac:dyDescent="0.25">
      <c r="C953" s="211"/>
    </row>
    <row r="954" spans="3:3" x14ac:dyDescent="0.25">
      <c r="C954" s="211"/>
    </row>
    <row r="955" spans="3:3" x14ac:dyDescent="0.25">
      <c r="C955" s="211"/>
    </row>
    <row r="956" spans="3:3" x14ac:dyDescent="0.25">
      <c r="C956" s="211"/>
    </row>
    <row r="957" spans="3:3" x14ac:dyDescent="0.25">
      <c r="C957" s="211"/>
    </row>
    <row r="958" spans="3:3" x14ac:dyDescent="0.25">
      <c r="C958" s="211"/>
    </row>
    <row r="959" spans="3:3" x14ac:dyDescent="0.25">
      <c r="C959" s="211"/>
    </row>
    <row r="960" spans="3:3" x14ac:dyDescent="0.25">
      <c r="C960" s="211"/>
    </row>
    <row r="961" spans="3:3" x14ac:dyDescent="0.25">
      <c r="C961" s="211"/>
    </row>
    <row r="962" spans="3:3" x14ac:dyDescent="0.25">
      <c r="C962" s="211"/>
    </row>
    <row r="963" spans="3:3" x14ac:dyDescent="0.25">
      <c r="C963" s="211"/>
    </row>
    <row r="964" spans="3:3" x14ac:dyDescent="0.25">
      <c r="C964" s="211"/>
    </row>
    <row r="965" spans="3:3" x14ac:dyDescent="0.25">
      <c r="C965" s="211"/>
    </row>
    <row r="966" spans="3:3" x14ac:dyDescent="0.25">
      <c r="C966" s="211"/>
    </row>
    <row r="967" spans="3:3" x14ac:dyDescent="0.25">
      <c r="C967" s="211"/>
    </row>
    <row r="968" spans="3:3" x14ac:dyDescent="0.25">
      <c r="C968" s="211"/>
    </row>
    <row r="969" spans="3:3" x14ac:dyDescent="0.25">
      <c r="C969" s="211"/>
    </row>
    <row r="970" spans="3:3" x14ac:dyDescent="0.25">
      <c r="C970" s="211"/>
    </row>
    <row r="971" spans="3:3" x14ac:dyDescent="0.25">
      <c r="C971" s="211"/>
    </row>
    <row r="972" spans="3:3" x14ac:dyDescent="0.25">
      <c r="C972" s="211"/>
    </row>
    <row r="973" spans="3:3" x14ac:dyDescent="0.25">
      <c r="C973" s="211"/>
    </row>
    <row r="974" spans="3:3" x14ac:dyDescent="0.25">
      <c r="C974" s="211"/>
    </row>
    <row r="975" spans="3:3" x14ac:dyDescent="0.25">
      <c r="C975" s="211"/>
    </row>
    <row r="976" spans="3:3" x14ac:dyDescent="0.25">
      <c r="C976" s="211"/>
    </row>
    <row r="977" spans="3:3" x14ac:dyDescent="0.25">
      <c r="C977" s="211"/>
    </row>
    <row r="978" spans="3:3" x14ac:dyDescent="0.25">
      <c r="C978" s="211"/>
    </row>
    <row r="979" spans="3:3" x14ac:dyDescent="0.25">
      <c r="C979" s="211"/>
    </row>
    <row r="980" spans="3:3" x14ac:dyDescent="0.25">
      <c r="C980" s="211"/>
    </row>
    <row r="981" spans="3:3" x14ac:dyDescent="0.25">
      <c r="C981" s="211"/>
    </row>
    <row r="982" spans="3:3" x14ac:dyDescent="0.25">
      <c r="C982" s="211"/>
    </row>
    <row r="983" spans="3:3" x14ac:dyDescent="0.25">
      <c r="C983" s="211"/>
    </row>
    <row r="984" spans="3:3" x14ac:dyDescent="0.25">
      <c r="C984" s="211"/>
    </row>
    <row r="985" spans="3:3" x14ac:dyDescent="0.25">
      <c r="C985" s="211"/>
    </row>
    <row r="986" spans="3:3" x14ac:dyDescent="0.25">
      <c r="C986" s="211"/>
    </row>
    <row r="987" spans="3:3" x14ac:dyDescent="0.25">
      <c r="C987" s="211"/>
    </row>
    <row r="988" spans="3:3" x14ac:dyDescent="0.25">
      <c r="C988" s="211"/>
    </row>
    <row r="989" spans="3:3" x14ac:dyDescent="0.25">
      <c r="C989" s="211"/>
    </row>
    <row r="990" spans="3:3" x14ac:dyDescent="0.25">
      <c r="C990" s="211"/>
    </row>
    <row r="991" spans="3:3" x14ac:dyDescent="0.25">
      <c r="C991" s="211"/>
    </row>
    <row r="992" spans="3:3" x14ac:dyDescent="0.25">
      <c r="C992" s="211"/>
    </row>
    <row r="993" spans="3:3" x14ac:dyDescent="0.25">
      <c r="C993" s="211"/>
    </row>
    <row r="994" spans="3:3" x14ac:dyDescent="0.25">
      <c r="C994" s="211"/>
    </row>
    <row r="995" spans="3:3" x14ac:dyDescent="0.25">
      <c r="C995" s="211"/>
    </row>
    <row r="996" spans="3:3" x14ac:dyDescent="0.25">
      <c r="C996" s="211"/>
    </row>
    <row r="997" spans="3:3" x14ac:dyDescent="0.25">
      <c r="C997" s="211"/>
    </row>
    <row r="998" spans="3:3" x14ac:dyDescent="0.25">
      <c r="C998" s="211"/>
    </row>
    <row r="999" spans="3:3" x14ac:dyDescent="0.25">
      <c r="C999" s="211"/>
    </row>
    <row r="1000" spans="3:3" x14ac:dyDescent="0.25">
      <c r="C1000" s="211"/>
    </row>
    <row r="1001" spans="3:3" x14ac:dyDescent="0.25">
      <c r="C1001" s="211"/>
    </row>
    <row r="1002" spans="3:3" x14ac:dyDescent="0.25">
      <c r="C1002" s="211"/>
    </row>
    <row r="1003" spans="3:3" x14ac:dyDescent="0.25">
      <c r="C1003" s="211"/>
    </row>
    <row r="1004" spans="3:3" x14ac:dyDescent="0.25">
      <c r="C1004" s="211"/>
    </row>
    <row r="1005" spans="3:3" x14ac:dyDescent="0.25">
      <c r="C1005" s="211"/>
    </row>
    <row r="1006" spans="3:3" x14ac:dyDescent="0.25">
      <c r="C1006" s="211"/>
    </row>
    <row r="1007" spans="3:3" x14ac:dyDescent="0.25">
      <c r="C1007" s="211"/>
    </row>
    <row r="1008" spans="3:3" x14ac:dyDescent="0.25">
      <c r="C1008" s="211"/>
    </row>
    <row r="1009" spans="3:3" x14ac:dyDescent="0.25">
      <c r="C1009" s="211"/>
    </row>
    <row r="1010" spans="3:3" x14ac:dyDescent="0.25">
      <c r="C1010" s="211"/>
    </row>
    <row r="1011" spans="3:3" x14ac:dyDescent="0.25">
      <c r="C1011" s="211"/>
    </row>
    <row r="1012" spans="3:3" x14ac:dyDescent="0.25">
      <c r="C1012" s="211"/>
    </row>
    <row r="1013" spans="3:3" x14ac:dyDescent="0.25">
      <c r="C1013" s="211"/>
    </row>
    <row r="1014" spans="3:3" x14ac:dyDescent="0.25">
      <c r="C1014" s="211"/>
    </row>
    <row r="1015" spans="3:3" x14ac:dyDescent="0.25">
      <c r="C1015" s="211"/>
    </row>
    <row r="1016" spans="3:3" x14ac:dyDescent="0.25">
      <c r="C1016" s="211"/>
    </row>
    <row r="1017" spans="3:3" x14ac:dyDescent="0.25">
      <c r="C1017" s="211"/>
    </row>
    <row r="1018" spans="3:3" x14ac:dyDescent="0.25">
      <c r="C1018" s="211"/>
    </row>
    <row r="1019" spans="3:3" x14ac:dyDescent="0.25">
      <c r="C1019" s="211"/>
    </row>
    <row r="1020" spans="3:3" x14ac:dyDescent="0.25">
      <c r="C1020" s="211"/>
    </row>
    <row r="1021" spans="3:3" x14ac:dyDescent="0.25">
      <c r="C1021" s="211"/>
    </row>
    <row r="1022" spans="3:3" x14ac:dyDescent="0.25">
      <c r="C1022" s="211"/>
    </row>
    <row r="1023" spans="3:3" x14ac:dyDescent="0.25">
      <c r="C1023" s="211"/>
    </row>
    <row r="1024" spans="3:3" x14ac:dyDescent="0.25">
      <c r="C1024" s="211"/>
    </row>
    <row r="1025" spans="3:3" x14ac:dyDescent="0.25">
      <c r="C1025" s="211"/>
    </row>
    <row r="1026" spans="3:3" x14ac:dyDescent="0.25">
      <c r="C1026" s="211"/>
    </row>
    <row r="1027" spans="3:3" x14ac:dyDescent="0.25">
      <c r="C1027" s="211"/>
    </row>
    <row r="1028" spans="3:3" x14ac:dyDescent="0.25">
      <c r="C1028" s="211"/>
    </row>
    <row r="1029" spans="3:3" x14ac:dyDescent="0.25">
      <c r="C1029" s="211"/>
    </row>
    <row r="1030" spans="3:3" x14ac:dyDescent="0.25">
      <c r="C1030" s="211"/>
    </row>
    <row r="1031" spans="3:3" x14ac:dyDescent="0.25">
      <c r="C1031" s="211"/>
    </row>
    <row r="1032" spans="3:3" x14ac:dyDescent="0.25">
      <c r="C1032" s="211"/>
    </row>
    <row r="1033" spans="3:3" x14ac:dyDescent="0.25">
      <c r="C1033" s="211"/>
    </row>
    <row r="1034" spans="3:3" x14ac:dyDescent="0.25">
      <c r="C1034" s="211"/>
    </row>
    <row r="1035" spans="3:3" x14ac:dyDescent="0.25">
      <c r="C1035" s="211"/>
    </row>
    <row r="1036" spans="3:3" x14ac:dyDescent="0.25">
      <c r="C1036" s="211"/>
    </row>
    <row r="1037" spans="3:3" x14ac:dyDescent="0.25">
      <c r="C1037" s="211"/>
    </row>
    <row r="1038" spans="3:3" x14ac:dyDescent="0.25">
      <c r="C1038" s="211"/>
    </row>
    <row r="1039" spans="3:3" x14ac:dyDescent="0.25">
      <c r="C1039" s="211"/>
    </row>
    <row r="1040" spans="3:3" x14ac:dyDescent="0.25">
      <c r="C1040" s="211"/>
    </row>
    <row r="1041" spans="3:3" x14ac:dyDescent="0.25">
      <c r="C1041" s="211"/>
    </row>
    <row r="1042" spans="3:3" x14ac:dyDescent="0.25">
      <c r="C1042" s="211"/>
    </row>
    <row r="1043" spans="3:3" x14ac:dyDescent="0.25">
      <c r="C1043" s="211"/>
    </row>
    <row r="1044" spans="3:3" x14ac:dyDescent="0.25">
      <c r="C1044" s="211"/>
    </row>
    <row r="1045" spans="3:3" x14ac:dyDescent="0.25">
      <c r="C1045" s="211"/>
    </row>
    <row r="1046" spans="3:3" x14ac:dyDescent="0.25">
      <c r="C1046" s="211"/>
    </row>
    <row r="1047" spans="3:3" x14ac:dyDescent="0.25">
      <c r="C1047" s="211"/>
    </row>
    <row r="1048" spans="3:3" x14ac:dyDescent="0.25">
      <c r="C1048" s="211"/>
    </row>
    <row r="1049" spans="3:3" x14ac:dyDescent="0.25">
      <c r="C1049" s="211"/>
    </row>
    <row r="1050" spans="3:3" x14ac:dyDescent="0.25">
      <c r="C1050" s="211"/>
    </row>
    <row r="1051" spans="3:3" x14ac:dyDescent="0.25">
      <c r="C1051" s="211"/>
    </row>
    <row r="1052" spans="3:3" x14ac:dyDescent="0.25">
      <c r="C1052" s="211"/>
    </row>
    <row r="1053" spans="3:3" x14ac:dyDescent="0.25">
      <c r="C1053" s="211"/>
    </row>
    <row r="1054" spans="3:3" x14ac:dyDescent="0.25">
      <c r="C1054" s="211"/>
    </row>
    <row r="1055" spans="3:3" x14ac:dyDescent="0.25">
      <c r="C1055" s="211"/>
    </row>
    <row r="1056" spans="3:3" x14ac:dyDescent="0.25">
      <c r="C1056" s="211"/>
    </row>
    <row r="1057" spans="3:3" x14ac:dyDescent="0.25">
      <c r="C1057" s="211"/>
    </row>
    <row r="1058" spans="3:3" x14ac:dyDescent="0.25">
      <c r="C1058" s="211"/>
    </row>
    <row r="1059" spans="3:3" x14ac:dyDescent="0.25">
      <c r="C1059" s="211"/>
    </row>
    <row r="1060" spans="3:3" x14ac:dyDescent="0.25">
      <c r="C1060" s="211"/>
    </row>
    <row r="1061" spans="3:3" x14ac:dyDescent="0.25">
      <c r="C1061" s="211"/>
    </row>
    <row r="1062" spans="3:3" x14ac:dyDescent="0.25">
      <c r="C1062" s="211"/>
    </row>
    <row r="1063" spans="3:3" x14ac:dyDescent="0.25">
      <c r="C1063" s="211"/>
    </row>
    <row r="1064" spans="3:3" x14ac:dyDescent="0.25">
      <c r="C1064" s="211"/>
    </row>
    <row r="1065" spans="3:3" x14ac:dyDescent="0.25">
      <c r="C1065" s="211"/>
    </row>
    <row r="1066" spans="3:3" x14ac:dyDescent="0.25">
      <c r="C1066" s="211"/>
    </row>
    <row r="1067" spans="3:3" x14ac:dyDescent="0.25">
      <c r="C1067" s="211"/>
    </row>
    <row r="1068" spans="3:3" x14ac:dyDescent="0.25">
      <c r="C1068" s="211"/>
    </row>
    <row r="1069" spans="3:3" x14ac:dyDescent="0.25">
      <c r="C1069" s="211"/>
    </row>
    <row r="1070" spans="3:3" x14ac:dyDescent="0.25">
      <c r="C1070" s="211"/>
    </row>
    <row r="1071" spans="3:3" x14ac:dyDescent="0.25">
      <c r="C1071" s="211"/>
    </row>
    <row r="1072" spans="3:3" x14ac:dyDescent="0.25">
      <c r="C1072" s="211"/>
    </row>
    <row r="1073" spans="3:3" x14ac:dyDescent="0.25">
      <c r="C1073" s="211"/>
    </row>
    <row r="1074" spans="3:3" x14ac:dyDescent="0.25">
      <c r="C1074" s="211"/>
    </row>
    <row r="1075" spans="3:3" x14ac:dyDescent="0.25">
      <c r="C1075" s="211"/>
    </row>
    <row r="1076" spans="3:3" x14ac:dyDescent="0.25">
      <c r="C1076" s="211"/>
    </row>
    <row r="1077" spans="3:3" x14ac:dyDescent="0.25">
      <c r="C1077" s="211"/>
    </row>
    <row r="1078" spans="3:3" x14ac:dyDescent="0.25">
      <c r="C1078" s="211"/>
    </row>
    <row r="1079" spans="3:3" x14ac:dyDescent="0.25">
      <c r="C1079" s="211"/>
    </row>
    <row r="1080" spans="3:3" x14ac:dyDescent="0.25">
      <c r="C1080" s="211"/>
    </row>
    <row r="1081" spans="3:3" x14ac:dyDescent="0.25">
      <c r="C1081" s="211"/>
    </row>
    <row r="1082" spans="3:3" x14ac:dyDescent="0.25">
      <c r="C1082" s="211"/>
    </row>
    <row r="1083" spans="3:3" x14ac:dyDescent="0.25">
      <c r="C1083" s="211"/>
    </row>
    <row r="1084" spans="3:3" x14ac:dyDescent="0.25">
      <c r="C1084" s="211"/>
    </row>
    <row r="1085" spans="3:3" x14ac:dyDescent="0.25">
      <c r="C1085" s="211"/>
    </row>
    <row r="1086" spans="3:3" x14ac:dyDescent="0.25">
      <c r="C1086" s="211"/>
    </row>
    <row r="1087" spans="3:3" x14ac:dyDescent="0.25">
      <c r="C1087" s="211"/>
    </row>
    <row r="1088" spans="3:3" x14ac:dyDescent="0.25">
      <c r="C1088" s="211"/>
    </row>
    <row r="1089" spans="3:3" x14ac:dyDescent="0.25">
      <c r="C1089" s="211"/>
    </row>
    <row r="1090" spans="3:3" x14ac:dyDescent="0.25">
      <c r="C1090" s="211"/>
    </row>
    <row r="1091" spans="3:3" x14ac:dyDescent="0.25">
      <c r="C1091" s="211"/>
    </row>
    <row r="1092" spans="3:3" x14ac:dyDescent="0.25">
      <c r="C1092" s="211"/>
    </row>
    <row r="1093" spans="3:3" x14ac:dyDescent="0.25">
      <c r="C1093" s="211"/>
    </row>
    <row r="1094" spans="3:3" x14ac:dyDescent="0.25">
      <c r="C1094" s="211"/>
    </row>
    <row r="1095" spans="3:3" x14ac:dyDescent="0.25">
      <c r="C1095" s="211"/>
    </row>
    <row r="1096" spans="3:3" x14ac:dyDescent="0.25">
      <c r="C1096" s="211"/>
    </row>
    <row r="1097" spans="3:3" x14ac:dyDescent="0.25">
      <c r="C1097" s="211"/>
    </row>
    <row r="1098" spans="3:3" x14ac:dyDescent="0.25">
      <c r="C1098" s="211"/>
    </row>
    <row r="1099" spans="3:3" x14ac:dyDescent="0.25">
      <c r="C1099" s="211"/>
    </row>
    <row r="1100" spans="3:3" x14ac:dyDescent="0.25">
      <c r="C1100" s="211"/>
    </row>
    <row r="1101" spans="3:3" x14ac:dyDescent="0.25">
      <c r="C1101" s="211"/>
    </row>
    <row r="1102" spans="3:3" x14ac:dyDescent="0.25">
      <c r="C1102" s="211"/>
    </row>
    <row r="1103" spans="3:3" x14ac:dyDescent="0.25">
      <c r="C1103" s="211"/>
    </row>
    <row r="1104" spans="3:3" x14ac:dyDescent="0.25">
      <c r="C1104" s="211"/>
    </row>
    <row r="1105" spans="3:3" x14ac:dyDescent="0.25">
      <c r="C1105" s="211"/>
    </row>
    <row r="1106" spans="3:3" x14ac:dyDescent="0.25">
      <c r="C1106" s="211"/>
    </row>
    <row r="1107" spans="3:3" x14ac:dyDescent="0.25">
      <c r="C1107" s="211"/>
    </row>
    <row r="1108" spans="3:3" x14ac:dyDescent="0.25">
      <c r="C1108" s="211"/>
    </row>
    <row r="1109" spans="3:3" x14ac:dyDescent="0.25">
      <c r="C1109" s="211"/>
    </row>
    <row r="1110" spans="3:3" x14ac:dyDescent="0.25">
      <c r="C1110" s="211"/>
    </row>
    <row r="1111" spans="3:3" x14ac:dyDescent="0.25">
      <c r="C1111" s="211"/>
    </row>
    <row r="1112" spans="3:3" x14ac:dyDescent="0.25">
      <c r="C1112" s="211"/>
    </row>
    <row r="1113" spans="3:3" x14ac:dyDescent="0.25">
      <c r="C1113" s="211"/>
    </row>
    <row r="1114" spans="3:3" x14ac:dyDescent="0.25">
      <c r="C1114" s="211"/>
    </row>
    <row r="1115" spans="3:3" x14ac:dyDescent="0.25">
      <c r="C1115" s="211"/>
    </row>
    <row r="1116" spans="3:3" x14ac:dyDescent="0.25">
      <c r="C1116" s="211"/>
    </row>
    <row r="1117" spans="3:3" x14ac:dyDescent="0.25">
      <c r="C1117" s="211"/>
    </row>
    <row r="1118" spans="3:3" x14ac:dyDescent="0.25">
      <c r="C1118" s="211"/>
    </row>
    <row r="1119" spans="3:3" x14ac:dyDescent="0.25">
      <c r="C1119" s="211"/>
    </row>
    <row r="1120" spans="3:3" x14ac:dyDescent="0.25">
      <c r="C1120" s="211"/>
    </row>
    <row r="1121" spans="3:3" x14ac:dyDescent="0.25">
      <c r="C1121" s="211"/>
    </row>
    <row r="1122" spans="3:3" x14ac:dyDescent="0.25">
      <c r="C1122" s="211"/>
    </row>
    <row r="1123" spans="3:3" x14ac:dyDescent="0.25">
      <c r="C1123" s="211"/>
    </row>
    <row r="1124" spans="3:3" x14ac:dyDescent="0.25">
      <c r="C1124" s="211"/>
    </row>
    <row r="1125" spans="3:3" x14ac:dyDescent="0.25">
      <c r="C1125" s="211"/>
    </row>
    <row r="1126" spans="3:3" x14ac:dyDescent="0.25">
      <c r="C1126" s="211"/>
    </row>
    <row r="1127" spans="3:3" x14ac:dyDescent="0.25">
      <c r="C1127" s="211"/>
    </row>
    <row r="1128" spans="3:3" x14ac:dyDescent="0.25">
      <c r="C1128" s="211"/>
    </row>
    <row r="1129" spans="3:3" x14ac:dyDescent="0.25">
      <c r="C1129" s="211"/>
    </row>
    <row r="1130" spans="3:3" x14ac:dyDescent="0.25">
      <c r="C1130" s="211"/>
    </row>
    <row r="1131" spans="3:3" x14ac:dyDescent="0.25">
      <c r="C1131" s="211"/>
    </row>
    <row r="1132" spans="3:3" x14ac:dyDescent="0.25">
      <c r="C1132" s="211"/>
    </row>
    <row r="1133" spans="3:3" x14ac:dyDescent="0.25">
      <c r="C1133" s="211"/>
    </row>
    <row r="1134" spans="3:3" x14ac:dyDescent="0.25">
      <c r="C1134" s="211"/>
    </row>
    <row r="1135" spans="3:3" x14ac:dyDescent="0.25">
      <c r="C1135" s="211"/>
    </row>
    <row r="1136" spans="3:3" x14ac:dyDescent="0.25">
      <c r="C1136" s="211"/>
    </row>
    <row r="1137" spans="3:3" x14ac:dyDescent="0.25">
      <c r="C1137" s="211"/>
    </row>
    <row r="1138" spans="3:3" x14ac:dyDescent="0.25">
      <c r="C1138" s="211"/>
    </row>
    <row r="1139" spans="3:3" x14ac:dyDescent="0.25">
      <c r="C1139" s="211"/>
    </row>
    <row r="1140" spans="3:3" x14ac:dyDescent="0.25">
      <c r="C1140" s="211"/>
    </row>
    <row r="1141" spans="3:3" x14ac:dyDescent="0.25">
      <c r="C1141" s="211"/>
    </row>
    <row r="1142" spans="3:3" x14ac:dyDescent="0.25">
      <c r="C1142" s="211"/>
    </row>
    <row r="1143" spans="3:3" x14ac:dyDescent="0.25">
      <c r="C1143" s="211"/>
    </row>
    <row r="1144" spans="3:3" x14ac:dyDescent="0.25">
      <c r="C1144" s="211"/>
    </row>
    <row r="1145" spans="3:3" x14ac:dyDescent="0.25">
      <c r="C1145" s="211"/>
    </row>
    <row r="1146" spans="3:3" x14ac:dyDescent="0.25">
      <c r="C1146" s="211"/>
    </row>
    <row r="1147" spans="3:3" x14ac:dyDescent="0.25">
      <c r="C1147" s="211"/>
    </row>
    <row r="1148" spans="3:3" x14ac:dyDescent="0.25">
      <c r="C1148" s="211"/>
    </row>
    <row r="1149" spans="3:3" x14ac:dyDescent="0.25">
      <c r="C1149" s="211"/>
    </row>
    <row r="1150" spans="3:3" x14ac:dyDescent="0.25">
      <c r="C1150" s="211"/>
    </row>
    <row r="1151" spans="3:3" x14ac:dyDescent="0.25">
      <c r="C1151" s="211"/>
    </row>
    <row r="1152" spans="3:3" x14ac:dyDescent="0.25">
      <c r="C1152" s="211"/>
    </row>
    <row r="1153" spans="3:3" x14ac:dyDescent="0.25">
      <c r="C1153" s="211"/>
    </row>
    <row r="1154" spans="3:3" x14ac:dyDescent="0.25">
      <c r="C1154" s="211"/>
    </row>
    <row r="1155" spans="3:3" x14ac:dyDescent="0.25">
      <c r="C1155" s="211"/>
    </row>
    <row r="1156" spans="3:3" x14ac:dyDescent="0.25">
      <c r="C1156" s="211"/>
    </row>
    <row r="1157" spans="3:3" x14ac:dyDescent="0.25">
      <c r="C1157" s="211"/>
    </row>
    <row r="1158" spans="3:3" x14ac:dyDescent="0.25">
      <c r="C1158" s="211"/>
    </row>
    <row r="1159" spans="3:3" x14ac:dyDescent="0.25">
      <c r="C1159" s="211"/>
    </row>
    <row r="1160" spans="3:3" x14ac:dyDescent="0.25">
      <c r="C1160" s="211"/>
    </row>
    <row r="1161" spans="3:3" x14ac:dyDescent="0.25">
      <c r="C1161" s="211"/>
    </row>
    <row r="1162" spans="3:3" x14ac:dyDescent="0.25">
      <c r="C1162" s="211"/>
    </row>
    <row r="1163" spans="3:3" x14ac:dyDescent="0.25">
      <c r="C1163" s="211"/>
    </row>
    <row r="1164" spans="3:3" x14ac:dyDescent="0.25">
      <c r="C1164" s="211"/>
    </row>
    <row r="1165" spans="3:3" x14ac:dyDescent="0.25">
      <c r="C1165" s="211"/>
    </row>
    <row r="1166" spans="3:3" x14ac:dyDescent="0.25">
      <c r="C1166" s="211"/>
    </row>
    <row r="1167" spans="3:3" x14ac:dyDescent="0.25">
      <c r="C1167" s="211"/>
    </row>
    <row r="1168" spans="3:3" x14ac:dyDescent="0.25">
      <c r="C1168" s="211"/>
    </row>
    <row r="1169" spans="3:3" x14ac:dyDescent="0.25">
      <c r="C1169" s="211"/>
    </row>
    <row r="1170" spans="3:3" x14ac:dyDescent="0.25">
      <c r="C1170" s="211"/>
    </row>
    <row r="1171" spans="3:3" x14ac:dyDescent="0.25">
      <c r="C1171" s="211"/>
    </row>
    <row r="1172" spans="3:3" x14ac:dyDescent="0.25">
      <c r="C1172" s="211"/>
    </row>
    <row r="1173" spans="3:3" x14ac:dyDescent="0.25">
      <c r="C1173" s="211"/>
    </row>
    <row r="1174" spans="3:3" x14ac:dyDescent="0.25">
      <c r="C1174" s="211"/>
    </row>
    <row r="1175" spans="3:3" x14ac:dyDescent="0.25">
      <c r="C1175" s="211"/>
    </row>
    <row r="1176" spans="3:3" x14ac:dyDescent="0.25">
      <c r="C1176" s="211"/>
    </row>
    <row r="1177" spans="3:3" x14ac:dyDescent="0.25">
      <c r="C1177" s="211"/>
    </row>
    <row r="1178" spans="3:3" x14ac:dyDescent="0.25">
      <c r="C1178" s="211"/>
    </row>
    <row r="1179" spans="3:3" x14ac:dyDescent="0.25">
      <c r="C1179" s="211"/>
    </row>
    <row r="1180" spans="3:3" x14ac:dyDescent="0.25">
      <c r="C1180" s="211"/>
    </row>
    <row r="1181" spans="3:3" x14ac:dyDescent="0.25">
      <c r="C1181" s="211"/>
    </row>
    <row r="1182" spans="3:3" x14ac:dyDescent="0.25">
      <c r="C1182" s="211"/>
    </row>
    <row r="1183" spans="3:3" x14ac:dyDescent="0.25">
      <c r="C1183" s="211"/>
    </row>
    <row r="1184" spans="3:3" x14ac:dyDescent="0.25">
      <c r="C1184" s="211"/>
    </row>
    <row r="1185" spans="3:3" x14ac:dyDescent="0.25">
      <c r="C1185" s="211"/>
    </row>
    <row r="1186" spans="3:3" x14ac:dyDescent="0.25">
      <c r="C1186" s="211"/>
    </row>
    <row r="1187" spans="3:3" x14ac:dyDescent="0.25">
      <c r="C1187" s="211"/>
    </row>
    <row r="1188" spans="3:3" x14ac:dyDescent="0.25">
      <c r="C1188" s="211"/>
    </row>
    <row r="1189" spans="3:3" x14ac:dyDescent="0.25">
      <c r="C1189" s="211"/>
    </row>
    <row r="1190" spans="3:3" x14ac:dyDescent="0.25">
      <c r="C1190" s="211"/>
    </row>
    <row r="1191" spans="3:3" x14ac:dyDescent="0.25">
      <c r="C1191" s="211"/>
    </row>
    <row r="1192" spans="3:3" x14ac:dyDescent="0.25">
      <c r="C1192" s="211"/>
    </row>
    <row r="1193" spans="3:3" x14ac:dyDescent="0.25">
      <c r="C1193" s="211"/>
    </row>
    <row r="1194" spans="3:3" x14ac:dyDescent="0.25">
      <c r="C1194" s="211"/>
    </row>
    <row r="1195" spans="3:3" x14ac:dyDescent="0.25">
      <c r="C1195" s="211"/>
    </row>
    <row r="1196" spans="3:3" x14ac:dyDescent="0.25">
      <c r="C1196" s="211"/>
    </row>
    <row r="1197" spans="3:3" x14ac:dyDescent="0.25">
      <c r="C1197" s="211"/>
    </row>
    <row r="1198" spans="3:3" x14ac:dyDescent="0.25">
      <c r="C1198" s="211"/>
    </row>
    <row r="1199" spans="3:3" x14ac:dyDescent="0.25">
      <c r="C1199" s="211"/>
    </row>
    <row r="1200" spans="3:3" x14ac:dyDescent="0.25">
      <c r="C1200" s="211"/>
    </row>
    <row r="1201" spans="3:3" x14ac:dyDescent="0.25">
      <c r="C1201" s="211"/>
    </row>
    <row r="1202" spans="3:3" x14ac:dyDescent="0.25">
      <c r="C1202" s="211"/>
    </row>
    <row r="1203" spans="3:3" x14ac:dyDescent="0.25">
      <c r="C1203" s="211"/>
    </row>
    <row r="1204" spans="3:3" x14ac:dyDescent="0.25">
      <c r="C1204" s="211"/>
    </row>
    <row r="1205" spans="3:3" x14ac:dyDescent="0.25">
      <c r="C1205" s="211"/>
    </row>
    <row r="1206" spans="3:3" x14ac:dyDescent="0.25">
      <c r="C1206" s="211"/>
    </row>
    <row r="1207" spans="3:3" x14ac:dyDescent="0.25">
      <c r="C1207" s="211"/>
    </row>
    <row r="1208" spans="3:3" x14ac:dyDescent="0.25">
      <c r="C1208" s="211"/>
    </row>
    <row r="1209" spans="3:3" x14ac:dyDescent="0.25">
      <c r="C1209" s="211"/>
    </row>
    <row r="1210" spans="3:3" x14ac:dyDescent="0.25">
      <c r="C1210" s="211"/>
    </row>
    <row r="1211" spans="3:3" x14ac:dyDescent="0.25">
      <c r="C1211" s="211"/>
    </row>
    <row r="1212" spans="3:3" x14ac:dyDescent="0.25">
      <c r="C1212" s="211"/>
    </row>
    <row r="1213" spans="3:3" x14ac:dyDescent="0.25">
      <c r="C1213" s="211"/>
    </row>
    <row r="1214" spans="3:3" x14ac:dyDescent="0.25">
      <c r="C1214" s="211"/>
    </row>
    <row r="1215" spans="3:3" x14ac:dyDescent="0.25">
      <c r="C1215" s="211"/>
    </row>
    <row r="1216" spans="3:3" x14ac:dyDescent="0.25">
      <c r="C1216" s="211"/>
    </row>
    <row r="1217" spans="3:3" x14ac:dyDescent="0.25">
      <c r="C1217" s="211"/>
    </row>
    <row r="1218" spans="3:3" x14ac:dyDescent="0.25">
      <c r="C1218" s="211"/>
    </row>
    <row r="1219" spans="3:3" x14ac:dyDescent="0.25">
      <c r="C1219" s="211"/>
    </row>
    <row r="1220" spans="3:3" x14ac:dyDescent="0.25">
      <c r="C1220" s="211"/>
    </row>
    <row r="1221" spans="3:3" x14ac:dyDescent="0.25">
      <c r="C1221" s="211"/>
    </row>
    <row r="1222" spans="3:3" x14ac:dyDescent="0.25">
      <c r="C1222" s="211"/>
    </row>
    <row r="1223" spans="3:3" x14ac:dyDescent="0.25">
      <c r="C1223" s="211"/>
    </row>
    <row r="1224" spans="3:3" x14ac:dyDescent="0.25">
      <c r="C1224" s="211"/>
    </row>
    <row r="1225" spans="3:3" x14ac:dyDescent="0.25">
      <c r="C1225" s="211"/>
    </row>
    <row r="1226" spans="3:3" x14ac:dyDescent="0.25">
      <c r="C1226" s="211"/>
    </row>
    <row r="1227" spans="3:3" x14ac:dyDescent="0.25">
      <c r="C1227" s="211"/>
    </row>
    <row r="1228" spans="3:3" x14ac:dyDescent="0.25">
      <c r="C1228" s="211"/>
    </row>
    <row r="1229" spans="3:3" x14ac:dyDescent="0.25">
      <c r="C1229" s="211"/>
    </row>
    <row r="1230" spans="3:3" x14ac:dyDescent="0.25">
      <c r="C1230" s="211"/>
    </row>
    <row r="1231" spans="3:3" x14ac:dyDescent="0.25">
      <c r="C1231" s="211"/>
    </row>
    <row r="1232" spans="3:3" x14ac:dyDescent="0.25">
      <c r="C1232" s="211"/>
    </row>
    <row r="1233" spans="3:3" x14ac:dyDescent="0.25">
      <c r="C1233" s="211"/>
    </row>
    <row r="1234" spans="3:3" x14ac:dyDescent="0.25">
      <c r="C1234" s="211"/>
    </row>
    <row r="1235" spans="3:3" x14ac:dyDescent="0.25">
      <c r="C1235" s="211"/>
    </row>
    <row r="1236" spans="3:3" x14ac:dyDescent="0.25">
      <c r="C1236" s="211"/>
    </row>
    <row r="1237" spans="3:3" x14ac:dyDescent="0.25">
      <c r="C1237" s="211"/>
    </row>
    <row r="1238" spans="3:3" x14ac:dyDescent="0.25">
      <c r="C1238" s="211"/>
    </row>
    <row r="1239" spans="3:3" x14ac:dyDescent="0.25">
      <c r="C1239" s="211"/>
    </row>
    <row r="1240" spans="3:3" x14ac:dyDescent="0.25">
      <c r="C1240" s="211"/>
    </row>
    <row r="1241" spans="3:3" x14ac:dyDescent="0.25">
      <c r="C1241" s="211"/>
    </row>
    <row r="1242" spans="3:3" x14ac:dyDescent="0.25">
      <c r="C1242" s="211"/>
    </row>
    <row r="1243" spans="3:3" x14ac:dyDescent="0.25">
      <c r="C1243" s="211"/>
    </row>
    <row r="1244" spans="3:3" x14ac:dyDescent="0.25">
      <c r="C1244" s="211"/>
    </row>
    <row r="1245" spans="3:3" x14ac:dyDescent="0.25">
      <c r="C1245" s="211"/>
    </row>
    <row r="1246" spans="3:3" x14ac:dyDescent="0.25">
      <c r="C1246" s="211"/>
    </row>
    <row r="1247" spans="3:3" x14ac:dyDescent="0.25">
      <c r="C1247" s="211"/>
    </row>
    <row r="1248" spans="3:3" x14ac:dyDescent="0.25">
      <c r="C1248" s="211"/>
    </row>
    <row r="1249" spans="3:3" x14ac:dyDescent="0.25">
      <c r="C1249" s="211"/>
    </row>
    <row r="1250" spans="3:3" x14ac:dyDescent="0.25">
      <c r="C1250" s="211"/>
    </row>
    <row r="1251" spans="3:3" x14ac:dyDescent="0.25">
      <c r="C1251" s="211"/>
    </row>
    <row r="1252" spans="3:3" x14ac:dyDescent="0.25">
      <c r="C1252" s="211"/>
    </row>
    <row r="1253" spans="3:3" x14ac:dyDescent="0.25">
      <c r="C1253" s="211"/>
    </row>
    <row r="1254" spans="3:3" x14ac:dyDescent="0.25">
      <c r="C1254" s="211"/>
    </row>
    <row r="1255" spans="3:3" x14ac:dyDescent="0.25">
      <c r="C1255" s="211"/>
    </row>
    <row r="1256" spans="3:3" x14ac:dyDescent="0.25">
      <c r="C1256" s="211"/>
    </row>
    <row r="1257" spans="3:3" x14ac:dyDescent="0.25">
      <c r="C1257" s="211"/>
    </row>
    <row r="1258" spans="3:3" x14ac:dyDescent="0.25">
      <c r="C1258" s="211"/>
    </row>
    <row r="1259" spans="3:3" x14ac:dyDescent="0.25">
      <c r="C1259" s="211"/>
    </row>
    <row r="1260" spans="3:3" x14ac:dyDescent="0.25">
      <c r="C1260" s="211"/>
    </row>
    <row r="1261" spans="3:3" x14ac:dyDescent="0.25">
      <c r="C1261" s="211"/>
    </row>
    <row r="1262" spans="3:3" x14ac:dyDescent="0.25">
      <c r="C1262" s="211"/>
    </row>
    <row r="1263" spans="3:3" x14ac:dyDescent="0.25">
      <c r="C1263" s="211"/>
    </row>
    <row r="1264" spans="3:3" x14ac:dyDescent="0.25">
      <c r="C1264" s="211"/>
    </row>
    <row r="1265" spans="3:3" x14ac:dyDescent="0.25">
      <c r="C1265" s="211"/>
    </row>
    <row r="1266" spans="3:3" x14ac:dyDescent="0.25">
      <c r="C1266" s="211"/>
    </row>
    <row r="1267" spans="3:3" x14ac:dyDescent="0.25">
      <c r="C1267" s="211"/>
    </row>
    <row r="1268" spans="3:3" x14ac:dyDescent="0.25">
      <c r="C1268" s="211"/>
    </row>
    <row r="1269" spans="3:3" x14ac:dyDescent="0.25">
      <c r="C1269" s="211"/>
    </row>
    <row r="1270" spans="3:3" x14ac:dyDescent="0.25">
      <c r="C1270" s="211"/>
    </row>
    <row r="1271" spans="3:3" x14ac:dyDescent="0.25">
      <c r="C1271" s="211"/>
    </row>
    <row r="1272" spans="3:3" x14ac:dyDescent="0.25">
      <c r="C1272" s="211"/>
    </row>
    <row r="1273" spans="3:3" x14ac:dyDescent="0.25">
      <c r="C1273" s="211"/>
    </row>
    <row r="1274" spans="3:3" x14ac:dyDescent="0.25">
      <c r="C1274" s="211"/>
    </row>
    <row r="1275" spans="3:3" x14ac:dyDescent="0.25">
      <c r="C1275" s="211"/>
    </row>
    <row r="1276" spans="3:3" x14ac:dyDescent="0.25">
      <c r="C1276" s="211"/>
    </row>
    <row r="1277" spans="3:3" x14ac:dyDescent="0.25">
      <c r="C1277" s="211"/>
    </row>
    <row r="1278" spans="3:3" x14ac:dyDescent="0.25">
      <c r="C1278" s="211"/>
    </row>
    <row r="1279" spans="3:3" x14ac:dyDescent="0.25">
      <c r="C1279" s="211"/>
    </row>
    <row r="1280" spans="3:3" x14ac:dyDescent="0.25">
      <c r="C1280" s="211"/>
    </row>
    <row r="1281" spans="3:3" x14ac:dyDescent="0.25">
      <c r="C1281" s="211"/>
    </row>
    <row r="1282" spans="3:3" x14ac:dyDescent="0.25">
      <c r="C1282" s="211"/>
    </row>
    <row r="1283" spans="3:3" x14ac:dyDescent="0.25">
      <c r="C1283" s="211"/>
    </row>
    <row r="1284" spans="3:3" x14ac:dyDescent="0.25">
      <c r="C1284" s="211"/>
    </row>
    <row r="1285" spans="3:3" x14ac:dyDescent="0.25">
      <c r="C1285" s="211"/>
    </row>
    <row r="1286" spans="3:3" x14ac:dyDescent="0.25">
      <c r="C1286" s="211"/>
    </row>
    <row r="1287" spans="3:3" x14ac:dyDescent="0.25">
      <c r="C1287" s="211"/>
    </row>
    <row r="1288" spans="3:3" x14ac:dyDescent="0.25">
      <c r="C1288" s="211"/>
    </row>
    <row r="1289" spans="3:3" x14ac:dyDescent="0.25">
      <c r="C1289" s="211"/>
    </row>
    <row r="1290" spans="3:3" x14ac:dyDescent="0.25">
      <c r="C1290" s="211"/>
    </row>
    <row r="1291" spans="3:3" x14ac:dyDescent="0.25">
      <c r="C1291" s="211"/>
    </row>
    <row r="1292" spans="3:3" x14ac:dyDescent="0.25">
      <c r="C1292" s="211"/>
    </row>
    <row r="1293" spans="3:3" x14ac:dyDescent="0.25">
      <c r="C1293" s="211"/>
    </row>
    <row r="1294" spans="3:3" x14ac:dyDescent="0.25">
      <c r="C1294" s="211"/>
    </row>
    <row r="1295" spans="3:3" x14ac:dyDescent="0.25">
      <c r="C1295" s="211"/>
    </row>
    <row r="1296" spans="3:3" x14ac:dyDescent="0.25">
      <c r="C1296" s="211"/>
    </row>
    <row r="1297" spans="3:3" x14ac:dyDescent="0.25">
      <c r="C1297" s="211"/>
    </row>
    <row r="1298" spans="3:3" x14ac:dyDescent="0.25">
      <c r="C1298" s="211"/>
    </row>
    <row r="1299" spans="3:3" x14ac:dyDescent="0.25">
      <c r="C1299" s="211"/>
    </row>
    <row r="1300" spans="3:3" x14ac:dyDescent="0.25">
      <c r="C1300" s="211"/>
    </row>
    <row r="1301" spans="3:3" x14ac:dyDescent="0.25">
      <c r="C1301" s="211"/>
    </row>
    <row r="1302" spans="3:3" x14ac:dyDescent="0.25">
      <c r="C1302" s="211"/>
    </row>
    <row r="1303" spans="3:3" x14ac:dyDescent="0.25">
      <c r="C1303" s="211"/>
    </row>
    <row r="1304" spans="3:3" x14ac:dyDescent="0.25">
      <c r="C1304" s="211"/>
    </row>
    <row r="1305" spans="3:3" x14ac:dyDescent="0.25">
      <c r="C1305" s="211"/>
    </row>
    <row r="1306" spans="3:3" x14ac:dyDescent="0.25">
      <c r="C1306" s="211"/>
    </row>
    <row r="1307" spans="3:3" x14ac:dyDescent="0.25">
      <c r="C1307" s="211"/>
    </row>
    <row r="1308" spans="3:3" x14ac:dyDescent="0.25">
      <c r="C1308" s="211"/>
    </row>
    <row r="1309" spans="3:3" x14ac:dyDescent="0.25">
      <c r="C1309" s="211"/>
    </row>
    <row r="1310" spans="3:3" x14ac:dyDescent="0.25">
      <c r="C1310" s="211"/>
    </row>
    <row r="1311" spans="3:3" x14ac:dyDescent="0.25">
      <c r="C1311" s="211"/>
    </row>
    <row r="1312" spans="3:3" x14ac:dyDescent="0.25">
      <c r="C1312" s="211"/>
    </row>
    <row r="1313" spans="3:3" x14ac:dyDescent="0.25">
      <c r="C1313" s="211"/>
    </row>
    <row r="1314" spans="3:3" x14ac:dyDescent="0.25">
      <c r="C1314" s="211"/>
    </row>
    <row r="1315" spans="3:3" x14ac:dyDescent="0.25">
      <c r="C1315" s="211"/>
    </row>
    <row r="1316" spans="3:3" x14ac:dyDescent="0.25">
      <c r="C1316" s="211"/>
    </row>
    <row r="1317" spans="3:3" x14ac:dyDescent="0.25">
      <c r="C1317" s="211"/>
    </row>
    <row r="1318" spans="3:3" x14ac:dyDescent="0.25">
      <c r="C1318" s="211"/>
    </row>
    <row r="1319" spans="3:3" x14ac:dyDescent="0.25">
      <c r="C1319" s="211"/>
    </row>
    <row r="1320" spans="3:3" x14ac:dyDescent="0.25">
      <c r="C1320" s="211"/>
    </row>
    <row r="1321" spans="3:3" x14ac:dyDescent="0.25">
      <c r="C1321" s="211"/>
    </row>
    <row r="1322" spans="3:3" x14ac:dyDescent="0.25">
      <c r="C1322" s="211"/>
    </row>
    <row r="1323" spans="3:3" x14ac:dyDescent="0.25">
      <c r="C1323" s="211"/>
    </row>
    <row r="1324" spans="3:3" x14ac:dyDescent="0.25">
      <c r="C1324" s="211"/>
    </row>
    <row r="1325" spans="3:3" x14ac:dyDescent="0.25">
      <c r="C1325" s="211"/>
    </row>
    <row r="1326" spans="3:3" x14ac:dyDescent="0.25">
      <c r="C1326" s="211"/>
    </row>
    <row r="1327" spans="3:3" x14ac:dyDescent="0.25">
      <c r="C1327" s="211"/>
    </row>
    <row r="1328" spans="3:3" x14ac:dyDescent="0.25">
      <c r="C1328" s="211"/>
    </row>
    <row r="1329" spans="3:3" x14ac:dyDescent="0.25">
      <c r="C1329" s="211"/>
    </row>
    <row r="1330" spans="3:3" x14ac:dyDescent="0.25">
      <c r="C1330" s="211"/>
    </row>
    <row r="1331" spans="3:3" x14ac:dyDescent="0.25">
      <c r="C1331" s="211"/>
    </row>
    <row r="1332" spans="3:3" x14ac:dyDescent="0.25">
      <c r="C1332" s="211"/>
    </row>
    <row r="1333" spans="3:3" x14ac:dyDescent="0.25">
      <c r="C1333" s="211"/>
    </row>
    <row r="1334" spans="3:3" x14ac:dyDescent="0.25">
      <c r="C1334" s="211"/>
    </row>
    <row r="1335" spans="3:3" x14ac:dyDescent="0.25">
      <c r="C1335" s="211"/>
    </row>
    <row r="1336" spans="3:3" x14ac:dyDescent="0.25">
      <c r="C1336" s="211"/>
    </row>
    <row r="1337" spans="3:3" x14ac:dyDescent="0.25">
      <c r="C1337" s="211"/>
    </row>
    <row r="1338" spans="3:3" x14ac:dyDescent="0.25">
      <c r="C1338" s="211"/>
    </row>
    <row r="1339" spans="3:3" x14ac:dyDescent="0.25">
      <c r="C1339" s="211"/>
    </row>
    <row r="1340" spans="3:3" x14ac:dyDescent="0.25">
      <c r="C1340" s="211"/>
    </row>
    <row r="1341" spans="3:3" x14ac:dyDescent="0.25">
      <c r="C1341" s="211"/>
    </row>
    <row r="1342" spans="3:3" x14ac:dyDescent="0.25">
      <c r="C1342" s="211"/>
    </row>
    <row r="1343" spans="3:3" x14ac:dyDescent="0.25">
      <c r="C1343" s="211"/>
    </row>
    <row r="1344" spans="3:3" x14ac:dyDescent="0.25">
      <c r="C1344" s="211"/>
    </row>
    <row r="1345" spans="3:3" x14ac:dyDescent="0.25">
      <c r="C1345" s="211"/>
    </row>
    <row r="1346" spans="3:3" x14ac:dyDescent="0.25">
      <c r="C1346" s="211"/>
    </row>
    <row r="1347" spans="3:3" x14ac:dyDescent="0.25">
      <c r="C1347" s="211"/>
    </row>
    <row r="1348" spans="3:3" x14ac:dyDescent="0.25">
      <c r="C1348" s="211"/>
    </row>
    <row r="1349" spans="3:3" x14ac:dyDescent="0.25">
      <c r="C1349" s="211"/>
    </row>
    <row r="1350" spans="3:3" x14ac:dyDescent="0.25">
      <c r="C1350" s="211"/>
    </row>
    <row r="1351" spans="3:3" x14ac:dyDescent="0.25">
      <c r="C1351" s="211"/>
    </row>
    <row r="1352" spans="3:3" x14ac:dyDescent="0.25">
      <c r="C1352" s="211"/>
    </row>
    <row r="1353" spans="3:3" x14ac:dyDescent="0.25">
      <c r="C1353" s="211"/>
    </row>
    <row r="1354" spans="3:3" x14ac:dyDescent="0.25">
      <c r="C1354" s="211"/>
    </row>
    <row r="1355" spans="3:3" x14ac:dyDescent="0.25">
      <c r="C1355" s="211"/>
    </row>
    <row r="1356" spans="3:3" x14ac:dyDescent="0.25">
      <c r="C1356" s="211"/>
    </row>
    <row r="1357" spans="3:3" x14ac:dyDescent="0.25">
      <c r="C1357" s="211"/>
    </row>
    <row r="1358" spans="3:3" x14ac:dyDescent="0.25">
      <c r="C1358" s="211"/>
    </row>
    <row r="1359" spans="3:3" x14ac:dyDescent="0.25">
      <c r="C1359" s="211"/>
    </row>
    <row r="1360" spans="3:3" x14ac:dyDescent="0.25">
      <c r="C1360" s="211"/>
    </row>
    <row r="1361" spans="3:3" x14ac:dyDescent="0.25">
      <c r="C1361" s="211"/>
    </row>
    <row r="1362" spans="3:3" x14ac:dyDescent="0.25">
      <c r="C1362" s="211"/>
    </row>
    <row r="1363" spans="3:3" x14ac:dyDescent="0.25">
      <c r="C1363" s="211"/>
    </row>
    <row r="1364" spans="3:3" x14ac:dyDescent="0.25">
      <c r="C1364" s="211"/>
    </row>
    <row r="1365" spans="3:3" x14ac:dyDescent="0.25">
      <c r="C1365" s="211"/>
    </row>
    <row r="1366" spans="3:3" x14ac:dyDescent="0.25">
      <c r="C1366" s="211"/>
    </row>
    <row r="1367" spans="3:3" x14ac:dyDescent="0.25">
      <c r="C1367" s="211"/>
    </row>
    <row r="1368" spans="3:3" x14ac:dyDescent="0.25">
      <c r="C1368" s="211"/>
    </row>
    <row r="1369" spans="3:3" x14ac:dyDescent="0.25">
      <c r="C1369" s="211"/>
    </row>
    <row r="1370" spans="3:3" x14ac:dyDescent="0.25">
      <c r="C1370" s="211"/>
    </row>
    <row r="1371" spans="3:3" x14ac:dyDescent="0.25">
      <c r="C1371" s="211"/>
    </row>
    <row r="1372" spans="3:3" x14ac:dyDescent="0.25">
      <c r="C1372" s="211"/>
    </row>
    <row r="1373" spans="3:3" x14ac:dyDescent="0.25">
      <c r="C1373" s="211"/>
    </row>
    <row r="1374" spans="3:3" x14ac:dyDescent="0.25">
      <c r="C1374" s="211"/>
    </row>
    <row r="1375" spans="3:3" x14ac:dyDescent="0.25">
      <c r="C1375" s="211"/>
    </row>
    <row r="1376" spans="3:3" x14ac:dyDescent="0.25">
      <c r="C1376" s="211"/>
    </row>
    <row r="1377" spans="3:3" x14ac:dyDescent="0.25">
      <c r="C1377" s="211"/>
    </row>
    <row r="1378" spans="3:3" x14ac:dyDescent="0.25">
      <c r="C1378" s="211"/>
    </row>
    <row r="1379" spans="3:3" x14ac:dyDescent="0.25">
      <c r="C1379" s="211"/>
    </row>
    <row r="1380" spans="3:3" x14ac:dyDescent="0.25">
      <c r="C1380" s="211"/>
    </row>
    <row r="1381" spans="3:3" x14ac:dyDescent="0.25">
      <c r="C1381" s="211"/>
    </row>
    <row r="1382" spans="3:3" x14ac:dyDescent="0.25">
      <c r="C1382" s="211"/>
    </row>
    <row r="1383" spans="3:3" x14ac:dyDescent="0.25">
      <c r="C1383" s="211"/>
    </row>
    <row r="1384" spans="3:3" x14ac:dyDescent="0.25">
      <c r="C1384" s="211"/>
    </row>
    <row r="1385" spans="3:3" x14ac:dyDescent="0.25">
      <c r="C1385" s="211"/>
    </row>
    <row r="1386" spans="3:3" x14ac:dyDescent="0.25">
      <c r="C1386" s="211"/>
    </row>
    <row r="1387" spans="3:3" x14ac:dyDescent="0.25">
      <c r="C1387" s="211"/>
    </row>
    <row r="1388" spans="3:3" x14ac:dyDescent="0.25">
      <c r="C1388" s="211"/>
    </row>
    <row r="1389" spans="3:3" x14ac:dyDescent="0.25">
      <c r="C1389" s="211"/>
    </row>
    <row r="1390" spans="3:3" x14ac:dyDescent="0.25">
      <c r="C1390" s="211"/>
    </row>
    <row r="1391" spans="3:3" x14ac:dyDescent="0.25">
      <c r="C1391" s="211"/>
    </row>
    <row r="1392" spans="3:3" x14ac:dyDescent="0.25">
      <c r="C1392" s="211"/>
    </row>
    <row r="1393" spans="3:3" x14ac:dyDescent="0.25">
      <c r="C1393" s="211"/>
    </row>
    <row r="1394" spans="3:3" x14ac:dyDescent="0.25">
      <c r="C1394" s="211"/>
    </row>
    <row r="1395" spans="3:3" x14ac:dyDescent="0.25">
      <c r="C1395" s="211"/>
    </row>
    <row r="1396" spans="3:3" x14ac:dyDescent="0.25">
      <c r="C1396" s="211"/>
    </row>
    <row r="1397" spans="3:3" x14ac:dyDescent="0.25">
      <c r="C1397" s="211"/>
    </row>
    <row r="1398" spans="3:3" x14ac:dyDescent="0.25">
      <c r="C1398" s="211"/>
    </row>
    <row r="1399" spans="3:3" x14ac:dyDescent="0.25">
      <c r="C1399" s="211"/>
    </row>
    <row r="1400" spans="3:3" x14ac:dyDescent="0.25">
      <c r="C1400" s="211"/>
    </row>
    <row r="1401" spans="3:3" x14ac:dyDescent="0.25">
      <c r="C1401" s="211"/>
    </row>
    <row r="1402" spans="3:3" x14ac:dyDescent="0.25">
      <c r="C1402" s="211"/>
    </row>
    <row r="1403" spans="3:3" x14ac:dyDescent="0.25">
      <c r="C1403" s="211"/>
    </row>
    <row r="1404" spans="3:3" x14ac:dyDescent="0.25">
      <c r="C1404" s="211"/>
    </row>
    <row r="1405" spans="3:3" x14ac:dyDescent="0.25">
      <c r="C1405" s="211"/>
    </row>
    <row r="1406" spans="3:3" x14ac:dyDescent="0.25">
      <c r="C1406" s="211"/>
    </row>
    <row r="1407" spans="3:3" x14ac:dyDescent="0.25">
      <c r="C1407" s="211"/>
    </row>
    <row r="1408" spans="3:3" x14ac:dyDescent="0.25">
      <c r="C1408" s="211"/>
    </row>
    <row r="1409" spans="3:3" x14ac:dyDescent="0.25">
      <c r="C1409" s="211"/>
    </row>
    <row r="1410" spans="3:3" x14ac:dyDescent="0.25">
      <c r="C1410" s="211"/>
    </row>
    <row r="1411" spans="3:3" x14ac:dyDescent="0.25">
      <c r="C1411" s="211"/>
    </row>
    <row r="1412" spans="3:3" x14ac:dyDescent="0.25">
      <c r="C1412" s="211"/>
    </row>
    <row r="1413" spans="3:3" x14ac:dyDescent="0.25">
      <c r="C1413" s="211"/>
    </row>
    <row r="1414" spans="3:3" x14ac:dyDescent="0.25">
      <c r="C1414" s="211"/>
    </row>
    <row r="1415" spans="3:3" x14ac:dyDescent="0.25">
      <c r="C1415" s="211"/>
    </row>
    <row r="1416" spans="3:3" x14ac:dyDescent="0.25">
      <c r="C1416" s="211"/>
    </row>
    <row r="1417" spans="3:3" x14ac:dyDescent="0.25">
      <c r="C1417" s="211"/>
    </row>
    <row r="1418" spans="3:3" x14ac:dyDescent="0.25">
      <c r="C1418" s="211"/>
    </row>
    <row r="1419" spans="3:3" x14ac:dyDescent="0.25">
      <c r="C1419" s="211"/>
    </row>
    <row r="1420" spans="3:3" x14ac:dyDescent="0.25">
      <c r="C1420" s="211"/>
    </row>
    <row r="1421" spans="3:3" x14ac:dyDescent="0.25">
      <c r="C1421" s="211"/>
    </row>
    <row r="1422" spans="3:3" x14ac:dyDescent="0.25">
      <c r="C1422" s="211"/>
    </row>
    <row r="1423" spans="3:3" x14ac:dyDescent="0.25">
      <c r="C1423" s="211"/>
    </row>
    <row r="1424" spans="3:3" x14ac:dyDescent="0.25">
      <c r="C1424" s="211"/>
    </row>
    <row r="1425" spans="3:3" x14ac:dyDescent="0.25">
      <c r="C1425" s="211"/>
    </row>
    <row r="1426" spans="3:3" x14ac:dyDescent="0.25">
      <c r="C1426" s="211"/>
    </row>
    <row r="1427" spans="3:3" x14ac:dyDescent="0.25">
      <c r="C1427" s="211"/>
    </row>
    <row r="1428" spans="3:3" x14ac:dyDescent="0.25">
      <c r="C1428" s="211"/>
    </row>
    <row r="1429" spans="3:3" x14ac:dyDescent="0.25">
      <c r="C1429" s="211"/>
    </row>
    <row r="1430" spans="3:3" x14ac:dyDescent="0.25">
      <c r="C1430" s="211"/>
    </row>
    <row r="1431" spans="3:3" x14ac:dyDescent="0.25">
      <c r="C1431" s="211"/>
    </row>
    <row r="1432" spans="3:3" x14ac:dyDescent="0.25">
      <c r="C1432" s="211"/>
    </row>
    <row r="1433" spans="3:3" x14ac:dyDescent="0.25">
      <c r="C1433" s="211"/>
    </row>
    <row r="1434" spans="3:3" x14ac:dyDescent="0.25">
      <c r="C1434" s="211"/>
    </row>
    <row r="1435" spans="3:3" x14ac:dyDescent="0.25">
      <c r="C1435" s="211"/>
    </row>
    <row r="1436" spans="3:3" x14ac:dyDescent="0.25">
      <c r="C1436" s="211"/>
    </row>
    <row r="1437" spans="3:3" x14ac:dyDescent="0.25">
      <c r="C1437" s="211"/>
    </row>
    <row r="1438" spans="3:3" x14ac:dyDescent="0.25">
      <c r="C1438" s="211"/>
    </row>
    <row r="1439" spans="3:3" x14ac:dyDescent="0.25">
      <c r="C1439" s="211"/>
    </row>
    <row r="1440" spans="3:3" x14ac:dyDescent="0.25">
      <c r="C1440" s="211"/>
    </row>
    <row r="1441" spans="3:3" x14ac:dyDescent="0.25">
      <c r="C1441" s="211"/>
    </row>
    <row r="1442" spans="3:3" x14ac:dyDescent="0.25">
      <c r="C1442" s="211"/>
    </row>
    <row r="1443" spans="3:3" x14ac:dyDescent="0.25">
      <c r="C1443" s="211"/>
    </row>
    <row r="1444" spans="3:3" x14ac:dyDescent="0.25">
      <c r="C1444" s="211"/>
    </row>
    <row r="1445" spans="3:3" x14ac:dyDescent="0.25">
      <c r="C1445" s="211"/>
    </row>
    <row r="1446" spans="3:3" x14ac:dyDescent="0.25">
      <c r="C1446" s="211"/>
    </row>
    <row r="1447" spans="3:3" x14ac:dyDescent="0.25">
      <c r="C1447" s="211"/>
    </row>
    <row r="1448" spans="3:3" x14ac:dyDescent="0.25">
      <c r="C1448" s="211"/>
    </row>
    <row r="1449" spans="3:3" x14ac:dyDescent="0.25">
      <c r="C1449" s="211"/>
    </row>
    <row r="1450" spans="3:3" x14ac:dyDescent="0.25">
      <c r="C1450" s="211"/>
    </row>
    <row r="1451" spans="3:3" x14ac:dyDescent="0.25">
      <c r="C1451" s="211"/>
    </row>
    <row r="1452" spans="3:3" x14ac:dyDescent="0.25">
      <c r="C1452" s="211"/>
    </row>
    <row r="1453" spans="3:3" x14ac:dyDescent="0.25">
      <c r="C1453" s="211"/>
    </row>
    <row r="1454" spans="3:3" x14ac:dyDescent="0.25">
      <c r="C1454" s="211"/>
    </row>
    <row r="1455" spans="3:3" x14ac:dyDescent="0.25">
      <c r="C1455" s="211"/>
    </row>
    <row r="1456" spans="3:3" x14ac:dyDescent="0.25">
      <c r="C1456" s="211"/>
    </row>
    <row r="1457" spans="3:3" x14ac:dyDescent="0.25">
      <c r="C1457" s="211"/>
    </row>
    <row r="1458" spans="3:3" x14ac:dyDescent="0.25">
      <c r="C1458" s="211"/>
    </row>
    <row r="1459" spans="3:3" x14ac:dyDescent="0.25">
      <c r="C1459" s="211"/>
    </row>
    <row r="1460" spans="3:3" x14ac:dyDescent="0.25">
      <c r="C1460" s="211"/>
    </row>
    <row r="1461" spans="3:3" x14ac:dyDescent="0.25">
      <c r="C1461" s="211"/>
    </row>
    <row r="1462" spans="3:3" x14ac:dyDescent="0.25">
      <c r="C1462" s="211"/>
    </row>
    <row r="1463" spans="3:3" x14ac:dyDescent="0.25">
      <c r="C1463" s="211"/>
    </row>
    <row r="1464" spans="3:3" x14ac:dyDescent="0.25">
      <c r="C1464" s="211"/>
    </row>
    <row r="1465" spans="3:3" x14ac:dyDescent="0.25">
      <c r="C1465" s="211"/>
    </row>
    <row r="1466" spans="3:3" x14ac:dyDescent="0.25">
      <c r="C1466" s="211"/>
    </row>
    <row r="1467" spans="3:3" x14ac:dyDescent="0.25">
      <c r="C1467" s="211"/>
    </row>
    <row r="1468" spans="3:3" x14ac:dyDescent="0.25">
      <c r="C1468" s="211"/>
    </row>
    <row r="1469" spans="3:3" x14ac:dyDescent="0.25">
      <c r="C1469" s="211"/>
    </row>
    <row r="1470" spans="3:3" x14ac:dyDescent="0.25">
      <c r="C1470" s="211"/>
    </row>
    <row r="1471" spans="3:3" x14ac:dyDescent="0.25">
      <c r="C1471" s="211"/>
    </row>
    <row r="1472" spans="3:3" x14ac:dyDescent="0.25">
      <c r="C1472" s="211"/>
    </row>
    <row r="1473" spans="3:3" x14ac:dyDescent="0.25">
      <c r="C1473" s="211"/>
    </row>
    <row r="1474" spans="3:3" x14ac:dyDescent="0.25">
      <c r="C1474" s="211"/>
    </row>
    <row r="1475" spans="3:3" x14ac:dyDescent="0.25">
      <c r="C1475" s="211"/>
    </row>
    <row r="1476" spans="3:3" x14ac:dyDescent="0.25">
      <c r="C1476" s="211"/>
    </row>
    <row r="1477" spans="3:3" x14ac:dyDescent="0.25">
      <c r="C1477" s="211"/>
    </row>
    <row r="1478" spans="3:3" x14ac:dyDescent="0.25">
      <c r="C1478" s="211"/>
    </row>
    <row r="1479" spans="3:3" x14ac:dyDescent="0.25">
      <c r="C1479" s="211"/>
    </row>
    <row r="1480" spans="3:3" x14ac:dyDescent="0.25">
      <c r="C1480" s="211"/>
    </row>
    <row r="1481" spans="3:3" x14ac:dyDescent="0.25">
      <c r="C1481" s="211"/>
    </row>
    <row r="1482" spans="3:3" x14ac:dyDescent="0.25">
      <c r="C1482" s="211"/>
    </row>
    <row r="1483" spans="3:3" x14ac:dyDescent="0.25">
      <c r="C1483" s="211"/>
    </row>
    <row r="1484" spans="3:3" x14ac:dyDescent="0.25">
      <c r="C1484" s="211"/>
    </row>
    <row r="1485" spans="3:3" x14ac:dyDescent="0.25">
      <c r="C1485" s="211"/>
    </row>
    <row r="1486" spans="3:3" x14ac:dyDescent="0.25">
      <c r="C1486" s="211"/>
    </row>
    <row r="1487" spans="3:3" x14ac:dyDescent="0.25">
      <c r="C1487" s="211"/>
    </row>
    <row r="1488" spans="3:3" x14ac:dyDescent="0.25">
      <c r="C1488" s="211"/>
    </row>
    <row r="1489" spans="3:3" x14ac:dyDescent="0.25">
      <c r="C1489" s="211"/>
    </row>
    <row r="1490" spans="3:3" x14ac:dyDescent="0.25">
      <c r="C1490" s="211"/>
    </row>
    <row r="1491" spans="3:3" x14ac:dyDescent="0.25">
      <c r="C1491" s="211"/>
    </row>
    <row r="1492" spans="3:3" x14ac:dyDescent="0.25">
      <c r="C1492" s="211"/>
    </row>
    <row r="1493" spans="3:3" x14ac:dyDescent="0.25">
      <c r="C1493" s="211"/>
    </row>
    <row r="1494" spans="3:3" x14ac:dyDescent="0.25">
      <c r="C1494" s="211"/>
    </row>
    <row r="1495" spans="3:3" x14ac:dyDescent="0.25">
      <c r="C1495" s="211"/>
    </row>
    <row r="1496" spans="3:3" x14ac:dyDescent="0.25">
      <c r="C1496" s="211"/>
    </row>
    <row r="1497" spans="3:3" x14ac:dyDescent="0.25">
      <c r="C1497" s="211"/>
    </row>
    <row r="1498" spans="3:3" x14ac:dyDescent="0.25">
      <c r="C1498" s="211"/>
    </row>
    <row r="1499" spans="3:3" x14ac:dyDescent="0.25">
      <c r="C1499" s="211"/>
    </row>
    <row r="1500" spans="3:3" x14ac:dyDescent="0.25">
      <c r="C1500" s="211"/>
    </row>
    <row r="1501" spans="3:3" x14ac:dyDescent="0.25">
      <c r="C1501" s="211"/>
    </row>
    <row r="1502" spans="3:3" x14ac:dyDescent="0.25">
      <c r="C1502" s="211"/>
    </row>
    <row r="1503" spans="3:3" x14ac:dyDescent="0.25">
      <c r="C1503" s="211"/>
    </row>
    <row r="1504" spans="3:3" x14ac:dyDescent="0.25">
      <c r="C1504" s="211"/>
    </row>
    <row r="1505" spans="3:3" x14ac:dyDescent="0.25">
      <c r="C1505" s="211"/>
    </row>
    <row r="1506" spans="3:3" x14ac:dyDescent="0.25">
      <c r="C1506" s="211"/>
    </row>
    <row r="1507" spans="3:3" x14ac:dyDescent="0.25">
      <c r="C1507" s="211"/>
    </row>
    <row r="1508" spans="3:3" x14ac:dyDescent="0.25">
      <c r="C1508" s="211"/>
    </row>
    <row r="1509" spans="3:3" x14ac:dyDescent="0.25">
      <c r="C1509" s="211"/>
    </row>
    <row r="1510" spans="3:3" x14ac:dyDescent="0.25">
      <c r="C1510" s="211"/>
    </row>
    <row r="1511" spans="3:3" x14ac:dyDescent="0.25">
      <c r="C1511" s="211"/>
    </row>
    <row r="1512" spans="3:3" x14ac:dyDescent="0.25">
      <c r="C1512" s="211"/>
    </row>
    <row r="1513" spans="3:3" x14ac:dyDescent="0.25">
      <c r="C1513" s="211"/>
    </row>
    <row r="1514" spans="3:3" x14ac:dyDescent="0.25">
      <c r="C1514" s="211"/>
    </row>
    <row r="1515" spans="3:3" x14ac:dyDescent="0.25">
      <c r="C1515" s="211"/>
    </row>
    <row r="1516" spans="3:3" x14ac:dyDescent="0.25">
      <c r="C1516" s="211"/>
    </row>
    <row r="1517" spans="3:3" x14ac:dyDescent="0.25">
      <c r="C1517" s="211"/>
    </row>
    <row r="1518" spans="3:3" x14ac:dyDescent="0.25">
      <c r="C1518" s="211"/>
    </row>
    <row r="1519" spans="3:3" x14ac:dyDescent="0.25">
      <c r="C1519" s="211"/>
    </row>
    <row r="1520" spans="3:3" x14ac:dyDescent="0.25">
      <c r="C1520" s="211"/>
    </row>
    <row r="1521" spans="3:3" x14ac:dyDescent="0.25">
      <c r="C1521" s="211"/>
    </row>
    <row r="1522" spans="3:3" x14ac:dyDescent="0.25">
      <c r="C1522" s="211"/>
    </row>
    <row r="1523" spans="3:3" x14ac:dyDescent="0.25">
      <c r="C1523" s="211"/>
    </row>
    <row r="1524" spans="3:3" x14ac:dyDescent="0.25">
      <c r="C1524" s="211"/>
    </row>
    <row r="1525" spans="3:3" x14ac:dyDescent="0.25">
      <c r="C1525" s="211"/>
    </row>
    <row r="1526" spans="3:3" x14ac:dyDescent="0.25">
      <c r="C1526" s="211"/>
    </row>
    <row r="1527" spans="3:3" x14ac:dyDescent="0.25">
      <c r="C1527" s="211"/>
    </row>
    <row r="1528" spans="3:3" x14ac:dyDescent="0.25">
      <c r="C1528" s="211"/>
    </row>
    <row r="1529" spans="3:3" x14ac:dyDescent="0.25">
      <c r="C1529" s="211"/>
    </row>
    <row r="1530" spans="3:3" x14ac:dyDescent="0.25">
      <c r="C1530" s="211"/>
    </row>
    <row r="1531" spans="3:3" x14ac:dyDescent="0.25">
      <c r="C1531" s="211"/>
    </row>
    <row r="1532" spans="3:3" x14ac:dyDescent="0.25">
      <c r="C1532" s="211"/>
    </row>
    <row r="1533" spans="3:3" x14ac:dyDescent="0.25">
      <c r="C1533" s="211"/>
    </row>
    <row r="1534" spans="3:3" x14ac:dyDescent="0.25">
      <c r="C1534" s="211"/>
    </row>
    <row r="1535" spans="3:3" x14ac:dyDescent="0.25">
      <c r="C1535" s="211"/>
    </row>
    <row r="1536" spans="3:3" x14ac:dyDescent="0.25">
      <c r="C1536" s="211"/>
    </row>
    <row r="1537" spans="3:3" x14ac:dyDescent="0.25">
      <c r="C1537" s="211"/>
    </row>
    <row r="1538" spans="3:3" x14ac:dyDescent="0.25">
      <c r="C1538" s="211"/>
    </row>
    <row r="1539" spans="3:3" x14ac:dyDescent="0.25">
      <c r="C1539" s="211"/>
    </row>
    <row r="1540" spans="3:3" x14ac:dyDescent="0.25">
      <c r="C1540" s="211"/>
    </row>
    <row r="1541" spans="3:3" x14ac:dyDescent="0.25">
      <c r="C1541" s="211"/>
    </row>
    <row r="1542" spans="3:3" x14ac:dyDescent="0.25">
      <c r="C1542" s="211"/>
    </row>
    <row r="1543" spans="3:3" x14ac:dyDescent="0.25">
      <c r="C1543" s="211"/>
    </row>
    <row r="1544" spans="3:3" x14ac:dyDescent="0.25">
      <c r="C1544" s="211"/>
    </row>
    <row r="1545" spans="3:3" x14ac:dyDescent="0.25">
      <c r="C1545" s="211"/>
    </row>
    <row r="1546" spans="3:3" x14ac:dyDescent="0.25">
      <c r="C1546" s="211"/>
    </row>
    <row r="1547" spans="3:3" x14ac:dyDescent="0.25">
      <c r="C1547" s="211"/>
    </row>
    <row r="1548" spans="3:3" x14ac:dyDescent="0.25">
      <c r="C1548" s="211"/>
    </row>
    <row r="1549" spans="3:3" x14ac:dyDescent="0.25">
      <c r="C1549" s="211"/>
    </row>
    <row r="1550" spans="3:3" x14ac:dyDescent="0.25">
      <c r="C1550" s="211"/>
    </row>
    <row r="1551" spans="3:3" x14ac:dyDescent="0.25">
      <c r="C1551" s="211"/>
    </row>
    <row r="1552" spans="3:3" x14ac:dyDescent="0.25">
      <c r="C1552" s="211"/>
    </row>
    <row r="1553" spans="3:3" x14ac:dyDescent="0.25">
      <c r="C1553" s="211"/>
    </row>
    <row r="1554" spans="3:3" x14ac:dyDescent="0.25">
      <c r="C1554" s="211"/>
    </row>
    <row r="1555" spans="3:3" x14ac:dyDescent="0.25">
      <c r="C1555" s="211"/>
    </row>
    <row r="1556" spans="3:3" x14ac:dyDescent="0.25">
      <c r="C1556" s="211"/>
    </row>
    <row r="1557" spans="3:3" x14ac:dyDescent="0.25">
      <c r="C1557" s="211"/>
    </row>
    <row r="1558" spans="3:3" x14ac:dyDescent="0.25">
      <c r="C1558" s="211"/>
    </row>
    <row r="1559" spans="3:3" x14ac:dyDescent="0.25">
      <c r="C1559" s="211"/>
    </row>
    <row r="1560" spans="3:3" x14ac:dyDescent="0.25">
      <c r="C1560" s="211"/>
    </row>
    <row r="1561" spans="3:3" x14ac:dyDescent="0.25">
      <c r="C1561" s="211"/>
    </row>
    <row r="1562" spans="3:3" x14ac:dyDescent="0.25">
      <c r="C1562" s="211"/>
    </row>
    <row r="1563" spans="3:3" x14ac:dyDescent="0.25">
      <c r="C1563" s="211"/>
    </row>
    <row r="1564" spans="3:3" x14ac:dyDescent="0.25">
      <c r="C1564" s="211"/>
    </row>
    <row r="1565" spans="3:3" x14ac:dyDescent="0.25">
      <c r="C1565" s="211"/>
    </row>
    <row r="1566" spans="3:3" x14ac:dyDescent="0.25">
      <c r="C1566" s="211"/>
    </row>
    <row r="1567" spans="3:3" x14ac:dyDescent="0.25">
      <c r="C1567" s="211"/>
    </row>
    <row r="1568" spans="3:3" x14ac:dyDescent="0.25">
      <c r="C1568" s="211"/>
    </row>
    <row r="1569" spans="3:3" x14ac:dyDescent="0.25">
      <c r="C1569" s="211"/>
    </row>
    <row r="1570" spans="3:3" x14ac:dyDescent="0.25">
      <c r="C1570" s="211"/>
    </row>
    <row r="1571" spans="3:3" x14ac:dyDescent="0.25">
      <c r="C1571" s="211"/>
    </row>
    <row r="1572" spans="3:3" x14ac:dyDescent="0.25">
      <c r="C1572" s="211"/>
    </row>
    <row r="1573" spans="3:3" x14ac:dyDescent="0.25">
      <c r="C1573" s="211"/>
    </row>
    <row r="1574" spans="3:3" x14ac:dyDescent="0.25">
      <c r="C1574" s="211"/>
    </row>
    <row r="1575" spans="3:3" x14ac:dyDescent="0.25">
      <c r="C1575" s="211"/>
    </row>
    <row r="1576" spans="3:3" x14ac:dyDescent="0.25">
      <c r="C1576" s="211"/>
    </row>
    <row r="1577" spans="3:3" x14ac:dyDescent="0.25">
      <c r="C1577" s="211"/>
    </row>
    <row r="1578" spans="3:3" x14ac:dyDescent="0.25">
      <c r="C1578" s="211"/>
    </row>
    <row r="1579" spans="3:3" x14ac:dyDescent="0.25">
      <c r="C1579" s="211"/>
    </row>
    <row r="1580" spans="3:3" x14ac:dyDescent="0.25">
      <c r="C1580" s="211"/>
    </row>
    <row r="1581" spans="3:3" x14ac:dyDescent="0.25">
      <c r="C1581" s="211"/>
    </row>
    <row r="1582" spans="3:3" x14ac:dyDescent="0.25">
      <c r="C1582" s="211"/>
    </row>
    <row r="1583" spans="3:3" x14ac:dyDescent="0.25">
      <c r="C1583" s="211"/>
    </row>
    <row r="1584" spans="3:3" x14ac:dyDescent="0.25">
      <c r="C1584" s="211"/>
    </row>
    <row r="1585" spans="3:3" x14ac:dyDescent="0.25">
      <c r="C1585" s="211"/>
    </row>
    <row r="1586" spans="3:3" x14ac:dyDescent="0.25">
      <c r="C1586" s="211"/>
    </row>
    <row r="1587" spans="3:3" x14ac:dyDescent="0.25">
      <c r="C1587" s="211"/>
    </row>
    <row r="1588" spans="3:3" x14ac:dyDescent="0.25">
      <c r="C1588" s="211"/>
    </row>
    <row r="1589" spans="3:3" x14ac:dyDescent="0.25">
      <c r="C1589" s="211"/>
    </row>
    <row r="1590" spans="3:3" x14ac:dyDescent="0.25">
      <c r="C1590" s="211"/>
    </row>
    <row r="1591" spans="3:3" x14ac:dyDescent="0.25">
      <c r="C1591" s="211"/>
    </row>
    <row r="1592" spans="3:3" x14ac:dyDescent="0.25">
      <c r="C1592" s="211"/>
    </row>
    <row r="1593" spans="3:3" x14ac:dyDescent="0.25">
      <c r="C1593" s="211"/>
    </row>
    <row r="1594" spans="3:3" x14ac:dyDescent="0.25">
      <c r="C1594" s="211"/>
    </row>
    <row r="1595" spans="3:3" x14ac:dyDescent="0.25">
      <c r="C1595" s="211"/>
    </row>
    <row r="1596" spans="3:3" x14ac:dyDescent="0.25">
      <c r="C1596" s="211"/>
    </row>
    <row r="1597" spans="3:3" x14ac:dyDescent="0.25">
      <c r="C1597" s="211"/>
    </row>
    <row r="1598" spans="3:3" x14ac:dyDescent="0.25">
      <c r="C1598" s="211"/>
    </row>
    <row r="1599" spans="3:3" x14ac:dyDescent="0.25">
      <c r="C1599" s="211"/>
    </row>
    <row r="1600" spans="3:3" x14ac:dyDescent="0.25">
      <c r="C1600" s="211"/>
    </row>
    <row r="1601" spans="3:3" x14ac:dyDescent="0.25">
      <c r="C1601" s="211"/>
    </row>
    <row r="1602" spans="3:3" x14ac:dyDescent="0.25">
      <c r="C1602" s="211"/>
    </row>
    <row r="1603" spans="3:3" x14ac:dyDescent="0.25">
      <c r="C1603" s="211"/>
    </row>
    <row r="1604" spans="3:3" x14ac:dyDescent="0.25">
      <c r="C1604" s="211"/>
    </row>
    <row r="1605" spans="3:3" x14ac:dyDescent="0.25">
      <c r="C1605" s="211"/>
    </row>
    <row r="1606" spans="3:3" x14ac:dyDescent="0.25">
      <c r="C1606" s="211"/>
    </row>
    <row r="1607" spans="3:3" x14ac:dyDescent="0.25">
      <c r="C1607" s="211"/>
    </row>
    <row r="1608" spans="3:3" x14ac:dyDescent="0.25">
      <c r="C1608" s="211"/>
    </row>
    <row r="1609" spans="3:3" x14ac:dyDescent="0.25">
      <c r="C1609" s="211"/>
    </row>
    <row r="1610" spans="3:3" x14ac:dyDescent="0.25">
      <c r="C1610" s="211"/>
    </row>
    <row r="1611" spans="3:3" x14ac:dyDescent="0.25">
      <c r="C1611" s="211"/>
    </row>
    <row r="1612" spans="3:3" x14ac:dyDescent="0.25">
      <c r="C1612" s="211"/>
    </row>
    <row r="1613" spans="3:3" x14ac:dyDescent="0.25">
      <c r="C1613" s="211"/>
    </row>
    <row r="1614" spans="3:3" x14ac:dyDescent="0.25">
      <c r="C1614" s="211"/>
    </row>
    <row r="1615" spans="3:3" x14ac:dyDescent="0.25">
      <c r="C1615" s="211"/>
    </row>
    <row r="1616" spans="3:3" x14ac:dyDescent="0.25">
      <c r="C1616" s="211"/>
    </row>
    <row r="1617" spans="3:3" x14ac:dyDescent="0.25">
      <c r="C1617" s="211"/>
    </row>
    <row r="1618" spans="3:3" x14ac:dyDescent="0.25">
      <c r="C1618" s="211"/>
    </row>
    <row r="1619" spans="3:3" x14ac:dyDescent="0.25">
      <c r="C1619" s="211"/>
    </row>
    <row r="1620" spans="3:3" x14ac:dyDescent="0.25">
      <c r="C1620" s="211"/>
    </row>
    <row r="1621" spans="3:3" x14ac:dyDescent="0.25">
      <c r="C1621" s="211"/>
    </row>
    <row r="1622" spans="3:3" x14ac:dyDescent="0.25">
      <c r="C1622" s="211"/>
    </row>
    <row r="1623" spans="3:3" x14ac:dyDescent="0.25">
      <c r="C1623" s="211"/>
    </row>
    <row r="1624" spans="3:3" x14ac:dyDescent="0.25">
      <c r="C1624" s="211"/>
    </row>
    <row r="1625" spans="3:3" x14ac:dyDescent="0.25">
      <c r="C1625" s="211"/>
    </row>
    <row r="1626" spans="3:3" x14ac:dyDescent="0.25">
      <c r="C1626" s="211"/>
    </row>
    <row r="1627" spans="3:3" x14ac:dyDescent="0.25">
      <c r="C1627" s="211"/>
    </row>
    <row r="1628" spans="3:3" x14ac:dyDescent="0.25">
      <c r="C1628" s="211"/>
    </row>
    <row r="1629" spans="3:3" x14ac:dyDescent="0.25">
      <c r="C1629" s="211"/>
    </row>
    <row r="1630" spans="3:3" x14ac:dyDescent="0.25">
      <c r="C1630" s="211"/>
    </row>
    <row r="1631" spans="3:3" x14ac:dyDescent="0.25">
      <c r="C1631" s="211"/>
    </row>
    <row r="1632" spans="3:3" x14ac:dyDescent="0.25">
      <c r="C1632" s="211"/>
    </row>
    <row r="1633" spans="3:3" x14ac:dyDescent="0.25">
      <c r="C1633" s="211"/>
    </row>
    <row r="1634" spans="3:3" x14ac:dyDescent="0.25">
      <c r="C1634" s="211"/>
    </row>
    <row r="1635" spans="3:3" x14ac:dyDescent="0.25">
      <c r="C1635" s="211"/>
    </row>
    <row r="1636" spans="3:3" x14ac:dyDescent="0.25">
      <c r="C1636" s="211"/>
    </row>
    <row r="1637" spans="3:3" x14ac:dyDescent="0.25">
      <c r="C1637" s="211"/>
    </row>
    <row r="1638" spans="3:3" x14ac:dyDescent="0.25">
      <c r="C1638" s="211"/>
    </row>
    <row r="1639" spans="3:3" x14ac:dyDescent="0.25">
      <c r="C1639" s="211"/>
    </row>
    <row r="1640" spans="3:3" x14ac:dyDescent="0.25">
      <c r="C1640" s="211"/>
    </row>
    <row r="1641" spans="3:3" x14ac:dyDescent="0.25">
      <c r="C1641" s="211"/>
    </row>
    <row r="1642" spans="3:3" x14ac:dyDescent="0.25">
      <c r="C1642" s="211"/>
    </row>
    <row r="1643" spans="3:3" x14ac:dyDescent="0.25">
      <c r="C1643" s="211"/>
    </row>
    <row r="1644" spans="3:3" x14ac:dyDescent="0.25">
      <c r="C1644" s="211"/>
    </row>
    <row r="1645" spans="3:3" x14ac:dyDescent="0.25">
      <c r="C1645" s="211"/>
    </row>
    <row r="1646" spans="3:3" x14ac:dyDescent="0.25">
      <c r="C1646" s="211"/>
    </row>
    <row r="1647" spans="3:3" x14ac:dyDescent="0.25">
      <c r="C1647" s="211"/>
    </row>
    <row r="1648" spans="3:3" x14ac:dyDescent="0.25">
      <c r="C1648" s="211"/>
    </row>
    <row r="1649" spans="3:3" x14ac:dyDescent="0.25">
      <c r="C1649" s="211"/>
    </row>
    <row r="1650" spans="3:3" x14ac:dyDescent="0.25">
      <c r="C1650" s="211"/>
    </row>
    <row r="1651" spans="3:3" x14ac:dyDescent="0.25">
      <c r="C1651" s="211"/>
    </row>
    <row r="1652" spans="3:3" x14ac:dyDescent="0.25">
      <c r="C1652" s="211"/>
    </row>
    <row r="1653" spans="3:3" x14ac:dyDescent="0.25">
      <c r="C1653" s="211"/>
    </row>
    <row r="1654" spans="3:3" x14ac:dyDescent="0.25">
      <c r="C1654" s="211"/>
    </row>
    <row r="1655" spans="3:3" x14ac:dyDescent="0.25">
      <c r="C1655" s="211"/>
    </row>
    <row r="1656" spans="3:3" x14ac:dyDescent="0.25">
      <c r="C1656" s="211"/>
    </row>
    <row r="1657" spans="3:3" x14ac:dyDescent="0.25">
      <c r="C1657" s="211"/>
    </row>
    <row r="1658" spans="3:3" x14ac:dyDescent="0.25">
      <c r="C1658" s="211"/>
    </row>
    <row r="1659" spans="3:3" x14ac:dyDescent="0.25">
      <c r="C1659" s="211"/>
    </row>
    <row r="1660" spans="3:3" x14ac:dyDescent="0.25">
      <c r="C1660" s="211"/>
    </row>
    <row r="1661" spans="3:3" x14ac:dyDescent="0.25">
      <c r="C1661" s="211"/>
    </row>
    <row r="1662" spans="3:3" x14ac:dyDescent="0.25">
      <c r="C1662" s="211"/>
    </row>
    <row r="1663" spans="3:3" x14ac:dyDescent="0.25">
      <c r="C1663" s="211"/>
    </row>
    <row r="1664" spans="3:3" x14ac:dyDescent="0.25">
      <c r="C1664" s="211"/>
    </row>
    <row r="1665" spans="3:3" x14ac:dyDescent="0.25">
      <c r="C1665" s="211"/>
    </row>
    <row r="1666" spans="3:3" x14ac:dyDescent="0.25">
      <c r="C1666" s="211"/>
    </row>
    <row r="1667" spans="3:3" x14ac:dyDescent="0.25">
      <c r="C1667" s="211"/>
    </row>
    <row r="1668" spans="3:3" x14ac:dyDescent="0.25">
      <c r="C1668" s="211"/>
    </row>
    <row r="1669" spans="3:3" x14ac:dyDescent="0.25">
      <c r="C1669" s="211"/>
    </row>
    <row r="1670" spans="3:3" x14ac:dyDescent="0.25">
      <c r="C1670" s="211"/>
    </row>
    <row r="1671" spans="3:3" x14ac:dyDescent="0.25">
      <c r="C1671" s="211"/>
    </row>
    <row r="1672" spans="3:3" x14ac:dyDescent="0.25">
      <c r="C1672" s="211"/>
    </row>
    <row r="1673" spans="3:3" x14ac:dyDescent="0.25">
      <c r="C1673" s="211"/>
    </row>
    <row r="1674" spans="3:3" x14ac:dyDescent="0.25">
      <c r="C1674" s="211"/>
    </row>
    <row r="1675" spans="3:3" x14ac:dyDescent="0.25">
      <c r="C1675" s="211"/>
    </row>
    <row r="1676" spans="3:3" x14ac:dyDescent="0.25">
      <c r="C1676" s="211"/>
    </row>
    <row r="1677" spans="3:3" x14ac:dyDescent="0.25">
      <c r="C1677" s="211"/>
    </row>
    <row r="1678" spans="3:3" x14ac:dyDescent="0.25">
      <c r="C1678" s="211"/>
    </row>
    <row r="1679" spans="3:3" x14ac:dyDescent="0.25">
      <c r="C1679" s="211"/>
    </row>
    <row r="1680" spans="3:3" x14ac:dyDescent="0.25">
      <c r="C1680" s="211"/>
    </row>
    <row r="1681" spans="3:3" x14ac:dyDescent="0.25">
      <c r="C1681" s="211"/>
    </row>
    <row r="1682" spans="3:3" x14ac:dyDescent="0.25">
      <c r="C1682" s="211"/>
    </row>
    <row r="1683" spans="3:3" x14ac:dyDescent="0.25">
      <c r="C1683" s="211"/>
    </row>
    <row r="1684" spans="3:3" x14ac:dyDescent="0.25">
      <c r="C1684" s="211"/>
    </row>
    <row r="1685" spans="3:3" x14ac:dyDescent="0.25">
      <c r="C1685" s="211"/>
    </row>
    <row r="1686" spans="3:3" x14ac:dyDescent="0.25">
      <c r="C1686" s="211"/>
    </row>
    <row r="1687" spans="3:3" x14ac:dyDescent="0.25">
      <c r="C1687" s="211"/>
    </row>
    <row r="1688" spans="3:3" x14ac:dyDescent="0.25">
      <c r="C1688" s="211"/>
    </row>
    <row r="1689" spans="3:3" x14ac:dyDescent="0.25">
      <c r="C1689" s="211"/>
    </row>
    <row r="1690" spans="3:3" x14ac:dyDescent="0.25">
      <c r="C1690" s="211"/>
    </row>
    <row r="1691" spans="3:3" x14ac:dyDescent="0.25">
      <c r="C1691" s="211"/>
    </row>
    <row r="1692" spans="3:3" x14ac:dyDescent="0.25">
      <c r="C1692" s="211"/>
    </row>
    <row r="1693" spans="3:3" x14ac:dyDescent="0.25">
      <c r="C1693" s="211"/>
    </row>
    <row r="1694" spans="3:3" x14ac:dyDescent="0.25">
      <c r="C1694" s="211"/>
    </row>
    <row r="1695" spans="3:3" x14ac:dyDescent="0.25">
      <c r="C1695" s="211"/>
    </row>
    <row r="1696" spans="3:3" x14ac:dyDescent="0.25">
      <c r="C1696" s="211"/>
    </row>
    <row r="1697" spans="3:3" x14ac:dyDescent="0.25">
      <c r="C1697" s="211"/>
    </row>
    <row r="1698" spans="3:3" x14ac:dyDescent="0.25">
      <c r="C1698" s="211"/>
    </row>
    <row r="1699" spans="3:3" x14ac:dyDescent="0.25">
      <c r="C1699" s="211"/>
    </row>
    <row r="1700" spans="3:3" x14ac:dyDescent="0.25">
      <c r="C1700" s="211"/>
    </row>
    <row r="1701" spans="3:3" x14ac:dyDescent="0.25">
      <c r="C1701" s="211"/>
    </row>
    <row r="1702" spans="3:3" x14ac:dyDescent="0.25">
      <c r="C1702" s="211"/>
    </row>
    <row r="1703" spans="3:3" x14ac:dyDescent="0.25">
      <c r="C1703" s="211"/>
    </row>
    <row r="1704" spans="3:3" x14ac:dyDescent="0.25">
      <c r="C1704" s="211"/>
    </row>
    <row r="1705" spans="3:3" x14ac:dyDescent="0.25">
      <c r="C1705" s="211"/>
    </row>
    <row r="1706" spans="3:3" x14ac:dyDescent="0.25">
      <c r="C1706" s="211"/>
    </row>
    <row r="1707" spans="3:3" x14ac:dyDescent="0.25">
      <c r="C1707" s="211"/>
    </row>
    <row r="1708" spans="3:3" x14ac:dyDescent="0.25">
      <c r="C1708" s="211"/>
    </row>
    <row r="1709" spans="3:3" x14ac:dyDescent="0.25">
      <c r="C1709" s="211"/>
    </row>
    <row r="1710" spans="3:3" x14ac:dyDescent="0.25">
      <c r="C1710" s="211"/>
    </row>
    <row r="1711" spans="3:3" x14ac:dyDescent="0.25">
      <c r="C1711" s="211"/>
    </row>
    <row r="1712" spans="3:3" x14ac:dyDescent="0.25">
      <c r="C1712" s="211"/>
    </row>
    <row r="1713" spans="3:3" x14ac:dyDescent="0.25">
      <c r="C1713" s="211"/>
    </row>
    <row r="1714" spans="3:3" x14ac:dyDescent="0.25">
      <c r="C1714" s="211"/>
    </row>
    <row r="1715" spans="3:3" x14ac:dyDescent="0.25">
      <c r="C1715" s="211"/>
    </row>
    <row r="1716" spans="3:3" x14ac:dyDescent="0.25">
      <c r="C1716" s="211"/>
    </row>
    <row r="1717" spans="3:3" x14ac:dyDescent="0.25">
      <c r="C1717" s="211"/>
    </row>
    <row r="1718" spans="3:3" x14ac:dyDescent="0.25">
      <c r="C1718" s="211"/>
    </row>
    <row r="1719" spans="3:3" x14ac:dyDescent="0.25">
      <c r="C1719" s="211"/>
    </row>
    <row r="1720" spans="3:3" x14ac:dyDescent="0.25">
      <c r="C1720" s="211"/>
    </row>
    <row r="1721" spans="3:3" x14ac:dyDescent="0.25">
      <c r="C1721" s="211"/>
    </row>
    <row r="1722" spans="3:3" x14ac:dyDescent="0.25">
      <c r="C1722" s="211"/>
    </row>
    <row r="1723" spans="3:3" x14ac:dyDescent="0.25">
      <c r="C1723" s="211"/>
    </row>
    <row r="1724" spans="3:3" x14ac:dyDescent="0.25">
      <c r="C1724" s="211"/>
    </row>
    <row r="1725" spans="3:3" x14ac:dyDescent="0.25">
      <c r="C1725" s="211"/>
    </row>
    <row r="1726" spans="3:3" x14ac:dyDescent="0.25">
      <c r="C1726" s="211"/>
    </row>
    <row r="1727" spans="3:3" x14ac:dyDescent="0.25">
      <c r="C1727" s="211"/>
    </row>
    <row r="1728" spans="3:3" x14ac:dyDescent="0.25">
      <c r="C1728" s="211"/>
    </row>
    <row r="1729" spans="3:3" x14ac:dyDescent="0.25">
      <c r="C1729" s="211"/>
    </row>
    <row r="1730" spans="3:3" x14ac:dyDescent="0.25">
      <c r="C1730" s="211"/>
    </row>
    <row r="1731" spans="3:3" x14ac:dyDescent="0.25">
      <c r="C1731" s="211"/>
    </row>
    <row r="1732" spans="3:3" x14ac:dyDescent="0.25">
      <c r="C1732" s="211"/>
    </row>
    <row r="1733" spans="3:3" x14ac:dyDescent="0.25">
      <c r="C1733" s="211"/>
    </row>
    <row r="1734" spans="3:3" x14ac:dyDescent="0.25">
      <c r="C1734" s="211"/>
    </row>
    <row r="1735" spans="3:3" x14ac:dyDescent="0.25">
      <c r="C1735" s="211"/>
    </row>
    <row r="1736" spans="3:3" x14ac:dyDescent="0.25">
      <c r="C1736" s="211"/>
    </row>
    <row r="1737" spans="3:3" x14ac:dyDescent="0.25">
      <c r="C1737" s="211"/>
    </row>
    <row r="1738" spans="3:3" x14ac:dyDescent="0.25">
      <c r="C1738" s="211"/>
    </row>
    <row r="1739" spans="3:3" x14ac:dyDescent="0.25">
      <c r="C1739" s="211"/>
    </row>
    <row r="1740" spans="3:3" x14ac:dyDescent="0.25">
      <c r="C1740" s="211"/>
    </row>
    <row r="1741" spans="3:3" x14ac:dyDescent="0.25">
      <c r="C1741" s="211"/>
    </row>
    <row r="1742" spans="3:3" x14ac:dyDescent="0.25">
      <c r="C1742" s="211"/>
    </row>
    <row r="1743" spans="3:3" x14ac:dyDescent="0.25">
      <c r="C1743" s="211"/>
    </row>
    <row r="1744" spans="3:3" x14ac:dyDescent="0.25">
      <c r="C1744" s="211"/>
    </row>
    <row r="1745" spans="3:3" x14ac:dyDescent="0.25">
      <c r="C1745" s="211"/>
    </row>
    <row r="1746" spans="3:3" x14ac:dyDescent="0.25">
      <c r="C1746" s="211"/>
    </row>
    <row r="1747" spans="3:3" x14ac:dyDescent="0.25">
      <c r="C1747" s="211"/>
    </row>
    <row r="1748" spans="3:3" x14ac:dyDescent="0.25">
      <c r="C1748" s="211"/>
    </row>
    <row r="1749" spans="3:3" x14ac:dyDescent="0.25">
      <c r="C1749" s="211"/>
    </row>
    <row r="1750" spans="3:3" x14ac:dyDescent="0.25">
      <c r="C1750" s="211"/>
    </row>
    <row r="1751" spans="3:3" x14ac:dyDescent="0.25">
      <c r="C1751" s="211"/>
    </row>
    <row r="1752" spans="3:3" x14ac:dyDescent="0.25">
      <c r="C1752" s="211"/>
    </row>
    <row r="1753" spans="3:3" x14ac:dyDescent="0.25">
      <c r="C1753" s="211"/>
    </row>
    <row r="1754" spans="3:3" x14ac:dyDescent="0.25">
      <c r="C1754" s="211"/>
    </row>
    <row r="1755" spans="3:3" x14ac:dyDescent="0.25">
      <c r="C1755" s="211"/>
    </row>
    <row r="1756" spans="3:3" x14ac:dyDescent="0.25">
      <c r="C1756" s="211"/>
    </row>
    <row r="1757" spans="3:3" x14ac:dyDescent="0.25">
      <c r="C1757" s="211"/>
    </row>
    <row r="1758" spans="3:3" x14ac:dyDescent="0.25">
      <c r="C1758" s="211"/>
    </row>
    <row r="1759" spans="3:3" x14ac:dyDescent="0.25">
      <c r="C1759" s="211"/>
    </row>
    <row r="1760" spans="3:3" x14ac:dyDescent="0.25">
      <c r="C1760" s="211"/>
    </row>
    <row r="1761" spans="3:3" x14ac:dyDescent="0.25">
      <c r="C1761" s="211"/>
    </row>
    <row r="1762" spans="3:3" x14ac:dyDescent="0.25">
      <c r="C1762" s="211"/>
    </row>
    <row r="1763" spans="3:3" x14ac:dyDescent="0.25">
      <c r="C1763" s="211"/>
    </row>
    <row r="1764" spans="3:3" x14ac:dyDescent="0.25">
      <c r="C1764" s="211"/>
    </row>
    <row r="1765" spans="3:3" x14ac:dyDescent="0.25">
      <c r="C1765" s="211"/>
    </row>
    <row r="1766" spans="3:3" x14ac:dyDescent="0.25">
      <c r="C1766" s="211"/>
    </row>
    <row r="1767" spans="3:3" x14ac:dyDescent="0.25">
      <c r="C1767" s="211"/>
    </row>
    <row r="1768" spans="3:3" x14ac:dyDescent="0.25">
      <c r="C1768" s="211"/>
    </row>
    <row r="1769" spans="3:3" x14ac:dyDescent="0.25">
      <c r="C1769" s="211"/>
    </row>
    <row r="1770" spans="3:3" x14ac:dyDescent="0.25">
      <c r="C1770" s="211"/>
    </row>
    <row r="1771" spans="3:3" x14ac:dyDescent="0.25">
      <c r="C1771" s="211"/>
    </row>
    <row r="1772" spans="3:3" x14ac:dyDescent="0.25">
      <c r="C1772" s="211"/>
    </row>
    <row r="1773" spans="3:3" x14ac:dyDescent="0.25">
      <c r="C1773" s="211"/>
    </row>
    <row r="1774" spans="3:3" x14ac:dyDescent="0.25">
      <c r="C1774" s="211"/>
    </row>
    <row r="1775" spans="3:3" x14ac:dyDescent="0.25">
      <c r="C1775" s="211"/>
    </row>
    <row r="1776" spans="3:3" x14ac:dyDescent="0.25">
      <c r="C1776" s="211"/>
    </row>
    <row r="1777" spans="3:3" x14ac:dyDescent="0.25">
      <c r="C1777" s="211"/>
    </row>
    <row r="1778" spans="3:3" x14ac:dyDescent="0.25">
      <c r="C1778" s="211"/>
    </row>
    <row r="1779" spans="3:3" x14ac:dyDescent="0.25">
      <c r="C1779" s="211"/>
    </row>
    <row r="1780" spans="3:3" x14ac:dyDescent="0.25">
      <c r="C1780" s="211"/>
    </row>
    <row r="1781" spans="3:3" x14ac:dyDescent="0.25">
      <c r="C1781" s="211"/>
    </row>
    <row r="1782" spans="3:3" x14ac:dyDescent="0.25">
      <c r="C1782" s="211"/>
    </row>
    <row r="1783" spans="3:3" x14ac:dyDescent="0.25">
      <c r="C1783" s="211"/>
    </row>
    <row r="1784" spans="3:3" x14ac:dyDescent="0.25">
      <c r="C1784" s="211"/>
    </row>
    <row r="1785" spans="3:3" x14ac:dyDescent="0.25">
      <c r="C1785" s="211"/>
    </row>
    <row r="1786" spans="3:3" x14ac:dyDescent="0.25">
      <c r="C1786" s="211"/>
    </row>
    <row r="1787" spans="3:3" x14ac:dyDescent="0.25">
      <c r="C1787" s="211"/>
    </row>
    <row r="1788" spans="3:3" x14ac:dyDescent="0.25">
      <c r="C1788" s="211"/>
    </row>
    <row r="1789" spans="3:3" x14ac:dyDescent="0.25">
      <c r="C1789" s="211"/>
    </row>
    <row r="1790" spans="3:3" x14ac:dyDescent="0.25">
      <c r="C1790" s="211"/>
    </row>
    <row r="1791" spans="3:3" x14ac:dyDescent="0.25">
      <c r="C1791" s="211"/>
    </row>
    <row r="1792" spans="3:3" x14ac:dyDescent="0.25">
      <c r="C1792" s="211"/>
    </row>
    <row r="1793" spans="3:3" x14ac:dyDescent="0.25">
      <c r="C1793" s="211"/>
    </row>
    <row r="1794" spans="3:3" x14ac:dyDescent="0.25">
      <c r="C1794" s="211"/>
    </row>
    <row r="1795" spans="3:3" x14ac:dyDescent="0.25">
      <c r="C1795" s="211"/>
    </row>
    <row r="1796" spans="3:3" x14ac:dyDescent="0.25">
      <c r="C1796" s="211"/>
    </row>
    <row r="1797" spans="3:3" x14ac:dyDescent="0.25">
      <c r="C1797" s="211"/>
    </row>
    <row r="1798" spans="3:3" x14ac:dyDescent="0.25">
      <c r="C1798" s="211"/>
    </row>
    <row r="1799" spans="3:3" x14ac:dyDescent="0.25">
      <c r="C1799" s="211"/>
    </row>
    <row r="1800" spans="3:3" x14ac:dyDescent="0.25">
      <c r="C1800" s="211"/>
    </row>
    <row r="1801" spans="3:3" x14ac:dyDescent="0.25">
      <c r="C1801" s="211"/>
    </row>
    <row r="1802" spans="3:3" x14ac:dyDescent="0.25">
      <c r="C1802" s="211"/>
    </row>
    <row r="1803" spans="3:3" x14ac:dyDescent="0.25">
      <c r="C1803" s="211"/>
    </row>
    <row r="1804" spans="3:3" x14ac:dyDescent="0.25">
      <c r="C1804" s="211"/>
    </row>
    <row r="1805" spans="3:3" x14ac:dyDescent="0.25">
      <c r="C1805" s="211"/>
    </row>
    <row r="1806" spans="3:3" x14ac:dyDescent="0.25">
      <c r="C1806" s="211"/>
    </row>
    <row r="1807" spans="3:3" x14ac:dyDescent="0.25">
      <c r="C1807" s="211"/>
    </row>
    <row r="1808" spans="3:3" x14ac:dyDescent="0.25">
      <c r="C1808" s="211"/>
    </row>
    <row r="1809" spans="3:3" x14ac:dyDescent="0.25">
      <c r="C1809" s="211"/>
    </row>
    <row r="1810" spans="3:3" x14ac:dyDescent="0.25">
      <c r="C1810" s="211"/>
    </row>
    <row r="1811" spans="3:3" x14ac:dyDescent="0.25">
      <c r="C1811" s="211"/>
    </row>
    <row r="1812" spans="3:3" x14ac:dyDescent="0.25">
      <c r="C1812" s="211"/>
    </row>
    <row r="1813" spans="3:3" x14ac:dyDescent="0.25">
      <c r="C1813" s="211"/>
    </row>
    <row r="1814" spans="3:3" x14ac:dyDescent="0.25">
      <c r="C1814" s="211"/>
    </row>
    <row r="1815" spans="3:3" x14ac:dyDescent="0.25">
      <c r="C1815" s="211"/>
    </row>
    <row r="1816" spans="3:3" x14ac:dyDescent="0.25">
      <c r="C1816" s="211"/>
    </row>
    <row r="1817" spans="3:3" x14ac:dyDescent="0.25">
      <c r="C1817" s="211"/>
    </row>
    <row r="1818" spans="3:3" x14ac:dyDescent="0.25">
      <c r="C1818" s="211"/>
    </row>
    <row r="1819" spans="3:3" x14ac:dyDescent="0.25">
      <c r="C1819" s="211"/>
    </row>
    <row r="1820" spans="3:3" x14ac:dyDescent="0.25">
      <c r="C1820" s="211"/>
    </row>
    <row r="1821" spans="3:3" x14ac:dyDescent="0.25">
      <c r="C1821" s="211"/>
    </row>
    <row r="1822" spans="3:3" x14ac:dyDescent="0.25">
      <c r="C1822" s="211"/>
    </row>
    <row r="1823" spans="3:3" x14ac:dyDescent="0.25">
      <c r="C1823" s="211"/>
    </row>
    <row r="1824" spans="3:3" x14ac:dyDescent="0.25">
      <c r="C1824" s="211"/>
    </row>
    <row r="1825" spans="3:3" x14ac:dyDescent="0.25">
      <c r="C1825" s="211"/>
    </row>
    <row r="1826" spans="3:3" x14ac:dyDescent="0.25">
      <c r="C1826" s="211"/>
    </row>
    <row r="1827" spans="3:3" x14ac:dyDescent="0.25">
      <c r="C1827" s="211"/>
    </row>
    <row r="1828" spans="3:3" x14ac:dyDescent="0.25">
      <c r="C1828" s="211"/>
    </row>
    <row r="1829" spans="3:3" x14ac:dyDescent="0.25">
      <c r="C1829" s="211"/>
    </row>
    <row r="1830" spans="3:3" x14ac:dyDescent="0.25">
      <c r="C1830" s="211"/>
    </row>
    <row r="1831" spans="3:3" x14ac:dyDescent="0.25">
      <c r="C1831" s="211"/>
    </row>
    <row r="1832" spans="3:3" x14ac:dyDescent="0.25">
      <c r="C1832" s="211"/>
    </row>
    <row r="1833" spans="3:3" x14ac:dyDescent="0.25">
      <c r="C1833" s="211"/>
    </row>
    <row r="1834" spans="3:3" x14ac:dyDescent="0.25">
      <c r="C1834" s="211"/>
    </row>
    <row r="1835" spans="3:3" x14ac:dyDescent="0.25">
      <c r="C1835" s="211"/>
    </row>
    <row r="1836" spans="3:3" x14ac:dyDescent="0.25">
      <c r="C1836" s="211"/>
    </row>
    <row r="1837" spans="3:3" x14ac:dyDescent="0.25">
      <c r="C1837" s="211"/>
    </row>
    <row r="1838" spans="3:3" x14ac:dyDescent="0.25">
      <c r="C1838" s="211"/>
    </row>
    <row r="1839" spans="3:3" x14ac:dyDescent="0.25">
      <c r="C1839" s="211"/>
    </row>
    <row r="1840" spans="3:3" x14ac:dyDescent="0.25">
      <c r="C1840" s="211"/>
    </row>
    <row r="1841" spans="3:3" x14ac:dyDescent="0.25">
      <c r="C1841" s="211"/>
    </row>
    <row r="1842" spans="3:3" x14ac:dyDescent="0.25">
      <c r="C1842" s="211"/>
    </row>
    <row r="1843" spans="3:3" x14ac:dyDescent="0.25">
      <c r="C1843" s="211"/>
    </row>
    <row r="1844" spans="3:3" x14ac:dyDescent="0.25">
      <c r="C1844" s="211"/>
    </row>
    <row r="1845" spans="3:3" x14ac:dyDescent="0.25">
      <c r="C1845" s="211"/>
    </row>
    <row r="1846" spans="3:3" x14ac:dyDescent="0.25">
      <c r="C1846" s="211"/>
    </row>
    <row r="1847" spans="3:3" x14ac:dyDescent="0.25">
      <c r="C1847" s="211"/>
    </row>
    <row r="1848" spans="3:3" x14ac:dyDescent="0.25">
      <c r="C1848" s="211"/>
    </row>
    <row r="1849" spans="3:3" x14ac:dyDescent="0.25">
      <c r="C1849" s="211"/>
    </row>
    <row r="1850" spans="3:3" x14ac:dyDescent="0.25">
      <c r="C1850" s="211"/>
    </row>
    <row r="1851" spans="3:3" x14ac:dyDescent="0.25">
      <c r="C1851" s="211"/>
    </row>
    <row r="1852" spans="3:3" x14ac:dyDescent="0.25">
      <c r="C1852" s="211"/>
    </row>
    <row r="1853" spans="3:3" x14ac:dyDescent="0.25">
      <c r="C1853" s="211"/>
    </row>
    <row r="1854" spans="3:3" x14ac:dyDescent="0.25">
      <c r="C1854" s="211"/>
    </row>
    <row r="1855" spans="3:3" x14ac:dyDescent="0.25">
      <c r="C1855" s="211"/>
    </row>
    <row r="1856" spans="3:3" x14ac:dyDescent="0.25">
      <c r="C1856" s="211"/>
    </row>
    <row r="1857" spans="3:3" x14ac:dyDescent="0.25">
      <c r="C1857" s="211"/>
    </row>
    <row r="1858" spans="3:3" x14ac:dyDescent="0.25">
      <c r="C1858" s="211"/>
    </row>
    <row r="1859" spans="3:3" x14ac:dyDescent="0.25">
      <c r="C1859" s="211"/>
    </row>
    <row r="1860" spans="3:3" x14ac:dyDescent="0.25">
      <c r="C1860" s="211"/>
    </row>
    <row r="1861" spans="3:3" x14ac:dyDescent="0.25">
      <c r="C1861" s="211"/>
    </row>
    <row r="1862" spans="3:3" x14ac:dyDescent="0.25">
      <c r="C1862" s="211"/>
    </row>
    <row r="1863" spans="3:3" x14ac:dyDescent="0.25">
      <c r="C1863" s="211"/>
    </row>
    <row r="1864" spans="3:3" x14ac:dyDescent="0.25">
      <c r="C1864" s="211"/>
    </row>
    <row r="1865" spans="3:3" x14ac:dyDescent="0.25">
      <c r="C1865" s="211"/>
    </row>
    <row r="1866" spans="3:3" x14ac:dyDescent="0.25">
      <c r="C1866" s="211"/>
    </row>
    <row r="1867" spans="3:3" x14ac:dyDescent="0.25">
      <c r="C1867" s="211"/>
    </row>
    <row r="1868" spans="3:3" x14ac:dyDescent="0.25">
      <c r="C1868" s="211"/>
    </row>
    <row r="1869" spans="3:3" x14ac:dyDescent="0.25">
      <c r="C1869" s="211"/>
    </row>
    <row r="1870" spans="3:3" x14ac:dyDescent="0.25">
      <c r="C1870" s="211"/>
    </row>
    <row r="1871" spans="3:3" x14ac:dyDescent="0.25">
      <c r="C1871" s="211"/>
    </row>
    <row r="1872" spans="3:3" x14ac:dyDescent="0.25">
      <c r="C1872" s="211"/>
    </row>
    <row r="1873" spans="3:3" x14ac:dyDescent="0.25">
      <c r="C1873" s="211"/>
    </row>
    <row r="1874" spans="3:3" x14ac:dyDescent="0.25">
      <c r="C1874" s="211"/>
    </row>
    <row r="1875" spans="3:3" x14ac:dyDescent="0.25">
      <c r="C1875" s="211"/>
    </row>
    <row r="1876" spans="3:3" x14ac:dyDescent="0.25">
      <c r="C1876" s="211"/>
    </row>
    <row r="1877" spans="3:3" x14ac:dyDescent="0.25">
      <c r="C1877" s="211"/>
    </row>
    <row r="1878" spans="3:3" x14ac:dyDescent="0.25">
      <c r="C1878" s="211"/>
    </row>
    <row r="1879" spans="3:3" x14ac:dyDescent="0.25">
      <c r="C1879" s="211"/>
    </row>
    <row r="1880" spans="3:3" x14ac:dyDescent="0.25">
      <c r="C1880" s="211"/>
    </row>
    <row r="1881" spans="3:3" x14ac:dyDescent="0.25">
      <c r="C1881" s="211"/>
    </row>
    <row r="1882" spans="3:3" x14ac:dyDescent="0.25">
      <c r="C1882" s="211"/>
    </row>
    <row r="1883" spans="3:3" x14ac:dyDescent="0.25">
      <c r="C1883" s="211"/>
    </row>
    <row r="1884" spans="3:3" x14ac:dyDescent="0.25">
      <c r="C1884" s="211"/>
    </row>
    <row r="1885" spans="3:3" x14ac:dyDescent="0.25">
      <c r="C1885" s="211"/>
    </row>
    <row r="1886" spans="3:3" x14ac:dyDescent="0.25">
      <c r="C1886" s="211"/>
    </row>
    <row r="1887" spans="3:3" x14ac:dyDescent="0.25">
      <c r="C1887" s="211"/>
    </row>
    <row r="1888" spans="3:3" x14ac:dyDescent="0.25">
      <c r="C1888" s="211"/>
    </row>
    <row r="1889" spans="3:3" x14ac:dyDescent="0.25">
      <c r="C1889" s="211"/>
    </row>
    <row r="1890" spans="3:3" x14ac:dyDescent="0.25">
      <c r="C1890" s="211"/>
    </row>
    <row r="1891" spans="3:3" x14ac:dyDescent="0.25">
      <c r="C1891" s="211"/>
    </row>
    <row r="1892" spans="3:3" x14ac:dyDescent="0.25">
      <c r="C1892" s="211"/>
    </row>
    <row r="1893" spans="3:3" x14ac:dyDescent="0.25">
      <c r="C1893" s="211"/>
    </row>
    <row r="1894" spans="3:3" x14ac:dyDescent="0.25">
      <c r="C1894" s="211"/>
    </row>
    <row r="1895" spans="3:3" x14ac:dyDescent="0.25">
      <c r="C1895" s="211"/>
    </row>
    <row r="1896" spans="3:3" x14ac:dyDescent="0.25">
      <c r="C1896" s="211"/>
    </row>
    <row r="1897" spans="3:3" x14ac:dyDescent="0.25">
      <c r="C1897" s="211"/>
    </row>
    <row r="1898" spans="3:3" x14ac:dyDescent="0.25">
      <c r="C1898" s="211"/>
    </row>
    <row r="1899" spans="3:3" x14ac:dyDescent="0.25">
      <c r="C1899" s="211"/>
    </row>
    <row r="1900" spans="3:3" x14ac:dyDescent="0.25">
      <c r="C1900" s="211"/>
    </row>
    <row r="1901" spans="3:3" x14ac:dyDescent="0.25">
      <c r="C1901" s="211"/>
    </row>
    <row r="1902" spans="3:3" x14ac:dyDescent="0.25">
      <c r="C1902" s="211"/>
    </row>
    <row r="1903" spans="3:3" x14ac:dyDescent="0.25">
      <c r="C1903" s="211"/>
    </row>
    <row r="1904" spans="3:3" x14ac:dyDescent="0.25">
      <c r="C1904" s="211"/>
    </row>
    <row r="1905" spans="3:3" x14ac:dyDescent="0.25">
      <c r="C1905" s="211"/>
    </row>
    <row r="1906" spans="3:3" x14ac:dyDescent="0.25">
      <c r="C1906" s="211"/>
    </row>
    <row r="1907" spans="3:3" x14ac:dyDescent="0.25">
      <c r="C1907" s="211"/>
    </row>
    <row r="1908" spans="3:3" x14ac:dyDescent="0.25">
      <c r="C1908" s="211"/>
    </row>
    <row r="1909" spans="3:3" x14ac:dyDescent="0.25">
      <c r="C1909" s="211"/>
    </row>
    <row r="1910" spans="3:3" x14ac:dyDescent="0.25">
      <c r="C1910" s="211"/>
    </row>
    <row r="1911" spans="3:3" x14ac:dyDescent="0.25">
      <c r="C1911" s="211"/>
    </row>
    <row r="1912" spans="3:3" x14ac:dyDescent="0.25">
      <c r="C1912" s="211"/>
    </row>
    <row r="1913" spans="3:3" x14ac:dyDescent="0.25">
      <c r="C1913" s="211"/>
    </row>
    <row r="1914" spans="3:3" x14ac:dyDescent="0.25">
      <c r="C1914" s="211"/>
    </row>
    <row r="1915" spans="3:3" x14ac:dyDescent="0.25">
      <c r="C1915" s="211"/>
    </row>
    <row r="1916" spans="3:3" x14ac:dyDescent="0.25">
      <c r="C1916" s="211"/>
    </row>
    <row r="1917" spans="3:3" x14ac:dyDescent="0.25">
      <c r="C1917" s="211"/>
    </row>
    <row r="1918" spans="3:3" x14ac:dyDescent="0.25">
      <c r="C1918" s="211"/>
    </row>
    <row r="1919" spans="3:3" x14ac:dyDescent="0.25">
      <c r="C1919" s="211"/>
    </row>
    <row r="1920" spans="3:3" x14ac:dyDescent="0.25">
      <c r="C1920" s="211"/>
    </row>
    <row r="1921" spans="3:3" x14ac:dyDescent="0.25">
      <c r="C1921" s="211"/>
    </row>
    <row r="1922" spans="3:3" x14ac:dyDescent="0.25">
      <c r="C1922" s="211"/>
    </row>
    <row r="1923" spans="3:3" x14ac:dyDescent="0.25">
      <c r="C1923" s="211"/>
    </row>
    <row r="1924" spans="3:3" x14ac:dyDescent="0.25">
      <c r="C1924" s="211"/>
    </row>
    <row r="1925" spans="3:3" x14ac:dyDescent="0.25">
      <c r="C1925" s="211"/>
    </row>
    <row r="1926" spans="3:3" x14ac:dyDescent="0.25">
      <c r="C1926" s="211"/>
    </row>
    <row r="1927" spans="3:3" x14ac:dyDescent="0.25">
      <c r="C1927" s="211"/>
    </row>
    <row r="1928" spans="3:3" x14ac:dyDescent="0.25">
      <c r="C1928" s="211"/>
    </row>
    <row r="1929" spans="3:3" x14ac:dyDescent="0.25">
      <c r="C1929" s="211"/>
    </row>
    <row r="1930" spans="3:3" x14ac:dyDescent="0.25">
      <c r="C1930" s="211"/>
    </row>
    <row r="1931" spans="3:3" x14ac:dyDescent="0.25">
      <c r="C1931" s="211"/>
    </row>
    <row r="1932" spans="3:3" x14ac:dyDescent="0.25">
      <c r="C1932" s="211"/>
    </row>
    <row r="1933" spans="3:3" x14ac:dyDescent="0.25">
      <c r="C1933" s="211"/>
    </row>
    <row r="1934" spans="3:3" x14ac:dyDescent="0.25">
      <c r="C1934" s="211"/>
    </row>
    <row r="1935" spans="3:3" x14ac:dyDescent="0.25">
      <c r="C1935" s="211"/>
    </row>
    <row r="1936" spans="3:3" x14ac:dyDescent="0.25">
      <c r="C1936" s="211"/>
    </row>
    <row r="1937" spans="3:3" x14ac:dyDescent="0.25">
      <c r="C1937" s="211"/>
    </row>
    <row r="1938" spans="3:3" x14ac:dyDescent="0.25">
      <c r="C1938" s="211"/>
    </row>
    <row r="1939" spans="3:3" x14ac:dyDescent="0.25">
      <c r="C1939" s="211"/>
    </row>
    <row r="1940" spans="3:3" x14ac:dyDescent="0.25">
      <c r="C1940" s="211"/>
    </row>
    <row r="1941" spans="3:3" x14ac:dyDescent="0.25">
      <c r="C1941" s="211"/>
    </row>
    <row r="1942" spans="3:3" x14ac:dyDescent="0.25">
      <c r="C1942" s="211"/>
    </row>
    <row r="1943" spans="3:3" x14ac:dyDescent="0.25">
      <c r="C1943" s="211"/>
    </row>
    <row r="1944" spans="3:3" x14ac:dyDescent="0.25">
      <c r="C1944" s="211"/>
    </row>
    <row r="1945" spans="3:3" x14ac:dyDescent="0.25">
      <c r="C1945" s="211"/>
    </row>
    <row r="1946" spans="3:3" x14ac:dyDescent="0.25">
      <c r="C1946" s="211"/>
    </row>
    <row r="1947" spans="3:3" x14ac:dyDescent="0.25">
      <c r="C1947" s="211"/>
    </row>
    <row r="1948" spans="3:3" x14ac:dyDescent="0.25">
      <c r="C1948" s="211"/>
    </row>
    <row r="1949" spans="3:3" x14ac:dyDescent="0.25">
      <c r="C1949" s="211"/>
    </row>
    <row r="1950" spans="3:3" x14ac:dyDescent="0.25">
      <c r="C1950" s="211"/>
    </row>
    <row r="1951" spans="3:3" x14ac:dyDescent="0.25">
      <c r="C1951" s="211"/>
    </row>
    <row r="1952" spans="3:3" x14ac:dyDescent="0.25">
      <c r="C1952" s="211"/>
    </row>
    <row r="1953" spans="3:3" x14ac:dyDescent="0.25">
      <c r="C1953" s="211"/>
    </row>
    <row r="1954" spans="3:3" x14ac:dyDescent="0.25">
      <c r="C1954" s="211"/>
    </row>
    <row r="1955" spans="3:3" x14ac:dyDescent="0.25">
      <c r="C1955" s="211"/>
    </row>
    <row r="1956" spans="3:3" x14ac:dyDescent="0.25">
      <c r="C1956" s="211"/>
    </row>
    <row r="1957" spans="3:3" x14ac:dyDescent="0.25">
      <c r="C1957" s="211"/>
    </row>
    <row r="1958" spans="3:3" x14ac:dyDescent="0.25">
      <c r="C1958" s="211"/>
    </row>
    <row r="1959" spans="3:3" x14ac:dyDescent="0.25">
      <c r="C1959" s="211"/>
    </row>
    <row r="1960" spans="3:3" x14ac:dyDescent="0.25">
      <c r="C1960" s="211"/>
    </row>
    <row r="1961" spans="3:3" x14ac:dyDescent="0.25">
      <c r="C1961" s="211"/>
    </row>
    <row r="1962" spans="3:3" x14ac:dyDescent="0.25">
      <c r="C1962" s="211"/>
    </row>
    <row r="1963" spans="3:3" x14ac:dyDescent="0.25">
      <c r="C1963" s="211"/>
    </row>
    <row r="1964" spans="3:3" x14ac:dyDescent="0.25">
      <c r="C1964" s="211"/>
    </row>
    <row r="1965" spans="3:3" x14ac:dyDescent="0.25">
      <c r="C1965" s="211"/>
    </row>
    <row r="1966" spans="3:3" x14ac:dyDescent="0.25">
      <c r="C1966" s="211"/>
    </row>
    <row r="1967" spans="3:3" x14ac:dyDescent="0.25">
      <c r="C1967" s="211"/>
    </row>
    <row r="1968" spans="3:3" x14ac:dyDescent="0.25">
      <c r="C1968" s="211"/>
    </row>
    <row r="1969" spans="3:3" x14ac:dyDescent="0.25">
      <c r="C1969" s="211"/>
    </row>
    <row r="1970" spans="3:3" x14ac:dyDescent="0.25">
      <c r="C1970" s="211"/>
    </row>
    <row r="1971" spans="3:3" x14ac:dyDescent="0.25">
      <c r="C1971" s="211"/>
    </row>
    <row r="1972" spans="3:3" x14ac:dyDescent="0.25">
      <c r="C1972" s="211"/>
    </row>
    <row r="1973" spans="3:3" x14ac:dyDescent="0.25">
      <c r="C1973" s="211"/>
    </row>
    <row r="1974" spans="3:3" x14ac:dyDescent="0.25">
      <c r="C1974" s="211"/>
    </row>
    <row r="1975" spans="3:3" x14ac:dyDescent="0.25">
      <c r="C1975" s="211"/>
    </row>
    <row r="1976" spans="3:3" x14ac:dyDescent="0.25">
      <c r="C1976" s="211"/>
    </row>
    <row r="1977" spans="3:3" x14ac:dyDescent="0.25">
      <c r="C1977" s="211"/>
    </row>
    <row r="1978" spans="3:3" x14ac:dyDescent="0.25">
      <c r="C1978" s="211"/>
    </row>
    <row r="1979" spans="3:3" x14ac:dyDescent="0.25">
      <c r="C1979" s="211"/>
    </row>
    <row r="1980" spans="3:3" x14ac:dyDescent="0.25">
      <c r="C1980" s="211"/>
    </row>
    <row r="1981" spans="3:3" x14ac:dyDescent="0.25">
      <c r="C1981" s="211"/>
    </row>
    <row r="1982" spans="3:3" x14ac:dyDescent="0.25">
      <c r="C1982" s="211"/>
    </row>
    <row r="1983" spans="3:3" x14ac:dyDescent="0.25">
      <c r="C1983" s="211"/>
    </row>
    <row r="1984" spans="3:3" x14ac:dyDescent="0.25">
      <c r="C1984" s="211"/>
    </row>
    <row r="1985" spans="3:3" x14ac:dyDescent="0.25">
      <c r="C1985" s="211"/>
    </row>
    <row r="1986" spans="3:3" x14ac:dyDescent="0.25">
      <c r="C1986" s="211"/>
    </row>
    <row r="1987" spans="3:3" x14ac:dyDescent="0.25">
      <c r="C1987" s="211"/>
    </row>
    <row r="1988" spans="3:3" x14ac:dyDescent="0.25">
      <c r="C1988" s="211"/>
    </row>
    <row r="1989" spans="3:3" x14ac:dyDescent="0.25">
      <c r="C1989" s="211"/>
    </row>
    <row r="1990" spans="3:3" x14ac:dyDescent="0.25">
      <c r="C1990" s="211"/>
    </row>
    <row r="1991" spans="3:3" x14ac:dyDescent="0.25">
      <c r="C1991" s="211"/>
    </row>
    <row r="1992" spans="3:3" x14ac:dyDescent="0.25">
      <c r="C1992" s="211"/>
    </row>
    <row r="1993" spans="3:3" x14ac:dyDescent="0.25">
      <c r="C1993" s="211"/>
    </row>
    <row r="1994" spans="3:3" x14ac:dyDescent="0.25">
      <c r="C1994" s="211"/>
    </row>
    <row r="1995" spans="3:3" x14ac:dyDescent="0.25">
      <c r="C1995" s="211"/>
    </row>
    <row r="1996" spans="3:3" x14ac:dyDescent="0.25">
      <c r="C1996" s="211"/>
    </row>
    <row r="1997" spans="3:3" x14ac:dyDescent="0.25">
      <c r="C1997" s="211"/>
    </row>
    <row r="1998" spans="3:3" x14ac:dyDescent="0.25">
      <c r="C1998" s="211"/>
    </row>
    <row r="1999" spans="3:3" x14ac:dyDescent="0.25">
      <c r="C1999" s="211"/>
    </row>
    <row r="2000" spans="3:3" x14ac:dyDescent="0.25">
      <c r="C2000" s="211"/>
    </row>
    <row r="2001" spans="3:3" x14ac:dyDescent="0.25">
      <c r="C2001" s="211"/>
    </row>
    <row r="2002" spans="3:3" x14ac:dyDescent="0.25">
      <c r="C2002" s="211"/>
    </row>
    <row r="2003" spans="3:3" x14ac:dyDescent="0.25">
      <c r="C2003" s="211"/>
    </row>
    <row r="2004" spans="3:3" x14ac:dyDescent="0.25">
      <c r="C2004" s="211"/>
    </row>
    <row r="2005" spans="3:3" x14ac:dyDescent="0.25">
      <c r="C2005" s="211"/>
    </row>
    <row r="2006" spans="3:3" x14ac:dyDescent="0.25">
      <c r="C2006" s="211"/>
    </row>
    <row r="2007" spans="3:3" x14ac:dyDescent="0.25">
      <c r="C2007" s="211"/>
    </row>
    <row r="2008" spans="3:3" x14ac:dyDescent="0.25">
      <c r="C2008" s="211"/>
    </row>
    <row r="2009" spans="3:3" x14ac:dyDescent="0.25">
      <c r="C2009" s="211"/>
    </row>
    <row r="2010" spans="3:3" x14ac:dyDescent="0.25">
      <c r="C2010" s="211"/>
    </row>
    <row r="2011" spans="3:3" x14ac:dyDescent="0.25">
      <c r="C2011" s="211"/>
    </row>
    <row r="2012" spans="3:3" x14ac:dyDescent="0.25">
      <c r="C2012" s="211"/>
    </row>
    <row r="2013" spans="3:3" x14ac:dyDescent="0.25">
      <c r="C2013" s="211"/>
    </row>
    <row r="2014" spans="3:3" x14ac:dyDescent="0.25">
      <c r="C2014" s="211"/>
    </row>
    <row r="2015" spans="3:3" x14ac:dyDescent="0.25">
      <c r="C2015" s="211"/>
    </row>
    <row r="2016" spans="3:3" x14ac:dyDescent="0.25">
      <c r="C2016" s="211"/>
    </row>
    <row r="2017" spans="3:3" x14ac:dyDescent="0.25">
      <c r="C2017" s="211"/>
    </row>
    <row r="2018" spans="3:3" x14ac:dyDescent="0.25">
      <c r="C2018" s="211"/>
    </row>
    <row r="2019" spans="3:3" x14ac:dyDescent="0.25">
      <c r="C2019" s="211"/>
    </row>
    <row r="2020" spans="3:3" x14ac:dyDescent="0.25">
      <c r="C2020" s="211"/>
    </row>
    <row r="2021" spans="3:3" x14ac:dyDescent="0.25">
      <c r="C2021" s="211"/>
    </row>
    <row r="2022" spans="3:3" x14ac:dyDescent="0.25">
      <c r="C2022" s="211"/>
    </row>
    <row r="2023" spans="3:3" x14ac:dyDescent="0.25">
      <c r="C2023" s="211"/>
    </row>
    <row r="2024" spans="3:3" x14ac:dyDescent="0.25">
      <c r="C2024" s="211"/>
    </row>
    <row r="2025" spans="3:3" x14ac:dyDescent="0.25">
      <c r="C2025" s="211"/>
    </row>
    <row r="2026" spans="3:3" x14ac:dyDescent="0.25">
      <c r="C2026" s="211"/>
    </row>
    <row r="2027" spans="3:3" x14ac:dyDescent="0.25">
      <c r="C2027" s="211"/>
    </row>
    <row r="2028" spans="3:3" x14ac:dyDescent="0.25">
      <c r="C2028" s="211"/>
    </row>
    <row r="2029" spans="3:3" x14ac:dyDescent="0.25">
      <c r="C2029" s="211"/>
    </row>
    <row r="2030" spans="3:3" x14ac:dyDescent="0.25">
      <c r="C2030" s="211"/>
    </row>
    <row r="2031" spans="3:3" x14ac:dyDescent="0.25">
      <c r="C2031" s="211"/>
    </row>
    <row r="2032" spans="3:3" x14ac:dyDescent="0.25">
      <c r="C2032" s="211"/>
    </row>
    <row r="2033" spans="3:3" x14ac:dyDescent="0.25">
      <c r="C2033" s="211"/>
    </row>
    <row r="2034" spans="3:3" x14ac:dyDescent="0.25">
      <c r="C2034" s="211"/>
    </row>
    <row r="2035" spans="3:3" x14ac:dyDescent="0.25">
      <c r="C2035" s="211"/>
    </row>
    <row r="2036" spans="3:3" x14ac:dyDescent="0.25">
      <c r="C2036" s="211"/>
    </row>
    <row r="2037" spans="3:3" x14ac:dyDescent="0.25">
      <c r="C2037" s="211"/>
    </row>
    <row r="2038" spans="3:3" x14ac:dyDescent="0.25">
      <c r="C2038" s="211"/>
    </row>
    <row r="2039" spans="3:3" x14ac:dyDescent="0.25">
      <c r="C2039" s="211"/>
    </row>
    <row r="2040" spans="3:3" x14ac:dyDescent="0.25">
      <c r="C2040" s="211"/>
    </row>
    <row r="2041" spans="3:3" x14ac:dyDescent="0.25">
      <c r="C2041" s="211"/>
    </row>
    <row r="2042" spans="3:3" x14ac:dyDescent="0.25">
      <c r="C2042" s="211"/>
    </row>
    <row r="2043" spans="3:3" x14ac:dyDescent="0.25">
      <c r="C2043" s="211"/>
    </row>
    <row r="2044" spans="3:3" x14ac:dyDescent="0.25">
      <c r="C2044" s="211"/>
    </row>
    <row r="2045" spans="3:3" x14ac:dyDescent="0.25">
      <c r="C2045" s="211"/>
    </row>
    <row r="2046" spans="3:3" x14ac:dyDescent="0.25">
      <c r="C2046" s="211"/>
    </row>
    <row r="2047" spans="3:3" x14ac:dyDescent="0.25">
      <c r="C2047" s="211"/>
    </row>
    <row r="2048" spans="3:3" x14ac:dyDescent="0.25">
      <c r="C2048" s="211"/>
    </row>
    <row r="2049" spans="3:3" x14ac:dyDescent="0.25">
      <c r="C2049" s="211"/>
    </row>
    <row r="2050" spans="3:3" x14ac:dyDescent="0.25">
      <c r="C2050" s="211"/>
    </row>
    <row r="2051" spans="3:3" x14ac:dyDescent="0.25">
      <c r="C2051" s="211"/>
    </row>
    <row r="2052" spans="3:3" x14ac:dyDescent="0.25">
      <c r="C2052" s="211"/>
    </row>
    <row r="2053" spans="3:3" x14ac:dyDescent="0.25">
      <c r="C2053" s="211"/>
    </row>
    <row r="2054" spans="3:3" x14ac:dyDescent="0.25">
      <c r="C2054" s="211"/>
    </row>
    <row r="2055" spans="3:3" x14ac:dyDescent="0.25">
      <c r="C2055" s="211"/>
    </row>
    <row r="2056" spans="3:3" x14ac:dyDescent="0.25">
      <c r="C2056" s="211"/>
    </row>
    <row r="2057" spans="3:3" x14ac:dyDescent="0.25">
      <c r="C2057" s="211"/>
    </row>
    <row r="2058" spans="3:3" x14ac:dyDescent="0.25">
      <c r="C2058" s="211"/>
    </row>
    <row r="2059" spans="3:3" x14ac:dyDescent="0.25">
      <c r="C2059" s="211"/>
    </row>
    <row r="2060" spans="3:3" x14ac:dyDescent="0.25">
      <c r="C2060" s="211"/>
    </row>
    <row r="2061" spans="3:3" x14ac:dyDescent="0.25">
      <c r="C2061" s="211"/>
    </row>
    <row r="2062" spans="3:3" x14ac:dyDescent="0.25">
      <c r="C2062" s="211"/>
    </row>
    <row r="2063" spans="3:3" x14ac:dyDescent="0.25">
      <c r="C2063" s="211"/>
    </row>
    <row r="2064" spans="3:3" x14ac:dyDescent="0.25">
      <c r="C2064" s="211"/>
    </row>
    <row r="2065" spans="3:3" x14ac:dyDescent="0.25">
      <c r="C2065" s="211"/>
    </row>
    <row r="2066" spans="3:3" x14ac:dyDescent="0.25">
      <c r="C2066" s="211"/>
    </row>
    <row r="2067" spans="3:3" x14ac:dyDescent="0.25">
      <c r="C2067" s="211"/>
    </row>
    <row r="2068" spans="3:3" x14ac:dyDescent="0.25">
      <c r="C2068" s="211"/>
    </row>
    <row r="2069" spans="3:3" x14ac:dyDescent="0.25">
      <c r="C2069" s="211"/>
    </row>
    <row r="2070" spans="3:3" x14ac:dyDescent="0.25">
      <c r="C2070" s="211"/>
    </row>
    <row r="2071" spans="3:3" x14ac:dyDescent="0.25">
      <c r="C2071" s="211"/>
    </row>
    <row r="2072" spans="3:3" x14ac:dyDescent="0.25">
      <c r="C2072" s="211"/>
    </row>
    <row r="2073" spans="3:3" x14ac:dyDescent="0.25">
      <c r="C2073" s="211"/>
    </row>
    <row r="2074" spans="3:3" x14ac:dyDescent="0.25">
      <c r="C2074" s="211"/>
    </row>
    <row r="2075" spans="3:3" x14ac:dyDescent="0.25">
      <c r="C2075" s="211"/>
    </row>
    <row r="2076" spans="3:3" x14ac:dyDescent="0.25">
      <c r="C2076" s="211"/>
    </row>
    <row r="2077" spans="3:3" x14ac:dyDescent="0.25">
      <c r="C2077" s="211"/>
    </row>
    <row r="2078" spans="3:3" x14ac:dyDescent="0.25">
      <c r="C2078" s="211"/>
    </row>
    <row r="2079" spans="3:3" x14ac:dyDescent="0.25">
      <c r="C2079" s="211"/>
    </row>
    <row r="2080" spans="3:3" x14ac:dyDescent="0.25">
      <c r="C2080" s="211"/>
    </row>
    <row r="2081" spans="3:3" x14ac:dyDescent="0.25">
      <c r="C2081" s="211"/>
    </row>
    <row r="2082" spans="3:3" x14ac:dyDescent="0.25">
      <c r="C2082" s="211"/>
    </row>
    <row r="2083" spans="3:3" x14ac:dyDescent="0.25">
      <c r="C2083" s="211"/>
    </row>
    <row r="2084" spans="3:3" x14ac:dyDescent="0.25">
      <c r="C2084" s="211"/>
    </row>
    <row r="2085" spans="3:3" x14ac:dyDescent="0.25">
      <c r="C2085" s="211"/>
    </row>
    <row r="2086" spans="3:3" x14ac:dyDescent="0.25">
      <c r="C2086" s="211"/>
    </row>
    <row r="2087" spans="3:3" x14ac:dyDescent="0.25">
      <c r="C2087" s="211"/>
    </row>
    <row r="2088" spans="3:3" x14ac:dyDescent="0.25">
      <c r="C2088" s="211"/>
    </row>
    <row r="2089" spans="3:3" x14ac:dyDescent="0.25">
      <c r="C2089" s="211"/>
    </row>
    <row r="2090" spans="3:3" x14ac:dyDescent="0.25">
      <c r="C2090" s="211"/>
    </row>
    <row r="2091" spans="3:3" x14ac:dyDescent="0.25">
      <c r="C2091" s="211"/>
    </row>
    <row r="2092" spans="3:3" x14ac:dyDescent="0.25">
      <c r="C2092" s="211"/>
    </row>
    <row r="2093" spans="3:3" x14ac:dyDescent="0.25">
      <c r="C2093" s="211"/>
    </row>
    <row r="2094" spans="3:3" x14ac:dyDescent="0.25">
      <c r="C2094" s="211"/>
    </row>
    <row r="2095" spans="3:3" x14ac:dyDescent="0.25">
      <c r="C2095" s="211"/>
    </row>
    <row r="2096" spans="3:3" x14ac:dyDescent="0.25">
      <c r="C2096" s="211"/>
    </row>
    <row r="2097" spans="3:3" x14ac:dyDescent="0.25">
      <c r="C2097" s="211"/>
    </row>
    <row r="2098" spans="3:3" x14ac:dyDescent="0.25">
      <c r="C2098" s="211"/>
    </row>
    <row r="2099" spans="3:3" x14ac:dyDescent="0.25">
      <c r="C2099" s="211"/>
    </row>
    <row r="2100" spans="3:3" x14ac:dyDescent="0.25">
      <c r="C2100" s="211"/>
    </row>
    <row r="2101" spans="3:3" x14ac:dyDescent="0.25">
      <c r="C2101" s="211"/>
    </row>
    <row r="2102" spans="3:3" x14ac:dyDescent="0.25">
      <c r="C2102" s="211"/>
    </row>
    <row r="2103" spans="3:3" x14ac:dyDescent="0.25">
      <c r="C2103" s="211"/>
    </row>
    <row r="2104" spans="3:3" x14ac:dyDescent="0.25">
      <c r="C2104" s="211"/>
    </row>
    <row r="2105" spans="3:3" x14ac:dyDescent="0.25">
      <c r="C2105" s="211"/>
    </row>
    <row r="2106" spans="3:3" x14ac:dyDescent="0.25">
      <c r="C2106" s="211"/>
    </row>
    <row r="2107" spans="3:3" x14ac:dyDescent="0.25">
      <c r="C2107" s="211"/>
    </row>
    <row r="2108" spans="3:3" x14ac:dyDescent="0.25">
      <c r="C2108" s="211"/>
    </row>
    <row r="2109" spans="3:3" x14ac:dyDescent="0.25">
      <c r="C2109" s="211"/>
    </row>
    <row r="2110" spans="3:3" x14ac:dyDescent="0.25">
      <c r="C2110" s="211"/>
    </row>
    <row r="2111" spans="3:3" x14ac:dyDescent="0.25">
      <c r="C2111" s="211"/>
    </row>
    <row r="2112" spans="3:3" x14ac:dyDescent="0.25">
      <c r="C2112" s="211"/>
    </row>
    <row r="2113" spans="3:3" x14ac:dyDescent="0.25">
      <c r="C2113" s="211"/>
    </row>
    <row r="2114" spans="3:3" x14ac:dyDescent="0.25">
      <c r="C2114" s="211"/>
    </row>
    <row r="2115" spans="3:3" x14ac:dyDescent="0.25">
      <c r="C2115" s="211"/>
    </row>
    <row r="2116" spans="3:3" x14ac:dyDescent="0.25">
      <c r="C2116" s="211"/>
    </row>
    <row r="2117" spans="3:3" x14ac:dyDescent="0.25">
      <c r="C2117" s="211"/>
    </row>
    <row r="2118" spans="3:3" x14ac:dyDescent="0.25">
      <c r="C2118" s="211"/>
    </row>
    <row r="2119" spans="3:3" x14ac:dyDescent="0.25">
      <c r="C2119" s="211"/>
    </row>
    <row r="2120" spans="3:3" x14ac:dyDescent="0.25">
      <c r="C2120" s="211"/>
    </row>
    <row r="2121" spans="3:3" x14ac:dyDescent="0.25">
      <c r="C2121" s="211"/>
    </row>
    <row r="2122" spans="3:3" x14ac:dyDescent="0.25">
      <c r="C2122" s="211"/>
    </row>
    <row r="2123" spans="3:3" x14ac:dyDescent="0.25">
      <c r="C2123" s="211"/>
    </row>
    <row r="2124" spans="3:3" x14ac:dyDescent="0.25">
      <c r="C2124" s="211"/>
    </row>
    <row r="2125" spans="3:3" x14ac:dyDescent="0.25">
      <c r="C2125" s="211"/>
    </row>
    <row r="2126" spans="3:3" x14ac:dyDescent="0.25">
      <c r="C2126" s="211"/>
    </row>
    <row r="2127" spans="3:3" x14ac:dyDescent="0.25">
      <c r="C2127" s="211"/>
    </row>
    <row r="2128" spans="3:3" x14ac:dyDescent="0.25">
      <c r="C2128" s="211"/>
    </row>
    <row r="2129" spans="3:3" x14ac:dyDescent="0.25">
      <c r="C2129" s="211"/>
    </row>
    <row r="2130" spans="3:3" x14ac:dyDescent="0.25">
      <c r="C2130" s="211"/>
    </row>
    <row r="2131" spans="3:3" x14ac:dyDescent="0.25">
      <c r="C2131" s="211"/>
    </row>
    <row r="2132" spans="3:3" x14ac:dyDescent="0.25">
      <c r="C2132" s="211"/>
    </row>
    <row r="2133" spans="3:3" x14ac:dyDescent="0.25">
      <c r="C2133" s="211"/>
    </row>
    <row r="2134" spans="3:3" x14ac:dyDescent="0.25">
      <c r="C2134" s="211"/>
    </row>
    <row r="2135" spans="3:3" x14ac:dyDescent="0.25">
      <c r="C2135" s="211"/>
    </row>
    <row r="2136" spans="3:3" x14ac:dyDescent="0.25">
      <c r="C2136" s="211"/>
    </row>
    <row r="2137" spans="3:3" x14ac:dyDescent="0.25">
      <c r="C2137" s="211"/>
    </row>
    <row r="2138" spans="3:3" x14ac:dyDescent="0.25">
      <c r="C2138" s="211"/>
    </row>
    <row r="2139" spans="3:3" x14ac:dyDescent="0.25">
      <c r="C2139" s="211"/>
    </row>
    <row r="2140" spans="3:3" x14ac:dyDescent="0.25">
      <c r="C2140" s="211"/>
    </row>
    <row r="2141" spans="3:3" x14ac:dyDescent="0.25">
      <c r="C2141" s="211"/>
    </row>
    <row r="2142" spans="3:3" x14ac:dyDescent="0.25">
      <c r="C2142" s="211"/>
    </row>
    <row r="2143" spans="3:3" x14ac:dyDescent="0.25">
      <c r="C2143" s="211"/>
    </row>
    <row r="2144" spans="3:3" x14ac:dyDescent="0.25">
      <c r="C2144" s="211"/>
    </row>
    <row r="2145" spans="3:3" x14ac:dyDescent="0.25">
      <c r="C2145" s="211"/>
    </row>
    <row r="2146" spans="3:3" x14ac:dyDescent="0.25">
      <c r="C2146" s="211"/>
    </row>
    <row r="2147" spans="3:3" x14ac:dyDescent="0.25">
      <c r="C2147" s="211"/>
    </row>
    <row r="2148" spans="3:3" x14ac:dyDescent="0.25">
      <c r="C2148" s="211"/>
    </row>
    <row r="2149" spans="3:3" x14ac:dyDescent="0.25">
      <c r="C2149" s="211"/>
    </row>
    <row r="2150" spans="3:3" x14ac:dyDescent="0.25">
      <c r="C2150" s="211"/>
    </row>
    <row r="2151" spans="3:3" x14ac:dyDescent="0.25">
      <c r="C2151" s="211"/>
    </row>
    <row r="2152" spans="3:3" x14ac:dyDescent="0.25">
      <c r="C2152" s="211"/>
    </row>
    <row r="2153" spans="3:3" x14ac:dyDescent="0.25">
      <c r="C2153" s="211"/>
    </row>
    <row r="2154" spans="3:3" x14ac:dyDescent="0.25">
      <c r="C2154" s="211"/>
    </row>
    <row r="2155" spans="3:3" x14ac:dyDescent="0.25">
      <c r="C2155" s="211"/>
    </row>
    <row r="2156" spans="3:3" x14ac:dyDescent="0.25">
      <c r="C2156" s="211"/>
    </row>
    <row r="2157" spans="3:3" x14ac:dyDescent="0.25">
      <c r="C2157" s="211"/>
    </row>
    <row r="2158" spans="3:3" x14ac:dyDescent="0.25">
      <c r="C2158" s="211"/>
    </row>
    <row r="2159" spans="3:3" x14ac:dyDescent="0.25">
      <c r="C2159" s="211"/>
    </row>
    <row r="2160" spans="3:3" x14ac:dyDescent="0.25">
      <c r="C2160" s="211"/>
    </row>
    <row r="2161" spans="3:3" x14ac:dyDescent="0.25">
      <c r="C2161" s="211"/>
    </row>
    <row r="2162" spans="3:3" x14ac:dyDescent="0.25">
      <c r="C2162" s="211"/>
    </row>
    <row r="2163" spans="3:3" x14ac:dyDescent="0.25">
      <c r="C2163" s="211"/>
    </row>
    <row r="2164" spans="3:3" x14ac:dyDescent="0.25">
      <c r="C2164" s="211"/>
    </row>
    <row r="2165" spans="3:3" x14ac:dyDescent="0.25">
      <c r="C2165" s="211"/>
    </row>
    <row r="2166" spans="3:3" x14ac:dyDescent="0.25">
      <c r="C2166" s="211"/>
    </row>
    <row r="2167" spans="3:3" x14ac:dyDescent="0.25">
      <c r="C2167" s="211"/>
    </row>
    <row r="2168" spans="3:3" x14ac:dyDescent="0.25">
      <c r="C2168" s="211"/>
    </row>
    <row r="2169" spans="3:3" x14ac:dyDescent="0.25">
      <c r="C2169" s="211"/>
    </row>
    <row r="2170" spans="3:3" x14ac:dyDescent="0.25">
      <c r="C2170" s="211"/>
    </row>
    <row r="2171" spans="3:3" x14ac:dyDescent="0.25">
      <c r="C2171" s="211"/>
    </row>
    <row r="2172" spans="3:3" x14ac:dyDescent="0.25">
      <c r="C2172" s="211"/>
    </row>
    <row r="2173" spans="3:3" x14ac:dyDescent="0.25">
      <c r="C2173" s="211"/>
    </row>
    <row r="2174" spans="3:3" x14ac:dyDescent="0.25">
      <c r="C2174" s="211"/>
    </row>
    <row r="2175" spans="3:3" x14ac:dyDescent="0.25">
      <c r="C2175" s="211"/>
    </row>
    <row r="2176" spans="3:3" x14ac:dyDescent="0.25">
      <c r="C2176" s="211"/>
    </row>
    <row r="2177" spans="3:3" x14ac:dyDescent="0.25">
      <c r="C2177" s="211"/>
    </row>
    <row r="2178" spans="3:3" x14ac:dyDescent="0.25">
      <c r="C2178" s="211"/>
    </row>
    <row r="2179" spans="3:3" x14ac:dyDescent="0.25">
      <c r="C2179" s="211"/>
    </row>
    <row r="2180" spans="3:3" x14ac:dyDescent="0.25">
      <c r="C2180" s="211"/>
    </row>
    <row r="2181" spans="3:3" x14ac:dyDescent="0.25">
      <c r="C2181" s="211"/>
    </row>
    <row r="2182" spans="3:3" x14ac:dyDescent="0.25">
      <c r="C2182" s="211"/>
    </row>
    <row r="2183" spans="3:3" x14ac:dyDescent="0.25">
      <c r="C2183" s="211"/>
    </row>
    <row r="2184" spans="3:3" x14ac:dyDescent="0.25">
      <c r="C2184" s="211"/>
    </row>
    <row r="2185" spans="3:3" x14ac:dyDescent="0.25">
      <c r="C2185" s="211"/>
    </row>
    <row r="2186" spans="3:3" x14ac:dyDescent="0.25">
      <c r="C2186" s="211"/>
    </row>
    <row r="2187" spans="3:3" x14ac:dyDescent="0.25">
      <c r="C2187" s="211"/>
    </row>
    <row r="2188" spans="3:3" x14ac:dyDescent="0.25">
      <c r="C2188" s="211"/>
    </row>
    <row r="2189" spans="3:3" x14ac:dyDescent="0.25">
      <c r="C2189" s="211"/>
    </row>
    <row r="2190" spans="3:3" x14ac:dyDescent="0.25">
      <c r="C2190" s="211"/>
    </row>
    <row r="2191" spans="3:3" x14ac:dyDescent="0.25">
      <c r="C2191" s="211"/>
    </row>
    <row r="2192" spans="3:3" x14ac:dyDescent="0.25">
      <c r="C2192" s="211"/>
    </row>
    <row r="2193" spans="3:3" x14ac:dyDescent="0.25">
      <c r="C2193" s="211"/>
    </row>
    <row r="2194" spans="3:3" x14ac:dyDescent="0.25">
      <c r="C2194" s="211"/>
    </row>
    <row r="2195" spans="3:3" x14ac:dyDescent="0.25">
      <c r="C2195" s="211"/>
    </row>
    <row r="2196" spans="3:3" x14ac:dyDescent="0.25">
      <c r="C2196" s="211"/>
    </row>
    <row r="2197" spans="3:3" x14ac:dyDescent="0.25">
      <c r="C2197" s="211"/>
    </row>
    <row r="2198" spans="3:3" x14ac:dyDescent="0.25">
      <c r="C2198" s="211"/>
    </row>
    <row r="2199" spans="3:3" x14ac:dyDescent="0.25">
      <c r="C2199" s="211"/>
    </row>
    <row r="2200" spans="3:3" x14ac:dyDescent="0.25">
      <c r="C2200" s="211"/>
    </row>
    <row r="2201" spans="3:3" x14ac:dyDescent="0.25">
      <c r="C2201" s="211"/>
    </row>
    <row r="2202" spans="3:3" x14ac:dyDescent="0.25">
      <c r="C2202" s="211"/>
    </row>
    <row r="2203" spans="3:3" x14ac:dyDescent="0.25">
      <c r="C2203" s="211"/>
    </row>
    <row r="2204" spans="3:3" x14ac:dyDescent="0.25">
      <c r="C2204" s="211"/>
    </row>
    <row r="2205" spans="3:3" x14ac:dyDescent="0.25">
      <c r="C2205" s="211"/>
    </row>
    <row r="2206" spans="3:3" x14ac:dyDescent="0.25">
      <c r="C2206" s="211"/>
    </row>
    <row r="2207" spans="3:3" x14ac:dyDescent="0.25">
      <c r="C2207" s="211"/>
    </row>
    <row r="2208" spans="3:3" x14ac:dyDescent="0.25">
      <c r="C2208" s="211"/>
    </row>
    <row r="2209" spans="3:3" x14ac:dyDescent="0.25">
      <c r="C2209" s="211"/>
    </row>
    <row r="2210" spans="3:3" x14ac:dyDescent="0.25">
      <c r="C2210" s="211"/>
    </row>
    <row r="2211" spans="3:3" x14ac:dyDescent="0.25">
      <c r="C2211" s="211"/>
    </row>
    <row r="2212" spans="3:3" x14ac:dyDescent="0.25">
      <c r="C2212" s="211"/>
    </row>
    <row r="2213" spans="3:3" x14ac:dyDescent="0.25">
      <c r="C2213" s="211"/>
    </row>
    <row r="2214" spans="3:3" x14ac:dyDescent="0.25">
      <c r="C2214" s="211"/>
    </row>
    <row r="2215" spans="3:3" x14ac:dyDescent="0.25">
      <c r="C2215" s="211"/>
    </row>
    <row r="2216" spans="3:3" x14ac:dyDescent="0.25">
      <c r="C2216" s="211"/>
    </row>
    <row r="2217" spans="3:3" x14ac:dyDescent="0.25">
      <c r="C2217" s="211"/>
    </row>
    <row r="2218" spans="3:3" x14ac:dyDescent="0.25">
      <c r="C2218" s="211"/>
    </row>
    <row r="2219" spans="3:3" x14ac:dyDescent="0.25">
      <c r="C2219" s="211"/>
    </row>
    <row r="2220" spans="3:3" x14ac:dyDescent="0.25">
      <c r="C2220" s="211"/>
    </row>
    <row r="2221" spans="3:3" x14ac:dyDescent="0.25">
      <c r="C2221" s="211"/>
    </row>
    <row r="2222" spans="3:3" x14ac:dyDescent="0.25">
      <c r="C2222" s="211"/>
    </row>
    <row r="2223" spans="3:3" x14ac:dyDescent="0.25">
      <c r="C2223" s="211"/>
    </row>
    <row r="2224" spans="3:3" x14ac:dyDescent="0.25">
      <c r="C2224" s="211"/>
    </row>
    <row r="2225" spans="3:3" x14ac:dyDescent="0.25">
      <c r="C2225" s="211"/>
    </row>
    <row r="2226" spans="3:3" x14ac:dyDescent="0.25">
      <c r="C2226" s="211"/>
    </row>
    <row r="2227" spans="3:3" x14ac:dyDescent="0.25">
      <c r="C2227" s="211"/>
    </row>
    <row r="2228" spans="3:3" x14ac:dyDescent="0.25">
      <c r="C2228" s="211"/>
    </row>
    <row r="2229" spans="3:3" x14ac:dyDescent="0.25">
      <c r="C2229" s="211"/>
    </row>
    <row r="2230" spans="3:3" x14ac:dyDescent="0.25">
      <c r="C2230" s="211"/>
    </row>
    <row r="2231" spans="3:3" x14ac:dyDescent="0.25">
      <c r="C2231" s="211"/>
    </row>
    <row r="2232" spans="3:3" x14ac:dyDescent="0.25">
      <c r="C2232" s="211"/>
    </row>
    <row r="2233" spans="3:3" x14ac:dyDescent="0.25">
      <c r="C2233" s="211"/>
    </row>
    <row r="2234" spans="3:3" x14ac:dyDescent="0.25">
      <c r="C2234" s="211"/>
    </row>
    <row r="2235" spans="3:3" x14ac:dyDescent="0.25">
      <c r="C2235" s="211"/>
    </row>
    <row r="2236" spans="3:3" x14ac:dyDescent="0.25">
      <c r="C2236" s="211"/>
    </row>
    <row r="2237" spans="3:3" x14ac:dyDescent="0.25">
      <c r="C2237" s="211"/>
    </row>
    <row r="2238" spans="3:3" x14ac:dyDescent="0.25">
      <c r="C2238" s="211"/>
    </row>
    <row r="2239" spans="3:3" x14ac:dyDescent="0.25">
      <c r="C2239" s="211"/>
    </row>
    <row r="2240" spans="3:3" x14ac:dyDescent="0.25">
      <c r="C2240" s="211"/>
    </row>
    <row r="2241" spans="3:3" x14ac:dyDescent="0.25">
      <c r="C2241" s="211"/>
    </row>
    <row r="2242" spans="3:3" x14ac:dyDescent="0.25">
      <c r="C2242" s="211"/>
    </row>
    <row r="2243" spans="3:3" x14ac:dyDescent="0.25">
      <c r="C2243" s="211"/>
    </row>
    <row r="2244" spans="3:3" x14ac:dyDescent="0.25">
      <c r="C2244" s="211"/>
    </row>
    <row r="2245" spans="3:3" x14ac:dyDescent="0.25">
      <c r="C2245" s="211"/>
    </row>
    <row r="2246" spans="3:3" x14ac:dyDescent="0.25">
      <c r="C2246" s="211"/>
    </row>
    <row r="2247" spans="3:3" x14ac:dyDescent="0.25">
      <c r="C2247" s="211"/>
    </row>
    <row r="2248" spans="3:3" x14ac:dyDescent="0.25">
      <c r="C2248" s="211"/>
    </row>
    <row r="2249" spans="3:3" x14ac:dyDescent="0.25">
      <c r="C2249" s="211"/>
    </row>
    <row r="2250" spans="3:3" x14ac:dyDescent="0.25">
      <c r="C2250" s="211"/>
    </row>
    <row r="2251" spans="3:3" x14ac:dyDescent="0.25">
      <c r="C2251" s="211"/>
    </row>
    <row r="2252" spans="3:3" x14ac:dyDescent="0.25">
      <c r="C2252" s="211"/>
    </row>
    <row r="2253" spans="3:3" x14ac:dyDescent="0.25">
      <c r="C2253" s="211"/>
    </row>
    <row r="2254" spans="3:3" x14ac:dyDescent="0.25">
      <c r="C2254" s="211"/>
    </row>
    <row r="2255" spans="3:3" x14ac:dyDescent="0.25">
      <c r="C2255" s="211"/>
    </row>
    <row r="2256" spans="3:3" x14ac:dyDescent="0.25">
      <c r="C2256" s="211"/>
    </row>
    <row r="2257" spans="3:3" x14ac:dyDescent="0.25">
      <c r="C2257" s="211"/>
    </row>
    <row r="2258" spans="3:3" x14ac:dyDescent="0.25">
      <c r="C2258" s="211"/>
    </row>
    <row r="2259" spans="3:3" x14ac:dyDescent="0.25">
      <c r="C2259" s="211"/>
    </row>
    <row r="2260" spans="3:3" x14ac:dyDescent="0.25">
      <c r="C2260" s="211"/>
    </row>
    <row r="2261" spans="3:3" x14ac:dyDescent="0.25">
      <c r="C2261" s="211"/>
    </row>
    <row r="2262" spans="3:3" x14ac:dyDescent="0.25">
      <c r="C2262" s="211"/>
    </row>
    <row r="2263" spans="3:3" x14ac:dyDescent="0.25">
      <c r="C2263" s="211"/>
    </row>
    <row r="2264" spans="3:3" x14ac:dyDescent="0.25">
      <c r="C2264" s="211"/>
    </row>
    <row r="2265" spans="3:3" x14ac:dyDescent="0.25">
      <c r="C2265" s="211"/>
    </row>
    <row r="2266" spans="3:3" x14ac:dyDescent="0.25">
      <c r="C2266" s="211"/>
    </row>
    <row r="2267" spans="3:3" x14ac:dyDescent="0.25">
      <c r="C2267" s="211"/>
    </row>
    <row r="2268" spans="3:3" x14ac:dyDescent="0.25">
      <c r="C2268" s="211"/>
    </row>
    <row r="2269" spans="3:3" x14ac:dyDescent="0.25">
      <c r="C2269" s="211"/>
    </row>
    <row r="2270" spans="3:3" x14ac:dyDescent="0.25">
      <c r="C2270" s="211"/>
    </row>
    <row r="2271" spans="3:3" x14ac:dyDescent="0.25">
      <c r="C2271" s="211"/>
    </row>
    <row r="2272" spans="3:3" x14ac:dyDescent="0.25">
      <c r="C2272" s="211"/>
    </row>
    <row r="2273" spans="3:3" x14ac:dyDescent="0.25">
      <c r="C2273" s="211"/>
    </row>
    <row r="2274" spans="3:3" x14ac:dyDescent="0.25">
      <c r="C2274" s="211"/>
    </row>
    <row r="2275" spans="3:3" x14ac:dyDescent="0.25">
      <c r="C2275" s="211"/>
    </row>
    <row r="2276" spans="3:3" x14ac:dyDescent="0.25">
      <c r="C2276" s="211"/>
    </row>
    <row r="2277" spans="3:3" x14ac:dyDescent="0.25">
      <c r="C2277" s="211"/>
    </row>
    <row r="2278" spans="3:3" x14ac:dyDescent="0.25">
      <c r="C2278" s="211"/>
    </row>
    <row r="2279" spans="3:3" x14ac:dyDescent="0.25">
      <c r="C2279" s="211"/>
    </row>
    <row r="2280" spans="3:3" x14ac:dyDescent="0.25">
      <c r="C2280" s="211"/>
    </row>
    <row r="2281" spans="3:3" x14ac:dyDescent="0.25">
      <c r="C2281" s="211"/>
    </row>
    <row r="2282" spans="3:3" x14ac:dyDescent="0.25">
      <c r="C2282" s="211"/>
    </row>
    <row r="2283" spans="3:3" x14ac:dyDescent="0.25">
      <c r="C2283" s="211"/>
    </row>
    <row r="2284" spans="3:3" x14ac:dyDescent="0.25">
      <c r="C2284" s="211"/>
    </row>
    <row r="2285" spans="3:3" x14ac:dyDescent="0.25">
      <c r="C2285" s="211"/>
    </row>
    <row r="2286" spans="3:3" x14ac:dyDescent="0.25">
      <c r="C2286" s="211"/>
    </row>
    <row r="2287" spans="3:3" x14ac:dyDescent="0.25">
      <c r="C2287" s="211"/>
    </row>
    <row r="2288" spans="3:3" x14ac:dyDescent="0.25">
      <c r="C2288" s="211"/>
    </row>
    <row r="2289" spans="3:3" x14ac:dyDescent="0.25">
      <c r="C2289" s="211"/>
    </row>
    <row r="2290" spans="3:3" x14ac:dyDescent="0.25">
      <c r="C2290" s="211"/>
    </row>
    <row r="2291" spans="3:3" x14ac:dyDescent="0.25">
      <c r="C2291" s="211"/>
    </row>
    <row r="2292" spans="3:3" x14ac:dyDescent="0.25">
      <c r="C2292" s="211"/>
    </row>
    <row r="2293" spans="3:3" x14ac:dyDescent="0.25">
      <c r="C2293" s="211"/>
    </row>
    <row r="2294" spans="3:3" x14ac:dyDescent="0.25">
      <c r="C2294" s="211"/>
    </row>
    <row r="2295" spans="3:3" x14ac:dyDescent="0.25">
      <c r="C2295" s="211"/>
    </row>
    <row r="2296" spans="3:3" x14ac:dyDescent="0.25">
      <c r="C2296" s="211"/>
    </row>
    <row r="2297" spans="3:3" x14ac:dyDescent="0.25">
      <c r="C2297" s="211"/>
    </row>
    <row r="2298" spans="3:3" x14ac:dyDescent="0.25">
      <c r="C2298" s="211"/>
    </row>
    <row r="2299" spans="3:3" x14ac:dyDescent="0.25">
      <c r="C2299" s="211"/>
    </row>
    <row r="2300" spans="3:3" x14ac:dyDescent="0.25">
      <c r="C2300" s="211"/>
    </row>
    <row r="2301" spans="3:3" x14ac:dyDescent="0.25">
      <c r="C2301" s="211"/>
    </row>
    <row r="2302" spans="3:3" x14ac:dyDescent="0.25">
      <c r="C2302" s="211"/>
    </row>
    <row r="2303" spans="3:3" x14ac:dyDescent="0.25">
      <c r="C2303" s="211"/>
    </row>
    <row r="2304" spans="3:3" x14ac:dyDescent="0.25">
      <c r="C2304" s="211"/>
    </row>
    <row r="2305" spans="3:3" x14ac:dyDescent="0.25">
      <c r="C2305" s="211"/>
    </row>
    <row r="2306" spans="3:3" x14ac:dyDescent="0.25">
      <c r="C2306" s="211"/>
    </row>
    <row r="2307" spans="3:3" x14ac:dyDescent="0.25">
      <c r="C2307" s="211"/>
    </row>
    <row r="2308" spans="3:3" x14ac:dyDescent="0.25">
      <c r="C2308" s="211"/>
    </row>
    <row r="2309" spans="3:3" x14ac:dyDescent="0.25">
      <c r="C2309" s="211"/>
    </row>
    <row r="2310" spans="3:3" x14ac:dyDescent="0.25">
      <c r="C2310" s="211"/>
    </row>
    <row r="2311" spans="3:3" x14ac:dyDescent="0.25">
      <c r="C2311" s="211"/>
    </row>
    <row r="2312" spans="3:3" x14ac:dyDescent="0.25">
      <c r="C2312" s="211"/>
    </row>
    <row r="2313" spans="3:3" x14ac:dyDescent="0.25">
      <c r="C2313" s="211"/>
    </row>
    <row r="2314" spans="3:3" x14ac:dyDescent="0.25">
      <c r="C2314" s="211"/>
    </row>
    <row r="2315" spans="3:3" x14ac:dyDescent="0.25">
      <c r="C2315" s="211"/>
    </row>
    <row r="2316" spans="3:3" x14ac:dyDescent="0.25">
      <c r="C2316" s="211"/>
    </row>
    <row r="2317" spans="3:3" x14ac:dyDescent="0.25">
      <c r="C2317" s="211"/>
    </row>
    <row r="2318" spans="3:3" x14ac:dyDescent="0.25">
      <c r="C2318" s="211"/>
    </row>
    <row r="2319" spans="3:3" x14ac:dyDescent="0.25">
      <c r="C2319" s="211"/>
    </row>
    <row r="2320" spans="3:3" x14ac:dyDescent="0.25">
      <c r="C2320" s="211"/>
    </row>
    <row r="2321" spans="3:3" x14ac:dyDescent="0.25">
      <c r="C2321" s="211"/>
    </row>
    <row r="2322" spans="3:3" x14ac:dyDescent="0.25">
      <c r="C2322" s="211"/>
    </row>
    <row r="2323" spans="3:3" x14ac:dyDescent="0.25">
      <c r="C2323" s="211"/>
    </row>
    <row r="2324" spans="3:3" x14ac:dyDescent="0.25">
      <c r="C2324" s="211"/>
    </row>
    <row r="2325" spans="3:3" x14ac:dyDescent="0.25">
      <c r="C2325" s="211"/>
    </row>
    <row r="2326" spans="3:3" x14ac:dyDescent="0.25">
      <c r="C2326" s="211"/>
    </row>
    <row r="2327" spans="3:3" x14ac:dyDescent="0.25">
      <c r="C2327" s="211"/>
    </row>
    <row r="2328" spans="3:3" x14ac:dyDescent="0.25">
      <c r="C2328" s="211"/>
    </row>
    <row r="2329" spans="3:3" x14ac:dyDescent="0.25">
      <c r="C2329" s="211"/>
    </row>
    <row r="2330" spans="3:3" x14ac:dyDescent="0.25">
      <c r="C2330" s="211"/>
    </row>
    <row r="2331" spans="3:3" x14ac:dyDescent="0.25">
      <c r="C2331" s="211"/>
    </row>
    <row r="2332" spans="3:3" x14ac:dyDescent="0.25">
      <c r="C2332" s="211"/>
    </row>
    <row r="2333" spans="3:3" x14ac:dyDescent="0.25">
      <c r="C2333" s="211"/>
    </row>
    <row r="2334" spans="3:3" x14ac:dyDescent="0.25">
      <c r="C2334" s="211"/>
    </row>
    <row r="2335" spans="3:3" x14ac:dyDescent="0.25">
      <c r="C2335" s="211"/>
    </row>
    <row r="2336" spans="3:3" x14ac:dyDescent="0.25">
      <c r="C2336" s="211"/>
    </row>
    <row r="2337" spans="3:3" x14ac:dyDescent="0.25">
      <c r="C2337" s="211"/>
    </row>
    <row r="2338" spans="3:3" x14ac:dyDescent="0.25">
      <c r="C2338" s="211"/>
    </row>
    <row r="2339" spans="3:3" x14ac:dyDescent="0.25">
      <c r="C2339" s="211"/>
    </row>
    <row r="2340" spans="3:3" x14ac:dyDescent="0.25">
      <c r="C2340" s="211"/>
    </row>
    <row r="2341" spans="3:3" x14ac:dyDescent="0.25">
      <c r="C2341" s="211"/>
    </row>
    <row r="2342" spans="3:3" x14ac:dyDescent="0.25">
      <c r="C2342" s="211"/>
    </row>
    <row r="2343" spans="3:3" x14ac:dyDescent="0.25">
      <c r="C2343" s="211"/>
    </row>
    <row r="2344" spans="3:3" x14ac:dyDescent="0.25">
      <c r="C2344" s="211"/>
    </row>
    <row r="2345" spans="3:3" x14ac:dyDescent="0.25">
      <c r="C2345" s="211"/>
    </row>
    <row r="2346" spans="3:3" x14ac:dyDescent="0.25">
      <c r="C2346" s="211"/>
    </row>
    <row r="2347" spans="3:3" x14ac:dyDescent="0.25">
      <c r="C2347" s="211"/>
    </row>
    <row r="2348" spans="3:3" x14ac:dyDescent="0.25">
      <c r="C2348" s="211"/>
    </row>
    <row r="2349" spans="3:3" x14ac:dyDescent="0.25">
      <c r="C2349" s="211"/>
    </row>
    <row r="2350" spans="3:3" x14ac:dyDescent="0.25">
      <c r="C2350" s="211"/>
    </row>
    <row r="2351" spans="3:3" x14ac:dyDescent="0.25">
      <c r="C2351" s="211"/>
    </row>
    <row r="2352" spans="3:3" x14ac:dyDescent="0.25">
      <c r="C2352" s="211"/>
    </row>
    <row r="2353" spans="3:3" x14ac:dyDescent="0.25">
      <c r="C2353" s="211"/>
    </row>
    <row r="2354" spans="3:3" x14ac:dyDescent="0.25">
      <c r="C2354" s="211"/>
    </row>
    <row r="2355" spans="3:3" x14ac:dyDescent="0.25">
      <c r="C2355" s="211"/>
    </row>
    <row r="2356" spans="3:3" x14ac:dyDescent="0.25">
      <c r="C2356" s="211"/>
    </row>
    <row r="2357" spans="3:3" x14ac:dyDescent="0.25">
      <c r="C2357" s="211"/>
    </row>
    <row r="2358" spans="3:3" x14ac:dyDescent="0.25">
      <c r="C2358" s="211"/>
    </row>
    <row r="2359" spans="3:3" x14ac:dyDescent="0.25">
      <c r="C2359" s="211"/>
    </row>
    <row r="2360" spans="3:3" x14ac:dyDescent="0.25">
      <c r="C2360" s="211"/>
    </row>
    <row r="2361" spans="3:3" x14ac:dyDescent="0.25">
      <c r="C2361" s="211"/>
    </row>
    <row r="2362" spans="3:3" x14ac:dyDescent="0.25">
      <c r="C2362" s="211"/>
    </row>
    <row r="2363" spans="3:3" x14ac:dyDescent="0.25">
      <c r="C2363" s="211"/>
    </row>
    <row r="2364" spans="3:3" x14ac:dyDescent="0.25">
      <c r="C2364" s="211"/>
    </row>
    <row r="2365" spans="3:3" x14ac:dyDescent="0.25">
      <c r="C2365" s="211"/>
    </row>
    <row r="2366" spans="3:3" x14ac:dyDescent="0.25">
      <c r="C2366" s="211"/>
    </row>
    <row r="2367" spans="3:3" x14ac:dyDescent="0.25">
      <c r="C2367" s="211"/>
    </row>
    <row r="2368" spans="3:3" x14ac:dyDescent="0.25">
      <c r="C2368" s="211"/>
    </row>
    <row r="2369" spans="3:3" x14ac:dyDescent="0.25">
      <c r="C2369" s="211"/>
    </row>
    <row r="2370" spans="3:3" x14ac:dyDescent="0.25">
      <c r="C2370" s="211"/>
    </row>
    <row r="2371" spans="3:3" x14ac:dyDescent="0.25">
      <c r="C2371" s="211"/>
    </row>
    <row r="2372" spans="3:3" x14ac:dyDescent="0.25">
      <c r="C2372" s="211"/>
    </row>
    <row r="2373" spans="3:3" x14ac:dyDescent="0.25">
      <c r="C2373" s="211"/>
    </row>
    <row r="2374" spans="3:3" x14ac:dyDescent="0.25">
      <c r="C2374" s="211"/>
    </row>
    <row r="2375" spans="3:3" x14ac:dyDescent="0.25">
      <c r="C2375" s="211"/>
    </row>
    <row r="2376" spans="3:3" x14ac:dyDescent="0.25">
      <c r="C2376" s="211"/>
    </row>
    <row r="2377" spans="3:3" x14ac:dyDescent="0.25">
      <c r="C2377" s="211"/>
    </row>
    <row r="2378" spans="3:3" x14ac:dyDescent="0.25">
      <c r="C2378" s="211"/>
    </row>
    <row r="2379" spans="3:3" x14ac:dyDescent="0.25">
      <c r="C2379" s="211"/>
    </row>
    <row r="2380" spans="3:3" x14ac:dyDescent="0.25">
      <c r="C2380" s="211"/>
    </row>
    <row r="2381" spans="3:3" x14ac:dyDescent="0.25">
      <c r="C2381" s="211"/>
    </row>
    <row r="2382" spans="3:3" x14ac:dyDescent="0.25">
      <c r="C2382" s="211"/>
    </row>
    <row r="2383" spans="3:3" x14ac:dyDescent="0.25">
      <c r="C2383" s="211"/>
    </row>
    <row r="2384" spans="3:3" x14ac:dyDescent="0.25">
      <c r="C2384" s="211"/>
    </row>
    <row r="2385" spans="3:3" x14ac:dyDescent="0.25">
      <c r="C2385" s="211"/>
    </row>
    <row r="2386" spans="3:3" x14ac:dyDescent="0.25">
      <c r="C2386" s="211"/>
    </row>
    <row r="2387" spans="3:3" x14ac:dyDescent="0.25">
      <c r="C2387" s="211"/>
    </row>
    <row r="2388" spans="3:3" x14ac:dyDescent="0.25">
      <c r="C2388" s="211"/>
    </row>
    <row r="2389" spans="3:3" x14ac:dyDescent="0.25">
      <c r="C2389" s="211"/>
    </row>
    <row r="2390" spans="3:3" x14ac:dyDescent="0.25">
      <c r="C2390" s="211"/>
    </row>
    <row r="2391" spans="3:3" x14ac:dyDescent="0.25">
      <c r="C2391" s="211"/>
    </row>
    <row r="2392" spans="3:3" x14ac:dyDescent="0.25">
      <c r="C2392" s="211"/>
    </row>
    <row r="2393" spans="3:3" x14ac:dyDescent="0.25">
      <c r="C2393" s="211"/>
    </row>
    <row r="2394" spans="3:3" x14ac:dyDescent="0.25">
      <c r="C2394" s="211"/>
    </row>
    <row r="2395" spans="3:3" x14ac:dyDescent="0.25">
      <c r="C2395" s="211"/>
    </row>
    <row r="2396" spans="3:3" x14ac:dyDescent="0.25">
      <c r="C2396" s="211"/>
    </row>
    <row r="2397" spans="3:3" x14ac:dyDescent="0.25">
      <c r="C2397" s="211"/>
    </row>
    <row r="2398" spans="3:3" x14ac:dyDescent="0.25">
      <c r="C2398" s="211"/>
    </row>
    <row r="2399" spans="3:3" x14ac:dyDescent="0.25">
      <c r="C2399" s="211"/>
    </row>
    <row r="2400" spans="3:3" x14ac:dyDescent="0.25">
      <c r="C2400" s="211"/>
    </row>
    <row r="2401" spans="3:3" x14ac:dyDescent="0.25">
      <c r="C2401" s="211"/>
    </row>
    <row r="2402" spans="3:3" x14ac:dyDescent="0.25">
      <c r="C2402" s="211"/>
    </row>
    <row r="2403" spans="3:3" x14ac:dyDescent="0.25">
      <c r="C2403" s="211"/>
    </row>
    <row r="2404" spans="3:3" x14ac:dyDescent="0.25">
      <c r="C2404" s="211"/>
    </row>
    <row r="2405" spans="3:3" x14ac:dyDescent="0.25">
      <c r="C2405" s="211"/>
    </row>
    <row r="2406" spans="3:3" x14ac:dyDescent="0.25">
      <c r="C2406" s="211"/>
    </row>
    <row r="2407" spans="3:3" x14ac:dyDescent="0.25">
      <c r="C2407" s="211"/>
    </row>
    <row r="2408" spans="3:3" x14ac:dyDescent="0.25">
      <c r="C2408" s="211"/>
    </row>
    <row r="2409" spans="3:3" x14ac:dyDescent="0.25">
      <c r="C2409" s="211"/>
    </row>
    <row r="2410" spans="3:3" x14ac:dyDescent="0.25">
      <c r="C2410" s="211"/>
    </row>
    <row r="2411" spans="3:3" x14ac:dyDescent="0.25">
      <c r="C2411" s="211"/>
    </row>
    <row r="2412" spans="3:3" x14ac:dyDescent="0.25">
      <c r="C2412" s="211"/>
    </row>
    <row r="2413" spans="3:3" x14ac:dyDescent="0.25">
      <c r="C2413" s="211"/>
    </row>
    <row r="2414" spans="3:3" x14ac:dyDescent="0.25">
      <c r="C2414" s="211"/>
    </row>
    <row r="2415" spans="3:3" x14ac:dyDescent="0.25">
      <c r="C2415" s="211"/>
    </row>
    <row r="2416" spans="3:3" x14ac:dyDescent="0.25">
      <c r="C2416" s="211"/>
    </row>
    <row r="2417" spans="3:3" x14ac:dyDescent="0.25">
      <c r="C2417" s="211"/>
    </row>
    <row r="2418" spans="3:3" x14ac:dyDescent="0.25">
      <c r="C2418" s="211"/>
    </row>
    <row r="2419" spans="3:3" x14ac:dyDescent="0.25">
      <c r="C2419" s="211"/>
    </row>
    <row r="2420" spans="3:3" x14ac:dyDescent="0.25">
      <c r="C2420" s="211"/>
    </row>
    <row r="2421" spans="3:3" x14ac:dyDescent="0.25">
      <c r="C2421" s="211"/>
    </row>
    <row r="2422" spans="3:3" x14ac:dyDescent="0.25">
      <c r="C2422" s="211"/>
    </row>
    <row r="2423" spans="3:3" x14ac:dyDescent="0.25">
      <c r="C2423" s="211"/>
    </row>
    <row r="2424" spans="3:3" x14ac:dyDescent="0.25">
      <c r="C2424" s="211"/>
    </row>
    <row r="2425" spans="3:3" x14ac:dyDescent="0.25">
      <c r="C2425" s="211"/>
    </row>
    <row r="2426" spans="3:3" x14ac:dyDescent="0.25">
      <c r="C2426" s="211"/>
    </row>
    <row r="2427" spans="3:3" x14ac:dyDescent="0.25">
      <c r="C2427" s="211"/>
    </row>
    <row r="2428" spans="3:3" x14ac:dyDescent="0.25">
      <c r="C2428" s="211"/>
    </row>
    <row r="2429" spans="3:3" x14ac:dyDescent="0.25">
      <c r="C2429" s="211"/>
    </row>
    <row r="2430" spans="3:3" x14ac:dyDescent="0.25">
      <c r="C2430" s="211"/>
    </row>
    <row r="2431" spans="3:3" x14ac:dyDescent="0.25">
      <c r="C2431" s="211"/>
    </row>
    <row r="2432" spans="3:3" x14ac:dyDescent="0.25">
      <c r="C2432" s="211"/>
    </row>
    <row r="2433" spans="3:3" x14ac:dyDescent="0.25">
      <c r="C2433" s="211"/>
    </row>
    <row r="2434" spans="3:3" x14ac:dyDescent="0.25">
      <c r="C2434" s="211"/>
    </row>
    <row r="2435" spans="3:3" x14ac:dyDescent="0.25">
      <c r="C2435" s="211"/>
    </row>
    <row r="2436" spans="3:3" x14ac:dyDescent="0.25">
      <c r="C2436" s="211"/>
    </row>
    <row r="2437" spans="3:3" x14ac:dyDescent="0.25">
      <c r="C2437" s="211"/>
    </row>
    <row r="2438" spans="3:3" x14ac:dyDescent="0.25">
      <c r="C2438" s="211"/>
    </row>
    <row r="2439" spans="3:3" x14ac:dyDescent="0.25">
      <c r="C2439" s="211"/>
    </row>
    <row r="2440" spans="3:3" x14ac:dyDescent="0.25">
      <c r="C2440" s="211"/>
    </row>
    <row r="2441" spans="3:3" x14ac:dyDescent="0.25">
      <c r="C2441" s="211"/>
    </row>
    <row r="2442" spans="3:3" x14ac:dyDescent="0.25">
      <c r="C2442" s="211"/>
    </row>
    <row r="2443" spans="3:3" x14ac:dyDescent="0.25">
      <c r="C2443" s="211"/>
    </row>
    <row r="2444" spans="3:3" x14ac:dyDescent="0.25">
      <c r="C2444" s="211"/>
    </row>
    <row r="2445" spans="3:3" x14ac:dyDescent="0.25">
      <c r="C2445" s="211"/>
    </row>
    <row r="2446" spans="3:3" x14ac:dyDescent="0.25">
      <c r="C2446" s="211"/>
    </row>
    <row r="2447" spans="3:3" x14ac:dyDescent="0.25">
      <c r="C2447" s="211"/>
    </row>
    <row r="2448" spans="3:3" x14ac:dyDescent="0.25">
      <c r="C2448" s="211"/>
    </row>
    <row r="2449" spans="3:3" x14ac:dyDescent="0.25">
      <c r="C2449" s="211"/>
    </row>
    <row r="2450" spans="3:3" x14ac:dyDescent="0.25">
      <c r="C2450" s="211"/>
    </row>
    <row r="2451" spans="3:3" x14ac:dyDescent="0.25">
      <c r="C2451" s="211"/>
    </row>
    <row r="2452" spans="3:3" x14ac:dyDescent="0.25">
      <c r="C2452" s="211"/>
    </row>
    <row r="2453" spans="3:3" x14ac:dyDescent="0.25">
      <c r="C2453" s="211"/>
    </row>
    <row r="2454" spans="3:3" x14ac:dyDescent="0.25">
      <c r="C2454" s="211"/>
    </row>
    <row r="2455" spans="3:3" x14ac:dyDescent="0.25">
      <c r="C2455" s="211"/>
    </row>
    <row r="2456" spans="3:3" x14ac:dyDescent="0.25">
      <c r="C2456" s="211"/>
    </row>
    <row r="2457" spans="3:3" x14ac:dyDescent="0.25">
      <c r="C2457" s="211"/>
    </row>
    <row r="2458" spans="3:3" x14ac:dyDescent="0.25">
      <c r="C2458" s="211"/>
    </row>
    <row r="2459" spans="3:3" x14ac:dyDescent="0.25">
      <c r="C2459" s="211"/>
    </row>
    <row r="2460" spans="3:3" x14ac:dyDescent="0.25">
      <c r="C2460" s="211"/>
    </row>
    <row r="2461" spans="3:3" x14ac:dyDescent="0.25">
      <c r="C2461" s="211"/>
    </row>
    <row r="2462" spans="3:3" x14ac:dyDescent="0.25">
      <c r="C2462" s="211"/>
    </row>
    <row r="2463" spans="3:3" x14ac:dyDescent="0.25">
      <c r="C2463" s="211"/>
    </row>
    <row r="2464" spans="3:3" x14ac:dyDescent="0.25">
      <c r="C2464" s="211"/>
    </row>
    <row r="2465" spans="3:3" x14ac:dyDescent="0.25">
      <c r="C2465" s="211"/>
    </row>
    <row r="2466" spans="3:3" x14ac:dyDescent="0.25">
      <c r="C2466" s="211"/>
    </row>
    <row r="2467" spans="3:3" x14ac:dyDescent="0.25">
      <c r="C2467" s="211"/>
    </row>
    <row r="2468" spans="3:3" x14ac:dyDescent="0.25">
      <c r="C2468" s="211"/>
    </row>
    <row r="2469" spans="3:3" x14ac:dyDescent="0.25">
      <c r="C2469" s="211"/>
    </row>
    <row r="2470" spans="3:3" x14ac:dyDescent="0.25">
      <c r="C2470" s="211"/>
    </row>
    <row r="2471" spans="3:3" x14ac:dyDescent="0.25">
      <c r="C2471" s="211"/>
    </row>
    <row r="2472" spans="3:3" x14ac:dyDescent="0.25">
      <c r="C2472" s="211"/>
    </row>
    <row r="2473" spans="3:3" x14ac:dyDescent="0.25">
      <c r="C2473" s="211"/>
    </row>
    <row r="2474" spans="3:3" x14ac:dyDescent="0.25">
      <c r="C2474" s="211"/>
    </row>
    <row r="2475" spans="3:3" x14ac:dyDescent="0.25">
      <c r="C2475" s="211"/>
    </row>
    <row r="2476" spans="3:3" x14ac:dyDescent="0.25">
      <c r="C2476" s="211"/>
    </row>
    <row r="2477" spans="3:3" x14ac:dyDescent="0.25">
      <c r="C2477" s="211"/>
    </row>
    <row r="2478" spans="3:3" x14ac:dyDescent="0.25">
      <c r="C2478" s="211"/>
    </row>
    <row r="2479" spans="3:3" x14ac:dyDescent="0.25">
      <c r="C2479" s="211"/>
    </row>
    <row r="2480" spans="3:3" x14ac:dyDescent="0.25">
      <c r="C2480" s="211"/>
    </row>
    <row r="2481" spans="3:3" x14ac:dyDescent="0.25">
      <c r="C2481" s="211"/>
    </row>
    <row r="2482" spans="3:3" x14ac:dyDescent="0.25">
      <c r="C2482" s="211"/>
    </row>
    <row r="2483" spans="3:3" x14ac:dyDescent="0.25">
      <c r="C2483" s="211"/>
    </row>
    <row r="2484" spans="3:3" x14ac:dyDescent="0.25">
      <c r="C2484" s="211"/>
    </row>
    <row r="2485" spans="3:3" x14ac:dyDescent="0.25">
      <c r="C2485" s="211"/>
    </row>
    <row r="2486" spans="3:3" x14ac:dyDescent="0.25">
      <c r="C2486" s="211"/>
    </row>
    <row r="2487" spans="3:3" x14ac:dyDescent="0.25">
      <c r="C2487" s="211"/>
    </row>
    <row r="2488" spans="3:3" x14ac:dyDescent="0.25">
      <c r="C2488" s="211"/>
    </row>
    <row r="2489" spans="3:3" x14ac:dyDescent="0.25">
      <c r="C2489" s="211"/>
    </row>
    <row r="2490" spans="3:3" x14ac:dyDescent="0.25">
      <c r="C2490" s="211"/>
    </row>
    <row r="2491" spans="3:3" x14ac:dyDescent="0.25">
      <c r="C2491" s="211"/>
    </row>
    <row r="2492" spans="3:3" x14ac:dyDescent="0.25">
      <c r="C2492" s="211"/>
    </row>
    <row r="2493" spans="3:3" x14ac:dyDescent="0.25">
      <c r="C2493" s="211"/>
    </row>
    <row r="2494" spans="3:3" x14ac:dyDescent="0.25">
      <c r="C2494" s="211"/>
    </row>
    <row r="2495" spans="3:3" x14ac:dyDescent="0.25">
      <c r="C2495" s="211"/>
    </row>
    <row r="2496" spans="3:3" x14ac:dyDescent="0.25">
      <c r="C2496" s="211"/>
    </row>
    <row r="2497" spans="3:3" x14ac:dyDescent="0.25">
      <c r="C2497" s="211"/>
    </row>
    <row r="2498" spans="3:3" x14ac:dyDescent="0.25">
      <c r="C2498" s="211"/>
    </row>
    <row r="2499" spans="3:3" x14ac:dyDescent="0.25">
      <c r="C2499" s="211"/>
    </row>
    <row r="2500" spans="3:3" x14ac:dyDescent="0.25">
      <c r="C2500" s="211"/>
    </row>
    <row r="2501" spans="3:3" x14ac:dyDescent="0.25">
      <c r="C2501" s="211"/>
    </row>
    <row r="2502" spans="3:3" x14ac:dyDescent="0.25">
      <c r="C2502" s="211"/>
    </row>
    <row r="2503" spans="3:3" x14ac:dyDescent="0.25">
      <c r="C2503" s="211"/>
    </row>
    <row r="2504" spans="3:3" x14ac:dyDescent="0.25">
      <c r="C2504" s="211"/>
    </row>
    <row r="2505" spans="3:3" x14ac:dyDescent="0.25">
      <c r="C2505" s="211"/>
    </row>
    <row r="2506" spans="3:3" x14ac:dyDescent="0.25">
      <c r="C2506" s="211"/>
    </row>
    <row r="2507" spans="3:3" x14ac:dyDescent="0.25">
      <c r="C2507" s="211"/>
    </row>
    <row r="2508" spans="3:3" x14ac:dyDescent="0.25">
      <c r="C2508" s="211"/>
    </row>
    <row r="2509" spans="3:3" x14ac:dyDescent="0.25">
      <c r="C2509" s="211"/>
    </row>
    <row r="2510" spans="3:3" x14ac:dyDescent="0.25">
      <c r="C2510" s="211"/>
    </row>
    <row r="2511" spans="3:3" x14ac:dyDescent="0.25">
      <c r="C2511" s="211"/>
    </row>
    <row r="2512" spans="3:3" x14ac:dyDescent="0.25">
      <c r="C2512" s="211"/>
    </row>
    <row r="2513" spans="3:3" x14ac:dyDescent="0.25">
      <c r="C2513" s="211"/>
    </row>
    <row r="2514" spans="3:3" x14ac:dyDescent="0.25">
      <c r="C2514" s="211"/>
    </row>
    <row r="2515" spans="3:3" x14ac:dyDescent="0.25">
      <c r="C2515" s="211"/>
    </row>
    <row r="2516" spans="3:3" x14ac:dyDescent="0.25">
      <c r="C2516" s="211"/>
    </row>
    <row r="2517" spans="3:3" x14ac:dyDescent="0.25">
      <c r="C2517" s="211"/>
    </row>
    <row r="2518" spans="3:3" x14ac:dyDescent="0.25">
      <c r="C2518" s="211"/>
    </row>
    <row r="2519" spans="3:3" x14ac:dyDescent="0.25">
      <c r="C2519" s="211"/>
    </row>
    <row r="2520" spans="3:3" x14ac:dyDescent="0.25">
      <c r="C2520" s="211"/>
    </row>
    <row r="2521" spans="3:3" x14ac:dyDescent="0.25">
      <c r="C2521" s="211"/>
    </row>
    <row r="2522" spans="3:3" x14ac:dyDescent="0.25">
      <c r="C2522" s="211"/>
    </row>
    <row r="2523" spans="3:3" x14ac:dyDescent="0.25">
      <c r="C2523" s="211"/>
    </row>
    <row r="2524" spans="3:3" x14ac:dyDescent="0.25">
      <c r="C2524" s="211"/>
    </row>
    <row r="2525" spans="3:3" x14ac:dyDescent="0.25">
      <c r="C2525" s="211"/>
    </row>
    <row r="2526" spans="3:3" x14ac:dyDescent="0.25">
      <c r="C2526" s="211"/>
    </row>
    <row r="2527" spans="3:3" x14ac:dyDescent="0.25">
      <c r="C2527" s="211"/>
    </row>
    <row r="2528" spans="3:3" x14ac:dyDescent="0.25">
      <c r="C2528" s="211"/>
    </row>
    <row r="2529" spans="3:3" x14ac:dyDescent="0.25">
      <c r="C2529" s="211"/>
    </row>
    <row r="2530" spans="3:3" x14ac:dyDescent="0.25">
      <c r="C2530" s="211"/>
    </row>
    <row r="2531" spans="3:3" x14ac:dyDescent="0.25">
      <c r="C2531" s="211"/>
    </row>
    <row r="2532" spans="3:3" x14ac:dyDescent="0.25">
      <c r="C2532" s="211"/>
    </row>
    <row r="2533" spans="3:3" x14ac:dyDescent="0.25">
      <c r="C2533" s="211"/>
    </row>
    <row r="2534" spans="3:3" x14ac:dyDescent="0.25">
      <c r="C2534" s="211"/>
    </row>
    <row r="2535" spans="3:3" x14ac:dyDescent="0.25">
      <c r="C2535" s="211"/>
    </row>
    <row r="2536" spans="3:3" x14ac:dyDescent="0.25">
      <c r="C2536" s="211"/>
    </row>
    <row r="2537" spans="3:3" x14ac:dyDescent="0.25">
      <c r="C2537" s="211"/>
    </row>
    <row r="2538" spans="3:3" x14ac:dyDescent="0.25">
      <c r="C2538" s="211"/>
    </row>
    <row r="2539" spans="3:3" x14ac:dyDescent="0.25">
      <c r="C2539" s="211"/>
    </row>
    <row r="2540" spans="3:3" x14ac:dyDescent="0.25">
      <c r="C2540" s="211"/>
    </row>
    <row r="2541" spans="3:3" x14ac:dyDescent="0.25">
      <c r="C2541" s="211"/>
    </row>
    <row r="2542" spans="3:3" x14ac:dyDescent="0.25">
      <c r="C2542" s="211"/>
    </row>
    <row r="2543" spans="3:3" x14ac:dyDescent="0.25">
      <c r="C2543" s="211"/>
    </row>
    <row r="2544" spans="3:3" x14ac:dyDescent="0.25">
      <c r="C2544" s="211"/>
    </row>
    <row r="2545" spans="3:3" x14ac:dyDescent="0.25">
      <c r="C2545" s="211"/>
    </row>
    <row r="2546" spans="3:3" x14ac:dyDescent="0.25">
      <c r="C2546" s="211"/>
    </row>
    <row r="2547" spans="3:3" x14ac:dyDescent="0.25">
      <c r="C2547" s="211"/>
    </row>
    <row r="2548" spans="3:3" x14ac:dyDescent="0.25">
      <c r="C2548" s="211"/>
    </row>
    <row r="2549" spans="3:3" x14ac:dyDescent="0.25">
      <c r="C2549" s="211"/>
    </row>
    <row r="2550" spans="3:3" x14ac:dyDescent="0.25">
      <c r="C2550" s="211"/>
    </row>
    <row r="2551" spans="3:3" x14ac:dyDescent="0.25">
      <c r="C2551" s="211"/>
    </row>
    <row r="2552" spans="3:3" x14ac:dyDescent="0.25">
      <c r="C2552" s="211"/>
    </row>
    <row r="2553" spans="3:3" x14ac:dyDescent="0.25">
      <c r="C2553" s="211"/>
    </row>
    <row r="2554" spans="3:3" x14ac:dyDescent="0.25">
      <c r="C2554" s="211"/>
    </row>
    <row r="2555" spans="3:3" x14ac:dyDescent="0.25">
      <c r="C2555" s="211"/>
    </row>
    <row r="2556" spans="3:3" x14ac:dyDescent="0.25">
      <c r="C2556" s="211"/>
    </row>
    <row r="2557" spans="3:3" x14ac:dyDescent="0.25">
      <c r="C2557" s="211"/>
    </row>
    <row r="2558" spans="3:3" x14ac:dyDescent="0.25">
      <c r="C2558" s="211"/>
    </row>
    <row r="2559" spans="3:3" x14ac:dyDescent="0.25">
      <c r="C2559" s="211"/>
    </row>
    <row r="2560" spans="3:3" x14ac:dyDescent="0.25">
      <c r="C2560" s="211"/>
    </row>
    <row r="2561" spans="3:3" x14ac:dyDescent="0.25">
      <c r="C2561" s="211"/>
    </row>
    <row r="2562" spans="3:3" x14ac:dyDescent="0.25">
      <c r="C2562" s="211"/>
    </row>
    <row r="2563" spans="3:3" x14ac:dyDescent="0.25">
      <c r="C2563" s="211"/>
    </row>
    <row r="2564" spans="3:3" x14ac:dyDescent="0.25">
      <c r="C2564" s="211"/>
    </row>
    <row r="2565" spans="3:3" x14ac:dyDescent="0.25">
      <c r="C2565" s="211"/>
    </row>
    <row r="2566" spans="3:3" x14ac:dyDescent="0.25">
      <c r="C2566" s="211"/>
    </row>
    <row r="2567" spans="3:3" x14ac:dyDescent="0.25">
      <c r="C2567" s="211"/>
    </row>
    <row r="2568" spans="3:3" x14ac:dyDescent="0.25">
      <c r="C2568" s="211"/>
    </row>
    <row r="2569" spans="3:3" x14ac:dyDescent="0.25">
      <c r="C2569" s="211"/>
    </row>
    <row r="2570" spans="3:3" x14ac:dyDescent="0.25">
      <c r="C2570" s="211"/>
    </row>
    <row r="2571" spans="3:3" x14ac:dyDescent="0.25">
      <c r="C2571" s="211"/>
    </row>
    <row r="2572" spans="3:3" x14ac:dyDescent="0.25">
      <c r="C2572" s="211"/>
    </row>
    <row r="2573" spans="3:3" x14ac:dyDescent="0.25">
      <c r="C2573" s="211"/>
    </row>
    <row r="2574" spans="3:3" x14ac:dyDescent="0.25">
      <c r="C2574" s="211"/>
    </row>
    <row r="2575" spans="3:3" x14ac:dyDescent="0.25">
      <c r="C2575" s="211"/>
    </row>
    <row r="2576" spans="3:3" x14ac:dyDescent="0.25">
      <c r="C2576" s="211"/>
    </row>
    <row r="2577" spans="3:3" x14ac:dyDescent="0.25">
      <c r="C2577" s="211"/>
    </row>
    <row r="2578" spans="3:3" x14ac:dyDescent="0.25">
      <c r="C2578" s="211"/>
    </row>
    <row r="2579" spans="3:3" x14ac:dyDescent="0.25">
      <c r="C2579" s="211"/>
    </row>
    <row r="2580" spans="3:3" x14ac:dyDescent="0.25">
      <c r="C2580" s="211"/>
    </row>
    <row r="2581" spans="3:3" x14ac:dyDescent="0.25">
      <c r="C2581" s="211"/>
    </row>
    <row r="2582" spans="3:3" x14ac:dyDescent="0.25">
      <c r="C2582" s="211"/>
    </row>
    <row r="2583" spans="3:3" x14ac:dyDescent="0.25">
      <c r="C2583" s="211"/>
    </row>
    <row r="2584" spans="3:3" x14ac:dyDescent="0.25">
      <c r="C2584" s="211"/>
    </row>
    <row r="2585" spans="3:3" x14ac:dyDescent="0.25">
      <c r="C2585" s="211"/>
    </row>
    <row r="2586" spans="3:3" x14ac:dyDescent="0.25">
      <c r="C2586" s="211"/>
    </row>
    <row r="2587" spans="3:3" x14ac:dyDescent="0.25">
      <c r="C2587" s="211"/>
    </row>
    <row r="2588" spans="3:3" x14ac:dyDescent="0.25">
      <c r="C2588" s="211"/>
    </row>
    <row r="2589" spans="3:3" x14ac:dyDescent="0.25">
      <c r="C2589" s="211"/>
    </row>
    <row r="2590" spans="3:3" x14ac:dyDescent="0.25">
      <c r="C2590" s="211"/>
    </row>
    <row r="2591" spans="3:3" x14ac:dyDescent="0.25">
      <c r="C2591" s="211"/>
    </row>
    <row r="2592" spans="3:3" x14ac:dyDescent="0.25">
      <c r="C2592" s="211"/>
    </row>
    <row r="2593" spans="3:3" x14ac:dyDescent="0.25">
      <c r="C2593" s="211"/>
    </row>
    <row r="2594" spans="3:3" x14ac:dyDescent="0.25">
      <c r="C2594" s="211"/>
    </row>
    <row r="2595" spans="3:3" x14ac:dyDescent="0.25">
      <c r="C2595" s="211"/>
    </row>
    <row r="2596" spans="3:3" x14ac:dyDescent="0.25">
      <c r="C2596" s="211"/>
    </row>
    <row r="2597" spans="3:3" x14ac:dyDescent="0.25">
      <c r="C2597" s="211"/>
    </row>
    <row r="2598" spans="3:3" x14ac:dyDescent="0.25">
      <c r="C2598" s="211"/>
    </row>
    <row r="2599" spans="3:3" x14ac:dyDescent="0.25">
      <c r="C2599" s="211"/>
    </row>
    <row r="2600" spans="3:3" x14ac:dyDescent="0.25">
      <c r="C2600" s="211"/>
    </row>
    <row r="2601" spans="3:3" x14ac:dyDescent="0.25">
      <c r="C2601" s="211"/>
    </row>
    <row r="2602" spans="3:3" x14ac:dyDescent="0.25">
      <c r="C2602" s="211"/>
    </row>
    <row r="2603" spans="3:3" x14ac:dyDescent="0.25">
      <c r="C2603" s="211"/>
    </row>
    <row r="2604" spans="3:3" x14ac:dyDescent="0.25">
      <c r="C2604" s="211"/>
    </row>
    <row r="2605" spans="3:3" x14ac:dyDescent="0.25">
      <c r="C2605" s="211"/>
    </row>
    <row r="2606" spans="3:3" x14ac:dyDescent="0.25">
      <c r="C2606" s="211"/>
    </row>
    <row r="2607" spans="3:3" x14ac:dyDescent="0.25">
      <c r="C2607" s="211"/>
    </row>
    <row r="2608" spans="3:3" x14ac:dyDescent="0.25">
      <c r="C2608" s="211"/>
    </row>
    <row r="2609" spans="3:3" x14ac:dyDescent="0.25">
      <c r="C2609" s="211"/>
    </row>
    <row r="2610" spans="3:3" x14ac:dyDescent="0.25">
      <c r="C2610" s="211"/>
    </row>
    <row r="2611" spans="3:3" x14ac:dyDescent="0.25">
      <c r="C2611" s="211"/>
    </row>
    <row r="2612" spans="3:3" x14ac:dyDescent="0.25">
      <c r="C2612" s="211"/>
    </row>
    <row r="2613" spans="3:3" x14ac:dyDescent="0.25">
      <c r="C2613" s="211"/>
    </row>
    <row r="2614" spans="3:3" x14ac:dyDescent="0.25">
      <c r="C2614" s="211"/>
    </row>
    <row r="2615" spans="3:3" x14ac:dyDescent="0.25">
      <c r="C2615" s="211"/>
    </row>
    <row r="2616" spans="3:3" x14ac:dyDescent="0.25">
      <c r="C2616" s="211"/>
    </row>
    <row r="2617" spans="3:3" x14ac:dyDescent="0.25">
      <c r="C2617" s="211"/>
    </row>
    <row r="2618" spans="3:3" x14ac:dyDescent="0.25">
      <c r="C2618" s="211"/>
    </row>
    <row r="2619" spans="3:3" x14ac:dyDescent="0.25">
      <c r="C2619" s="211"/>
    </row>
    <row r="2620" spans="3:3" x14ac:dyDescent="0.25">
      <c r="C2620" s="211"/>
    </row>
    <row r="2621" spans="3:3" x14ac:dyDescent="0.25">
      <c r="C2621" s="211"/>
    </row>
    <row r="2622" spans="3:3" x14ac:dyDescent="0.25">
      <c r="C2622" s="211"/>
    </row>
    <row r="2623" spans="3:3" x14ac:dyDescent="0.25">
      <c r="C2623" s="211"/>
    </row>
    <row r="2624" spans="3:3" x14ac:dyDescent="0.25">
      <c r="C2624" s="211"/>
    </row>
    <row r="2625" spans="3:3" x14ac:dyDescent="0.25">
      <c r="C2625" s="211"/>
    </row>
    <row r="2626" spans="3:3" x14ac:dyDescent="0.25">
      <c r="C2626" s="211"/>
    </row>
    <row r="2627" spans="3:3" x14ac:dyDescent="0.25">
      <c r="C2627" s="211"/>
    </row>
    <row r="2628" spans="3:3" x14ac:dyDescent="0.25">
      <c r="C2628" s="211"/>
    </row>
    <row r="2629" spans="3:3" x14ac:dyDescent="0.25">
      <c r="C2629" s="211"/>
    </row>
    <row r="2630" spans="3:3" x14ac:dyDescent="0.25">
      <c r="C2630" s="211"/>
    </row>
    <row r="2631" spans="3:3" x14ac:dyDescent="0.25">
      <c r="C2631" s="211"/>
    </row>
    <row r="2632" spans="3:3" x14ac:dyDescent="0.25">
      <c r="C2632" s="211"/>
    </row>
    <row r="2633" spans="3:3" x14ac:dyDescent="0.25">
      <c r="C2633" s="211"/>
    </row>
    <row r="2634" spans="3:3" x14ac:dyDescent="0.25">
      <c r="C2634" s="211"/>
    </row>
    <row r="2635" spans="3:3" x14ac:dyDescent="0.25">
      <c r="C2635" s="211"/>
    </row>
    <row r="2636" spans="3:3" x14ac:dyDescent="0.25">
      <c r="C2636" s="211"/>
    </row>
    <row r="2637" spans="3:3" x14ac:dyDescent="0.25">
      <c r="C2637" s="211"/>
    </row>
    <row r="2638" spans="3:3" x14ac:dyDescent="0.25">
      <c r="C2638" s="211"/>
    </row>
    <row r="2639" spans="3:3" x14ac:dyDescent="0.25">
      <c r="C2639" s="211"/>
    </row>
    <row r="2640" spans="3:3" x14ac:dyDescent="0.25">
      <c r="C2640" s="211"/>
    </row>
    <row r="2641" spans="3:3" x14ac:dyDescent="0.25">
      <c r="C2641" s="211"/>
    </row>
    <row r="2642" spans="3:3" x14ac:dyDescent="0.25">
      <c r="C2642" s="211"/>
    </row>
    <row r="2643" spans="3:3" x14ac:dyDescent="0.25">
      <c r="C2643" s="211"/>
    </row>
    <row r="2644" spans="3:3" x14ac:dyDescent="0.25">
      <c r="C2644" s="211"/>
    </row>
    <row r="2645" spans="3:3" x14ac:dyDescent="0.25">
      <c r="C2645" s="211"/>
    </row>
    <row r="2646" spans="3:3" x14ac:dyDescent="0.25">
      <c r="C2646" s="211"/>
    </row>
    <row r="2647" spans="3:3" x14ac:dyDescent="0.25">
      <c r="C2647" s="211"/>
    </row>
    <row r="2648" spans="3:3" x14ac:dyDescent="0.25">
      <c r="C2648" s="211"/>
    </row>
    <row r="2649" spans="3:3" x14ac:dyDescent="0.25">
      <c r="C2649" s="211"/>
    </row>
    <row r="2650" spans="3:3" x14ac:dyDescent="0.25">
      <c r="C2650" s="211"/>
    </row>
    <row r="2651" spans="3:3" x14ac:dyDescent="0.25">
      <c r="C2651" s="211"/>
    </row>
    <row r="2652" spans="3:3" x14ac:dyDescent="0.25">
      <c r="C2652" s="211"/>
    </row>
    <row r="2653" spans="3:3" x14ac:dyDescent="0.25">
      <c r="C2653" s="211"/>
    </row>
    <row r="2654" spans="3:3" x14ac:dyDescent="0.25">
      <c r="C2654" s="211"/>
    </row>
    <row r="2655" spans="3:3" x14ac:dyDescent="0.25">
      <c r="C2655" s="211"/>
    </row>
    <row r="2656" spans="3:3" x14ac:dyDescent="0.25">
      <c r="C2656" s="211"/>
    </row>
    <row r="2657" spans="3:3" x14ac:dyDescent="0.25">
      <c r="C2657" s="211"/>
    </row>
    <row r="2658" spans="3:3" x14ac:dyDescent="0.25">
      <c r="C2658" s="211"/>
    </row>
    <row r="2659" spans="3:3" x14ac:dyDescent="0.25">
      <c r="C2659" s="211"/>
    </row>
    <row r="2660" spans="3:3" x14ac:dyDescent="0.25">
      <c r="C2660" s="211"/>
    </row>
    <row r="2661" spans="3:3" x14ac:dyDescent="0.25">
      <c r="C2661" s="211"/>
    </row>
    <row r="2662" spans="3:3" x14ac:dyDescent="0.25">
      <c r="C2662" s="211"/>
    </row>
    <row r="2663" spans="3:3" x14ac:dyDescent="0.25">
      <c r="C2663" s="211"/>
    </row>
    <row r="2664" spans="3:3" x14ac:dyDescent="0.25">
      <c r="C2664" s="211"/>
    </row>
    <row r="2665" spans="3:3" x14ac:dyDescent="0.25">
      <c r="C2665" s="211"/>
    </row>
    <row r="2666" spans="3:3" x14ac:dyDescent="0.25">
      <c r="C2666" s="211"/>
    </row>
    <row r="2667" spans="3:3" x14ac:dyDescent="0.25">
      <c r="C2667" s="211"/>
    </row>
    <row r="2668" spans="3:3" x14ac:dyDescent="0.25">
      <c r="C2668" s="211"/>
    </row>
    <row r="2669" spans="3:3" x14ac:dyDescent="0.25">
      <c r="C2669" s="211"/>
    </row>
    <row r="2670" spans="3:3" x14ac:dyDescent="0.25">
      <c r="C2670" s="211"/>
    </row>
    <row r="2671" spans="3:3" x14ac:dyDescent="0.25">
      <c r="C2671" s="211"/>
    </row>
    <row r="2672" spans="3:3" x14ac:dyDescent="0.25">
      <c r="C2672" s="211"/>
    </row>
    <row r="2673" spans="3:3" x14ac:dyDescent="0.25">
      <c r="C2673" s="211"/>
    </row>
    <row r="2674" spans="3:3" x14ac:dyDescent="0.25">
      <c r="C2674" s="211"/>
    </row>
    <row r="2675" spans="3:3" x14ac:dyDescent="0.25">
      <c r="C2675" s="211"/>
    </row>
    <row r="2676" spans="3:3" x14ac:dyDescent="0.25">
      <c r="C2676" s="211"/>
    </row>
    <row r="2677" spans="3:3" x14ac:dyDescent="0.25">
      <c r="C2677" s="211"/>
    </row>
    <row r="2678" spans="3:3" x14ac:dyDescent="0.25">
      <c r="C2678" s="211"/>
    </row>
    <row r="2679" spans="3:3" x14ac:dyDescent="0.25">
      <c r="C2679" s="211"/>
    </row>
    <row r="2680" spans="3:3" x14ac:dyDescent="0.25">
      <c r="C2680" s="211"/>
    </row>
    <row r="2681" spans="3:3" x14ac:dyDescent="0.25">
      <c r="C2681" s="211"/>
    </row>
    <row r="2682" spans="3:3" x14ac:dyDescent="0.25">
      <c r="C2682" s="211"/>
    </row>
    <row r="2683" spans="3:3" x14ac:dyDescent="0.25">
      <c r="C2683" s="211"/>
    </row>
    <row r="2684" spans="3:3" x14ac:dyDescent="0.25">
      <c r="C2684" s="211"/>
    </row>
    <row r="2685" spans="3:3" x14ac:dyDescent="0.25">
      <c r="C2685" s="211"/>
    </row>
    <row r="2686" spans="3:3" x14ac:dyDescent="0.25">
      <c r="C2686" s="211"/>
    </row>
    <row r="2687" spans="3:3" x14ac:dyDescent="0.25">
      <c r="C2687" s="211"/>
    </row>
    <row r="2688" spans="3:3" x14ac:dyDescent="0.25">
      <c r="C2688" s="211"/>
    </row>
    <row r="2689" spans="3:3" x14ac:dyDescent="0.25">
      <c r="C2689" s="211"/>
    </row>
    <row r="2690" spans="3:3" x14ac:dyDescent="0.25">
      <c r="C2690" s="211"/>
    </row>
    <row r="2691" spans="3:3" x14ac:dyDescent="0.25">
      <c r="C2691" s="211"/>
    </row>
    <row r="2692" spans="3:3" x14ac:dyDescent="0.25">
      <c r="C2692" s="211"/>
    </row>
    <row r="2693" spans="3:3" x14ac:dyDescent="0.25">
      <c r="C2693" s="211"/>
    </row>
    <row r="2694" spans="3:3" x14ac:dyDescent="0.25">
      <c r="C2694" s="211"/>
    </row>
    <row r="2695" spans="3:3" x14ac:dyDescent="0.25">
      <c r="C2695" s="211"/>
    </row>
    <row r="2696" spans="3:3" x14ac:dyDescent="0.25">
      <c r="C2696" s="211"/>
    </row>
    <row r="2697" spans="3:3" x14ac:dyDescent="0.25">
      <c r="C2697" s="211"/>
    </row>
    <row r="2698" spans="3:3" x14ac:dyDescent="0.25">
      <c r="C2698" s="211"/>
    </row>
    <row r="2699" spans="3:3" x14ac:dyDescent="0.25">
      <c r="C2699" s="211"/>
    </row>
    <row r="2700" spans="3:3" x14ac:dyDescent="0.25">
      <c r="C2700" s="211"/>
    </row>
    <row r="2701" spans="3:3" x14ac:dyDescent="0.25">
      <c r="C2701" s="211"/>
    </row>
    <row r="2702" spans="3:3" x14ac:dyDescent="0.25">
      <c r="C2702" s="211"/>
    </row>
    <row r="2703" spans="3:3" x14ac:dyDescent="0.25">
      <c r="C2703" s="211"/>
    </row>
    <row r="2704" spans="3:3" x14ac:dyDescent="0.25">
      <c r="C2704" s="211"/>
    </row>
    <row r="2705" spans="3:3" x14ac:dyDescent="0.25">
      <c r="C2705" s="211"/>
    </row>
    <row r="2706" spans="3:3" x14ac:dyDescent="0.25">
      <c r="C2706" s="211"/>
    </row>
    <row r="2707" spans="3:3" x14ac:dyDescent="0.25">
      <c r="C2707" s="211"/>
    </row>
    <row r="2708" spans="3:3" x14ac:dyDescent="0.25">
      <c r="C2708" s="211"/>
    </row>
    <row r="2709" spans="3:3" x14ac:dyDescent="0.25">
      <c r="C2709" s="211"/>
    </row>
    <row r="2710" spans="3:3" x14ac:dyDescent="0.25">
      <c r="C2710" s="211"/>
    </row>
    <row r="2711" spans="3:3" x14ac:dyDescent="0.25">
      <c r="C2711" s="211"/>
    </row>
    <row r="2712" spans="3:3" x14ac:dyDescent="0.25">
      <c r="C2712" s="211"/>
    </row>
    <row r="2713" spans="3:3" x14ac:dyDescent="0.25">
      <c r="C2713" s="211"/>
    </row>
    <row r="2714" spans="3:3" x14ac:dyDescent="0.25">
      <c r="C2714" s="211"/>
    </row>
    <row r="2715" spans="3:3" x14ac:dyDescent="0.25">
      <c r="C2715" s="211"/>
    </row>
    <row r="2716" spans="3:3" x14ac:dyDescent="0.25">
      <c r="C2716" s="211"/>
    </row>
    <row r="2717" spans="3:3" x14ac:dyDescent="0.25">
      <c r="C2717" s="211"/>
    </row>
    <row r="2718" spans="3:3" x14ac:dyDescent="0.25">
      <c r="C2718" s="211"/>
    </row>
    <row r="2719" spans="3:3" x14ac:dyDescent="0.25">
      <c r="C2719" s="211"/>
    </row>
    <row r="2720" spans="3:3" x14ac:dyDescent="0.25">
      <c r="C2720" s="211"/>
    </row>
    <row r="2721" spans="3:3" x14ac:dyDescent="0.25">
      <c r="C2721" s="211"/>
    </row>
    <row r="2722" spans="3:3" x14ac:dyDescent="0.25">
      <c r="C2722" s="211"/>
    </row>
    <row r="2723" spans="3:3" x14ac:dyDescent="0.25">
      <c r="C2723" s="211"/>
    </row>
    <row r="2724" spans="3:3" x14ac:dyDescent="0.25">
      <c r="C2724" s="211"/>
    </row>
    <row r="2725" spans="3:3" x14ac:dyDescent="0.25">
      <c r="C2725" s="211"/>
    </row>
    <row r="2726" spans="3:3" x14ac:dyDescent="0.25">
      <c r="C2726" s="211"/>
    </row>
    <row r="2727" spans="3:3" x14ac:dyDescent="0.25">
      <c r="C2727" s="211"/>
    </row>
    <row r="2728" spans="3:3" x14ac:dyDescent="0.25">
      <c r="C2728" s="211"/>
    </row>
    <row r="2729" spans="3:3" x14ac:dyDescent="0.25">
      <c r="C2729" s="211"/>
    </row>
    <row r="2730" spans="3:3" x14ac:dyDescent="0.25">
      <c r="C2730" s="211"/>
    </row>
    <row r="2731" spans="3:3" x14ac:dyDescent="0.25">
      <c r="C2731" s="211"/>
    </row>
    <row r="2732" spans="3:3" x14ac:dyDescent="0.25">
      <c r="C2732" s="211"/>
    </row>
    <row r="2733" spans="3:3" x14ac:dyDescent="0.25">
      <c r="C2733" s="211"/>
    </row>
    <row r="2734" spans="3:3" x14ac:dyDescent="0.25">
      <c r="C2734" s="211"/>
    </row>
    <row r="2735" spans="3:3" x14ac:dyDescent="0.25">
      <c r="C2735" s="211"/>
    </row>
    <row r="2736" spans="3:3" x14ac:dyDescent="0.25">
      <c r="C2736" s="211"/>
    </row>
    <row r="2737" spans="3:3" x14ac:dyDescent="0.25">
      <c r="C2737" s="211"/>
    </row>
    <row r="2738" spans="3:3" x14ac:dyDescent="0.25">
      <c r="C2738" s="211"/>
    </row>
    <row r="2739" spans="3:3" x14ac:dyDescent="0.25">
      <c r="C2739" s="211"/>
    </row>
    <row r="2740" spans="3:3" x14ac:dyDescent="0.25">
      <c r="C2740" s="211"/>
    </row>
    <row r="2741" spans="3:3" x14ac:dyDescent="0.25">
      <c r="C2741" s="211"/>
    </row>
    <row r="2742" spans="3:3" x14ac:dyDescent="0.25">
      <c r="C2742" s="211"/>
    </row>
    <row r="2743" spans="3:3" x14ac:dyDescent="0.25">
      <c r="C2743" s="211"/>
    </row>
    <row r="2744" spans="3:3" x14ac:dyDescent="0.25">
      <c r="C2744" s="211"/>
    </row>
    <row r="2745" spans="3:3" x14ac:dyDescent="0.25">
      <c r="C2745" s="211"/>
    </row>
    <row r="2746" spans="3:3" x14ac:dyDescent="0.25">
      <c r="C2746" s="211"/>
    </row>
    <row r="2747" spans="3:3" x14ac:dyDescent="0.25">
      <c r="C2747" s="211"/>
    </row>
    <row r="2748" spans="3:3" x14ac:dyDescent="0.25">
      <c r="C2748" s="211"/>
    </row>
    <row r="2749" spans="3:3" x14ac:dyDescent="0.25">
      <c r="C2749" s="211"/>
    </row>
    <row r="2750" spans="3:3" x14ac:dyDescent="0.25">
      <c r="C2750" s="211"/>
    </row>
    <row r="2751" spans="3:3" x14ac:dyDescent="0.25">
      <c r="C2751" s="211"/>
    </row>
    <row r="2752" spans="3:3" x14ac:dyDescent="0.25">
      <c r="C2752" s="211"/>
    </row>
    <row r="2753" spans="3:3" x14ac:dyDescent="0.25">
      <c r="C2753" s="211"/>
    </row>
    <row r="2754" spans="3:3" x14ac:dyDescent="0.25">
      <c r="C2754" s="211"/>
    </row>
    <row r="2755" spans="3:3" x14ac:dyDescent="0.25">
      <c r="C2755" s="211"/>
    </row>
    <row r="2756" spans="3:3" x14ac:dyDescent="0.25">
      <c r="C2756" s="211"/>
    </row>
    <row r="2757" spans="3:3" x14ac:dyDescent="0.25">
      <c r="C2757" s="211"/>
    </row>
    <row r="2758" spans="3:3" x14ac:dyDescent="0.25">
      <c r="C2758" s="211"/>
    </row>
    <row r="2759" spans="3:3" x14ac:dyDescent="0.25">
      <c r="C2759" s="211"/>
    </row>
    <row r="2760" spans="3:3" x14ac:dyDescent="0.25">
      <c r="C2760" s="211"/>
    </row>
    <row r="2761" spans="3:3" x14ac:dyDescent="0.25">
      <c r="C2761" s="211"/>
    </row>
    <row r="2762" spans="3:3" x14ac:dyDescent="0.25">
      <c r="C2762" s="211"/>
    </row>
    <row r="2763" spans="3:3" x14ac:dyDescent="0.25">
      <c r="C2763" s="211"/>
    </row>
    <row r="2764" spans="3:3" x14ac:dyDescent="0.25">
      <c r="C2764" s="211"/>
    </row>
    <row r="2765" spans="3:3" x14ac:dyDescent="0.25">
      <c r="C2765" s="211"/>
    </row>
    <row r="2766" spans="3:3" x14ac:dyDescent="0.25">
      <c r="C2766" s="211"/>
    </row>
    <row r="2767" spans="3:3" x14ac:dyDescent="0.25">
      <c r="C2767" s="211"/>
    </row>
    <row r="2768" spans="3:3" x14ac:dyDescent="0.25">
      <c r="C2768" s="211"/>
    </row>
    <row r="2769" spans="3:3" x14ac:dyDescent="0.25">
      <c r="C2769" s="211"/>
    </row>
    <row r="2770" spans="3:3" x14ac:dyDescent="0.25">
      <c r="C2770" s="211"/>
    </row>
    <row r="2771" spans="3:3" x14ac:dyDescent="0.25">
      <c r="C2771" s="211"/>
    </row>
    <row r="2772" spans="3:3" x14ac:dyDescent="0.25">
      <c r="C2772" s="211"/>
    </row>
    <row r="2773" spans="3:3" x14ac:dyDescent="0.25">
      <c r="C2773" s="211"/>
    </row>
    <row r="2774" spans="3:3" x14ac:dyDescent="0.25">
      <c r="C2774" s="211"/>
    </row>
    <row r="2775" spans="3:3" x14ac:dyDescent="0.25">
      <c r="C2775" s="211"/>
    </row>
    <row r="2776" spans="3:3" x14ac:dyDescent="0.25">
      <c r="C2776" s="211"/>
    </row>
    <row r="2777" spans="3:3" x14ac:dyDescent="0.25">
      <c r="C2777" s="211"/>
    </row>
    <row r="2778" spans="3:3" x14ac:dyDescent="0.25">
      <c r="C2778" s="211"/>
    </row>
    <row r="2779" spans="3:3" x14ac:dyDescent="0.25">
      <c r="C2779" s="211"/>
    </row>
    <row r="2780" spans="3:3" x14ac:dyDescent="0.25">
      <c r="C2780" s="211"/>
    </row>
    <row r="2781" spans="3:3" x14ac:dyDescent="0.25">
      <c r="C2781" s="211"/>
    </row>
    <row r="2782" spans="3:3" x14ac:dyDescent="0.25">
      <c r="C2782" s="211"/>
    </row>
    <row r="2783" spans="3:3" x14ac:dyDescent="0.25">
      <c r="C2783" s="211"/>
    </row>
    <row r="2784" spans="3:3" x14ac:dyDescent="0.25">
      <c r="C2784" s="211"/>
    </row>
    <row r="2785" spans="3:3" x14ac:dyDescent="0.25">
      <c r="C2785" s="211"/>
    </row>
    <row r="2786" spans="3:3" x14ac:dyDescent="0.25">
      <c r="C2786" s="211"/>
    </row>
    <row r="2787" spans="3:3" x14ac:dyDescent="0.25">
      <c r="C2787" s="211"/>
    </row>
    <row r="2788" spans="3:3" x14ac:dyDescent="0.25">
      <c r="C2788" s="211"/>
    </row>
    <row r="2789" spans="3:3" x14ac:dyDescent="0.25">
      <c r="C2789" s="211"/>
    </row>
    <row r="2790" spans="3:3" x14ac:dyDescent="0.25">
      <c r="C2790" s="211"/>
    </row>
    <row r="2791" spans="3:3" x14ac:dyDescent="0.25">
      <c r="C2791" s="211"/>
    </row>
    <row r="2792" spans="3:3" x14ac:dyDescent="0.25">
      <c r="C2792" s="211"/>
    </row>
    <row r="2793" spans="3:3" x14ac:dyDescent="0.25">
      <c r="C2793" s="211"/>
    </row>
    <row r="2794" spans="3:3" x14ac:dyDescent="0.25">
      <c r="C2794" s="211"/>
    </row>
    <row r="2795" spans="3:3" x14ac:dyDescent="0.25">
      <c r="C2795" s="211"/>
    </row>
    <row r="2796" spans="3:3" x14ac:dyDescent="0.25">
      <c r="C2796" s="211"/>
    </row>
    <row r="2797" spans="3:3" x14ac:dyDescent="0.25">
      <c r="C2797" s="211"/>
    </row>
    <row r="2798" spans="3:3" x14ac:dyDescent="0.25">
      <c r="C2798" s="211"/>
    </row>
    <row r="2799" spans="3:3" x14ac:dyDescent="0.25">
      <c r="C2799" s="211"/>
    </row>
    <row r="2800" spans="3:3" x14ac:dyDescent="0.25">
      <c r="C2800" s="211"/>
    </row>
    <row r="2801" spans="3:3" x14ac:dyDescent="0.25">
      <c r="C2801" s="211"/>
    </row>
    <row r="2802" spans="3:3" x14ac:dyDescent="0.25">
      <c r="C2802" s="211"/>
    </row>
    <row r="2803" spans="3:3" x14ac:dyDescent="0.25">
      <c r="C2803" s="211"/>
    </row>
    <row r="2804" spans="3:3" x14ac:dyDescent="0.25">
      <c r="C2804" s="211"/>
    </row>
    <row r="2805" spans="3:3" x14ac:dyDescent="0.25">
      <c r="C2805" s="211"/>
    </row>
    <row r="2806" spans="3:3" x14ac:dyDescent="0.25">
      <c r="C2806" s="211"/>
    </row>
    <row r="2807" spans="3:3" x14ac:dyDescent="0.25">
      <c r="C2807" s="211"/>
    </row>
    <row r="2808" spans="3:3" x14ac:dyDescent="0.25">
      <c r="C2808" s="211"/>
    </row>
    <row r="2809" spans="3:3" x14ac:dyDescent="0.25">
      <c r="C2809" s="211"/>
    </row>
    <row r="2810" spans="3:3" x14ac:dyDescent="0.25">
      <c r="C2810" s="211"/>
    </row>
    <row r="2811" spans="3:3" x14ac:dyDescent="0.25">
      <c r="C2811" s="211"/>
    </row>
    <row r="2812" spans="3:3" x14ac:dyDescent="0.25">
      <c r="C2812" s="211"/>
    </row>
    <row r="2813" spans="3:3" x14ac:dyDescent="0.25">
      <c r="C2813" s="211"/>
    </row>
    <row r="2814" spans="3:3" x14ac:dyDescent="0.25">
      <c r="C2814" s="211"/>
    </row>
    <row r="2815" spans="3:3" x14ac:dyDescent="0.25">
      <c r="C2815" s="211"/>
    </row>
    <row r="2816" spans="3:3" x14ac:dyDescent="0.25">
      <c r="C2816" s="211"/>
    </row>
    <row r="2817" spans="3:3" x14ac:dyDescent="0.25">
      <c r="C2817" s="211"/>
    </row>
    <row r="2818" spans="3:3" x14ac:dyDescent="0.25">
      <c r="C2818" s="211"/>
    </row>
    <row r="2819" spans="3:3" x14ac:dyDescent="0.25">
      <c r="C2819" s="211"/>
    </row>
    <row r="2820" spans="3:3" x14ac:dyDescent="0.25">
      <c r="C2820" s="211"/>
    </row>
    <row r="2821" spans="3:3" x14ac:dyDescent="0.25">
      <c r="C2821" s="211"/>
    </row>
    <row r="2822" spans="3:3" x14ac:dyDescent="0.25">
      <c r="C2822" s="211"/>
    </row>
    <row r="2823" spans="3:3" x14ac:dyDescent="0.25">
      <c r="C2823" s="211"/>
    </row>
    <row r="2824" spans="3:3" x14ac:dyDescent="0.25">
      <c r="C2824" s="211"/>
    </row>
    <row r="2825" spans="3:3" x14ac:dyDescent="0.25">
      <c r="C2825" s="211"/>
    </row>
    <row r="2826" spans="3:3" x14ac:dyDescent="0.25">
      <c r="C2826" s="211"/>
    </row>
    <row r="2827" spans="3:3" x14ac:dyDescent="0.25">
      <c r="C2827" s="211"/>
    </row>
    <row r="2828" spans="3:3" x14ac:dyDescent="0.25">
      <c r="C2828" s="211"/>
    </row>
    <row r="2829" spans="3:3" x14ac:dyDescent="0.25">
      <c r="C2829" s="211"/>
    </row>
    <row r="2830" spans="3:3" x14ac:dyDescent="0.25">
      <c r="C2830" s="211"/>
    </row>
    <row r="2831" spans="3:3" x14ac:dyDescent="0.25">
      <c r="C2831" s="211"/>
    </row>
    <row r="2832" spans="3:3" x14ac:dyDescent="0.25">
      <c r="C2832" s="211"/>
    </row>
    <row r="2833" spans="3:3" x14ac:dyDescent="0.25">
      <c r="C2833" s="211"/>
    </row>
    <row r="2834" spans="3:3" x14ac:dyDescent="0.25">
      <c r="C2834" s="211"/>
    </row>
    <row r="2835" spans="3:3" x14ac:dyDescent="0.25">
      <c r="C2835" s="211"/>
    </row>
    <row r="2836" spans="3:3" x14ac:dyDescent="0.25">
      <c r="C2836" s="211"/>
    </row>
    <row r="2837" spans="3:3" x14ac:dyDescent="0.25">
      <c r="C2837" s="211"/>
    </row>
    <row r="2838" spans="3:3" x14ac:dyDescent="0.25">
      <c r="C2838" s="211"/>
    </row>
    <row r="2839" spans="3:3" x14ac:dyDescent="0.25">
      <c r="C2839" s="211"/>
    </row>
    <row r="2840" spans="3:3" x14ac:dyDescent="0.25">
      <c r="C2840" s="211"/>
    </row>
    <row r="2841" spans="3:3" x14ac:dyDescent="0.25">
      <c r="C2841" s="211"/>
    </row>
    <row r="2842" spans="3:3" x14ac:dyDescent="0.25">
      <c r="C2842" s="211"/>
    </row>
    <row r="2843" spans="3:3" x14ac:dyDescent="0.25">
      <c r="C2843" s="211"/>
    </row>
    <row r="2844" spans="3:3" x14ac:dyDescent="0.25">
      <c r="C2844" s="211"/>
    </row>
    <row r="2845" spans="3:3" x14ac:dyDescent="0.25">
      <c r="C2845" s="211"/>
    </row>
    <row r="2846" spans="3:3" x14ac:dyDescent="0.25">
      <c r="C2846" s="211"/>
    </row>
    <row r="2847" spans="3:3" x14ac:dyDescent="0.25">
      <c r="C2847" s="211"/>
    </row>
    <row r="2848" spans="3:3" x14ac:dyDescent="0.25">
      <c r="C2848" s="211"/>
    </row>
    <row r="2849" spans="3:3" x14ac:dyDescent="0.25">
      <c r="C2849" s="211"/>
    </row>
    <row r="2850" spans="3:3" x14ac:dyDescent="0.25">
      <c r="C2850" s="211"/>
    </row>
    <row r="2851" spans="3:3" x14ac:dyDescent="0.25">
      <c r="C2851" s="211"/>
    </row>
    <row r="2852" spans="3:3" x14ac:dyDescent="0.25">
      <c r="C2852" s="211"/>
    </row>
    <row r="2853" spans="3:3" x14ac:dyDescent="0.25">
      <c r="C2853" s="211"/>
    </row>
    <row r="2854" spans="3:3" x14ac:dyDescent="0.25">
      <c r="C2854" s="211"/>
    </row>
    <row r="2855" spans="3:3" x14ac:dyDescent="0.25">
      <c r="C2855" s="211"/>
    </row>
    <row r="2856" spans="3:3" x14ac:dyDescent="0.25">
      <c r="C2856" s="211"/>
    </row>
    <row r="2857" spans="3:3" x14ac:dyDescent="0.25">
      <c r="C2857" s="211"/>
    </row>
    <row r="2858" spans="3:3" x14ac:dyDescent="0.25">
      <c r="C2858" s="211"/>
    </row>
    <row r="2859" spans="3:3" x14ac:dyDescent="0.25">
      <c r="C2859" s="211"/>
    </row>
    <row r="2860" spans="3:3" x14ac:dyDescent="0.25">
      <c r="C2860" s="211"/>
    </row>
    <row r="2861" spans="3:3" x14ac:dyDescent="0.25">
      <c r="C2861" s="211"/>
    </row>
    <row r="2862" spans="3:3" x14ac:dyDescent="0.25">
      <c r="C2862" s="211"/>
    </row>
    <row r="2863" spans="3:3" x14ac:dyDescent="0.25">
      <c r="C2863" s="211"/>
    </row>
    <row r="2864" spans="3:3" x14ac:dyDescent="0.25">
      <c r="C2864" s="211"/>
    </row>
    <row r="2865" spans="3:3" x14ac:dyDescent="0.25">
      <c r="C2865" s="211"/>
    </row>
    <row r="2866" spans="3:3" x14ac:dyDescent="0.25">
      <c r="C2866" s="211"/>
    </row>
    <row r="2867" spans="3:3" x14ac:dyDescent="0.25">
      <c r="C2867" s="211"/>
    </row>
    <row r="2868" spans="3:3" x14ac:dyDescent="0.25">
      <c r="C2868" s="211"/>
    </row>
    <row r="2869" spans="3:3" x14ac:dyDescent="0.25">
      <c r="C2869" s="211"/>
    </row>
    <row r="2870" spans="3:3" x14ac:dyDescent="0.25">
      <c r="C2870" s="211"/>
    </row>
    <row r="2871" spans="3:3" x14ac:dyDescent="0.25">
      <c r="C2871" s="211"/>
    </row>
    <row r="2872" spans="3:3" x14ac:dyDescent="0.25">
      <c r="C2872" s="211"/>
    </row>
    <row r="2873" spans="3:3" x14ac:dyDescent="0.25">
      <c r="C2873" s="211"/>
    </row>
    <row r="2874" spans="3:3" x14ac:dyDescent="0.25">
      <c r="C2874" s="211"/>
    </row>
    <row r="2875" spans="3:3" x14ac:dyDescent="0.25">
      <c r="C2875" s="211"/>
    </row>
    <row r="2876" spans="3:3" x14ac:dyDescent="0.25">
      <c r="C2876" s="211"/>
    </row>
    <row r="2877" spans="3:3" x14ac:dyDescent="0.25">
      <c r="C2877" s="211"/>
    </row>
    <row r="2878" spans="3:3" x14ac:dyDescent="0.25">
      <c r="C2878" s="211"/>
    </row>
    <row r="2879" spans="3:3" x14ac:dyDescent="0.25">
      <c r="C2879" s="211"/>
    </row>
    <row r="2880" spans="3:3" x14ac:dyDescent="0.25">
      <c r="C2880" s="211"/>
    </row>
    <row r="2881" spans="3:3" x14ac:dyDescent="0.25">
      <c r="C2881" s="211"/>
    </row>
    <row r="2882" spans="3:3" x14ac:dyDescent="0.25">
      <c r="C2882" s="211"/>
    </row>
    <row r="2883" spans="3:3" x14ac:dyDescent="0.25">
      <c r="C2883" s="211"/>
    </row>
    <row r="2884" spans="3:3" x14ac:dyDescent="0.25">
      <c r="C2884" s="211"/>
    </row>
    <row r="2885" spans="3:3" x14ac:dyDescent="0.25">
      <c r="C2885" s="211"/>
    </row>
    <row r="2886" spans="3:3" x14ac:dyDescent="0.25">
      <c r="C2886" s="211"/>
    </row>
    <row r="2887" spans="3:3" x14ac:dyDescent="0.25">
      <c r="C2887" s="211"/>
    </row>
    <row r="2888" spans="3:3" x14ac:dyDescent="0.25">
      <c r="C2888" s="211"/>
    </row>
    <row r="2889" spans="3:3" x14ac:dyDescent="0.25">
      <c r="C2889" s="211"/>
    </row>
    <row r="2890" spans="3:3" x14ac:dyDescent="0.25">
      <c r="C2890" s="211"/>
    </row>
    <row r="2891" spans="3:3" x14ac:dyDescent="0.25">
      <c r="C2891" s="211"/>
    </row>
    <row r="2892" spans="3:3" x14ac:dyDescent="0.25">
      <c r="C2892" s="211"/>
    </row>
    <row r="2893" spans="3:3" x14ac:dyDescent="0.25">
      <c r="C2893" s="211"/>
    </row>
    <row r="2894" spans="3:3" x14ac:dyDescent="0.25">
      <c r="C2894" s="211"/>
    </row>
    <row r="2895" spans="3:3" x14ac:dyDescent="0.25">
      <c r="C2895" s="211"/>
    </row>
    <row r="2896" spans="3:3" x14ac:dyDescent="0.25">
      <c r="C2896" s="211"/>
    </row>
    <row r="2897" spans="3:3" x14ac:dyDescent="0.25">
      <c r="C2897" s="211"/>
    </row>
    <row r="2898" spans="3:3" x14ac:dyDescent="0.25">
      <c r="C2898" s="211"/>
    </row>
    <row r="2899" spans="3:3" x14ac:dyDescent="0.25">
      <c r="C2899" s="211"/>
    </row>
    <row r="2900" spans="3:3" x14ac:dyDescent="0.25">
      <c r="C2900" s="211"/>
    </row>
    <row r="2901" spans="3:3" x14ac:dyDescent="0.25">
      <c r="C2901" s="211"/>
    </row>
    <row r="2902" spans="3:3" x14ac:dyDescent="0.25">
      <c r="C2902" s="211"/>
    </row>
    <row r="2903" spans="3:3" x14ac:dyDescent="0.25">
      <c r="C2903" s="211"/>
    </row>
    <row r="2904" spans="3:3" x14ac:dyDescent="0.25">
      <c r="C2904" s="211"/>
    </row>
    <row r="2905" spans="3:3" x14ac:dyDescent="0.25">
      <c r="C2905" s="211"/>
    </row>
    <row r="2906" spans="3:3" x14ac:dyDescent="0.25">
      <c r="C2906" s="211"/>
    </row>
    <row r="2907" spans="3:3" x14ac:dyDescent="0.25">
      <c r="C2907" s="211"/>
    </row>
    <row r="2908" spans="3:3" x14ac:dyDescent="0.25">
      <c r="C2908" s="211"/>
    </row>
    <row r="2909" spans="3:3" x14ac:dyDescent="0.25">
      <c r="C2909" s="211"/>
    </row>
    <row r="2910" spans="3:3" x14ac:dyDescent="0.25">
      <c r="C2910" s="211"/>
    </row>
    <row r="2911" spans="3:3" x14ac:dyDescent="0.25">
      <c r="C2911" s="211"/>
    </row>
    <row r="2912" spans="3:3" x14ac:dyDescent="0.25">
      <c r="C2912" s="211"/>
    </row>
    <row r="2913" spans="3:3" x14ac:dyDescent="0.25">
      <c r="C2913" s="211"/>
    </row>
    <row r="2914" spans="3:3" x14ac:dyDescent="0.25">
      <c r="C2914" s="211"/>
    </row>
    <row r="2915" spans="3:3" x14ac:dyDescent="0.25">
      <c r="C2915" s="211"/>
    </row>
    <row r="2916" spans="3:3" x14ac:dyDescent="0.25">
      <c r="C2916" s="211"/>
    </row>
    <row r="2917" spans="3:3" x14ac:dyDescent="0.25">
      <c r="C2917" s="211"/>
    </row>
    <row r="2918" spans="3:3" x14ac:dyDescent="0.25">
      <c r="C2918" s="211"/>
    </row>
    <row r="2919" spans="3:3" x14ac:dyDescent="0.25">
      <c r="C2919" s="211"/>
    </row>
    <row r="2920" spans="3:3" x14ac:dyDescent="0.25">
      <c r="C2920" s="211"/>
    </row>
    <row r="2921" spans="3:3" x14ac:dyDescent="0.25">
      <c r="C2921" s="211"/>
    </row>
    <row r="2922" spans="3:3" x14ac:dyDescent="0.25">
      <c r="C2922" s="211"/>
    </row>
    <row r="2923" spans="3:3" x14ac:dyDescent="0.25">
      <c r="C2923" s="211"/>
    </row>
    <row r="2924" spans="3:3" x14ac:dyDescent="0.25">
      <c r="C2924" s="211"/>
    </row>
    <row r="2925" spans="3:3" x14ac:dyDescent="0.25">
      <c r="C2925" s="211"/>
    </row>
    <row r="2926" spans="3:3" x14ac:dyDescent="0.25">
      <c r="C2926" s="211"/>
    </row>
    <row r="2927" spans="3:3" x14ac:dyDescent="0.25">
      <c r="C2927" s="211"/>
    </row>
    <row r="2928" spans="3:3" x14ac:dyDescent="0.25">
      <c r="C2928" s="211"/>
    </row>
    <row r="2929" spans="3:3" x14ac:dyDescent="0.25">
      <c r="C2929" s="211"/>
    </row>
    <row r="2930" spans="3:3" x14ac:dyDescent="0.25">
      <c r="C2930" s="211"/>
    </row>
    <row r="2931" spans="3:3" x14ac:dyDescent="0.25">
      <c r="C2931" s="211"/>
    </row>
    <row r="2932" spans="3:3" x14ac:dyDescent="0.25">
      <c r="C2932" s="211"/>
    </row>
    <row r="2933" spans="3:3" x14ac:dyDescent="0.25">
      <c r="C2933" s="211"/>
    </row>
    <row r="2934" spans="3:3" x14ac:dyDescent="0.25">
      <c r="C2934" s="211"/>
    </row>
    <row r="2935" spans="3:3" x14ac:dyDescent="0.25">
      <c r="C2935" s="211"/>
    </row>
    <row r="2936" spans="3:3" x14ac:dyDescent="0.25">
      <c r="C2936" s="211"/>
    </row>
    <row r="2937" spans="3:3" x14ac:dyDescent="0.25">
      <c r="C2937" s="211"/>
    </row>
    <row r="2938" spans="3:3" x14ac:dyDescent="0.25">
      <c r="C2938" s="211"/>
    </row>
    <row r="2939" spans="3:3" x14ac:dyDescent="0.25">
      <c r="C2939" s="211"/>
    </row>
    <row r="2940" spans="3:3" x14ac:dyDescent="0.25">
      <c r="C2940" s="211"/>
    </row>
    <row r="2941" spans="3:3" x14ac:dyDescent="0.25">
      <c r="C2941" s="211"/>
    </row>
    <row r="2942" spans="3:3" x14ac:dyDescent="0.25">
      <c r="C2942" s="211"/>
    </row>
    <row r="2943" spans="3:3" x14ac:dyDescent="0.25">
      <c r="C2943" s="211"/>
    </row>
    <row r="2944" spans="3:3" x14ac:dyDescent="0.25">
      <c r="C2944" s="211"/>
    </row>
    <row r="2945" spans="3:3" x14ac:dyDescent="0.25">
      <c r="C2945" s="211"/>
    </row>
    <row r="2946" spans="3:3" x14ac:dyDescent="0.25">
      <c r="C2946" s="211"/>
    </row>
    <row r="2947" spans="3:3" x14ac:dyDescent="0.25">
      <c r="C2947" s="211"/>
    </row>
    <row r="2948" spans="3:3" x14ac:dyDescent="0.25">
      <c r="C2948" s="211"/>
    </row>
    <row r="2949" spans="3:3" x14ac:dyDescent="0.25">
      <c r="C2949" s="211"/>
    </row>
    <row r="2950" spans="3:3" x14ac:dyDescent="0.25">
      <c r="C2950" s="211"/>
    </row>
    <row r="2951" spans="3:3" x14ac:dyDescent="0.25">
      <c r="C2951" s="211"/>
    </row>
    <row r="2952" spans="3:3" x14ac:dyDescent="0.25">
      <c r="C2952" s="211"/>
    </row>
    <row r="2953" spans="3:3" x14ac:dyDescent="0.25">
      <c r="C2953" s="211"/>
    </row>
    <row r="2954" spans="3:3" x14ac:dyDescent="0.25">
      <c r="C2954" s="211"/>
    </row>
    <row r="2955" spans="3:3" x14ac:dyDescent="0.25">
      <c r="C2955" s="211"/>
    </row>
    <row r="2956" spans="3:3" x14ac:dyDescent="0.25">
      <c r="C2956" s="211"/>
    </row>
    <row r="2957" spans="3:3" x14ac:dyDescent="0.25">
      <c r="C2957" s="211"/>
    </row>
    <row r="2958" spans="3:3" x14ac:dyDescent="0.25">
      <c r="C2958" s="211"/>
    </row>
    <row r="2959" spans="3:3" x14ac:dyDescent="0.25">
      <c r="C2959" s="211"/>
    </row>
    <row r="2960" spans="3:3" x14ac:dyDescent="0.25">
      <c r="C2960" s="211"/>
    </row>
    <row r="2961" spans="3:3" x14ac:dyDescent="0.25">
      <c r="C2961" s="211"/>
    </row>
    <row r="2962" spans="3:3" x14ac:dyDescent="0.25">
      <c r="C2962" s="211"/>
    </row>
    <row r="2963" spans="3:3" x14ac:dyDescent="0.25">
      <c r="C2963" s="211"/>
    </row>
    <row r="2964" spans="3:3" x14ac:dyDescent="0.25">
      <c r="C2964" s="211"/>
    </row>
    <row r="2965" spans="3:3" x14ac:dyDescent="0.25">
      <c r="C2965" s="211"/>
    </row>
    <row r="2966" spans="3:3" x14ac:dyDescent="0.25">
      <c r="C2966" s="211"/>
    </row>
    <row r="2967" spans="3:3" x14ac:dyDescent="0.25">
      <c r="C2967" s="211"/>
    </row>
    <row r="2968" spans="3:3" x14ac:dyDescent="0.25">
      <c r="C2968" s="211"/>
    </row>
    <row r="2969" spans="3:3" x14ac:dyDescent="0.25">
      <c r="C2969" s="211"/>
    </row>
    <row r="2970" spans="3:3" x14ac:dyDescent="0.25">
      <c r="C2970" s="211"/>
    </row>
    <row r="2971" spans="3:3" x14ac:dyDescent="0.25">
      <c r="C2971" s="211"/>
    </row>
    <row r="2972" spans="3:3" x14ac:dyDescent="0.25">
      <c r="C2972" s="211"/>
    </row>
    <row r="2973" spans="3:3" x14ac:dyDescent="0.25">
      <c r="C2973" s="211"/>
    </row>
    <row r="2974" spans="3:3" x14ac:dyDescent="0.25">
      <c r="C2974" s="211"/>
    </row>
    <row r="2975" spans="3:3" x14ac:dyDescent="0.25">
      <c r="C2975" s="211"/>
    </row>
    <row r="2976" spans="3:3" x14ac:dyDescent="0.25">
      <c r="C2976" s="211"/>
    </row>
    <row r="2977" spans="3:3" x14ac:dyDescent="0.25">
      <c r="C2977" s="211"/>
    </row>
    <row r="2978" spans="3:3" x14ac:dyDescent="0.25">
      <c r="C2978" s="211"/>
    </row>
    <row r="2979" spans="3:3" x14ac:dyDescent="0.25">
      <c r="C2979" s="211"/>
    </row>
    <row r="2980" spans="3:3" x14ac:dyDescent="0.25">
      <c r="C2980" s="211"/>
    </row>
    <row r="2981" spans="3:3" x14ac:dyDescent="0.25">
      <c r="C2981" s="211"/>
    </row>
    <row r="2982" spans="3:3" x14ac:dyDescent="0.25">
      <c r="C2982" s="211"/>
    </row>
    <row r="2983" spans="3:3" x14ac:dyDescent="0.25">
      <c r="C2983" s="211"/>
    </row>
    <row r="2984" spans="3:3" x14ac:dyDescent="0.25">
      <c r="C2984" s="211"/>
    </row>
    <row r="2985" spans="3:3" x14ac:dyDescent="0.25">
      <c r="C2985" s="211"/>
    </row>
    <row r="2986" spans="3:3" x14ac:dyDescent="0.25">
      <c r="C2986" s="211"/>
    </row>
    <row r="2987" spans="3:3" x14ac:dyDescent="0.25">
      <c r="C2987" s="211"/>
    </row>
    <row r="2988" spans="3:3" x14ac:dyDescent="0.25">
      <c r="C2988" s="211"/>
    </row>
    <row r="2989" spans="3:3" x14ac:dyDescent="0.25">
      <c r="C2989" s="211"/>
    </row>
    <row r="2990" spans="3:3" x14ac:dyDescent="0.25">
      <c r="C2990" s="211"/>
    </row>
    <row r="2991" spans="3:3" x14ac:dyDescent="0.25">
      <c r="C2991" s="211"/>
    </row>
    <row r="2992" spans="3:3" x14ac:dyDescent="0.25">
      <c r="C2992" s="211"/>
    </row>
    <row r="2993" spans="3:3" x14ac:dyDescent="0.25">
      <c r="C2993" s="211"/>
    </row>
    <row r="2994" spans="3:3" x14ac:dyDescent="0.25">
      <c r="C2994" s="211"/>
    </row>
    <row r="2995" spans="3:3" x14ac:dyDescent="0.25">
      <c r="C2995" s="211"/>
    </row>
    <row r="2996" spans="3:3" x14ac:dyDescent="0.25">
      <c r="C2996" s="211"/>
    </row>
    <row r="2997" spans="3:3" x14ac:dyDescent="0.25">
      <c r="C2997" s="211"/>
    </row>
    <row r="2998" spans="3:3" x14ac:dyDescent="0.25">
      <c r="C2998" s="211"/>
    </row>
    <row r="2999" spans="3:3" x14ac:dyDescent="0.25">
      <c r="C2999" s="211"/>
    </row>
    <row r="3000" spans="3:3" x14ac:dyDescent="0.25">
      <c r="C3000" s="211"/>
    </row>
    <row r="3001" spans="3:3" x14ac:dyDescent="0.25">
      <c r="C3001" s="211"/>
    </row>
    <row r="3002" spans="3:3" x14ac:dyDescent="0.25">
      <c r="C3002" s="211"/>
    </row>
    <row r="3003" spans="3:3" x14ac:dyDescent="0.25">
      <c r="C3003" s="211"/>
    </row>
    <row r="3004" spans="3:3" x14ac:dyDescent="0.25">
      <c r="C3004" s="211"/>
    </row>
    <row r="3005" spans="3:3" x14ac:dyDescent="0.25">
      <c r="C3005" s="211"/>
    </row>
    <row r="3006" spans="3:3" x14ac:dyDescent="0.25">
      <c r="C3006" s="211"/>
    </row>
    <row r="3007" spans="3:3" x14ac:dyDescent="0.25">
      <c r="C3007" s="211"/>
    </row>
    <row r="3008" spans="3:3" x14ac:dyDescent="0.25">
      <c r="C3008" s="211"/>
    </row>
    <row r="3009" spans="3:3" x14ac:dyDescent="0.25">
      <c r="C3009" s="211"/>
    </row>
    <row r="3010" spans="3:3" x14ac:dyDescent="0.25">
      <c r="C3010" s="211"/>
    </row>
    <row r="3011" spans="3:3" x14ac:dyDescent="0.25">
      <c r="C3011" s="211"/>
    </row>
    <row r="3012" spans="3:3" x14ac:dyDescent="0.25">
      <c r="C3012" s="211"/>
    </row>
    <row r="3013" spans="3:3" x14ac:dyDescent="0.25">
      <c r="C3013" s="211"/>
    </row>
    <row r="3014" spans="3:3" x14ac:dyDescent="0.25">
      <c r="C3014" s="211"/>
    </row>
    <row r="3015" spans="3:3" x14ac:dyDescent="0.25">
      <c r="C3015" s="211"/>
    </row>
    <row r="3016" spans="3:3" x14ac:dyDescent="0.25">
      <c r="C3016" s="211"/>
    </row>
    <row r="3017" spans="3:3" x14ac:dyDescent="0.25">
      <c r="C3017" s="211"/>
    </row>
    <row r="3018" spans="3:3" x14ac:dyDescent="0.25">
      <c r="C3018" s="211"/>
    </row>
    <row r="3019" spans="3:3" x14ac:dyDescent="0.25">
      <c r="C3019" s="211"/>
    </row>
    <row r="3020" spans="3:3" x14ac:dyDescent="0.25">
      <c r="C3020" s="211"/>
    </row>
    <row r="3021" spans="3:3" x14ac:dyDescent="0.25">
      <c r="C3021" s="211"/>
    </row>
    <row r="3022" spans="3:3" x14ac:dyDescent="0.25">
      <c r="C3022" s="211"/>
    </row>
    <row r="3023" spans="3:3" x14ac:dyDescent="0.25">
      <c r="C3023" s="211"/>
    </row>
    <row r="3024" spans="3:3" x14ac:dyDescent="0.25">
      <c r="C3024" s="211"/>
    </row>
    <row r="3025" spans="3:3" x14ac:dyDescent="0.25">
      <c r="C3025" s="211"/>
    </row>
    <row r="3026" spans="3:3" x14ac:dyDescent="0.25">
      <c r="C3026" s="211"/>
    </row>
    <row r="3027" spans="3:3" x14ac:dyDescent="0.25">
      <c r="C3027" s="211"/>
    </row>
    <row r="3028" spans="3:3" x14ac:dyDescent="0.25">
      <c r="C3028" s="211"/>
    </row>
    <row r="3029" spans="3:3" x14ac:dyDescent="0.25">
      <c r="C3029" s="211"/>
    </row>
    <row r="3030" spans="3:3" x14ac:dyDescent="0.25">
      <c r="C3030" s="211"/>
    </row>
    <row r="3031" spans="3:3" x14ac:dyDescent="0.25">
      <c r="C3031" s="211"/>
    </row>
    <row r="3032" spans="3:3" x14ac:dyDescent="0.25">
      <c r="C3032" s="211"/>
    </row>
    <row r="3033" spans="3:3" x14ac:dyDescent="0.25">
      <c r="C3033" s="211"/>
    </row>
    <row r="3034" spans="3:3" x14ac:dyDescent="0.25">
      <c r="C3034" s="211"/>
    </row>
    <row r="3035" spans="3:3" x14ac:dyDescent="0.25">
      <c r="C3035" s="211"/>
    </row>
    <row r="3036" spans="3:3" x14ac:dyDescent="0.25">
      <c r="C3036" s="211"/>
    </row>
    <row r="3037" spans="3:3" x14ac:dyDescent="0.25">
      <c r="C3037" s="211"/>
    </row>
    <row r="3038" spans="3:3" x14ac:dyDescent="0.25">
      <c r="C3038" s="211"/>
    </row>
    <row r="3039" spans="3:3" x14ac:dyDescent="0.25">
      <c r="C3039" s="211"/>
    </row>
    <row r="3040" spans="3:3" x14ac:dyDescent="0.25">
      <c r="C3040" s="211"/>
    </row>
    <row r="3041" spans="3:3" x14ac:dyDescent="0.25">
      <c r="C3041" s="211"/>
    </row>
    <row r="3042" spans="3:3" x14ac:dyDescent="0.25">
      <c r="C3042" s="211"/>
    </row>
    <row r="3043" spans="3:3" x14ac:dyDescent="0.25">
      <c r="C3043" s="211"/>
    </row>
    <row r="3044" spans="3:3" x14ac:dyDescent="0.25">
      <c r="C3044" s="211"/>
    </row>
    <row r="3045" spans="3:3" x14ac:dyDescent="0.25">
      <c r="C3045" s="211"/>
    </row>
    <row r="3046" spans="3:3" x14ac:dyDescent="0.25">
      <c r="C3046" s="211"/>
    </row>
    <row r="3047" spans="3:3" x14ac:dyDescent="0.25">
      <c r="C3047" s="211"/>
    </row>
    <row r="3048" spans="3:3" x14ac:dyDescent="0.25">
      <c r="C3048" s="211"/>
    </row>
    <row r="3049" spans="3:3" x14ac:dyDescent="0.25">
      <c r="C3049" s="211"/>
    </row>
    <row r="3050" spans="3:3" x14ac:dyDescent="0.25">
      <c r="C3050" s="211"/>
    </row>
    <row r="3051" spans="3:3" x14ac:dyDescent="0.25">
      <c r="C3051" s="211"/>
    </row>
    <row r="3052" spans="3:3" x14ac:dyDescent="0.25">
      <c r="C3052" s="211"/>
    </row>
    <row r="3053" spans="3:3" x14ac:dyDescent="0.25">
      <c r="C3053" s="211"/>
    </row>
    <row r="3054" spans="3:3" x14ac:dyDescent="0.25">
      <c r="C3054" s="211"/>
    </row>
    <row r="3055" spans="3:3" x14ac:dyDescent="0.25">
      <c r="C3055" s="211"/>
    </row>
    <row r="3056" spans="3:3" x14ac:dyDescent="0.25">
      <c r="C3056" s="211"/>
    </row>
    <row r="3057" spans="3:3" x14ac:dyDescent="0.25">
      <c r="C3057" s="211"/>
    </row>
    <row r="3058" spans="3:3" x14ac:dyDescent="0.25">
      <c r="C3058" s="211"/>
    </row>
    <row r="3059" spans="3:3" x14ac:dyDescent="0.25">
      <c r="C3059" s="211"/>
    </row>
    <row r="3060" spans="3:3" x14ac:dyDescent="0.25">
      <c r="C3060" s="211"/>
    </row>
    <row r="3061" spans="3:3" x14ac:dyDescent="0.25">
      <c r="C3061" s="211"/>
    </row>
    <row r="3062" spans="3:3" x14ac:dyDescent="0.25">
      <c r="C3062" s="211"/>
    </row>
    <row r="3063" spans="3:3" x14ac:dyDescent="0.25">
      <c r="C3063" s="211"/>
    </row>
    <row r="3064" spans="3:3" x14ac:dyDescent="0.25">
      <c r="C3064" s="211"/>
    </row>
    <row r="3065" spans="3:3" x14ac:dyDescent="0.25">
      <c r="C3065" s="211"/>
    </row>
    <row r="3066" spans="3:3" x14ac:dyDescent="0.25">
      <c r="C3066" s="211"/>
    </row>
    <row r="3067" spans="3:3" x14ac:dyDescent="0.25">
      <c r="C3067" s="211"/>
    </row>
    <row r="3068" spans="3:3" x14ac:dyDescent="0.25">
      <c r="C3068" s="211"/>
    </row>
    <row r="3069" spans="3:3" x14ac:dyDescent="0.25">
      <c r="C3069" s="211"/>
    </row>
    <row r="3070" spans="3:3" x14ac:dyDescent="0.25">
      <c r="C3070" s="211"/>
    </row>
    <row r="3071" spans="3:3" x14ac:dyDescent="0.25">
      <c r="C3071" s="211"/>
    </row>
    <row r="3072" spans="3:3" x14ac:dyDescent="0.25">
      <c r="C3072" s="211"/>
    </row>
    <row r="3073" spans="3:3" x14ac:dyDescent="0.25">
      <c r="C3073" s="211"/>
    </row>
    <row r="3074" spans="3:3" x14ac:dyDescent="0.25">
      <c r="C3074" s="211"/>
    </row>
    <row r="3075" spans="3:3" x14ac:dyDescent="0.25">
      <c r="C3075" s="211"/>
    </row>
    <row r="3076" spans="3:3" x14ac:dyDescent="0.25">
      <c r="C3076" s="211"/>
    </row>
    <row r="3077" spans="3:3" x14ac:dyDescent="0.25">
      <c r="C3077" s="211"/>
    </row>
    <row r="3078" spans="3:3" x14ac:dyDescent="0.25">
      <c r="C3078" s="211"/>
    </row>
    <row r="3079" spans="3:3" x14ac:dyDescent="0.25">
      <c r="C3079" s="211"/>
    </row>
    <row r="3080" spans="3:3" x14ac:dyDescent="0.25">
      <c r="C3080" s="211"/>
    </row>
    <row r="3081" spans="3:3" x14ac:dyDescent="0.25">
      <c r="C3081" s="211"/>
    </row>
    <row r="3082" spans="3:3" x14ac:dyDescent="0.25">
      <c r="C3082" s="211"/>
    </row>
    <row r="3083" spans="3:3" x14ac:dyDescent="0.25">
      <c r="C3083" s="211"/>
    </row>
    <row r="3084" spans="3:3" x14ac:dyDescent="0.25">
      <c r="C3084" s="211"/>
    </row>
    <row r="3085" spans="3:3" x14ac:dyDescent="0.25">
      <c r="C3085" s="211"/>
    </row>
    <row r="3086" spans="3:3" x14ac:dyDescent="0.25">
      <c r="C3086" s="211"/>
    </row>
    <row r="3087" spans="3:3" x14ac:dyDescent="0.25">
      <c r="C3087" s="211"/>
    </row>
    <row r="3088" spans="3:3" x14ac:dyDescent="0.25">
      <c r="C3088" s="211"/>
    </row>
    <row r="3089" spans="3:3" x14ac:dyDescent="0.25">
      <c r="C3089" s="211"/>
    </row>
    <row r="3090" spans="3:3" x14ac:dyDescent="0.25">
      <c r="C3090" s="211"/>
    </row>
    <row r="3091" spans="3:3" x14ac:dyDescent="0.25">
      <c r="C3091" s="211"/>
    </row>
    <row r="3092" spans="3:3" x14ac:dyDescent="0.25">
      <c r="C3092" s="211"/>
    </row>
    <row r="3093" spans="3:3" x14ac:dyDescent="0.25">
      <c r="C3093" s="211"/>
    </row>
    <row r="3094" spans="3:3" x14ac:dyDescent="0.25">
      <c r="C3094" s="211"/>
    </row>
    <row r="3095" spans="3:3" x14ac:dyDescent="0.25">
      <c r="C3095" s="211"/>
    </row>
    <row r="3096" spans="3:3" x14ac:dyDescent="0.25">
      <c r="C3096" s="211"/>
    </row>
    <row r="3097" spans="3:3" x14ac:dyDescent="0.25">
      <c r="C3097" s="211"/>
    </row>
    <row r="3098" spans="3:3" x14ac:dyDescent="0.25">
      <c r="C3098" s="211"/>
    </row>
    <row r="3099" spans="3:3" x14ac:dyDescent="0.25">
      <c r="C3099" s="211"/>
    </row>
    <row r="3100" spans="3:3" x14ac:dyDescent="0.25">
      <c r="C3100" s="211"/>
    </row>
    <row r="3101" spans="3:3" x14ac:dyDescent="0.25">
      <c r="C3101" s="211"/>
    </row>
    <row r="3102" spans="3:3" x14ac:dyDescent="0.25">
      <c r="C3102" s="211"/>
    </row>
    <row r="3103" spans="3:3" x14ac:dyDescent="0.25">
      <c r="C3103" s="211"/>
    </row>
    <row r="3104" spans="3:3" x14ac:dyDescent="0.25">
      <c r="C3104" s="211"/>
    </row>
    <row r="3105" spans="3:3" x14ac:dyDescent="0.25">
      <c r="C3105" s="211"/>
    </row>
    <row r="3106" spans="3:3" x14ac:dyDescent="0.25">
      <c r="C3106" s="211"/>
    </row>
    <row r="3107" spans="3:3" x14ac:dyDescent="0.25">
      <c r="C3107" s="211"/>
    </row>
    <row r="3108" spans="3:3" x14ac:dyDescent="0.25">
      <c r="C3108" s="211"/>
    </row>
    <row r="3109" spans="3:3" x14ac:dyDescent="0.25">
      <c r="C3109" s="211"/>
    </row>
    <row r="3110" spans="3:3" x14ac:dyDescent="0.25">
      <c r="C3110" s="211"/>
    </row>
    <row r="3111" spans="3:3" x14ac:dyDescent="0.25">
      <c r="C3111" s="211"/>
    </row>
    <row r="3112" spans="3:3" x14ac:dyDescent="0.25">
      <c r="C3112" s="211"/>
    </row>
    <row r="3113" spans="3:3" x14ac:dyDescent="0.25">
      <c r="C3113" s="211"/>
    </row>
    <row r="3114" spans="3:3" x14ac:dyDescent="0.25">
      <c r="C3114" s="211"/>
    </row>
    <row r="3115" spans="3:3" x14ac:dyDescent="0.25">
      <c r="C3115" s="211"/>
    </row>
    <row r="3116" spans="3:3" x14ac:dyDescent="0.25">
      <c r="C3116" s="211"/>
    </row>
    <row r="3117" spans="3:3" x14ac:dyDescent="0.25">
      <c r="C3117" s="211"/>
    </row>
    <row r="3118" spans="3:3" x14ac:dyDescent="0.25">
      <c r="C3118" s="211"/>
    </row>
    <row r="3119" spans="3:3" x14ac:dyDescent="0.25">
      <c r="C3119" s="211"/>
    </row>
    <row r="3120" spans="3:3" x14ac:dyDescent="0.25">
      <c r="C3120" s="211"/>
    </row>
    <row r="3121" spans="3:3" x14ac:dyDescent="0.25">
      <c r="C3121" s="211"/>
    </row>
    <row r="3122" spans="3:3" x14ac:dyDescent="0.25">
      <c r="C3122" s="211"/>
    </row>
    <row r="3123" spans="3:3" x14ac:dyDescent="0.25">
      <c r="C3123" s="211"/>
    </row>
    <row r="3124" spans="3:3" x14ac:dyDescent="0.25">
      <c r="C3124" s="211"/>
    </row>
    <row r="3125" spans="3:3" x14ac:dyDescent="0.25">
      <c r="C3125" s="211"/>
    </row>
    <row r="3126" spans="3:3" x14ac:dyDescent="0.25">
      <c r="C3126" s="211"/>
    </row>
    <row r="3127" spans="3:3" x14ac:dyDescent="0.25">
      <c r="C3127" s="211"/>
    </row>
    <row r="3128" spans="3:3" x14ac:dyDescent="0.25">
      <c r="C3128" s="211"/>
    </row>
    <row r="3129" spans="3:3" x14ac:dyDescent="0.25">
      <c r="C3129" s="211"/>
    </row>
    <row r="3130" spans="3:3" x14ac:dyDescent="0.25">
      <c r="C3130" s="211"/>
    </row>
    <row r="3131" spans="3:3" x14ac:dyDescent="0.25">
      <c r="C3131" s="211"/>
    </row>
    <row r="3132" spans="3:3" x14ac:dyDescent="0.25">
      <c r="C3132" s="211"/>
    </row>
    <row r="3133" spans="3:3" x14ac:dyDescent="0.25">
      <c r="C3133" s="211"/>
    </row>
    <row r="3134" spans="3:3" x14ac:dyDescent="0.25">
      <c r="C3134" s="211"/>
    </row>
    <row r="3135" spans="3:3" x14ac:dyDescent="0.25">
      <c r="C3135" s="211"/>
    </row>
    <row r="3136" spans="3:3" x14ac:dyDescent="0.25">
      <c r="C3136" s="211"/>
    </row>
    <row r="3137" spans="3:3" x14ac:dyDescent="0.25">
      <c r="C3137" s="211"/>
    </row>
    <row r="3138" spans="3:3" x14ac:dyDescent="0.25">
      <c r="C3138" s="211"/>
    </row>
    <row r="3139" spans="3:3" x14ac:dyDescent="0.25">
      <c r="C3139" s="211"/>
    </row>
    <row r="3140" spans="3:3" x14ac:dyDescent="0.25">
      <c r="C3140" s="211"/>
    </row>
    <row r="3141" spans="3:3" x14ac:dyDescent="0.25">
      <c r="C3141" s="211"/>
    </row>
    <row r="3142" spans="3:3" x14ac:dyDescent="0.25">
      <c r="C3142" s="211"/>
    </row>
    <row r="3143" spans="3:3" x14ac:dyDescent="0.25">
      <c r="C3143" s="211"/>
    </row>
    <row r="3144" spans="3:3" x14ac:dyDescent="0.25">
      <c r="C3144" s="211"/>
    </row>
    <row r="3145" spans="3:3" x14ac:dyDescent="0.25">
      <c r="C3145" s="211"/>
    </row>
    <row r="3146" spans="3:3" x14ac:dyDescent="0.25">
      <c r="C3146" s="211"/>
    </row>
    <row r="3147" spans="3:3" x14ac:dyDescent="0.25">
      <c r="C3147" s="211"/>
    </row>
    <row r="3148" spans="3:3" x14ac:dyDescent="0.25">
      <c r="C3148" s="211"/>
    </row>
    <row r="3149" spans="3:3" x14ac:dyDescent="0.25">
      <c r="C3149" s="211"/>
    </row>
    <row r="3150" spans="3:3" x14ac:dyDescent="0.25">
      <c r="C3150" s="211"/>
    </row>
    <row r="3151" spans="3:3" x14ac:dyDescent="0.25">
      <c r="C3151" s="211"/>
    </row>
    <row r="3152" spans="3:3" x14ac:dyDescent="0.25">
      <c r="C3152" s="211"/>
    </row>
    <row r="3153" spans="3:3" x14ac:dyDescent="0.25">
      <c r="C3153" s="211"/>
    </row>
    <row r="3154" spans="3:3" x14ac:dyDescent="0.25">
      <c r="C3154" s="211"/>
    </row>
    <row r="3155" spans="3:3" x14ac:dyDescent="0.25">
      <c r="C3155" s="211"/>
    </row>
    <row r="3156" spans="3:3" x14ac:dyDescent="0.25">
      <c r="C3156" s="211"/>
    </row>
    <row r="3157" spans="3:3" x14ac:dyDescent="0.25">
      <c r="C3157" s="211"/>
    </row>
    <row r="3158" spans="3:3" x14ac:dyDescent="0.25">
      <c r="C3158" s="211"/>
    </row>
    <row r="3159" spans="3:3" x14ac:dyDescent="0.25">
      <c r="C3159" s="211"/>
    </row>
    <row r="3160" spans="3:3" x14ac:dyDescent="0.25">
      <c r="C3160" s="211"/>
    </row>
    <row r="3161" spans="3:3" x14ac:dyDescent="0.25">
      <c r="C3161" s="211"/>
    </row>
    <row r="3162" spans="3:3" x14ac:dyDescent="0.25">
      <c r="C3162" s="211"/>
    </row>
    <row r="3163" spans="3:3" x14ac:dyDescent="0.25">
      <c r="C3163" s="211"/>
    </row>
    <row r="3164" spans="3:3" x14ac:dyDescent="0.25">
      <c r="C3164" s="211"/>
    </row>
    <row r="3165" spans="3:3" x14ac:dyDescent="0.25">
      <c r="C3165" s="211"/>
    </row>
    <row r="3166" spans="3:3" x14ac:dyDescent="0.25">
      <c r="C3166" s="211"/>
    </row>
    <row r="3167" spans="3:3" x14ac:dyDescent="0.25">
      <c r="C3167" s="211"/>
    </row>
    <row r="3168" spans="3:3" x14ac:dyDescent="0.25">
      <c r="C3168" s="211"/>
    </row>
    <row r="3169" spans="3:3" x14ac:dyDescent="0.25">
      <c r="C3169" s="211"/>
    </row>
    <row r="3170" spans="3:3" x14ac:dyDescent="0.25">
      <c r="C3170" s="211"/>
    </row>
    <row r="3171" spans="3:3" x14ac:dyDescent="0.25">
      <c r="C3171" s="211"/>
    </row>
    <row r="3172" spans="3:3" x14ac:dyDescent="0.25">
      <c r="C3172" s="211"/>
    </row>
    <row r="3173" spans="3:3" x14ac:dyDescent="0.25">
      <c r="C3173" s="211"/>
    </row>
    <row r="3174" spans="3:3" x14ac:dyDescent="0.25">
      <c r="C3174" s="211"/>
    </row>
    <row r="3175" spans="3:3" x14ac:dyDescent="0.25">
      <c r="C3175" s="211"/>
    </row>
    <row r="3176" spans="3:3" x14ac:dyDescent="0.25">
      <c r="C3176" s="211"/>
    </row>
    <row r="3177" spans="3:3" x14ac:dyDescent="0.25">
      <c r="C3177" s="211"/>
    </row>
    <row r="3178" spans="3:3" x14ac:dyDescent="0.25">
      <c r="C3178" s="211"/>
    </row>
    <row r="3179" spans="3:3" x14ac:dyDescent="0.25">
      <c r="C3179" s="211"/>
    </row>
    <row r="3180" spans="3:3" x14ac:dyDescent="0.25">
      <c r="C3180" s="211"/>
    </row>
    <row r="3181" spans="3:3" x14ac:dyDescent="0.25">
      <c r="C3181" s="211"/>
    </row>
    <row r="3182" spans="3:3" x14ac:dyDescent="0.25">
      <c r="C3182" s="211"/>
    </row>
    <row r="3183" spans="3:3" x14ac:dyDescent="0.25">
      <c r="C3183" s="211"/>
    </row>
    <row r="3184" spans="3:3" x14ac:dyDescent="0.25">
      <c r="C3184" s="211"/>
    </row>
    <row r="3185" spans="3:3" x14ac:dyDescent="0.25">
      <c r="C3185" s="211"/>
    </row>
    <row r="3186" spans="3:3" x14ac:dyDescent="0.25">
      <c r="C3186" s="211"/>
    </row>
    <row r="3187" spans="3:3" x14ac:dyDescent="0.25">
      <c r="C3187" s="211"/>
    </row>
    <row r="3188" spans="3:3" x14ac:dyDescent="0.25">
      <c r="C3188" s="211"/>
    </row>
    <row r="3189" spans="3:3" x14ac:dyDescent="0.25">
      <c r="C3189" s="211"/>
    </row>
    <row r="3190" spans="3:3" x14ac:dyDescent="0.25">
      <c r="C3190" s="211"/>
    </row>
    <row r="3191" spans="3:3" x14ac:dyDescent="0.25">
      <c r="C3191" s="211"/>
    </row>
    <row r="3192" spans="3:3" x14ac:dyDescent="0.25">
      <c r="C3192" s="211"/>
    </row>
    <row r="3193" spans="3:3" x14ac:dyDescent="0.25">
      <c r="C3193" s="211"/>
    </row>
    <row r="3194" spans="3:3" x14ac:dyDescent="0.25">
      <c r="C3194" s="211"/>
    </row>
    <row r="3195" spans="3:3" x14ac:dyDescent="0.25">
      <c r="C3195" s="211"/>
    </row>
    <row r="3196" spans="3:3" x14ac:dyDescent="0.25">
      <c r="C3196" s="211"/>
    </row>
    <row r="3197" spans="3:3" x14ac:dyDescent="0.25">
      <c r="C3197" s="211"/>
    </row>
    <row r="3198" spans="3:3" x14ac:dyDescent="0.25">
      <c r="C3198" s="211"/>
    </row>
    <row r="3199" spans="3:3" x14ac:dyDescent="0.25">
      <c r="C3199" s="211"/>
    </row>
    <row r="3200" spans="3:3" x14ac:dyDescent="0.25">
      <c r="C3200" s="211"/>
    </row>
    <row r="3201" spans="3:3" x14ac:dyDescent="0.25">
      <c r="C3201" s="211"/>
    </row>
    <row r="3202" spans="3:3" x14ac:dyDescent="0.25">
      <c r="C3202" s="211"/>
    </row>
    <row r="3203" spans="3:3" x14ac:dyDescent="0.25">
      <c r="C3203" s="211"/>
    </row>
    <row r="3204" spans="3:3" x14ac:dyDescent="0.25">
      <c r="C3204" s="211"/>
    </row>
    <row r="3205" spans="3:3" x14ac:dyDescent="0.25">
      <c r="C3205" s="211"/>
    </row>
    <row r="3206" spans="3:3" x14ac:dyDescent="0.25">
      <c r="C3206" s="211"/>
    </row>
    <row r="3207" spans="3:3" x14ac:dyDescent="0.25">
      <c r="C3207" s="211"/>
    </row>
    <row r="3208" spans="3:3" x14ac:dyDescent="0.25">
      <c r="C3208" s="211"/>
    </row>
    <row r="3209" spans="3:3" x14ac:dyDescent="0.25">
      <c r="C3209" s="211"/>
    </row>
    <row r="3210" spans="3:3" x14ac:dyDescent="0.25">
      <c r="C3210" s="211"/>
    </row>
    <row r="3211" spans="3:3" x14ac:dyDescent="0.25">
      <c r="C3211" s="211"/>
    </row>
    <row r="3212" spans="3:3" x14ac:dyDescent="0.25">
      <c r="C3212" s="211"/>
    </row>
    <row r="3213" spans="3:3" x14ac:dyDescent="0.25">
      <c r="C3213" s="211"/>
    </row>
    <row r="3214" spans="3:3" x14ac:dyDescent="0.25">
      <c r="C3214" s="211"/>
    </row>
    <row r="3215" spans="3:3" x14ac:dyDescent="0.25">
      <c r="C3215" s="211"/>
    </row>
    <row r="3216" spans="3:3" x14ac:dyDescent="0.25">
      <c r="C3216" s="211"/>
    </row>
    <row r="3217" spans="3:3" x14ac:dyDescent="0.25">
      <c r="C3217" s="211"/>
    </row>
    <row r="3218" spans="3:3" x14ac:dyDescent="0.25">
      <c r="C3218" s="211"/>
    </row>
    <row r="3219" spans="3:3" x14ac:dyDescent="0.25">
      <c r="C3219" s="211"/>
    </row>
    <row r="3220" spans="3:3" x14ac:dyDescent="0.25">
      <c r="C3220" s="211"/>
    </row>
    <row r="3221" spans="3:3" x14ac:dyDescent="0.25">
      <c r="C3221" s="211"/>
    </row>
    <row r="3222" spans="3:3" x14ac:dyDescent="0.25">
      <c r="C3222" s="211"/>
    </row>
    <row r="3223" spans="3:3" x14ac:dyDescent="0.25">
      <c r="C3223" s="211"/>
    </row>
    <row r="3224" spans="3:3" x14ac:dyDescent="0.25">
      <c r="C3224" s="211"/>
    </row>
    <row r="3225" spans="3:3" x14ac:dyDescent="0.25">
      <c r="C3225" s="211"/>
    </row>
    <row r="3226" spans="3:3" x14ac:dyDescent="0.25">
      <c r="C3226" s="211"/>
    </row>
    <row r="3227" spans="3:3" x14ac:dyDescent="0.25">
      <c r="C3227" s="211"/>
    </row>
    <row r="3228" spans="3:3" x14ac:dyDescent="0.25">
      <c r="C3228" s="211"/>
    </row>
    <row r="3229" spans="3:3" x14ac:dyDescent="0.25">
      <c r="C3229" s="211"/>
    </row>
    <row r="3230" spans="3:3" x14ac:dyDescent="0.25">
      <c r="C3230" s="211"/>
    </row>
    <row r="3231" spans="3:3" x14ac:dyDescent="0.25">
      <c r="C3231" s="211"/>
    </row>
    <row r="3232" spans="3:3" x14ac:dyDescent="0.25">
      <c r="C3232" s="211"/>
    </row>
    <row r="3233" spans="3:3" x14ac:dyDescent="0.25">
      <c r="C3233" s="211"/>
    </row>
    <row r="3234" spans="3:3" x14ac:dyDescent="0.25">
      <c r="C3234" s="211"/>
    </row>
    <row r="3235" spans="3:3" x14ac:dyDescent="0.25">
      <c r="C3235" s="211"/>
    </row>
    <row r="3236" spans="3:3" x14ac:dyDescent="0.25">
      <c r="C3236" s="211"/>
    </row>
    <row r="3237" spans="3:3" x14ac:dyDescent="0.25">
      <c r="C3237" s="211"/>
    </row>
    <row r="3238" spans="3:3" x14ac:dyDescent="0.25">
      <c r="C3238" s="211"/>
    </row>
    <row r="3239" spans="3:3" x14ac:dyDescent="0.25">
      <c r="C3239" s="211"/>
    </row>
    <row r="3240" spans="3:3" x14ac:dyDescent="0.25">
      <c r="C3240" s="211"/>
    </row>
    <row r="3241" spans="3:3" x14ac:dyDescent="0.25">
      <c r="C3241" s="211"/>
    </row>
    <row r="3242" spans="3:3" x14ac:dyDescent="0.25">
      <c r="C3242" s="211"/>
    </row>
    <row r="3243" spans="3:3" x14ac:dyDescent="0.25">
      <c r="C3243" s="211"/>
    </row>
    <row r="3244" spans="3:3" x14ac:dyDescent="0.25">
      <c r="C3244" s="211"/>
    </row>
    <row r="3245" spans="3:3" x14ac:dyDescent="0.25">
      <c r="C3245" s="211"/>
    </row>
    <row r="3246" spans="3:3" x14ac:dyDescent="0.25">
      <c r="C3246" s="211"/>
    </row>
    <row r="3247" spans="3:3" x14ac:dyDescent="0.25">
      <c r="C3247" s="211"/>
    </row>
    <row r="3248" spans="3:3" x14ac:dyDescent="0.25">
      <c r="C3248" s="211"/>
    </row>
    <row r="3249" spans="3:3" x14ac:dyDescent="0.25">
      <c r="C3249" s="211"/>
    </row>
    <row r="3250" spans="3:3" x14ac:dyDescent="0.25">
      <c r="C3250" s="211"/>
    </row>
    <row r="3251" spans="3:3" x14ac:dyDescent="0.25">
      <c r="C3251" s="211"/>
    </row>
    <row r="3252" spans="3:3" x14ac:dyDescent="0.25">
      <c r="C3252" s="211"/>
    </row>
    <row r="3253" spans="3:3" x14ac:dyDescent="0.25">
      <c r="C3253" s="211"/>
    </row>
    <row r="3254" spans="3:3" x14ac:dyDescent="0.25">
      <c r="C3254" s="211"/>
    </row>
    <row r="3255" spans="3:3" x14ac:dyDescent="0.25">
      <c r="C3255" s="211"/>
    </row>
    <row r="3256" spans="3:3" x14ac:dyDescent="0.25">
      <c r="C3256" s="211"/>
    </row>
    <row r="3257" spans="3:3" x14ac:dyDescent="0.25">
      <c r="C3257" s="211"/>
    </row>
    <row r="3258" spans="3:3" x14ac:dyDescent="0.25">
      <c r="C3258" s="211"/>
    </row>
    <row r="3259" spans="3:3" x14ac:dyDescent="0.25">
      <c r="C3259" s="211"/>
    </row>
    <row r="3260" spans="3:3" x14ac:dyDescent="0.25">
      <c r="C3260" s="211"/>
    </row>
    <row r="3261" spans="3:3" x14ac:dyDescent="0.25">
      <c r="C3261" s="211"/>
    </row>
    <row r="3262" spans="3:3" x14ac:dyDescent="0.25">
      <c r="C3262" s="211"/>
    </row>
    <row r="3263" spans="3:3" x14ac:dyDescent="0.25">
      <c r="C3263" s="211"/>
    </row>
    <row r="3264" spans="3:3" x14ac:dyDescent="0.25">
      <c r="C3264" s="211"/>
    </row>
    <row r="3265" spans="3:3" x14ac:dyDescent="0.25">
      <c r="C3265" s="211"/>
    </row>
    <row r="3266" spans="3:3" x14ac:dyDescent="0.25">
      <c r="C3266" s="211"/>
    </row>
    <row r="3267" spans="3:3" x14ac:dyDescent="0.25">
      <c r="C3267" s="211"/>
    </row>
    <row r="3268" spans="3:3" x14ac:dyDescent="0.25">
      <c r="C3268" s="211"/>
    </row>
    <row r="3269" spans="3:3" x14ac:dyDescent="0.25">
      <c r="C3269" s="211"/>
    </row>
    <row r="3270" spans="3:3" x14ac:dyDescent="0.25">
      <c r="C3270" s="211"/>
    </row>
    <row r="3271" spans="3:3" x14ac:dyDescent="0.25">
      <c r="C3271" s="211"/>
    </row>
    <row r="3272" spans="3:3" x14ac:dyDescent="0.25">
      <c r="C3272" s="211"/>
    </row>
    <row r="3273" spans="3:3" x14ac:dyDescent="0.25">
      <c r="C3273" s="211"/>
    </row>
    <row r="3274" spans="3:3" x14ac:dyDescent="0.25">
      <c r="C3274" s="211"/>
    </row>
    <row r="3275" spans="3:3" x14ac:dyDescent="0.25">
      <c r="C3275" s="211"/>
    </row>
    <row r="3276" spans="3:3" x14ac:dyDescent="0.25">
      <c r="C3276" s="211"/>
    </row>
    <row r="3277" spans="3:3" x14ac:dyDescent="0.25">
      <c r="C3277" s="211"/>
    </row>
    <row r="3278" spans="3:3" x14ac:dyDescent="0.25">
      <c r="C3278" s="211"/>
    </row>
    <row r="3279" spans="3:3" x14ac:dyDescent="0.25">
      <c r="C3279" s="211"/>
    </row>
    <row r="3280" spans="3:3" x14ac:dyDescent="0.25">
      <c r="C3280" s="211"/>
    </row>
    <row r="3281" spans="3:3" x14ac:dyDescent="0.25">
      <c r="C3281" s="211"/>
    </row>
    <row r="3282" spans="3:3" x14ac:dyDescent="0.25">
      <c r="C3282" s="211"/>
    </row>
    <row r="3283" spans="3:3" x14ac:dyDescent="0.25">
      <c r="C3283" s="211"/>
    </row>
    <row r="3284" spans="3:3" x14ac:dyDescent="0.25">
      <c r="C3284" s="211"/>
    </row>
    <row r="3285" spans="3:3" x14ac:dyDescent="0.25">
      <c r="C3285" s="211"/>
    </row>
    <row r="3286" spans="3:3" x14ac:dyDescent="0.25">
      <c r="C3286" s="211"/>
    </row>
    <row r="3287" spans="3:3" x14ac:dyDescent="0.25">
      <c r="C3287" s="211"/>
    </row>
    <row r="3288" spans="3:3" x14ac:dyDescent="0.25">
      <c r="C3288" s="211"/>
    </row>
    <row r="3289" spans="3:3" x14ac:dyDescent="0.25">
      <c r="C3289" s="211"/>
    </row>
    <row r="3290" spans="3:3" x14ac:dyDescent="0.25">
      <c r="C3290" s="211"/>
    </row>
    <row r="3291" spans="3:3" x14ac:dyDescent="0.25">
      <c r="C3291" s="211"/>
    </row>
    <row r="3292" spans="3:3" x14ac:dyDescent="0.25">
      <c r="C3292" s="211"/>
    </row>
    <row r="3293" spans="3:3" x14ac:dyDescent="0.25">
      <c r="C3293" s="211"/>
    </row>
    <row r="3294" spans="3:3" x14ac:dyDescent="0.25">
      <c r="C3294" s="211"/>
    </row>
    <row r="3295" spans="3:3" x14ac:dyDescent="0.25">
      <c r="C3295" s="211"/>
    </row>
    <row r="3296" spans="3:3" x14ac:dyDescent="0.25">
      <c r="C3296" s="211"/>
    </row>
    <row r="3297" spans="3:3" x14ac:dyDescent="0.25">
      <c r="C3297" s="211"/>
    </row>
    <row r="3298" spans="3:3" x14ac:dyDescent="0.25">
      <c r="C3298" s="211"/>
    </row>
    <row r="3299" spans="3:3" x14ac:dyDescent="0.25">
      <c r="C3299" s="211"/>
    </row>
    <row r="3300" spans="3:3" x14ac:dyDescent="0.25">
      <c r="C3300" s="211"/>
    </row>
    <row r="3301" spans="3:3" x14ac:dyDescent="0.25">
      <c r="C3301" s="211"/>
    </row>
    <row r="3302" spans="3:3" x14ac:dyDescent="0.25">
      <c r="C3302" s="211"/>
    </row>
    <row r="3303" spans="3:3" x14ac:dyDescent="0.25">
      <c r="C3303" s="211"/>
    </row>
    <row r="3304" spans="3:3" x14ac:dyDescent="0.25">
      <c r="C3304" s="211"/>
    </row>
    <row r="3305" spans="3:3" x14ac:dyDescent="0.25">
      <c r="C3305" s="211"/>
    </row>
    <row r="3306" spans="3:3" x14ac:dyDescent="0.25">
      <c r="C3306" s="211"/>
    </row>
    <row r="3307" spans="3:3" x14ac:dyDescent="0.25">
      <c r="C3307" s="211"/>
    </row>
    <row r="3308" spans="3:3" x14ac:dyDescent="0.25">
      <c r="C3308" s="211"/>
    </row>
    <row r="3309" spans="3:3" x14ac:dyDescent="0.25">
      <c r="C3309" s="211"/>
    </row>
    <row r="3310" spans="3:3" x14ac:dyDescent="0.25">
      <c r="C3310" s="211"/>
    </row>
    <row r="3311" spans="3:3" x14ac:dyDescent="0.25">
      <c r="C3311" s="211"/>
    </row>
    <row r="3312" spans="3:3" x14ac:dyDescent="0.25">
      <c r="C3312" s="211"/>
    </row>
    <row r="3313" spans="3:3" x14ac:dyDescent="0.25">
      <c r="C3313" s="211"/>
    </row>
    <row r="3314" spans="3:3" x14ac:dyDescent="0.25">
      <c r="C3314" s="211"/>
    </row>
    <row r="3315" spans="3:3" x14ac:dyDescent="0.25">
      <c r="C3315" s="211"/>
    </row>
    <row r="3316" spans="3:3" x14ac:dyDescent="0.25">
      <c r="C3316" s="211"/>
    </row>
    <row r="3317" spans="3:3" x14ac:dyDescent="0.25">
      <c r="C3317" s="211"/>
    </row>
    <row r="3318" spans="3:3" x14ac:dyDescent="0.25">
      <c r="C3318" s="211"/>
    </row>
    <row r="3319" spans="3:3" x14ac:dyDescent="0.25">
      <c r="C3319" s="211"/>
    </row>
    <row r="3320" spans="3:3" x14ac:dyDescent="0.25">
      <c r="C3320" s="211"/>
    </row>
    <row r="3321" spans="3:3" x14ac:dyDescent="0.25">
      <c r="C3321" s="211"/>
    </row>
    <row r="3322" spans="3:3" x14ac:dyDescent="0.25">
      <c r="C3322" s="211"/>
    </row>
    <row r="3323" spans="3:3" x14ac:dyDescent="0.25">
      <c r="C3323" s="211"/>
    </row>
    <row r="3324" spans="3:3" x14ac:dyDescent="0.25">
      <c r="C3324" s="211"/>
    </row>
    <row r="3325" spans="3:3" x14ac:dyDescent="0.25">
      <c r="C3325" s="211"/>
    </row>
    <row r="3326" spans="3:3" x14ac:dyDescent="0.25">
      <c r="C3326" s="211"/>
    </row>
    <row r="3327" spans="3:3" x14ac:dyDescent="0.25">
      <c r="C3327" s="211"/>
    </row>
    <row r="3328" spans="3:3" x14ac:dyDescent="0.25">
      <c r="C3328" s="211"/>
    </row>
    <row r="3329" spans="3:3" x14ac:dyDescent="0.25">
      <c r="C3329" s="211"/>
    </row>
    <row r="3330" spans="3:3" x14ac:dyDescent="0.25">
      <c r="C3330" s="211"/>
    </row>
    <row r="3331" spans="3:3" x14ac:dyDescent="0.25">
      <c r="C3331" s="211"/>
    </row>
    <row r="3332" spans="3:3" x14ac:dyDescent="0.25">
      <c r="C3332" s="211"/>
    </row>
    <row r="3333" spans="3:3" x14ac:dyDescent="0.25">
      <c r="C3333" s="211"/>
    </row>
    <row r="3334" spans="3:3" x14ac:dyDescent="0.25">
      <c r="C3334" s="211"/>
    </row>
    <row r="3335" spans="3:3" x14ac:dyDescent="0.25">
      <c r="C3335" s="211"/>
    </row>
    <row r="3336" spans="3:3" x14ac:dyDescent="0.25">
      <c r="C3336" s="211"/>
    </row>
    <row r="3337" spans="3:3" x14ac:dyDescent="0.25">
      <c r="C3337" s="211"/>
    </row>
    <row r="3338" spans="3:3" x14ac:dyDescent="0.25">
      <c r="C3338" s="211"/>
    </row>
    <row r="3339" spans="3:3" x14ac:dyDescent="0.25">
      <c r="C3339" s="211"/>
    </row>
    <row r="3340" spans="3:3" x14ac:dyDescent="0.25">
      <c r="C3340" s="211"/>
    </row>
    <row r="3341" spans="3:3" x14ac:dyDescent="0.25">
      <c r="C3341" s="211"/>
    </row>
    <row r="3342" spans="3:3" x14ac:dyDescent="0.25">
      <c r="C3342" s="211"/>
    </row>
    <row r="3343" spans="3:3" x14ac:dyDescent="0.25">
      <c r="C3343" s="211"/>
    </row>
    <row r="3344" spans="3:3" x14ac:dyDescent="0.25">
      <c r="C3344" s="211"/>
    </row>
    <row r="3345" spans="3:3" x14ac:dyDescent="0.25">
      <c r="C3345" s="211"/>
    </row>
    <row r="3346" spans="3:3" x14ac:dyDescent="0.25">
      <c r="C3346" s="211"/>
    </row>
    <row r="3347" spans="3:3" x14ac:dyDescent="0.25">
      <c r="C3347" s="211"/>
    </row>
    <row r="3348" spans="3:3" x14ac:dyDescent="0.25">
      <c r="C3348" s="211"/>
    </row>
    <row r="3349" spans="3:3" x14ac:dyDescent="0.25">
      <c r="C3349" s="211"/>
    </row>
    <row r="3350" spans="3:3" x14ac:dyDescent="0.25">
      <c r="C3350" s="211"/>
    </row>
    <row r="3351" spans="3:3" x14ac:dyDescent="0.25">
      <c r="C3351" s="211"/>
    </row>
    <row r="3352" spans="3:3" x14ac:dyDescent="0.25">
      <c r="C3352" s="211"/>
    </row>
    <row r="3353" spans="3:3" x14ac:dyDescent="0.25">
      <c r="C3353" s="211"/>
    </row>
    <row r="3354" spans="3:3" x14ac:dyDescent="0.25">
      <c r="C3354" s="211"/>
    </row>
    <row r="3355" spans="3:3" x14ac:dyDescent="0.25">
      <c r="C3355" s="211"/>
    </row>
    <row r="3356" spans="3:3" x14ac:dyDescent="0.25">
      <c r="C3356" s="211"/>
    </row>
    <row r="3357" spans="3:3" x14ac:dyDescent="0.25">
      <c r="C3357" s="211"/>
    </row>
    <row r="3358" spans="3:3" x14ac:dyDescent="0.25">
      <c r="C3358" s="211"/>
    </row>
    <row r="3359" spans="3:3" x14ac:dyDescent="0.25">
      <c r="C3359" s="211"/>
    </row>
    <row r="3360" spans="3:3" x14ac:dyDescent="0.25">
      <c r="C3360" s="211"/>
    </row>
    <row r="3361" spans="3:3" x14ac:dyDescent="0.25">
      <c r="C3361" s="211"/>
    </row>
    <row r="3362" spans="3:3" x14ac:dyDescent="0.25">
      <c r="C3362" s="211"/>
    </row>
    <row r="3363" spans="3:3" x14ac:dyDescent="0.25">
      <c r="C3363" s="211"/>
    </row>
    <row r="3364" spans="3:3" x14ac:dyDescent="0.25">
      <c r="C3364" s="211"/>
    </row>
    <row r="3365" spans="3:3" x14ac:dyDescent="0.25">
      <c r="C3365" s="211"/>
    </row>
    <row r="3366" spans="3:3" x14ac:dyDescent="0.25">
      <c r="C3366" s="211"/>
    </row>
    <row r="3367" spans="3:3" x14ac:dyDescent="0.25">
      <c r="C3367" s="211"/>
    </row>
    <row r="3368" spans="3:3" x14ac:dyDescent="0.25">
      <c r="C3368" s="211"/>
    </row>
    <row r="3369" spans="3:3" x14ac:dyDescent="0.25">
      <c r="C3369" s="211"/>
    </row>
    <row r="3370" spans="3:3" x14ac:dyDescent="0.25">
      <c r="C3370" s="211"/>
    </row>
    <row r="3371" spans="3:3" x14ac:dyDescent="0.25">
      <c r="C3371" s="211"/>
    </row>
    <row r="3372" spans="3:3" x14ac:dyDescent="0.25">
      <c r="C3372" s="211"/>
    </row>
    <row r="3373" spans="3:3" x14ac:dyDescent="0.25">
      <c r="C3373" s="211"/>
    </row>
    <row r="3374" spans="3:3" x14ac:dyDescent="0.25">
      <c r="C3374" s="211"/>
    </row>
    <row r="3375" spans="3:3" x14ac:dyDescent="0.25">
      <c r="C3375" s="211"/>
    </row>
    <row r="3376" spans="3:3" x14ac:dyDescent="0.25">
      <c r="C3376" s="211"/>
    </row>
    <row r="3377" spans="3:3" x14ac:dyDescent="0.25">
      <c r="C3377" s="211"/>
    </row>
    <row r="3378" spans="3:3" x14ac:dyDescent="0.25">
      <c r="C3378" s="211"/>
    </row>
    <row r="3379" spans="3:3" x14ac:dyDescent="0.25">
      <c r="C3379" s="211"/>
    </row>
    <row r="3380" spans="3:3" x14ac:dyDescent="0.25">
      <c r="C3380" s="211"/>
    </row>
    <row r="3381" spans="3:3" x14ac:dyDescent="0.25">
      <c r="C3381" s="211"/>
    </row>
    <row r="3382" spans="3:3" x14ac:dyDescent="0.25">
      <c r="C3382" s="211"/>
    </row>
    <row r="3383" spans="3:3" x14ac:dyDescent="0.25">
      <c r="C3383" s="211"/>
    </row>
    <row r="3384" spans="3:3" x14ac:dyDescent="0.25">
      <c r="C3384" s="211"/>
    </row>
    <row r="3385" spans="3:3" x14ac:dyDescent="0.25">
      <c r="C3385" s="211"/>
    </row>
    <row r="3386" spans="3:3" x14ac:dyDescent="0.25">
      <c r="C3386" s="211"/>
    </row>
    <row r="3387" spans="3:3" x14ac:dyDescent="0.25">
      <c r="C3387" s="211"/>
    </row>
    <row r="3388" spans="3:3" x14ac:dyDescent="0.25">
      <c r="C3388" s="211"/>
    </row>
    <row r="3389" spans="3:3" x14ac:dyDescent="0.25">
      <c r="C3389" s="211"/>
    </row>
    <row r="3390" spans="3:3" x14ac:dyDescent="0.25">
      <c r="C3390" s="211"/>
    </row>
    <row r="3391" spans="3:3" x14ac:dyDescent="0.25">
      <c r="C3391" s="211"/>
    </row>
    <row r="3392" spans="3:3" x14ac:dyDescent="0.25">
      <c r="C3392" s="211"/>
    </row>
    <row r="3393" spans="3:3" x14ac:dyDescent="0.25">
      <c r="C3393" s="211"/>
    </row>
    <row r="3394" spans="3:3" x14ac:dyDescent="0.25">
      <c r="C3394" s="211"/>
    </row>
    <row r="3395" spans="3:3" x14ac:dyDescent="0.25">
      <c r="C3395" s="211"/>
    </row>
    <row r="3396" spans="3:3" x14ac:dyDescent="0.25">
      <c r="C3396" s="211"/>
    </row>
    <row r="3397" spans="3:3" x14ac:dyDescent="0.25">
      <c r="C3397" s="211"/>
    </row>
    <row r="3398" spans="3:3" x14ac:dyDescent="0.25">
      <c r="C3398" s="211"/>
    </row>
    <row r="3399" spans="3:3" x14ac:dyDescent="0.25">
      <c r="C3399" s="211"/>
    </row>
    <row r="3400" spans="3:3" x14ac:dyDescent="0.25">
      <c r="C3400" s="211"/>
    </row>
    <row r="3401" spans="3:3" x14ac:dyDescent="0.25">
      <c r="C3401" s="211"/>
    </row>
    <row r="3402" spans="3:3" x14ac:dyDescent="0.25">
      <c r="C3402" s="211"/>
    </row>
    <row r="3403" spans="3:3" x14ac:dyDescent="0.25">
      <c r="C3403" s="211"/>
    </row>
    <row r="3404" spans="3:3" x14ac:dyDescent="0.25">
      <c r="C3404" s="211"/>
    </row>
    <row r="3405" spans="3:3" x14ac:dyDescent="0.25">
      <c r="C3405" s="211"/>
    </row>
    <row r="3406" spans="3:3" x14ac:dyDescent="0.25">
      <c r="C3406" s="211"/>
    </row>
    <row r="3407" spans="3:3" x14ac:dyDescent="0.25">
      <c r="C3407" s="211"/>
    </row>
    <row r="3408" spans="3:3" x14ac:dyDescent="0.25">
      <c r="C3408" s="211"/>
    </row>
    <row r="3409" spans="3:3" x14ac:dyDescent="0.25">
      <c r="C3409" s="211"/>
    </row>
    <row r="3410" spans="3:3" x14ac:dyDescent="0.25">
      <c r="C3410" s="211"/>
    </row>
    <row r="3411" spans="3:3" x14ac:dyDescent="0.25">
      <c r="C3411" s="211"/>
    </row>
    <row r="3412" spans="3:3" x14ac:dyDescent="0.25">
      <c r="C3412" s="211"/>
    </row>
    <row r="3413" spans="3:3" x14ac:dyDescent="0.25">
      <c r="C3413" s="211"/>
    </row>
    <row r="3414" spans="3:3" x14ac:dyDescent="0.25">
      <c r="C3414" s="211"/>
    </row>
    <row r="3415" spans="3:3" x14ac:dyDescent="0.25">
      <c r="C3415" s="211"/>
    </row>
    <row r="3416" spans="3:3" x14ac:dyDescent="0.25">
      <c r="C3416" s="211"/>
    </row>
    <row r="3417" spans="3:3" x14ac:dyDescent="0.25">
      <c r="C3417" s="211"/>
    </row>
    <row r="3418" spans="3:3" x14ac:dyDescent="0.25">
      <c r="C3418" s="211"/>
    </row>
    <row r="3419" spans="3:3" x14ac:dyDescent="0.25">
      <c r="C3419" s="211"/>
    </row>
    <row r="3420" spans="3:3" x14ac:dyDescent="0.25">
      <c r="C3420" s="211"/>
    </row>
    <row r="3421" spans="3:3" x14ac:dyDescent="0.25">
      <c r="C3421" s="211"/>
    </row>
    <row r="3422" spans="3:3" x14ac:dyDescent="0.25">
      <c r="C3422" s="211"/>
    </row>
    <row r="3423" spans="3:3" x14ac:dyDescent="0.25">
      <c r="C3423" s="211"/>
    </row>
    <row r="3424" spans="3:3" x14ac:dyDescent="0.25">
      <c r="C3424" s="211"/>
    </row>
    <row r="3425" spans="3:3" x14ac:dyDescent="0.25">
      <c r="C3425" s="211"/>
    </row>
    <row r="3426" spans="3:3" x14ac:dyDescent="0.25">
      <c r="C3426" s="211"/>
    </row>
    <row r="3427" spans="3:3" x14ac:dyDescent="0.25">
      <c r="C3427" s="211"/>
    </row>
    <row r="3428" spans="3:3" x14ac:dyDescent="0.25">
      <c r="C3428" s="211"/>
    </row>
    <row r="3429" spans="3:3" x14ac:dyDescent="0.25">
      <c r="C3429" s="211"/>
    </row>
    <row r="3430" spans="3:3" x14ac:dyDescent="0.25">
      <c r="C3430" s="211"/>
    </row>
    <row r="3431" spans="3:3" x14ac:dyDescent="0.25">
      <c r="C3431" s="211"/>
    </row>
    <row r="3432" spans="3:3" x14ac:dyDescent="0.25">
      <c r="C3432" s="211"/>
    </row>
    <row r="3433" spans="3:3" x14ac:dyDescent="0.25">
      <c r="C3433" s="211"/>
    </row>
    <row r="3434" spans="3:3" x14ac:dyDescent="0.25">
      <c r="C3434" s="211"/>
    </row>
    <row r="3435" spans="3:3" x14ac:dyDescent="0.25">
      <c r="C3435" s="211"/>
    </row>
    <row r="3436" spans="3:3" x14ac:dyDescent="0.25">
      <c r="C3436" s="211"/>
    </row>
    <row r="3437" spans="3:3" x14ac:dyDescent="0.25">
      <c r="C3437" s="211"/>
    </row>
    <row r="3438" spans="3:3" x14ac:dyDescent="0.25">
      <c r="C3438" s="211"/>
    </row>
    <row r="3439" spans="3:3" x14ac:dyDescent="0.25">
      <c r="C3439" s="211"/>
    </row>
    <row r="3440" spans="3:3" x14ac:dyDescent="0.25">
      <c r="C3440" s="211"/>
    </row>
    <row r="3441" spans="3:3" x14ac:dyDescent="0.25">
      <c r="C3441" s="211"/>
    </row>
    <row r="3442" spans="3:3" x14ac:dyDescent="0.25">
      <c r="C3442" s="211"/>
    </row>
    <row r="3443" spans="3:3" x14ac:dyDescent="0.25">
      <c r="C3443" s="211"/>
    </row>
    <row r="3444" spans="3:3" x14ac:dyDescent="0.25">
      <c r="C3444" s="211"/>
    </row>
    <row r="3445" spans="3:3" x14ac:dyDescent="0.25">
      <c r="C3445" s="211"/>
    </row>
    <row r="3446" spans="3:3" x14ac:dyDescent="0.25">
      <c r="C3446" s="211"/>
    </row>
    <row r="3447" spans="3:3" x14ac:dyDescent="0.25">
      <c r="C3447" s="211"/>
    </row>
    <row r="3448" spans="3:3" x14ac:dyDescent="0.25">
      <c r="C3448" s="211"/>
    </row>
    <row r="3449" spans="3:3" x14ac:dyDescent="0.25">
      <c r="C3449" s="211"/>
    </row>
    <row r="3450" spans="3:3" x14ac:dyDescent="0.25">
      <c r="C3450" s="211"/>
    </row>
    <row r="3451" spans="3:3" x14ac:dyDescent="0.25">
      <c r="C3451" s="211"/>
    </row>
    <row r="3452" spans="3:3" x14ac:dyDescent="0.25">
      <c r="C3452" s="211"/>
    </row>
    <row r="3453" spans="3:3" x14ac:dyDescent="0.25">
      <c r="C3453" s="211"/>
    </row>
    <row r="3454" spans="3:3" x14ac:dyDescent="0.25">
      <c r="C3454" s="211"/>
    </row>
    <row r="3455" spans="3:3" x14ac:dyDescent="0.25">
      <c r="C3455" s="211"/>
    </row>
    <row r="3456" spans="3:3" x14ac:dyDescent="0.25">
      <c r="C3456" s="211"/>
    </row>
    <row r="3457" spans="3:3" x14ac:dyDescent="0.25">
      <c r="C3457" s="211"/>
    </row>
    <row r="3458" spans="3:3" x14ac:dyDescent="0.25">
      <c r="C3458" s="211"/>
    </row>
    <row r="3459" spans="3:3" x14ac:dyDescent="0.25">
      <c r="C3459" s="211"/>
    </row>
    <row r="3460" spans="3:3" x14ac:dyDescent="0.25">
      <c r="C3460" s="211"/>
    </row>
    <row r="3461" spans="3:3" x14ac:dyDescent="0.25">
      <c r="C3461" s="211"/>
    </row>
    <row r="3462" spans="3:3" x14ac:dyDescent="0.25">
      <c r="C3462" s="211"/>
    </row>
    <row r="3463" spans="3:3" x14ac:dyDescent="0.25">
      <c r="C3463" s="211"/>
    </row>
    <row r="3464" spans="3:3" x14ac:dyDescent="0.25">
      <c r="C3464" s="211"/>
    </row>
    <row r="3465" spans="3:3" x14ac:dyDescent="0.25">
      <c r="C3465" s="211"/>
    </row>
    <row r="3466" spans="3:3" x14ac:dyDescent="0.25">
      <c r="C3466" s="211"/>
    </row>
    <row r="3467" spans="3:3" x14ac:dyDescent="0.25">
      <c r="C3467" s="211"/>
    </row>
    <row r="3468" spans="3:3" x14ac:dyDescent="0.25">
      <c r="C3468" s="211"/>
    </row>
    <row r="3469" spans="3:3" x14ac:dyDescent="0.25">
      <c r="C3469" s="211"/>
    </row>
    <row r="3470" spans="3:3" x14ac:dyDescent="0.25">
      <c r="C3470" s="211"/>
    </row>
    <row r="3471" spans="3:3" x14ac:dyDescent="0.25">
      <c r="C3471" s="211"/>
    </row>
    <row r="3472" spans="3:3" x14ac:dyDescent="0.25">
      <c r="C3472" s="211"/>
    </row>
    <row r="3473" spans="3:3" x14ac:dyDescent="0.25">
      <c r="C3473" s="211"/>
    </row>
    <row r="3474" spans="3:3" x14ac:dyDescent="0.25">
      <c r="C3474" s="211"/>
    </row>
    <row r="3475" spans="3:3" x14ac:dyDescent="0.25">
      <c r="C3475" s="211"/>
    </row>
    <row r="3476" spans="3:3" x14ac:dyDescent="0.25">
      <c r="C3476" s="211"/>
    </row>
    <row r="3477" spans="3:3" x14ac:dyDescent="0.25">
      <c r="C3477" s="211"/>
    </row>
    <row r="3478" spans="3:3" x14ac:dyDescent="0.25">
      <c r="C3478" s="211"/>
    </row>
    <row r="3479" spans="3:3" x14ac:dyDescent="0.25">
      <c r="C3479" s="211"/>
    </row>
    <row r="3480" spans="3:3" x14ac:dyDescent="0.25">
      <c r="C3480" s="211"/>
    </row>
    <row r="3481" spans="3:3" x14ac:dyDescent="0.25">
      <c r="C3481" s="211"/>
    </row>
    <row r="3482" spans="3:3" x14ac:dyDescent="0.25">
      <c r="C3482" s="211"/>
    </row>
    <row r="3483" spans="3:3" x14ac:dyDescent="0.25">
      <c r="C3483" s="211"/>
    </row>
    <row r="3484" spans="3:3" x14ac:dyDescent="0.25">
      <c r="C3484" s="211"/>
    </row>
    <row r="3485" spans="3:3" x14ac:dyDescent="0.25">
      <c r="C3485" s="211"/>
    </row>
    <row r="3486" spans="3:3" x14ac:dyDescent="0.25">
      <c r="C3486" s="211"/>
    </row>
    <row r="3487" spans="3:3" x14ac:dyDescent="0.25">
      <c r="C3487" s="211"/>
    </row>
    <row r="3488" spans="3:3" x14ac:dyDescent="0.25">
      <c r="C3488" s="211"/>
    </row>
    <row r="3489" spans="3:3" x14ac:dyDescent="0.25">
      <c r="C3489" s="211"/>
    </row>
    <row r="3490" spans="3:3" x14ac:dyDescent="0.25">
      <c r="C3490" s="211"/>
    </row>
    <row r="3491" spans="3:3" x14ac:dyDescent="0.25">
      <c r="C3491" s="211"/>
    </row>
    <row r="3492" spans="3:3" x14ac:dyDescent="0.25">
      <c r="C3492" s="211"/>
    </row>
    <row r="3493" spans="3:3" x14ac:dyDescent="0.25">
      <c r="C3493" s="211"/>
    </row>
    <row r="3494" spans="3:3" x14ac:dyDescent="0.25">
      <c r="C3494" s="211"/>
    </row>
    <row r="3495" spans="3:3" x14ac:dyDescent="0.25">
      <c r="C3495" s="211"/>
    </row>
    <row r="3496" spans="3:3" x14ac:dyDescent="0.25">
      <c r="C3496" s="211"/>
    </row>
    <row r="3497" spans="3:3" x14ac:dyDescent="0.25">
      <c r="C3497" s="211"/>
    </row>
    <row r="3498" spans="3:3" x14ac:dyDescent="0.25">
      <c r="C3498" s="211"/>
    </row>
    <row r="3499" spans="3:3" x14ac:dyDescent="0.25">
      <c r="C3499" s="211"/>
    </row>
    <row r="3500" spans="3:3" x14ac:dyDescent="0.25">
      <c r="C3500" s="211"/>
    </row>
    <row r="3501" spans="3:3" x14ac:dyDescent="0.25">
      <c r="C3501" s="211"/>
    </row>
    <row r="3502" spans="3:3" x14ac:dyDescent="0.25">
      <c r="C3502" s="211"/>
    </row>
    <row r="3503" spans="3:3" x14ac:dyDescent="0.25">
      <c r="C3503" s="211"/>
    </row>
    <row r="3504" spans="3:3" x14ac:dyDescent="0.25">
      <c r="C3504" s="211"/>
    </row>
    <row r="3505" spans="3:3" x14ac:dyDescent="0.25">
      <c r="C3505" s="211"/>
    </row>
    <row r="3506" spans="3:3" x14ac:dyDescent="0.25">
      <c r="C3506" s="211"/>
    </row>
    <row r="3507" spans="3:3" x14ac:dyDescent="0.25">
      <c r="C3507" s="211"/>
    </row>
    <row r="3508" spans="3:3" x14ac:dyDescent="0.25">
      <c r="C3508" s="211"/>
    </row>
    <row r="3509" spans="3:3" x14ac:dyDescent="0.25">
      <c r="C3509" s="211"/>
    </row>
    <row r="3510" spans="3:3" x14ac:dyDescent="0.25">
      <c r="C3510" s="211"/>
    </row>
    <row r="3511" spans="3:3" x14ac:dyDescent="0.25">
      <c r="C3511" s="211"/>
    </row>
    <row r="3512" spans="3:3" x14ac:dyDescent="0.25">
      <c r="C3512" s="211"/>
    </row>
    <row r="3513" spans="3:3" x14ac:dyDescent="0.25">
      <c r="C3513" s="211"/>
    </row>
    <row r="3514" spans="3:3" x14ac:dyDescent="0.25">
      <c r="C3514" s="211"/>
    </row>
    <row r="3515" spans="3:3" x14ac:dyDescent="0.25">
      <c r="C3515" s="211"/>
    </row>
    <row r="3516" spans="3:3" x14ac:dyDescent="0.25">
      <c r="C3516" s="211"/>
    </row>
    <row r="3517" spans="3:3" x14ac:dyDescent="0.25">
      <c r="C3517" s="211"/>
    </row>
    <row r="3518" spans="3:3" x14ac:dyDescent="0.25">
      <c r="C3518" s="211"/>
    </row>
    <row r="3519" spans="3:3" x14ac:dyDescent="0.25">
      <c r="C3519" s="211"/>
    </row>
    <row r="3520" spans="3:3" x14ac:dyDescent="0.25">
      <c r="C3520" s="211"/>
    </row>
    <row r="3521" spans="3:3" x14ac:dyDescent="0.25">
      <c r="C3521" s="211"/>
    </row>
    <row r="3522" spans="3:3" x14ac:dyDescent="0.25">
      <c r="C3522" s="211"/>
    </row>
    <row r="3523" spans="3:3" x14ac:dyDescent="0.25">
      <c r="C3523" s="211"/>
    </row>
    <row r="3524" spans="3:3" x14ac:dyDescent="0.25">
      <c r="C3524" s="211"/>
    </row>
    <row r="3525" spans="3:3" x14ac:dyDescent="0.25">
      <c r="C3525" s="211"/>
    </row>
    <row r="3526" spans="3:3" x14ac:dyDescent="0.25">
      <c r="C3526" s="211"/>
    </row>
    <row r="3527" spans="3:3" x14ac:dyDescent="0.25">
      <c r="C3527" s="211"/>
    </row>
    <row r="3528" spans="3:3" x14ac:dyDescent="0.25">
      <c r="C3528" s="211"/>
    </row>
    <row r="3529" spans="3:3" x14ac:dyDescent="0.25">
      <c r="C3529" s="211"/>
    </row>
    <row r="3530" spans="3:3" x14ac:dyDescent="0.25">
      <c r="C3530" s="211"/>
    </row>
    <row r="3531" spans="3:3" x14ac:dyDescent="0.25">
      <c r="C3531" s="211"/>
    </row>
    <row r="3532" spans="3:3" x14ac:dyDescent="0.25">
      <c r="C3532" s="211"/>
    </row>
    <row r="3533" spans="3:3" x14ac:dyDescent="0.25">
      <c r="C3533" s="211"/>
    </row>
    <row r="3534" spans="3:3" x14ac:dyDescent="0.25">
      <c r="C3534" s="211"/>
    </row>
    <row r="3535" spans="3:3" x14ac:dyDescent="0.25">
      <c r="C3535" s="211"/>
    </row>
    <row r="3536" spans="3:3" x14ac:dyDescent="0.25">
      <c r="C3536" s="211"/>
    </row>
    <row r="3537" spans="3:3" x14ac:dyDescent="0.25">
      <c r="C3537" s="211"/>
    </row>
    <row r="3538" spans="3:3" x14ac:dyDescent="0.25">
      <c r="C3538" s="211"/>
    </row>
    <row r="3539" spans="3:3" x14ac:dyDescent="0.25">
      <c r="C3539" s="211"/>
    </row>
    <row r="3540" spans="3:3" x14ac:dyDescent="0.25">
      <c r="C3540" s="211"/>
    </row>
    <row r="3541" spans="3:3" x14ac:dyDescent="0.25">
      <c r="C3541" s="211"/>
    </row>
    <row r="3542" spans="3:3" x14ac:dyDescent="0.25">
      <c r="C3542" s="211"/>
    </row>
    <row r="3543" spans="3:3" x14ac:dyDescent="0.25">
      <c r="C3543" s="211"/>
    </row>
    <row r="3544" spans="3:3" x14ac:dyDescent="0.25">
      <c r="C3544" s="211"/>
    </row>
    <row r="3545" spans="3:3" x14ac:dyDescent="0.25">
      <c r="C3545" s="211"/>
    </row>
    <row r="3546" spans="3:3" x14ac:dyDescent="0.25">
      <c r="C3546" s="211"/>
    </row>
    <row r="3547" spans="3:3" x14ac:dyDescent="0.25">
      <c r="C3547" s="211"/>
    </row>
    <row r="3548" spans="3:3" x14ac:dyDescent="0.25">
      <c r="C3548" s="211"/>
    </row>
    <row r="3549" spans="3:3" x14ac:dyDescent="0.25">
      <c r="C3549" s="211"/>
    </row>
    <row r="3550" spans="3:3" x14ac:dyDescent="0.25">
      <c r="C3550" s="211"/>
    </row>
    <row r="3551" spans="3:3" x14ac:dyDescent="0.25">
      <c r="C3551" s="211"/>
    </row>
    <row r="3552" spans="3:3" x14ac:dyDescent="0.25">
      <c r="C3552" s="211"/>
    </row>
    <row r="3553" spans="3:3" x14ac:dyDescent="0.25">
      <c r="C3553" s="211"/>
    </row>
    <row r="3554" spans="3:3" x14ac:dyDescent="0.25">
      <c r="C3554" s="211"/>
    </row>
    <row r="3555" spans="3:3" x14ac:dyDescent="0.25">
      <c r="C3555" s="211"/>
    </row>
    <row r="3556" spans="3:3" x14ac:dyDescent="0.25">
      <c r="C3556" s="211"/>
    </row>
    <row r="3557" spans="3:3" x14ac:dyDescent="0.25">
      <c r="C3557" s="211"/>
    </row>
    <row r="3558" spans="3:3" x14ac:dyDescent="0.25">
      <c r="C3558" s="211"/>
    </row>
    <row r="3559" spans="3:3" x14ac:dyDescent="0.25">
      <c r="C3559" s="211"/>
    </row>
    <row r="3560" spans="3:3" x14ac:dyDescent="0.25">
      <c r="C3560" s="211"/>
    </row>
    <row r="3561" spans="3:3" x14ac:dyDescent="0.25">
      <c r="C3561" s="211"/>
    </row>
    <row r="3562" spans="3:3" x14ac:dyDescent="0.25">
      <c r="C3562" s="211"/>
    </row>
    <row r="3563" spans="3:3" x14ac:dyDescent="0.25">
      <c r="C3563" s="211"/>
    </row>
    <row r="3564" spans="3:3" x14ac:dyDescent="0.25">
      <c r="C3564" s="211"/>
    </row>
    <row r="3565" spans="3:3" x14ac:dyDescent="0.25">
      <c r="C3565" s="211"/>
    </row>
    <row r="3566" spans="3:3" x14ac:dyDescent="0.25">
      <c r="C3566" s="211"/>
    </row>
    <row r="3567" spans="3:3" x14ac:dyDescent="0.25">
      <c r="C3567" s="211"/>
    </row>
    <row r="3568" spans="3:3" x14ac:dyDescent="0.25">
      <c r="C3568" s="211"/>
    </row>
    <row r="3569" spans="3:3" x14ac:dyDescent="0.25">
      <c r="C3569" s="211"/>
    </row>
    <row r="3570" spans="3:3" x14ac:dyDescent="0.25">
      <c r="C3570" s="211"/>
    </row>
    <row r="3571" spans="3:3" x14ac:dyDescent="0.25">
      <c r="C3571" s="211"/>
    </row>
    <row r="3572" spans="3:3" x14ac:dyDescent="0.25">
      <c r="C3572" s="211"/>
    </row>
    <row r="3573" spans="3:3" x14ac:dyDescent="0.25">
      <c r="C3573" s="211"/>
    </row>
    <row r="3574" spans="3:3" x14ac:dyDescent="0.25">
      <c r="C3574" s="211"/>
    </row>
    <row r="3575" spans="3:3" x14ac:dyDescent="0.25">
      <c r="C3575" s="211"/>
    </row>
    <row r="3576" spans="3:3" x14ac:dyDescent="0.25">
      <c r="C3576" s="211"/>
    </row>
    <row r="3577" spans="3:3" x14ac:dyDescent="0.25">
      <c r="C3577" s="211"/>
    </row>
    <row r="3578" spans="3:3" x14ac:dyDescent="0.25">
      <c r="C3578" s="211"/>
    </row>
    <row r="3579" spans="3:3" x14ac:dyDescent="0.25">
      <c r="C3579" s="211"/>
    </row>
    <row r="3580" spans="3:3" x14ac:dyDescent="0.25">
      <c r="C3580" s="211"/>
    </row>
    <row r="3581" spans="3:3" x14ac:dyDescent="0.25">
      <c r="C3581" s="211"/>
    </row>
    <row r="3582" spans="3:3" x14ac:dyDescent="0.25">
      <c r="C3582" s="211"/>
    </row>
    <row r="3583" spans="3:3" x14ac:dyDescent="0.25">
      <c r="C3583" s="211"/>
    </row>
    <row r="3584" spans="3:3" x14ac:dyDescent="0.25">
      <c r="C3584" s="211"/>
    </row>
    <row r="3585" spans="3:3" x14ac:dyDescent="0.25">
      <c r="C3585" s="211"/>
    </row>
    <row r="3586" spans="3:3" x14ac:dyDescent="0.25">
      <c r="C3586" s="211"/>
    </row>
    <row r="3587" spans="3:3" x14ac:dyDescent="0.25">
      <c r="C3587" s="211"/>
    </row>
    <row r="3588" spans="3:3" x14ac:dyDescent="0.25">
      <c r="C3588" s="211"/>
    </row>
    <row r="3589" spans="3:3" x14ac:dyDescent="0.25">
      <c r="C3589" s="211"/>
    </row>
    <row r="3590" spans="3:3" x14ac:dyDescent="0.25">
      <c r="C3590" s="211"/>
    </row>
    <row r="3591" spans="3:3" x14ac:dyDescent="0.25">
      <c r="C3591" s="211"/>
    </row>
    <row r="3592" spans="3:3" x14ac:dyDescent="0.25">
      <c r="C3592" s="211"/>
    </row>
    <row r="3593" spans="3:3" x14ac:dyDescent="0.25">
      <c r="C3593" s="211"/>
    </row>
    <row r="3594" spans="3:3" x14ac:dyDescent="0.25">
      <c r="C3594" s="211"/>
    </row>
    <row r="3595" spans="3:3" x14ac:dyDescent="0.25">
      <c r="C3595" s="211"/>
    </row>
    <row r="3596" spans="3:3" x14ac:dyDescent="0.25">
      <c r="C3596" s="211"/>
    </row>
    <row r="3597" spans="3:3" x14ac:dyDescent="0.25">
      <c r="C3597" s="211"/>
    </row>
    <row r="3598" spans="3:3" x14ac:dyDescent="0.25">
      <c r="C3598" s="211"/>
    </row>
    <row r="3599" spans="3:3" x14ac:dyDescent="0.25">
      <c r="C3599" s="211"/>
    </row>
    <row r="3600" spans="3:3" x14ac:dyDescent="0.25">
      <c r="C3600" s="211"/>
    </row>
    <row r="3601" spans="3:3" x14ac:dyDescent="0.25">
      <c r="C3601" s="211"/>
    </row>
    <row r="3602" spans="3:3" x14ac:dyDescent="0.25">
      <c r="C3602" s="211"/>
    </row>
    <row r="3603" spans="3:3" x14ac:dyDescent="0.25">
      <c r="C3603" s="211"/>
    </row>
    <row r="3604" spans="3:3" x14ac:dyDescent="0.25">
      <c r="C3604" s="211"/>
    </row>
    <row r="3605" spans="3:3" x14ac:dyDescent="0.25">
      <c r="C3605" s="211"/>
    </row>
    <row r="3606" spans="3:3" x14ac:dyDescent="0.25">
      <c r="C3606" s="211"/>
    </row>
    <row r="3607" spans="3:3" x14ac:dyDescent="0.25">
      <c r="C3607" s="211"/>
    </row>
    <row r="3608" spans="3:3" x14ac:dyDescent="0.25">
      <c r="C3608" s="211"/>
    </row>
    <row r="3609" spans="3:3" x14ac:dyDescent="0.25">
      <c r="C3609" s="211"/>
    </row>
    <row r="3610" spans="3:3" x14ac:dyDescent="0.25">
      <c r="C3610" s="211"/>
    </row>
    <row r="3611" spans="3:3" x14ac:dyDescent="0.25">
      <c r="C3611" s="211"/>
    </row>
    <row r="3612" spans="3:3" x14ac:dyDescent="0.25">
      <c r="C3612" s="211"/>
    </row>
    <row r="3613" spans="3:3" x14ac:dyDescent="0.25">
      <c r="C3613" s="211"/>
    </row>
    <row r="3614" spans="3:3" x14ac:dyDescent="0.25">
      <c r="C3614" s="211"/>
    </row>
    <row r="3615" spans="3:3" x14ac:dyDescent="0.25">
      <c r="C3615" s="211"/>
    </row>
    <row r="3616" spans="3:3" x14ac:dyDescent="0.25">
      <c r="C3616" s="211"/>
    </row>
    <row r="3617" spans="3:3" x14ac:dyDescent="0.25">
      <c r="C3617" s="211"/>
    </row>
    <row r="3618" spans="3:3" x14ac:dyDescent="0.25">
      <c r="C3618" s="211"/>
    </row>
    <row r="3619" spans="3:3" x14ac:dyDescent="0.25">
      <c r="C3619" s="211"/>
    </row>
    <row r="3620" spans="3:3" x14ac:dyDescent="0.25">
      <c r="C3620" s="211"/>
    </row>
    <row r="3621" spans="3:3" x14ac:dyDescent="0.25">
      <c r="C3621" s="211"/>
    </row>
    <row r="3622" spans="3:3" x14ac:dyDescent="0.25">
      <c r="C3622" s="211"/>
    </row>
    <row r="3623" spans="3:3" x14ac:dyDescent="0.25">
      <c r="C3623" s="211"/>
    </row>
    <row r="3624" spans="3:3" x14ac:dyDescent="0.25">
      <c r="C3624" s="211"/>
    </row>
    <row r="3625" spans="3:3" x14ac:dyDescent="0.25">
      <c r="C3625" s="211"/>
    </row>
    <row r="3626" spans="3:3" x14ac:dyDescent="0.25">
      <c r="C3626" s="211"/>
    </row>
    <row r="3627" spans="3:3" x14ac:dyDescent="0.25">
      <c r="C3627" s="211"/>
    </row>
    <row r="3628" spans="3:3" x14ac:dyDescent="0.25">
      <c r="C3628" s="211"/>
    </row>
    <row r="3629" spans="3:3" x14ac:dyDescent="0.25">
      <c r="C3629" s="211"/>
    </row>
    <row r="3630" spans="3:3" x14ac:dyDescent="0.25">
      <c r="C3630" s="211"/>
    </row>
    <row r="3631" spans="3:3" x14ac:dyDescent="0.25">
      <c r="C3631" s="211"/>
    </row>
    <row r="3632" spans="3:3" x14ac:dyDescent="0.25">
      <c r="C3632" s="211"/>
    </row>
    <row r="3633" spans="3:3" x14ac:dyDescent="0.25">
      <c r="C3633" s="211"/>
    </row>
    <row r="3634" spans="3:3" x14ac:dyDescent="0.25">
      <c r="C3634" s="211"/>
    </row>
    <row r="3635" spans="3:3" x14ac:dyDescent="0.25">
      <c r="C3635" s="211"/>
    </row>
    <row r="3636" spans="3:3" x14ac:dyDescent="0.25">
      <c r="C3636" s="211"/>
    </row>
    <row r="3637" spans="3:3" x14ac:dyDescent="0.25">
      <c r="C3637" s="211"/>
    </row>
    <row r="3638" spans="3:3" x14ac:dyDescent="0.25">
      <c r="C3638" s="211"/>
    </row>
    <row r="3639" spans="3:3" x14ac:dyDescent="0.25">
      <c r="C3639" s="211"/>
    </row>
    <row r="3640" spans="3:3" x14ac:dyDescent="0.25">
      <c r="C3640" s="211"/>
    </row>
    <row r="3641" spans="3:3" x14ac:dyDescent="0.25">
      <c r="C3641" s="211"/>
    </row>
    <row r="3642" spans="3:3" x14ac:dyDescent="0.25">
      <c r="C3642" s="211"/>
    </row>
    <row r="3643" spans="3:3" x14ac:dyDescent="0.25">
      <c r="C3643" s="211"/>
    </row>
    <row r="3644" spans="3:3" x14ac:dyDescent="0.25">
      <c r="C3644" s="211"/>
    </row>
    <row r="3645" spans="3:3" x14ac:dyDescent="0.25">
      <c r="C3645" s="211"/>
    </row>
    <row r="3646" spans="3:3" x14ac:dyDescent="0.25">
      <c r="C3646" s="211"/>
    </row>
    <row r="3647" spans="3:3" x14ac:dyDescent="0.25">
      <c r="C3647" s="211"/>
    </row>
    <row r="3648" spans="3:3" x14ac:dyDescent="0.25">
      <c r="C3648" s="211"/>
    </row>
    <row r="3649" spans="3:3" x14ac:dyDescent="0.25">
      <c r="C3649" s="211"/>
    </row>
    <row r="3650" spans="3:3" x14ac:dyDescent="0.25">
      <c r="C3650" s="211"/>
    </row>
    <row r="3651" spans="3:3" x14ac:dyDescent="0.25">
      <c r="C3651" s="211"/>
    </row>
    <row r="3652" spans="3:3" x14ac:dyDescent="0.25">
      <c r="C3652" s="211"/>
    </row>
    <row r="3653" spans="3:3" x14ac:dyDescent="0.25">
      <c r="C3653" s="211"/>
    </row>
    <row r="3654" spans="3:3" x14ac:dyDescent="0.25">
      <c r="C3654" s="211"/>
    </row>
    <row r="3655" spans="3:3" x14ac:dyDescent="0.25">
      <c r="C3655" s="211"/>
    </row>
    <row r="3656" spans="3:3" x14ac:dyDescent="0.25">
      <c r="C3656" s="211"/>
    </row>
    <row r="3657" spans="3:3" x14ac:dyDescent="0.25">
      <c r="C3657" s="211"/>
    </row>
    <row r="3658" spans="3:3" x14ac:dyDescent="0.25">
      <c r="C3658" s="211"/>
    </row>
    <row r="3659" spans="3:3" x14ac:dyDescent="0.25">
      <c r="C3659" s="211"/>
    </row>
    <row r="3660" spans="3:3" x14ac:dyDescent="0.25">
      <c r="C3660" s="211"/>
    </row>
    <row r="3661" spans="3:3" x14ac:dyDescent="0.25">
      <c r="C3661" s="211"/>
    </row>
    <row r="3662" spans="3:3" x14ac:dyDescent="0.25">
      <c r="C3662" s="211"/>
    </row>
    <row r="3663" spans="3:3" x14ac:dyDescent="0.25">
      <c r="C3663" s="211"/>
    </row>
    <row r="3664" spans="3:3" x14ac:dyDescent="0.25">
      <c r="C3664" s="211"/>
    </row>
    <row r="3665" spans="3:3" x14ac:dyDescent="0.25">
      <c r="C3665" s="211"/>
    </row>
    <row r="3666" spans="3:3" x14ac:dyDescent="0.25">
      <c r="C3666" s="211"/>
    </row>
    <row r="3667" spans="3:3" x14ac:dyDescent="0.25">
      <c r="C3667" s="211"/>
    </row>
    <row r="3668" spans="3:3" x14ac:dyDescent="0.25">
      <c r="C3668" s="211"/>
    </row>
    <row r="3669" spans="3:3" x14ac:dyDescent="0.25">
      <c r="C3669" s="211"/>
    </row>
    <row r="3670" spans="3:3" x14ac:dyDescent="0.25">
      <c r="C3670" s="211"/>
    </row>
    <row r="3671" spans="3:3" x14ac:dyDescent="0.25">
      <c r="C3671" s="211"/>
    </row>
    <row r="3672" spans="3:3" x14ac:dyDescent="0.25">
      <c r="C3672" s="211"/>
    </row>
    <row r="3673" spans="3:3" x14ac:dyDescent="0.25">
      <c r="C3673" s="211"/>
    </row>
    <row r="3674" spans="3:3" x14ac:dyDescent="0.25">
      <c r="C3674" s="211"/>
    </row>
    <row r="3675" spans="3:3" x14ac:dyDescent="0.25">
      <c r="C3675" s="211"/>
    </row>
    <row r="3676" spans="3:3" x14ac:dyDescent="0.25">
      <c r="C3676" s="211"/>
    </row>
    <row r="3677" spans="3:3" x14ac:dyDescent="0.25">
      <c r="C3677" s="211"/>
    </row>
    <row r="3678" spans="3:3" x14ac:dyDescent="0.25">
      <c r="C3678" s="211"/>
    </row>
    <row r="3679" spans="3:3" x14ac:dyDescent="0.25">
      <c r="C3679" s="211"/>
    </row>
    <row r="3680" spans="3:3" x14ac:dyDescent="0.25">
      <c r="C3680" s="211"/>
    </row>
    <row r="3681" spans="3:3" x14ac:dyDescent="0.25">
      <c r="C3681" s="211"/>
    </row>
    <row r="3682" spans="3:3" x14ac:dyDescent="0.25">
      <c r="C3682" s="211"/>
    </row>
    <row r="3683" spans="3:3" x14ac:dyDescent="0.25">
      <c r="C3683" s="211"/>
    </row>
    <row r="3684" spans="3:3" x14ac:dyDescent="0.25">
      <c r="C3684" s="211"/>
    </row>
    <row r="3685" spans="3:3" x14ac:dyDescent="0.25">
      <c r="C3685" s="211"/>
    </row>
    <row r="3686" spans="3:3" x14ac:dyDescent="0.25">
      <c r="C3686" s="211"/>
    </row>
    <row r="3687" spans="3:3" x14ac:dyDescent="0.25">
      <c r="C3687" s="211"/>
    </row>
    <row r="3688" spans="3:3" x14ac:dyDescent="0.25">
      <c r="C3688" s="211"/>
    </row>
    <row r="3689" spans="3:3" x14ac:dyDescent="0.25">
      <c r="C3689" s="211"/>
    </row>
    <row r="3690" spans="3:3" x14ac:dyDescent="0.25">
      <c r="C3690" s="211"/>
    </row>
    <row r="3691" spans="3:3" x14ac:dyDescent="0.25">
      <c r="C3691" s="211"/>
    </row>
    <row r="3692" spans="3:3" x14ac:dyDescent="0.25">
      <c r="C3692" s="211"/>
    </row>
    <row r="3693" spans="3:3" x14ac:dyDescent="0.25">
      <c r="C3693" s="211"/>
    </row>
    <row r="3694" spans="3:3" x14ac:dyDescent="0.25">
      <c r="C3694" s="211"/>
    </row>
    <row r="3695" spans="3:3" x14ac:dyDescent="0.25">
      <c r="C3695" s="211"/>
    </row>
    <row r="3696" spans="3:3" x14ac:dyDescent="0.25">
      <c r="C3696" s="211"/>
    </row>
    <row r="3697" spans="3:3" x14ac:dyDescent="0.25">
      <c r="C3697" s="211"/>
    </row>
    <row r="3698" spans="3:3" x14ac:dyDescent="0.25">
      <c r="C3698" s="211"/>
    </row>
    <row r="3699" spans="3:3" x14ac:dyDescent="0.25">
      <c r="C3699" s="211"/>
    </row>
    <row r="3700" spans="3:3" x14ac:dyDescent="0.25">
      <c r="C3700" s="211"/>
    </row>
    <row r="3701" spans="3:3" x14ac:dyDescent="0.25">
      <c r="C3701" s="211"/>
    </row>
    <row r="3702" spans="3:3" x14ac:dyDescent="0.25">
      <c r="C3702" s="211"/>
    </row>
    <row r="3703" spans="3:3" x14ac:dyDescent="0.25">
      <c r="C3703" s="211"/>
    </row>
    <row r="3704" spans="3:3" x14ac:dyDescent="0.25">
      <c r="C3704" s="211"/>
    </row>
    <row r="3705" spans="3:3" x14ac:dyDescent="0.25">
      <c r="C3705" s="211"/>
    </row>
    <row r="3706" spans="3:3" x14ac:dyDescent="0.25">
      <c r="C3706" s="211"/>
    </row>
    <row r="3707" spans="3:3" x14ac:dyDescent="0.25">
      <c r="C3707" s="211"/>
    </row>
    <row r="3708" spans="3:3" x14ac:dyDescent="0.25">
      <c r="C3708" s="211"/>
    </row>
    <row r="3709" spans="3:3" x14ac:dyDescent="0.25">
      <c r="C3709" s="211"/>
    </row>
    <row r="3710" spans="3:3" x14ac:dyDescent="0.25">
      <c r="C3710" s="211"/>
    </row>
    <row r="3711" spans="3:3" x14ac:dyDescent="0.25">
      <c r="C3711" s="211"/>
    </row>
    <row r="3712" spans="3:3" x14ac:dyDescent="0.25">
      <c r="C3712" s="211"/>
    </row>
    <row r="3713" spans="3:3" x14ac:dyDescent="0.25">
      <c r="C3713" s="211"/>
    </row>
    <row r="3714" spans="3:3" x14ac:dyDescent="0.25">
      <c r="C3714" s="211"/>
    </row>
    <row r="3715" spans="3:3" x14ac:dyDescent="0.25">
      <c r="C3715" s="211"/>
    </row>
    <row r="3716" spans="3:3" x14ac:dyDescent="0.25">
      <c r="C3716" s="211"/>
    </row>
    <row r="3717" spans="3:3" x14ac:dyDescent="0.25">
      <c r="C3717" s="211"/>
    </row>
    <row r="3718" spans="3:3" x14ac:dyDescent="0.25">
      <c r="C3718" s="211"/>
    </row>
    <row r="3719" spans="3:3" x14ac:dyDescent="0.25">
      <c r="C3719" s="211"/>
    </row>
    <row r="3720" spans="3:3" x14ac:dyDescent="0.25">
      <c r="C3720" s="211"/>
    </row>
    <row r="3721" spans="3:3" x14ac:dyDescent="0.25">
      <c r="C3721" s="211"/>
    </row>
    <row r="3722" spans="3:3" x14ac:dyDescent="0.25">
      <c r="C3722" s="211"/>
    </row>
    <row r="3723" spans="3:3" x14ac:dyDescent="0.25">
      <c r="C3723" s="211"/>
    </row>
    <row r="3724" spans="3:3" x14ac:dyDescent="0.25">
      <c r="C3724" s="211"/>
    </row>
    <row r="3725" spans="3:3" x14ac:dyDescent="0.25">
      <c r="C3725" s="211"/>
    </row>
    <row r="3726" spans="3:3" x14ac:dyDescent="0.25">
      <c r="C3726" s="211"/>
    </row>
    <row r="3727" spans="3:3" x14ac:dyDescent="0.25">
      <c r="C3727" s="211"/>
    </row>
    <row r="3728" spans="3:3" x14ac:dyDescent="0.25">
      <c r="C3728" s="211"/>
    </row>
    <row r="3729" spans="3:3" x14ac:dyDescent="0.25">
      <c r="C3729" s="211"/>
    </row>
    <row r="3730" spans="3:3" x14ac:dyDescent="0.25">
      <c r="C3730" s="211"/>
    </row>
    <row r="3731" spans="3:3" x14ac:dyDescent="0.25">
      <c r="C3731" s="211"/>
    </row>
    <row r="3732" spans="3:3" x14ac:dyDescent="0.25">
      <c r="C3732" s="211"/>
    </row>
    <row r="3733" spans="3:3" x14ac:dyDescent="0.25">
      <c r="C3733" s="211"/>
    </row>
    <row r="3734" spans="3:3" x14ac:dyDescent="0.25">
      <c r="C3734" s="211"/>
    </row>
    <row r="3735" spans="3:3" x14ac:dyDescent="0.25">
      <c r="C3735" s="211"/>
    </row>
    <row r="3736" spans="3:3" x14ac:dyDescent="0.25">
      <c r="C3736" s="211"/>
    </row>
    <row r="3737" spans="3:3" x14ac:dyDescent="0.25">
      <c r="C3737" s="211"/>
    </row>
    <row r="3738" spans="3:3" x14ac:dyDescent="0.25">
      <c r="C3738" s="211"/>
    </row>
    <row r="3739" spans="3:3" x14ac:dyDescent="0.25">
      <c r="C3739" s="211"/>
    </row>
    <row r="3740" spans="3:3" x14ac:dyDescent="0.25">
      <c r="C3740" s="211"/>
    </row>
    <row r="3741" spans="3:3" x14ac:dyDescent="0.25">
      <c r="C3741" s="211"/>
    </row>
    <row r="3742" spans="3:3" x14ac:dyDescent="0.25">
      <c r="C3742" s="211"/>
    </row>
    <row r="3743" spans="3:3" x14ac:dyDescent="0.25">
      <c r="C3743" s="211"/>
    </row>
    <row r="3744" spans="3:3" x14ac:dyDescent="0.25">
      <c r="C3744" s="211"/>
    </row>
    <row r="3745" spans="3:3" x14ac:dyDescent="0.25">
      <c r="C3745" s="211"/>
    </row>
    <row r="3746" spans="3:3" x14ac:dyDescent="0.25">
      <c r="C3746" s="211"/>
    </row>
    <row r="3747" spans="3:3" x14ac:dyDescent="0.25">
      <c r="C3747" s="211"/>
    </row>
    <row r="3748" spans="3:3" x14ac:dyDescent="0.25">
      <c r="C3748" s="211"/>
    </row>
    <row r="3749" spans="3:3" x14ac:dyDescent="0.25">
      <c r="C3749" s="211"/>
    </row>
    <row r="3750" spans="3:3" x14ac:dyDescent="0.25">
      <c r="C3750" s="211"/>
    </row>
    <row r="3751" spans="3:3" x14ac:dyDescent="0.25">
      <c r="C3751" s="211"/>
    </row>
    <row r="3752" spans="3:3" x14ac:dyDescent="0.25">
      <c r="C3752" s="211"/>
    </row>
    <row r="3753" spans="3:3" x14ac:dyDescent="0.25">
      <c r="C3753" s="211"/>
    </row>
    <row r="3754" spans="3:3" x14ac:dyDescent="0.25">
      <c r="C3754" s="211"/>
    </row>
    <row r="3755" spans="3:3" x14ac:dyDescent="0.25">
      <c r="C3755" s="211"/>
    </row>
    <row r="3756" spans="3:3" x14ac:dyDescent="0.25">
      <c r="C3756" s="211"/>
    </row>
    <row r="3757" spans="3:3" x14ac:dyDescent="0.25">
      <c r="C3757" s="211"/>
    </row>
    <row r="3758" spans="3:3" x14ac:dyDescent="0.25">
      <c r="C3758" s="211"/>
    </row>
    <row r="3759" spans="3:3" x14ac:dyDescent="0.25">
      <c r="C3759" s="211"/>
    </row>
    <row r="3760" spans="3:3" x14ac:dyDescent="0.25">
      <c r="C3760" s="211"/>
    </row>
    <row r="3761" spans="3:3" x14ac:dyDescent="0.25">
      <c r="C3761" s="211"/>
    </row>
    <row r="3762" spans="3:3" x14ac:dyDescent="0.25">
      <c r="C3762" s="211"/>
    </row>
    <row r="3763" spans="3:3" x14ac:dyDescent="0.25">
      <c r="C3763" s="211"/>
    </row>
    <row r="3764" spans="3:3" x14ac:dyDescent="0.25">
      <c r="C3764" s="211"/>
    </row>
    <row r="3765" spans="3:3" x14ac:dyDescent="0.25">
      <c r="C3765" s="211"/>
    </row>
    <row r="3766" spans="3:3" x14ac:dyDescent="0.25">
      <c r="C3766" s="211"/>
    </row>
    <row r="3767" spans="3:3" x14ac:dyDescent="0.25">
      <c r="C3767" s="211"/>
    </row>
    <row r="3768" spans="3:3" x14ac:dyDescent="0.25">
      <c r="C3768" s="211"/>
    </row>
    <row r="3769" spans="3:3" x14ac:dyDescent="0.25">
      <c r="C3769" s="211"/>
    </row>
    <row r="3770" spans="3:3" x14ac:dyDescent="0.25">
      <c r="C3770" s="211"/>
    </row>
    <row r="3771" spans="3:3" x14ac:dyDescent="0.25">
      <c r="C3771" s="211"/>
    </row>
    <row r="3772" spans="3:3" x14ac:dyDescent="0.25">
      <c r="C3772" s="211"/>
    </row>
    <row r="3773" spans="3:3" x14ac:dyDescent="0.25">
      <c r="C3773" s="211"/>
    </row>
    <row r="3774" spans="3:3" x14ac:dyDescent="0.25">
      <c r="C3774" s="211"/>
    </row>
    <row r="3775" spans="3:3" x14ac:dyDescent="0.25">
      <c r="C3775" s="211"/>
    </row>
    <row r="3776" spans="3:3" x14ac:dyDescent="0.25">
      <c r="C3776" s="211"/>
    </row>
    <row r="3777" spans="3:3" x14ac:dyDescent="0.25">
      <c r="C3777" s="211"/>
    </row>
    <row r="3778" spans="3:3" x14ac:dyDescent="0.25">
      <c r="C3778" s="211"/>
    </row>
    <row r="3779" spans="3:3" x14ac:dyDescent="0.25">
      <c r="C3779" s="211"/>
    </row>
    <row r="3780" spans="3:3" x14ac:dyDescent="0.25">
      <c r="C3780" s="211"/>
    </row>
    <row r="3781" spans="3:3" x14ac:dyDescent="0.25">
      <c r="C3781" s="211"/>
    </row>
    <row r="3782" spans="3:3" x14ac:dyDescent="0.25">
      <c r="C3782" s="211"/>
    </row>
    <row r="3783" spans="3:3" x14ac:dyDescent="0.25">
      <c r="C3783" s="211"/>
    </row>
    <row r="3784" spans="3:3" x14ac:dyDescent="0.25">
      <c r="C3784" s="211"/>
    </row>
    <row r="3785" spans="3:3" x14ac:dyDescent="0.25">
      <c r="C3785" s="211"/>
    </row>
    <row r="3786" spans="3:3" x14ac:dyDescent="0.25">
      <c r="C3786" s="211"/>
    </row>
    <row r="3787" spans="3:3" x14ac:dyDescent="0.25">
      <c r="C3787" s="211"/>
    </row>
    <row r="3788" spans="3:3" x14ac:dyDescent="0.25">
      <c r="C3788" s="211"/>
    </row>
    <row r="3789" spans="3:3" x14ac:dyDescent="0.25">
      <c r="C3789" s="211"/>
    </row>
    <row r="3790" spans="3:3" x14ac:dyDescent="0.25">
      <c r="C3790" s="211"/>
    </row>
    <row r="3791" spans="3:3" x14ac:dyDescent="0.25">
      <c r="C3791" s="211"/>
    </row>
    <row r="3792" spans="3:3" x14ac:dyDescent="0.25">
      <c r="C3792" s="211"/>
    </row>
    <row r="3793" spans="3:3" x14ac:dyDescent="0.25">
      <c r="C3793" s="211"/>
    </row>
    <row r="3794" spans="3:3" x14ac:dyDescent="0.25">
      <c r="C3794" s="211"/>
    </row>
    <row r="3795" spans="3:3" x14ac:dyDescent="0.25">
      <c r="C3795" s="211"/>
    </row>
    <row r="3796" spans="3:3" x14ac:dyDescent="0.25">
      <c r="C3796" s="211"/>
    </row>
    <row r="3797" spans="3:3" x14ac:dyDescent="0.25">
      <c r="C3797" s="211"/>
    </row>
    <row r="3798" spans="3:3" x14ac:dyDescent="0.25">
      <c r="C3798" s="211"/>
    </row>
    <row r="3799" spans="3:3" x14ac:dyDescent="0.25">
      <c r="C3799" s="211"/>
    </row>
    <row r="3800" spans="3:3" x14ac:dyDescent="0.25">
      <c r="C3800" s="211"/>
    </row>
    <row r="3801" spans="3:3" x14ac:dyDescent="0.25">
      <c r="C3801" s="211"/>
    </row>
    <row r="3802" spans="3:3" x14ac:dyDescent="0.25">
      <c r="C3802" s="211"/>
    </row>
    <row r="3803" spans="3:3" x14ac:dyDescent="0.25">
      <c r="C3803" s="211"/>
    </row>
    <row r="3804" spans="3:3" x14ac:dyDescent="0.25">
      <c r="C3804" s="211"/>
    </row>
    <row r="3805" spans="3:3" x14ac:dyDescent="0.25">
      <c r="C3805" s="211"/>
    </row>
    <row r="3806" spans="3:3" x14ac:dyDescent="0.25">
      <c r="C3806" s="211"/>
    </row>
    <row r="3807" spans="3:3" x14ac:dyDescent="0.25">
      <c r="C3807" s="211"/>
    </row>
    <row r="3808" spans="3:3" x14ac:dyDescent="0.25">
      <c r="C3808" s="211"/>
    </row>
    <row r="3809" spans="3:3" x14ac:dyDescent="0.25">
      <c r="C3809" s="211"/>
    </row>
    <row r="3810" spans="3:3" x14ac:dyDescent="0.25">
      <c r="C3810" s="211"/>
    </row>
    <row r="3811" spans="3:3" x14ac:dyDescent="0.25">
      <c r="C3811" s="211"/>
    </row>
    <row r="3812" spans="3:3" x14ac:dyDescent="0.25">
      <c r="C3812" s="211"/>
    </row>
    <row r="3813" spans="3:3" x14ac:dyDescent="0.25">
      <c r="C3813" s="211"/>
    </row>
    <row r="3814" spans="3:3" x14ac:dyDescent="0.25">
      <c r="C3814" s="211"/>
    </row>
    <row r="3815" spans="3:3" x14ac:dyDescent="0.25">
      <c r="C3815" s="211"/>
    </row>
    <row r="3816" spans="3:3" x14ac:dyDescent="0.25">
      <c r="C3816" s="211"/>
    </row>
    <row r="3817" spans="3:3" x14ac:dyDescent="0.25">
      <c r="C3817" s="211"/>
    </row>
    <row r="3818" spans="3:3" x14ac:dyDescent="0.25">
      <c r="C3818" s="211"/>
    </row>
    <row r="3819" spans="3:3" x14ac:dyDescent="0.25">
      <c r="C3819" s="211"/>
    </row>
    <row r="3820" spans="3:3" x14ac:dyDescent="0.25">
      <c r="C3820" s="211"/>
    </row>
    <row r="3821" spans="3:3" x14ac:dyDescent="0.25">
      <c r="C3821" s="211"/>
    </row>
    <row r="3822" spans="3:3" x14ac:dyDescent="0.25">
      <c r="C3822" s="211"/>
    </row>
    <row r="3823" spans="3:3" x14ac:dyDescent="0.25">
      <c r="C3823" s="211"/>
    </row>
    <row r="3824" spans="3:3" x14ac:dyDescent="0.25">
      <c r="C3824" s="211"/>
    </row>
    <row r="3825" spans="3:3" x14ac:dyDescent="0.25">
      <c r="C3825" s="211"/>
    </row>
    <row r="3826" spans="3:3" x14ac:dyDescent="0.25">
      <c r="C3826" s="211"/>
    </row>
    <row r="3827" spans="3:3" x14ac:dyDescent="0.25">
      <c r="C3827" s="211"/>
    </row>
    <row r="3828" spans="3:3" x14ac:dyDescent="0.25">
      <c r="C3828" s="211"/>
    </row>
    <row r="3829" spans="3:3" x14ac:dyDescent="0.25">
      <c r="C3829" s="211"/>
    </row>
    <row r="3830" spans="3:3" x14ac:dyDescent="0.25">
      <c r="C3830" s="211"/>
    </row>
    <row r="3831" spans="3:3" x14ac:dyDescent="0.25">
      <c r="C3831" s="211"/>
    </row>
    <row r="3832" spans="3:3" x14ac:dyDescent="0.25">
      <c r="C3832" s="211"/>
    </row>
    <row r="3833" spans="3:3" x14ac:dyDescent="0.25">
      <c r="C3833" s="211"/>
    </row>
    <row r="3834" spans="3:3" x14ac:dyDescent="0.25">
      <c r="C3834" s="211"/>
    </row>
    <row r="3835" spans="3:3" x14ac:dyDescent="0.25">
      <c r="C3835" s="211"/>
    </row>
    <row r="3836" spans="3:3" x14ac:dyDescent="0.25">
      <c r="C3836" s="211"/>
    </row>
    <row r="3837" spans="3:3" x14ac:dyDescent="0.25">
      <c r="C3837" s="211"/>
    </row>
    <row r="3838" spans="3:3" x14ac:dyDescent="0.25">
      <c r="C3838" s="211"/>
    </row>
    <row r="3839" spans="3:3" x14ac:dyDescent="0.25">
      <c r="C3839" s="211"/>
    </row>
    <row r="3840" spans="3:3" x14ac:dyDescent="0.25">
      <c r="C3840" s="211"/>
    </row>
    <row r="3841" spans="3:3" x14ac:dyDescent="0.25">
      <c r="C3841" s="211"/>
    </row>
    <row r="3842" spans="3:3" x14ac:dyDescent="0.25">
      <c r="C3842" s="211"/>
    </row>
    <row r="3843" spans="3:3" x14ac:dyDescent="0.25">
      <c r="C3843" s="211"/>
    </row>
    <row r="3844" spans="3:3" x14ac:dyDescent="0.25">
      <c r="C3844" s="211"/>
    </row>
    <row r="3845" spans="3:3" x14ac:dyDescent="0.25">
      <c r="C3845" s="211"/>
    </row>
    <row r="3846" spans="3:3" x14ac:dyDescent="0.25">
      <c r="C3846" s="211"/>
    </row>
    <row r="3847" spans="3:3" x14ac:dyDescent="0.25">
      <c r="C3847" s="211"/>
    </row>
    <row r="3848" spans="3:3" x14ac:dyDescent="0.25">
      <c r="C3848" s="211"/>
    </row>
    <row r="3849" spans="3:3" x14ac:dyDescent="0.25">
      <c r="C3849" s="211"/>
    </row>
    <row r="3850" spans="3:3" x14ac:dyDescent="0.25">
      <c r="C3850" s="211"/>
    </row>
    <row r="3851" spans="3:3" x14ac:dyDescent="0.25">
      <c r="C3851" s="211"/>
    </row>
    <row r="3852" spans="3:3" x14ac:dyDescent="0.25">
      <c r="C3852" s="211"/>
    </row>
    <row r="3853" spans="3:3" x14ac:dyDescent="0.25">
      <c r="C3853" s="211"/>
    </row>
    <row r="3854" spans="3:3" x14ac:dyDescent="0.25">
      <c r="C3854" s="211"/>
    </row>
    <row r="3855" spans="3:3" x14ac:dyDescent="0.25">
      <c r="C3855" s="211"/>
    </row>
    <row r="3856" spans="3:3" x14ac:dyDescent="0.25">
      <c r="C3856" s="211"/>
    </row>
    <row r="3857" spans="3:3" x14ac:dyDescent="0.25">
      <c r="C3857" s="211"/>
    </row>
    <row r="3858" spans="3:3" x14ac:dyDescent="0.25">
      <c r="C3858" s="211"/>
    </row>
    <row r="3859" spans="3:3" x14ac:dyDescent="0.25">
      <c r="C3859" s="211"/>
    </row>
    <row r="3860" spans="3:3" x14ac:dyDescent="0.25">
      <c r="C3860" s="211"/>
    </row>
    <row r="3861" spans="3:3" x14ac:dyDescent="0.25">
      <c r="C3861" s="211"/>
    </row>
    <row r="3862" spans="3:3" x14ac:dyDescent="0.25">
      <c r="C3862" s="211"/>
    </row>
    <row r="3863" spans="3:3" x14ac:dyDescent="0.25">
      <c r="C3863" s="211"/>
    </row>
    <row r="3864" spans="3:3" x14ac:dyDescent="0.25">
      <c r="C3864" s="211"/>
    </row>
    <row r="3865" spans="3:3" x14ac:dyDescent="0.25">
      <c r="C3865" s="211"/>
    </row>
    <row r="3866" spans="3:3" x14ac:dyDescent="0.25">
      <c r="C3866" s="211"/>
    </row>
    <row r="3867" spans="3:3" x14ac:dyDescent="0.25">
      <c r="C3867" s="211"/>
    </row>
    <row r="3868" spans="3:3" x14ac:dyDescent="0.25">
      <c r="C3868" s="211"/>
    </row>
    <row r="3869" spans="3:3" x14ac:dyDescent="0.25">
      <c r="C3869" s="211"/>
    </row>
    <row r="3870" spans="3:3" x14ac:dyDescent="0.25">
      <c r="C3870" s="211"/>
    </row>
    <row r="3871" spans="3:3" x14ac:dyDescent="0.25">
      <c r="C3871" s="211"/>
    </row>
    <row r="3872" spans="3:3" x14ac:dyDescent="0.25">
      <c r="C3872" s="211"/>
    </row>
    <row r="3873" spans="3:3" x14ac:dyDescent="0.25">
      <c r="C3873" s="211"/>
    </row>
    <row r="3874" spans="3:3" x14ac:dyDescent="0.25">
      <c r="C3874" s="211"/>
    </row>
    <row r="3875" spans="3:3" x14ac:dyDescent="0.25">
      <c r="C3875" s="211"/>
    </row>
    <row r="3876" spans="3:3" x14ac:dyDescent="0.25">
      <c r="C3876" s="211"/>
    </row>
    <row r="3877" spans="3:3" x14ac:dyDescent="0.25">
      <c r="C3877" s="211"/>
    </row>
    <row r="3878" spans="3:3" x14ac:dyDescent="0.25">
      <c r="C3878" s="211"/>
    </row>
    <row r="3879" spans="3:3" x14ac:dyDescent="0.25">
      <c r="C3879" s="211"/>
    </row>
    <row r="3880" spans="3:3" x14ac:dyDescent="0.25">
      <c r="C3880" s="211"/>
    </row>
    <row r="3881" spans="3:3" x14ac:dyDescent="0.25">
      <c r="C3881" s="211"/>
    </row>
    <row r="3882" spans="3:3" x14ac:dyDescent="0.25">
      <c r="C3882" s="211"/>
    </row>
    <row r="3883" spans="3:3" x14ac:dyDescent="0.25">
      <c r="C3883" s="211"/>
    </row>
    <row r="3884" spans="3:3" x14ac:dyDescent="0.25">
      <c r="C3884" s="211"/>
    </row>
    <row r="3885" spans="3:3" x14ac:dyDescent="0.25">
      <c r="C3885" s="211"/>
    </row>
    <row r="3886" spans="3:3" x14ac:dyDescent="0.25">
      <c r="C3886" s="211"/>
    </row>
    <row r="3887" spans="3:3" x14ac:dyDescent="0.25">
      <c r="C3887" s="211"/>
    </row>
    <row r="3888" spans="3:3" x14ac:dyDescent="0.25">
      <c r="C3888" s="211"/>
    </row>
    <row r="3889" spans="3:3" x14ac:dyDescent="0.25">
      <c r="C3889" s="211"/>
    </row>
    <row r="3890" spans="3:3" x14ac:dyDescent="0.25">
      <c r="C3890" s="211"/>
    </row>
    <row r="3891" spans="3:3" x14ac:dyDescent="0.25">
      <c r="C3891" s="211"/>
    </row>
    <row r="3892" spans="3:3" x14ac:dyDescent="0.25">
      <c r="C3892" s="211"/>
    </row>
    <row r="3893" spans="3:3" x14ac:dyDescent="0.25">
      <c r="C3893" s="211"/>
    </row>
    <row r="3894" spans="3:3" x14ac:dyDescent="0.25">
      <c r="C3894" s="211"/>
    </row>
    <row r="3895" spans="3:3" x14ac:dyDescent="0.25">
      <c r="C3895" s="211"/>
    </row>
    <row r="3896" spans="3:3" x14ac:dyDescent="0.25">
      <c r="C3896" s="211"/>
    </row>
    <row r="3897" spans="3:3" x14ac:dyDescent="0.25">
      <c r="C3897" s="211"/>
    </row>
    <row r="3898" spans="3:3" x14ac:dyDescent="0.25">
      <c r="C3898" s="211"/>
    </row>
    <row r="3899" spans="3:3" x14ac:dyDescent="0.25">
      <c r="C3899" s="211"/>
    </row>
    <row r="3900" spans="3:3" x14ac:dyDescent="0.25">
      <c r="C3900" s="211"/>
    </row>
    <row r="3901" spans="3:3" x14ac:dyDescent="0.25">
      <c r="C3901" s="211"/>
    </row>
    <row r="3902" spans="3:3" x14ac:dyDescent="0.25">
      <c r="C3902" s="211"/>
    </row>
    <row r="3903" spans="3:3" x14ac:dyDescent="0.25">
      <c r="C3903" s="211"/>
    </row>
    <row r="3904" spans="3:3" x14ac:dyDescent="0.25">
      <c r="C3904" s="211"/>
    </row>
    <row r="3905" spans="3:3" x14ac:dyDescent="0.25">
      <c r="C3905" s="211"/>
    </row>
    <row r="3906" spans="3:3" x14ac:dyDescent="0.25">
      <c r="C3906" s="211"/>
    </row>
    <row r="3907" spans="3:3" x14ac:dyDescent="0.25">
      <c r="C3907" s="211"/>
    </row>
    <row r="3908" spans="3:3" x14ac:dyDescent="0.25">
      <c r="C3908" s="211"/>
    </row>
    <row r="3909" spans="3:3" x14ac:dyDescent="0.25">
      <c r="C3909" s="211"/>
    </row>
    <row r="3910" spans="3:3" x14ac:dyDescent="0.25">
      <c r="C3910" s="211"/>
    </row>
    <row r="3911" spans="3:3" x14ac:dyDescent="0.25">
      <c r="C3911" s="211"/>
    </row>
    <row r="3912" spans="3:3" x14ac:dyDescent="0.25">
      <c r="C3912" s="211"/>
    </row>
    <row r="3913" spans="3:3" x14ac:dyDescent="0.25">
      <c r="C3913" s="211"/>
    </row>
    <row r="3914" spans="3:3" x14ac:dyDescent="0.25">
      <c r="C3914" s="211"/>
    </row>
    <row r="3915" spans="3:3" x14ac:dyDescent="0.25">
      <c r="C3915" s="211"/>
    </row>
    <row r="3916" spans="3:3" x14ac:dyDescent="0.25">
      <c r="C3916" s="211"/>
    </row>
    <row r="3917" spans="3:3" x14ac:dyDescent="0.25">
      <c r="C3917" s="211"/>
    </row>
    <row r="3918" spans="3:3" x14ac:dyDescent="0.25">
      <c r="C3918" s="211"/>
    </row>
    <row r="3919" spans="3:3" x14ac:dyDescent="0.25">
      <c r="C3919" s="211"/>
    </row>
    <row r="3920" spans="3:3" x14ac:dyDescent="0.25">
      <c r="C3920" s="211"/>
    </row>
    <row r="3921" spans="3:3" x14ac:dyDescent="0.25">
      <c r="C3921" s="211"/>
    </row>
    <row r="3922" spans="3:3" x14ac:dyDescent="0.25">
      <c r="C3922" s="211"/>
    </row>
    <row r="3923" spans="3:3" x14ac:dyDescent="0.25">
      <c r="C3923" s="211"/>
    </row>
    <row r="3924" spans="3:3" x14ac:dyDescent="0.25">
      <c r="C3924" s="211"/>
    </row>
    <row r="3925" spans="3:3" x14ac:dyDescent="0.25">
      <c r="C3925" s="211"/>
    </row>
    <row r="3926" spans="3:3" x14ac:dyDescent="0.25">
      <c r="C3926" s="211"/>
    </row>
    <row r="3927" spans="3:3" x14ac:dyDescent="0.25">
      <c r="C3927" s="211"/>
    </row>
    <row r="3928" spans="3:3" x14ac:dyDescent="0.25">
      <c r="C3928" s="211"/>
    </row>
    <row r="3929" spans="3:3" x14ac:dyDescent="0.25">
      <c r="C3929" s="211"/>
    </row>
    <row r="3930" spans="3:3" x14ac:dyDescent="0.25">
      <c r="C3930" s="211"/>
    </row>
    <row r="3931" spans="3:3" x14ac:dyDescent="0.25">
      <c r="C3931" s="211"/>
    </row>
    <row r="3932" spans="3:3" x14ac:dyDescent="0.25">
      <c r="C3932" s="211"/>
    </row>
    <row r="3933" spans="3:3" x14ac:dyDescent="0.25">
      <c r="C3933" s="211"/>
    </row>
    <row r="3934" spans="3:3" x14ac:dyDescent="0.25">
      <c r="C3934" s="211"/>
    </row>
    <row r="3935" spans="3:3" x14ac:dyDescent="0.25">
      <c r="C3935" s="211"/>
    </row>
    <row r="3936" spans="3:3" x14ac:dyDescent="0.25">
      <c r="C3936" s="211"/>
    </row>
    <row r="3937" spans="3:3" x14ac:dyDescent="0.25">
      <c r="C3937" s="211"/>
    </row>
    <row r="3938" spans="3:3" x14ac:dyDescent="0.25">
      <c r="C3938" s="211"/>
    </row>
    <row r="3939" spans="3:3" x14ac:dyDescent="0.25">
      <c r="C3939" s="211"/>
    </row>
    <row r="3940" spans="3:3" x14ac:dyDescent="0.25">
      <c r="C3940" s="211"/>
    </row>
    <row r="3941" spans="3:3" x14ac:dyDescent="0.25">
      <c r="C3941" s="211"/>
    </row>
    <row r="3942" spans="3:3" x14ac:dyDescent="0.25">
      <c r="C3942" s="211"/>
    </row>
    <row r="3943" spans="3:3" x14ac:dyDescent="0.25">
      <c r="C3943" s="211"/>
    </row>
    <row r="3944" spans="3:3" x14ac:dyDescent="0.25">
      <c r="C3944" s="211"/>
    </row>
    <row r="3945" spans="3:3" x14ac:dyDescent="0.25">
      <c r="C3945" s="211"/>
    </row>
    <row r="3946" spans="3:3" x14ac:dyDescent="0.25">
      <c r="C3946" s="211"/>
    </row>
    <row r="3947" spans="3:3" x14ac:dyDescent="0.25">
      <c r="C3947" s="211"/>
    </row>
    <row r="3948" spans="3:3" x14ac:dyDescent="0.25">
      <c r="C3948" s="211"/>
    </row>
    <row r="3949" spans="3:3" x14ac:dyDescent="0.25">
      <c r="C3949" s="211"/>
    </row>
    <row r="3950" spans="3:3" x14ac:dyDescent="0.25">
      <c r="C3950" s="211"/>
    </row>
    <row r="3951" spans="3:3" x14ac:dyDescent="0.25">
      <c r="C3951" s="211"/>
    </row>
    <row r="3952" spans="3:3" x14ac:dyDescent="0.25">
      <c r="C3952" s="211"/>
    </row>
    <row r="3953" spans="3:3" x14ac:dyDescent="0.25">
      <c r="C3953" s="211"/>
    </row>
    <row r="3954" spans="3:3" x14ac:dyDescent="0.25">
      <c r="C3954" s="211"/>
    </row>
    <row r="3955" spans="3:3" x14ac:dyDescent="0.25">
      <c r="C3955" s="211"/>
    </row>
    <row r="3956" spans="3:3" x14ac:dyDescent="0.25">
      <c r="C3956" s="211"/>
    </row>
    <row r="3957" spans="3:3" x14ac:dyDescent="0.25">
      <c r="C3957" s="211"/>
    </row>
    <row r="3958" spans="3:3" x14ac:dyDescent="0.25">
      <c r="C3958" s="211"/>
    </row>
    <row r="3959" spans="3:3" x14ac:dyDescent="0.25">
      <c r="C3959" s="211"/>
    </row>
    <row r="3960" spans="3:3" x14ac:dyDescent="0.25">
      <c r="C3960" s="211"/>
    </row>
    <row r="3961" spans="3:3" x14ac:dyDescent="0.25">
      <c r="C3961" s="211"/>
    </row>
    <row r="3962" spans="3:3" x14ac:dyDescent="0.25">
      <c r="C3962" s="211"/>
    </row>
    <row r="3963" spans="3:3" x14ac:dyDescent="0.25">
      <c r="C3963" s="211"/>
    </row>
    <row r="3964" spans="3:3" x14ac:dyDescent="0.25">
      <c r="C3964" s="211"/>
    </row>
    <row r="3965" spans="3:3" x14ac:dyDescent="0.25">
      <c r="C3965" s="211"/>
    </row>
    <row r="3966" spans="3:3" x14ac:dyDescent="0.25">
      <c r="C3966" s="211"/>
    </row>
    <row r="3967" spans="3:3" x14ac:dyDescent="0.25">
      <c r="C3967" s="211"/>
    </row>
    <row r="3968" spans="3:3" x14ac:dyDescent="0.25">
      <c r="C3968" s="211"/>
    </row>
    <row r="3969" spans="3:3" x14ac:dyDescent="0.25">
      <c r="C3969" s="211"/>
    </row>
    <row r="3970" spans="3:3" x14ac:dyDescent="0.25">
      <c r="C3970" s="211"/>
    </row>
    <row r="3971" spans="3:3" x14ac:dyDescent="0.25">
      <c r="C3971" s="211"/>
    </row>
    <row r="3972" spans="3:3" x14ac:dyDescent="0.25">
      <c r="C3972" s="211"/>
    </row>
    <row r="3973" spans="3:3" x14ac:dyDescent="0.25">
      <c r="C3973" s="211"/>
    </row>
    <row r="3974" spans="3:3" x14ac:dyDescent="0.25">
      <c r="C3974" s="211"/>
    </row>
    <row r="3975" spans="3:3" x14ac:dyDescent="0.25">
      <c r="C3975" s="211"/>
    </row>
    <row r="3976" spans="3:3" x14ac:dyDescent="0.25">
      <c r="C3976" s="211"/>
    </row>
    <row r="3977" spans="3:3" x14ac:dyDescent="0.25">
      <c r="C3977" s="211"/>
    </row>
    <row r="3978" spans="3:3" x14ac:dyDescent="0.25">
      <c r="C3978" s="211"/>
    </row>
    <row r="3979" spans="3:3" x14ac:dyDescent="0.25">
      <c r="C3979" s="211"/>
    </row>
    <row r="3980" spans="3:3" x14ac:dyDescent="0.25">
      <c r="C3980" s="211"/>
    </row>
    <row r="3981" spans="3:3" x14ac:dyDescent="0.25">
      <c r="C3981" s="211"/>
    </row>
    <row r="3982" spans="3:3" x14ac:dyDescent="0.25">
      <c r="C3982" s="211"/>
    </row>
    <row r="3983" spans="3:3" x14ac:dyDescent="0.25">
      <c r="C3983" s="211"/>
    </row>
    <row r="3984" spans="3:3" x14ac:dyDescent="0.25">
      <c r="C3984" s="211"/>
    </row>
    <row r="3985" spans="3:3" x14ac:dyDescent="0.25">
      <c r="C3985" s="211"/>
    </row>
    <row r="3986" spans="3:3" x14ac:dyDescent="0.25">
      <c r="C3986" s="211"/>
    </row>
    <row r="3987" spans="3:3" x14ac:dyDescent="0.25">
      <c r="C3987" s="211"/>
    </row>
    <row r="3988" spans="3:3" x14ac:dyDescent="0.25">
      <c r="C3988" s="211"/>
    </row>
    <row r="3989" spans="3:3" x14ac:dyDescent="0.25">
      <c r="C3989" s="211"/>
    </row>
    <row r="3990" spans="3:3" x14ac:dyDescent="0.25">
      <c r="C3990" s="211"/>
    </row>
    <row r="3991" spans="3:3" x14ac:dyDescent="0.25">
      <c r="C3991" s="211"/>
    </row>
    <row r="3992" spans="3:3" x14ac:dyDescent="0.25">
      <c r="C3992" s="211"/>
    </row>
    <row r="3993" spans="3:3" x14ac:dyDescent="0.25">
      <c r="C3993" s="211"/>
    </row>
    <row r="3994" spans="3:3" x14ac:dyDescent="0.25">
      <c r="C3994" s="211"/>
    </row>
    <row r="3995" spans="3:3" x14ac:dyDescent="0.25">
      <c r="C3995" s="211"/>
    </row>
    <row r="3996" spans="3:3" x14ac:dyDescent="0.25">
      <c r="C3996" s="211"/>
    </row>
    <row r="3997" spans="3:3" x14ac:dyDescent="0.25">
      <c r="C3997" s="211"/>
    </row>
    <row r="3998" spans="3:3" x14ac:dyDescent="0.25">
      <c r="C3998" s="211"/>
    </row>
    <row r="3999" spans="3:3" x14ac:dyDescent="0.25">
      <c r="C3999" s="211"/>
    </row>
    <row r="4000" spans="3:3" x14ac:dyDescent="0.25">
      <c r="C4000" s="211"/>
    </row>
    <row r="4001" spans="3:3" x14ac:dyDescent="0.25">
      <c r="C4001" s="211"/>
    </row>
    <row r="4002" spans="3:3" x14ac:dyDescent="0.25">
      <c r="C4002" s="211"/>
    </row>
    <row r="4003" spans="3:3" x14ac:dyDescent="0.25">
      <c r="C4003" s="211"/>
    </row>
    <row r="4004" spans="3:3" x14ac:dyDescent="0.25">
      <c r="C4004" s="211"/>
    </row>
    <row r="4005" spans="3:3" x14ac:dyDescent="0.25">
      <c r="C4005" s="211"/>
    </row>
    <row r="4006" spans="3:3" x14ac:dyDescent="0.25">
      <c r="C4006" s="211"/>
    </row>
    <row r="4007" spans="3:3" x14ac:dyDescent="0.25">
      <c r="C4007" s="211"/>
    </row>
    <row r="4008" spans="3:3" x14ac:dyDescent="0.25">
      <c r="C4008" s="211"/>
    </row>
    <row r="4009" spans="3:3" x14ac:dyDescent="0.25">
      <c r="C4009" s="211"/>
    </row>
    <row r="4010" spans="3:3" x14ac:dyDescent="0.25">
      <c r="C4010" s="211"/>
    </row>
    <row r="4011" spans="3:3" x14ac:dyDescent="0.25">
      <c r="C4011" s="211"/>
    </row>
    <row r="4012" spans="3:3" x14ac:dyDescent="0.25">
      <c r="C4012" s="211"/>
    </row>
    <row r="4013" spans="3:3" x14ac:dyDescent="0.25">
      <c r="C4013" s="211"/>
    </row>
    <row r="4014" spans="3:3" x14ac:dyDescent="0.25">
      <c r="C4014" s="211"/>
    </row>
    <row r="4015" spans="3:3" x14ac:dyDescent="0.25">
      <c r="C4015" s="211"/>
    </row>
    <row r="4016" spans="3:3" x14ac:dyDescent="0.25">
      <c r="C4016" s="211"/>
    </row>
    <row r="4017" spans="3:3" x14ac:dyDescent="0.25">
      <c r="C4017" s="211"/>
    </row>
    <row r="4018" spans="3:3" x14ac:dyDescent="0.25">
      <c r="C4018" s="211"/>
    </row>
    <row r="4019" spans="3:3" x14ac:dyDescent="0.25">
      <c r="C4019" s="211"/>
    </row>
    <row r="4020" spans="3:3" x14ac:dyDescent="0.25">
      <c r="C4020" s="211"/>
    </row>
    <row r="4021" spans="3:3" x14ac:dyDescent="0.25">
      <c r="C4021" s="211"/>
    </row>
    <row r="4022" spans="3:3" x14ac:dyDescent="0.25">
      <c r="C4022" s="211"/>
    </row>
    <row r="4023" spans="3:3" x14ac:dyDescent="0.25">
      <c r="C4023" s="211"/>
    </row>
    <row r="4024" spans="3:3" x14ac:dyDescent="0.25">
      <c r="C4024" s="211"/>
    </row>
    <row r="4025" spans="3:3" x14ac:dyDescent="0.25">
      <c r="C4025" s="211"/>
    </row>
    <row r="4026" spans="3:3" x14ac:dyDescent="0.25">
      <c r="C4026" s="211"/>
    </row>
    <row r="4027" spans="3:3" x14ac:dyDescent="0.25">
      <c r="C4027" s="211"/>
    </row>
    <row r="4028" spans="3:3" x14ac:dyDescent="0.25">
      <c r="C4028" s="211"/>
    </row>
    <row r="4029" spans="3:3" x14ac:dyDescent="0.25">
      <c r="C4029" s="211"/>
    </row>
    <row r="4030" spans="3:3" x14ac:dyDescent="0.25">
      <c r="C4030" s="211"/>
    </row>
    <row r="4031" spans="3:3" x14ac:dyDescent="0.25">
      <c r="C4031" s="211"/>
    </row>
    <row r="4032" spans="3:3" x14ac:dyDescent="0.25">
      <c r="C4032" s="211"/>
    </row>
    <row r="4033" spans="3:3" x14ac:dyDescent="0.25">
      <c r="C4033" s="211"/>
    </row>
    <row r="4034" spans="3:3" x14ac:dyDescent="0.25">
      <c r="C4034" s="211"/>
    </row>
    <row r="4035" spans="3:3" x14ac:dyDescent="0.25">
      <c r="C4035" s="211"/>
    </row>
    <row r="4036" spans="3:3" x14ac:dyDescent="0.25">
      <c r="C4036" s="211"/>
    </row>
    <row r="4037" spans="3:3" x14ac:dyDescent="0.25">
      <c r="C4037" s="211"/>
    </row>
    <row r="4038" spans="3:3" x14ac:dyDescent="0.25">
      <c r="C4038" s="211"/>
    </row>
    <row r="4039" spans="3:3" x14ac:dyDescent="0.25">
      <c r="C4039" s="211"/>
    </row>
    <row r="4040" spans="3:3" x14ac:dyDescent="0.25">
      <c r="C4040" s="211"/>
    </row>
    <row r="4041" spans="3:3" x14ac:dyDescent="0.25">
      <c r="C4041" s="211"/>
    </row>
    <row r="4042" spans="3:3" x14ac:dyDescent="0.25">
      <c r="C4042" s="211"/>
    </row>
    <row r="4043" spans="3:3" x14ac:dyDescent="0.25">
      <c r="C4043" s="211"/>
    </row>
    <row r="4044" spans="3:3" x14ac:dyDescent="0.25">
      <c r="C4044" s="211"/>
    </row>
    <row r="4045" spans="3:3" x14ac:dyDescent="0.25">
      <c r="C4045" s="211"/>
    </row>
    <row r="4046" spans="3:3" x14ac:dyDescent="0.25">
      <c r="C4046" s="211"/>
    </row>
    <row r="4047" spans="3:3" x14ac:dyDescent="0.25">
      <c r="C4047" s="211"/>
    </row>
    <row r="4048" spans="3:3" x14ac:dyDescent="0.25">
      <c r="C4048" s="211"/>
    </row>
    <row r="4049" spans="3:3" x14ac:dyDescent="0.25">
      <c r="C4049" s="211"/>
    </row>
    <row r="4050" spans="3:3" x14ac:dyDescent="0.25">
      <c r="C4050" s="211"/>
    </row>
    <row r="4051" spans="3:3" x14ac:dyDescent="0.25">
      <c r="C4051" s="211"/>
    </row>
    <row r="4052" spans="3:3" x14ac:dyDescent="0.25">
      <c r="C4052" s="211"/>
    </row>
    <row r="4053" spans="3:3" x14ac:dyDescent="0.25">
      <c r="C4053" s="211"/>
    </row>
    <row r="4054" spans="3:3" x14ac:dyDescent="0.25">
      <c r="C4054" s="211"/>
    </row>
    <row r="4055" spans="3:3" x14ac:dyDescent="0.25">
      <c r="C4055" s="211"/>
    </row>
    <row r="4056" spans="3:3" x14ac:dyDescent="0.25">
      <c r="C4056" s="211"/>
    </row>
    <row r="4057" spans="3:3" x14ac:dyDescent="0.25">
      <c r="C4057" s="211"/>
    </row>
    <row r="4058" spans="3:3" x14ac:dyDescent="0.25">
      <c r="C4058" s="211"/>
    </row>
    <row r="4059" spans="3:3" x14ac:dyDescent="0.25">
      <c r="C4059" s="211"/>
    </row>
    <row r="4060" spans="3:3" x14ac:dyDescent="0.25">
      <c r="C4060" s="211"/>
    </row>
    <row r="4061" spans="3:3" x14ac:dyDescent="0.25">
      <c r="C4061" s="211"/>
    </row>
    <row r="4062" spans="3:3" x14ac:dyDescent="0.25">
      <c r="C4062" s="211"/>
    </row>
    <row r="4063" spans="3:3" x14ac:dyDescent="0.25">
      <c r="C4063" s="211"/>
    </row>
    <row r="4064" spans="3:3" x14ac:dyDescent="0.25">
      <c r="C4064" s="211"/>
    </row>
    <row r="4065" spans="3:3" x14ac:dyDescent="0.25">
      <c r="C4065" s="211"/>
    </row>
    <row r="4066" spans="3:3" x14ac:dyDescent="0.25">
      <c r="C4066" s="211"/>
    </row>
    <row r="4067" spans="3:3" x14ac:dyDescent="0.25">
      <c r="C4067" s="211"/>
    </row>
    <row r="4068" spans="3:3" x14ac:dyDescent="0.25">
      <c r="C4068" s="211"/>
    </row>
    <row r="4069" spans="3:3" x14ac:dyDescent="0.25">
      <c r="C4069" s="211"/>
    </row>
    <row r="4070" spans="3:3" x14ac:dyDescent="0.25">
      <c r="C4070" s="211"/>
    </row>
    <row r="4071" spans="3:3" x14ac:dyDescent="0.25">
      <c r="C4071" s="211"/>
    </row>
    <row r="4072" spans="3:3" x14ac:dyDescent="0.25">
      <c r="C4072" s="211"/>
    </row>
    <row r="4073" spans="3:3" x14ac:dyDescent="0.25">
      <c r="C4073" s="211"/>
    </row>
    <row r="4074" spans="3:3" x14ac:dyDescent="0.25">
      <c r="C4074" s="211"/>
    </row>
    <row r="4075" spans="3:3" x14ac:dyDescent="0.25">
      <c r="C4075" s="211"/>
    </row>
    <row r="4076" spans="3:3" x14ac:dyDescent="0.25">
      <c r="C4076" s="211"/>
    </row>
    <row r="4077" spans="3:3" x14ac:dyDescent="0.25">
      <c r="C4077" s="211"/>
    </row>
    <row r="4078" spans="3:3" x14ac:dyDescent="0.25">
      <c r="C4078" s="211"/>
    </row>
    <row r="4079" spans="3:3" x14ac:dyDescent="0.25">
      <c r="C4079" s="211"/>
    </row>
    <row r="4080" spans="3:3" x14ac:dyDescent="0.25">
      <c r="C4080" s="211"/>
    </row>
    <row r="4081" spans="3:3" x14ac:dyDescent="0.25">
      <c r="C4081" s="211"/>
    </row>
    <row r="4082" spans="3:3" x14ac:dyDescent="0.25">
      <c r="C4082" s="211"/>
    </row>
    <row r="4083" spans="3:3" x14ac:dyDescent="0.25">
      <c r="C4083" s="211"/>
    </row>
    <row r="4084" spans="3:3" x14ac:dyDescent="0.25">
      <c r="C4084" s="211"/>
    </row>
    <row r="4085" spans="3:3" x14ac:dyDescent="0.25">
      <c r="C4085" s="211"/>
    </row>
    <row r="4086" spans="3:3" x14ac:dyDescent="0.25">
      <c r="C4086" s="211"/>
    </row>
    <row r="4087" spans="3:3" x14ac:dyDescent="0.25">
      <c r="C4087" s="211"/>
    </row>
    <row r="4088" spans="3:3" x14ac:dyDescent="0.25">
      <c r="C4088" s="211"/>
    </row>
    <row r="4089" spans="3:3" x14ac:dyDescent="0.25">
      <c r="C4089" s="211"/>
    </row>
    <row r="4090" spans="3:3" x14ac:dyDescent="0.25">
      <c r="C4090" s="211"/>
    </row>
    <row r="4091" spans="3:3" x14ac:dyDescent="0.25">
      <c r="C4091" s="211"/>
    </row>
    <row r="4092" spans="3:3" x14ac:dyDescent="0.25">
      <c r="C4092" s="211"/>
    </row>
    <row r="4093" spans="3:3" x14ac:dyDescent="0.25">
      <c r="C4093" s="211"/>
    </row>
    <row r="4094" spans="3:3" x14ac:dyDescent="0.25">
      <c r="C4094" s="211"/>
    </row>
    <row r="4095" spans="3:3" x14ac:dyDescent="0.25">
      <c r="C4095" s="211"/>
    </row>
    <row r="4096" spans="3:3" x14ac:dyDescent="0.25">
      <c r="C4096" s="211"/>
    </row>
    <row r="4097" spans="3:3" x14ac:dyDescent="0.25">
      <c r="C4097" s="211"/>
    </row>
    <row r="4098" spans="3:3" x14ac:dyDescent="0.25">
      <c r="C4098" s="211"/>
    </row>
    <row r="4099" spans="3:3" x14ac:dyDescent="0.25">
      <c r="C4099" s="211"/>
    </row>
    <row r="4100" spans="3:3" x14ac:dyDescent="0.25">
      <c r="C4100" s="211"/>
    </row>
    <row r="4101" spans="3:3" x14ac:dyDescent="0.25">
      <c r="C4101" s="211"/>
    </row>
    <row r="4102" spans="3:3" x14ac:dyDescent="0.25">
      <c r="C4102" s="211"/>
    </row>
    <row r="4103" spans="3:3" x14ac:dyDescent="0.25">
      <c r="C4103" s="211"/>
    </row>
    <row r="4104" spans="3:3" x14ac:dyDescent="0.25">
      <c r="C4104" s="211"/>
    </row>
    <row r="4105" spans="3:3" x14ac:dyDescent="0.25">
      <c r="C4105" s="211"/>
    </row>
    <row r="4106" spans="3:3" x14ac:dyDescent="0.25">
      <c r="C4106" s="211"/>
    </row>
    <row r="4107" spans="3:3" x14ac:dyDescent="0.25">
      <c r="C4107" s="211"/>
    </row>
    <row r="4108" spans="3:3" x14ac:dyDescent="0.25">
      <c r="C4108" s="211"/>
    </row>
    <row r="4109" spans="3:3" x14ac:dyDescent="0.25">
      <c r="C4109" s="211"/>
    </row>
    <row r="4110" spans="3:3" x14ac:dyDescent="0.25">
      <c r="C4110" s="211"/>
    </row>
    <row r="4111" spans="3:3" x14ac:dyDescent="0.25">
      <c r="C4111" s="211"/>
    </row>
    <row r="4112" spans="3:3" x14ac:dyDescent="0.25">
      <c r="C4112" s="211"/>
    </row>
    <row r="4113" spans="3:3" x14ac:dyDescent="0.25">
      <c r="C4113" s="211"/>
    </row>
    <row r="4114" spans="3:3" x14ac:dyDescent="0.25">
      <c r="C4114" s="211"/>
    </row>
    <row r="4115" spans="3:3" x14ac:dyDescent="0.25">
      <c r="C4115" s="211"/>
    </row>
    <row r="4116" spans="3:3" x14ac:dyDescent="0.25">
      <c r="C4116" s="211"/>
    </row>
    <row r="4117" spans="3:3" x14ac:dyDescent="0.25">
      <c r="C4117" s="211"/>
    </row>
    <row r="4118" spans="3:3" x14ac:dyDescent="0.25">
      <c r="C4118" s="211"/>
    </row>
    <row r="4119" spans="3:3" x14ac:dyDescent="0.25">
      <c r="C4119" s="211"/>
    </row>
    <row r="4120" spans="3:3" x14ac:dyDescent="0.25">
      <c r="C4120" s="211"/>
    </row>
    <row r="4121" spans="3:3" x14ac:dyDescent="0.25">
      <c r="C4121" s="211"/>
    </row>
    <row r="4122" spans="3:3" x14ac:dyDescent="0.25">
      <c r="C4122" s="211"/>
    </row>
    <row r="4123" spans="3:3" x14ac:dyDescent="0.25">
      <c r="C4123" s="211"/>
    </row>
    <row r="4124" spans="3:3" x14ac:dyDescent="0.25">
      <c r="C4124" s="211"/>
    </row>
    <row r="4125" spans="3:3" x14ac:dyDescent="0.25">
      <c r="C4125" s="211"/>
    </row>
    <row r="4126" spans="3:3" x14ac:dyDescent="0.25">
      <c r="C4126" s="211"/>
    </row>
    <row r="4127" spans="3:3" x14ac:dyDescent="0.25">
      <c r="C4127" s="211"/>
    </row>
    <row r="4128" spans="3:3" x14ac:dyDescent="0.25">
      <c r="C4128" s="211"/>
    </row>
    <row r="4129" spans="3:3" x14ac:dyDescent="0.25">
      <c r="C4129" s="211"/>
    </row>
    <row r="4130" spans="3:3" x14ac:dyDescent="0.25">
      <c r="C4130" s="211"/>
    </row>
    <row r="4131" spans="3:3" x14ac:dyDescent="0.25">
      <c r="C4131" s="211"/>
    </row>
    <row r="4132" spans="3:3" x14ac:dyDescent="0.25">
      <c r="C4132" s="211"/>
    </row>
    <row r="4133" spans="3:3" x14ac:dyDescent="0.25">
      <c r="C4133" s="211"/>
    </row>
    <row r="4134" spans="3:3" x14ac:dyDescent="0.25">
      <c r="C4134" s="211"/>
    </row>
    <row r="4135" spans="3:3" x14ac:dyDescent="0.25">
      <c r="C4135" s="211"/>
    </row>
    <row r="4136" spans="3:3" x14ac:dyDescent="0.25">
      <c r="C4136" s="211"/>
    </row>
    <row r="4137" spans="3:3" x14ac:dyDescent="0.25">
      <c r="C4137" s="211"/>
    </row>
    <row r="4138" spans="3:3" x14ac:dyDescent="0.25">
      <c r="C4138" s="211"/>
    </row>
    <row r="4139" spans="3:3" x14ac:dyDescent="0.25">
      <c r="C4139" s="211"/>
    </row>
    <row r="4140" spans="3:3" x14ac:dyDescent="0.25">
      <c r="C4140" s="211"/>
    </row>
    <row r="4141" spans="3:3" x14ac:dyDescent="0.25">
      <c r="C4141" s="211"/>
    </row>
    <row r="4142" spans="3:3" x14ac:dyDescent="0.25">
      <c r="C4142" s="211"/>
    </row>
    <row r="4143" spans="3:3" x14ac:dyDescent="0.25">
      <c r="C4143" s="211"/>
    </row>
    <row r="4144" spans="3:3" x14ac:dyDescent="0.25">
      <c r="C4144" s="211"/>
    </row>
    <row r="4145" spans="3:3" x14ac:dyDescent="0.25">
      <c r="C4145" s="211"/>
    </row>
    <row r="4146" spans="3:3" x14ac:dyDescent="0.25">
      <c r="C4146" s="211"/>
    </row>
    <row r="4147" spans="3:3" x14ac:dyDescent="0.25">
      <c r="C4147" s="211"/>
    </row>
    <row r="4148" spans="3:3" x14ac:dyDescent="0.25">
      <c r="C4148" s="211"/>
    </row>
    <row r="4149" spans="3:3" x14ac:dyDescent="0.25">
      <c r="C4149" s="211"/>
    </row>
    <row r="4150" spans="3:3" x14ac:dyDescent="0.25">
      <c r="C4150" s="211"/>
    </row>
    <row r="4151" spans="3:3" x14ac:dyDescent="0.25">
      <c r="C4151" s="211"/>
    </row>
    <row r="4152" spans="3:3" x14ac:dyDescent="0.25">
      <c r="C4152" s="211"/>
    </row>
    <row r="4153" spans="3:3" x14ac:dyDescent="0.25">
      <c r="C4153" s="211"/>
    </row>
    <row r="4154" spans="3:3" x14ac:dyDescent="0.25">
      <c r="C4154" s="211"/>
    </row>
    <row r="4155" spans="3:3" x14ac:dyDescent="0.25">
      <c r="C4155" s="211"/>
    </row>
    <row r="4156" spans="3:3" x14ac:dyDescent="0.25">
      <c r="C4156" s="211"/>
    </row>
    <row r="4157" spans="3:3" x14ac:dyDescent="0.25">
      <c r="C4157" s="211"/>
    </row>
    <row r="4158" spans="3:3" x14ac:dyDescent="0.25">
      <c r="C4158" s="211"/>
    </row>
    <row r="4159" spans="3:3" x14ac:dyDescent="0.25">
      <c r="C4159" s="211"/>
    </row>
    <row r="4160" spans="3:3" x14ac:dyDescent="0.25">
      <c r="C4160" s="211"/>
    </row>
    <row r="4161" spans="3:3" x14ac:dyDescent="0.25">
      <c r="C4161" s="211"/>
    </row>
    <row r="4162" spans="3:3" x14ac:dyDescent="0.25">
      <c r="C4162" s="211"/>
    </row>
    <row r="4163" spans="3:3" x14ac:dyDescent="0.25">
      <c r="C4163" s="211"/>
    </row>
    <row r="4164" spans="3:3" x14ac:dyDescent="0.25">
      <c r="C4164" s="211"/>
    </row>
    <row r="4165" spans="3:3" x14ac:dyDescent="0.25">
      <c r="C4165" s="211"/>
    </row>
    <row r="4166" spans="3:3" x14ac:dyDescent="0.25">
      <c r="C4166" s="211"/>
    </row>
    <row r="4167" spans="3:3" x14ac:dyDescent="0.25">
      <c r="C4167" s="211"/>
    </row>
    <row r="4168" spans="3:3" x14ac:dyDescent="0.25">
      <c r="C4168" s="211"/>
    </row>
    <row r="4169" spans="3:3" x14ac:dyDescent="0.25">
      <c r="C4169" s="211"/>
    </row>
    <row r="4170" spans="3:3" x14ac:dyDescent="0.25">
      <c r="C4170" s="211"/>
    </row>
    <row r="4171" spans="3:3" x14ac:dyDescent="0.25">
      <c r="C4171" s="211"/>
    </row>
    <row r="4172" spans="3:3" x14ac:dyDescent="0.25">
      <c r="C4172" s="211"/>
    </row>
    <row r="4173" spans="3:3" x14ac:dyDescent="0.25">
      <c r="C4173" s="211"/>
    </row>
    <row r="4174" spans="3:3" x14ac:dyDescent="0.25">
      <c r="C4174" s="211"/>
    </row>
    <row r="4175" spans="3:3" x14ac:dyDescent="0.25">
      <c r="C4175" s="211"/>
    </row>
    <row r="4176" spans="3:3" x14ac:dyDescent="0.25">
      <c r="C4176" s="211"/>
    </row>
    <row r="4177" spans="3:3" x14ac:dyDescent="0.25">
      <c r="C4177" s="211"/>
    </row>
    <row r="4178" spans="3:3" x14ac:dyDescent="0.25">
      <c r="C4178" s="211"/>
    </row>
    <row r="4179" spans="3:3" x14ac:dyDescent="0.25">
      <c r="C4179" s="211"/>
    </row>
    <row r="4180" spans="3:3" x14ac:dyDescent="0.25">
      <c r="C4180" s="211"/>
    </row>
    <row r="4181" spans="3:3" x14ac:dyDescent="0.25">
      <c r="C4181" s="211"/>
    </row>
    <row r="4182" spans="3:3" x14ac:dyDescent="0.25">
      <c r="C4182" s="211"/>
    </row>
    <row r="4183" spans="3:3" x14ac:dyDescent="0.25">
      <c r="C4183" s="211"/>
    </row>
    <row r="4184" spans="3:3" x14ac:dyDescent="0.25">
      <c r="C4184" s="211"/>
    </row>
    <row r="4185" spans="3:3" x14ac:dyDescent="0.25">
      <c r="C4185" s="211"/>
    </row>
    <row r="4186" spans="3:3" x14ac:dyDescent="0.25">
      <c r="C4186" s="211"/>
    </row>
    <row r="4187" spans="3:3" x14ac:dyDescent="0.25">
      <c r="C4187" s="211"/>
    </row>
    <row r="4188" spans="3:3" x14ac:dyDescent="0.25">
      <c r="C4188" s="211"/>
    </row>
    <row r="4189" spans="3:3" x14ac:dyDescent="0.25">
      <c r="C4189" s="211"/>
    </row>
    <row r="4190" spans="3:3" x14ac:dyDescent="0.25">
      <c r="C4190" s="211"/>
    </row>
    <row r="4191" spans="3:3" x14ac:dyDescent="0.25">
      <c r="C4191" s="211"/>
    </row>
    <row r="4192" spans="3:3" x14ac:dyDescent="0.25">
      <c r="C4192" s="211"/>
    </row>
    <row r="4193" spans="3:3" x14ac:dyDescent="0.25">
      <c r="C4193" s="211"/>
    </row>
    <row r="4194" spans="3:3" x14ac:dyDescent="0.25">
      <c r="C4194" s="211"/>
    </row>
    <row r="4195" spans="3:3" x14ac:dyDescent="0.25">
      <c r="C4195" s="211"/>
    </row>
    <row r="4196" spans="3:3" x14ac:dyDescent="0.25">
      <c r="C4196" s="211"/>
    </row>
    <row r="4197" spans="3:3" x14ac:dyDescent="0.25">
      <c r="C4197" s="211"/>
    </row>
    <row r="4198" spans="3:3" x14ac:dyDescent="0.25">
      <c r="C4198" s="211"/>
    </row>
    <row r="4199" spans="3:3" x14ac:dyDescent="0.25">
      <c r="C4199" s="211"/>
    </row>
    <row r="4200" spans="3:3" x14ac:dyDescent="0.25">
      <c r="C4200" s="211"/>
    </row>
    <row r="4201" spans="3:3" x14ac:dyDescent="0.25">
      <c r="C4201" s="211"/>
    </row>
    <row r="4202" spans="3:3" x14ac:dyDescent="0.25">
      <c r="C4202" s="211"/>
    </row>
    <row r="4203" spans="3:3" x14ac:dyDescent="0.25">
      <c r="C4203" s="211"/>
    </row>
    <row r="4204" spans="3:3" x14ac:dyDescent="0.25">
      <c r="C4204" s="211"/>
    </row>
    <row r="4205" spans="3:3" x14ac:dyDescent="0.25">
      <c r="C4205" s="211"/>
    </row>
    <row r="4206" spans="3:3" x14ac:dyDescent="0.25">
      <c r="C4206" s="211"/>
    </row>
    <row r="4207" spans="3:3" x14ac:dyDescent="0.25">
      <c r="C4207" s="211"/>
    </row>
    <row r="4208" spans="3:3" x14ac:dyDescent="0.25">
      <c r="C4208" s="211"/>
    </row>
    <row r="4209" spans="3:3" x14ac:dyDescent="0.25">
      <c r="C4209" s="211"/>
    </row>
    <row r="4210" spans="3:3" x14ac:dyDescent="0.25">
      <c r="C4210" s="211"/>
    </row>
    <row r="4211" spans="3:3" x14ac:dyDescent="0.25">
      <c r="C4211" s="211"/>
    </row>
    <row r="4212" spans="3:3" x14ac:dyDescent="0.25">
      <c r="C4212" s="211"/>
    </row>
    <row r="4213" spans="3:3" x14ac:dyDescent="0.25">
      <c r="C4213" s="211"/>
    </row>
    <row r="4214" spans="3:3" x14ac:dyDescent="0.25">
      <c r="C4214" s="211"/>
    </row>
    <row r="4215" spans="3:3" x14ac:dyDescent="0.25">
      <c r="C4215" s="211"/>
    </row>
    <row r="4216" spans="3:3" x14ac:dyDescent="0.25">
      <c r="C4216" s="211"/>
    </row>
    <row r="4217" spans="3:3" x14ac:dyDescent="0.25">
      <c r="C4217" s="211"/>
    </row>
    <row r="4218" spans="3:3" x14ac:dyDescent="0.25">
      <c r="C4218" s="211"/>
    </row>
    <row r="4219" spans="3:3" x14ac:dyDescent="0.25">
      <c r="C4219" s="211"/>
    </row>
    <row r="4220" spans="3:3" x14ac:dyDescent="0.25">
      <c r="C4220" s="211"/>
    </row>
    <row r="4221" spans="3:3" x14ac:dyDescent="0.25">
      <c r="C4221" s="211"/>
    </row>
    <row r="4222" spans="3:3" x14ac:dyDescent="0.25">
      <c r="C4222" s="211"/>
    </row>
    <row r="4223" spans="3:3" x14ac:dyDescent="0.25">
      <c r="C4223" s="211"/>
    </row>
    <row r="4224" spans="3:3" x14ac:dyDescent="0.25">
      <c r="C4224" s="211"/>
    </row>
    <row r="4225" spans="3:3" x14ac:dyDescent="0.25">
      <c r="C4225" s="211"/>
    </row>
    <row r="4226" spans="3:3" x14ac:dyDescent="0.25">
      <c r="C4226" s="211"/>
    </row>
    <row r="4227" spans="3:3" x14ac:dyDescent="0.25">
      <c r="C4227" s="211"/>
    </row>
    <row r="4228" spans="3:3" x14ac:dyDescent="0.25">
      <c r="C4228" s="211"/>
    </row>
    <row r="4229" spans="3:3" x14ac:dyDescent="0.25">
      <c r="C4229" s="211"/>
    </row>
    <row r="4230" spans="3:3" x14ac:dyDescent="0.25">
      <c r="C4230" s="211"/>
    </row>
    <row r="4231" spans="3:3" x14ac:dyDescent="0.25">
      <c r="C4231" s="211"/>
    </row>
    <row r="4232" spans="3:3" x14ac:dyDescent="0.25">
      <c r="C4232" s="211"/>
    </row>
    <row r="4233" spans="3:3" x14ac:dyDescent="0.25">
      <c r="C4233" s="211"/>
    </row>
    <row r="4234" spans="3:3" x14ac:dyDescent="0.25">
      <c r="C4234" s="211"/>
    </row>
    <row r="4235" spans="3:3" x14ac:dyDescent="0.25">
      <c r="C4235" s="211"/>
    </row>
    <row r="4236" spans="3:3" x14ac:dyDescent="0.25">
      <c r="C4236" s="211"/>
    </row>
    <row r="4237" spans="3:3" x14ac:dyDescent="0.25">
      <c r="C4237" s="211"/>
    </row>
    <row r="4238" spans="3:3" x14ac:dyDescent="0.25">
      <c r="C4238" s="211"/>
    </row>
    <row r="4239" spans="3:3" x14ac:dyDescent="0.25">
      <c r="C4239" s="211"/>
    </row>
    <row r="4240" spans="3:3" x14ac:dyDescent="0.25">
      <c r="C4240" s="211"/>
    </row>
    <row r="4241" spans="3:3" x14ac:dyDescent="0.25">
      <c r="C4241" s="211"/>
    </row>
    <row r="4242" spans="3:3" x14ac:dyDescent="0.25">
      <c r="C4242" s="211"/>
    </row>
    <row r="4243" spans="3:3" x14ac:dyDescent="0.25">
      <c r="C4243" s="211"/>
    </row>
    <row r="4244" spans="3:3" x14ac:dyDescent="0.25">
      <c r="C4244" s="211"/>
    </row>
    <row r="4245" spans="3:3" x14ac:dyDescent="0.25">
      <c r="C4245" s="211"/>
    </row>
    <row r="4246" spans="3:3" x14ac:dyDescent="0.25">
      <c r="C4246" s="211"/>
    </row>
    <row r="4247" spans="3:3" x14ac:dyDescent="0.25">
      <c r="C4247" s="211"/>
    </row>
    <row r="4248" spans="3:3" x14ac:dyDescent="0.25">
      <c r="C4248" s="211"/>
    </row>
    <row r="4249" spans="3:3" x14ac:dyDescent="0.25">
      <c r="C4249" s="211"/>
    </row>
    <row r="4250" spans="3:3" x14ac:dyDescent="0.25">
      <c r="C4250" s="211"/>
    </row>
    <row r="4251" spans="3:3" x14ac:dyDescent="0.25">
      <c r="C4251" s="211"/>
    </row>
    <row r="4252" spans="3:3" x14ac:dyDescent="0.25">
      <c r="C4252" s="211"/>
    </row>
    <row r="4253" spans="3:3" x14ac:dyDescent="0.25">
      <c r="C4253" s="211"/>
    </row>
    <row r="4254" spans="3:3" x14ac:dyDescent="0.25">
      <c r="C4254" s="211"/>
    </row>
    <row r="4255" spans="3:3" x14ac:dyDescent="0.25">
      <c r="C4255" s="211"/>
    </row>
    <row r="4256" spans="3:3" x14ac:dyDescent="0.25">
      <c r="C4256" s="211"/>
    </row>
    <row r="4257" spans="3:3" x14ac:dyDescent="0.25">
      <c r="C4257" s="211"/>
    </row>
    <row r="4258" spans="3:3" x14ac:dyDescent="0.25">
      <c r="C4258" s="211"/>
    </row>
    <row r="4259" spans="3:3" x14ac:dyDescent="0.25">
      <c r="C4259" s="211"/>
    </row>
    <row r="4260" spans="3:3" x14ac:dyDescent="0.25">
      <c r="C4260" s="211"/>
    </row>
    <row r="4261" spans="3:3" x14ac:dyDescent="0.25">
      <c r="C4261" s="211"/>
    </row>
    <row r="4262" spans="3:3" x14ac:dyDescent="0.25">
      <c r="C4262" s="211"/>
    </row>
    <row r="4263" spans="3:3" x14ac:dyDescent="0.25">
      <c r="C4263" s="211"/>
    </row>
    <row r="4264" spans="3:3" x14ac:dyDescent="0.25">
      <c r="C4264" s="211"/>
    </row>
    <row r="4265" spans="3:3" x14ac:dyDescent="0.25">
      <c r="C4265" s="211"/>
    </row>
    <row r="4266" spans="3:3" x14ac:dyDescent="0.25">
      <c r="C4266" s="211"/>
    </row>
    <row r="4267" spans="3:3" x14ac:dyDescent="0.25">
      <c r="C4267" s="211"/>
    </row>
    <row r="4268" spans="3:3" x14ac:dyDescent="0.25">
      <c r="C4268" s="211"/>
    </row>
    <row r="4269" spans="3:3" x14ac:dyDescent="0.25">
      <c r="C4269" s="211"/>
    </row>
    <row r="4270" spans="3:3" x14ac:dyDescent="0.25">
      <c r="C4270" s="211"/>
    </row>
    <row r="4271" spans="3:3" x14ac:dyDescent="0.25">
      <c r="C4271" s="211"/>
    </row>
    <row r="4272" spans="3:3" x14ac:dyDescent="0.25">
      <c r="C4272" s="211"/>
    </row>
    <row r="4273" spans="3:3" x14ac:dyDescent="0.25">
      <c r="C4273" s="211"/>
    </row>
    <row r="4274" spans="3:3" x14ac:dyDescent="0.25">
      <c r="C4274" s="211"/>
    </row>
    <row r="4275" spans="3:3" x14ac:dyDescent="0.25">
      <c r="C4275" s="211"/>
    </row>
    <row r="4276" spans="3:3" x14ac:dyDescent="0.25">
      <c r="C4276" s="211"/>
    </row>
    <row r="4277" spans="3:3" x14ac:dyDescent="0.25">
      <c r="C4277" s="211"/>
    </row>
    <row r="4278" spans="3:3" x14ac:dyDescent="0.25">
      <c r="C4278" s="211"/>
    </row>
    <row r="4279" spans="3:3" x14ac:dyDescent="0.25">
      <c r="C4279" s="211"/>
    </row>
    <row r="4280" spans="3:3" x14ac:dyDescent="0.25">
      <c r="C4280" s="211"/>
    </row>
    <row r="4281" spans="3:3" x14ac:dyDescent="0.25">
      <c r="C4281" s="211"/>
    </row>
    <row r="4282" spans="3:3" x14ac:dyDescent="0.25">
      <c r="C4282" s="211"/>
    </row>
    <row r="4283" spans="3:3" x14ac:dyDescent="0.25">
      <c r="C4283" s="211"/>
    </row>
    <row r="4284" spans="3:3" x14ac:dyDescent="0.25">
      <c r="C4284" s="211"/>
    </row>
    <row r="4285" spans="3:3" x14ac:dyDescent="0.25">
      <c r="C4285" s="211"/>
    </row>
    <row r="4286" spans="3:3" x14ac:dyDescent="0.25">
      <c r="C4286" s="211"/>
    </row>
    <row r="4287" spans="3:3" x14ac:dyDescent="0.25">
      <c r="C4287" s="211"/>
    </row>
    <row r="4288" spans="3:3" x14ac:dyDescent="0.25">
      <c r="C4288" s="211"/>
    </row>
    <row r="4289" spans="3:3" x14ac:dyDescent="0.25">
      <c r="C4289" s="211"/>
    </row>
    <row r="4290" spans="3:3" x14ac:dyDescent="0.25">
      <c r="C4290" s="211"/>
    </row>
    <row r="4291" spans="3:3" x14ac:dyDescent="0.25">
      <c r="C4291" s="211"/>
    </row>
    <row r="4292" spans="3:3" x14ac:dyDescent="0.25">
      <c r="C4292" s="211"/>
    </row>
    <row r="4293" spans="3:3" x14ac:dyDescent="0.25">
      <c r="C4293" s="211"/>
    </row>
    <row r="4294" spans="3:3" x14ac:dyDescent="0.25">
      <c r="C4294" s="211"/>
    </row>
    <row r="4295" spans="3:3" x14ac:dyDescent="0.25">
      <c r="C4295" s="211"/>
    </row>
    <row r="4296" spans="3:3" x14ac:dyDescent="0.25">
      <c r="C4296" s="211"/>
    </row>
    <row r="4297" spans="3:3" x14ac:dyDescent="0.25">
      <c r="C4297" s="211"/>
    </row>
    <row r="4298" spans="3:3" x14ac:dyDescent="0.25">
      <c r="C4298" s="211"/>
    </row>
    <row r="4299" spans="3:3" x14ac:dyDescent="0.25">
      <c r="C4299" s="211"/>
    </row>
    <row r="4300" spans="3:3" x14ac:dyDescent="0.25">
      <c r="C4300" s="211"/>
    </row>
    <row r="4301" spans="3:3" x14ac:dyDescent="0.25">
      <c r="C4301" s="211"/>
    </row>
    <row r="4302" spans="3:3" x14ac:dyDescent="0.25">
      <c r="C4302" s="211"/>
    </row>
    <row r="4303" spans="3:3" x14ac:dyDescent="0.25">
      <c r="C4303" s="211"/>
    </row>
    <row r="4304" spans="3:3" x14ac:dyDescent="0.25">
      <c r="C4304" s="211"/>
    </row>
    <row r="4305" spans="3:3" x14ac:dyDescent="0.25">
      <c r="C4305" s="211"/>
    </row>
    <row r="4306" spans="3:3" x14ac:dyDescent="0.25">
      <c r="C4306" s="211"/>
    </row>
    <row r="4307" spans="3:3" x14ac:dyDescent="0.25">
      <c r="C4307" s="211"/>
    </row>
    <row r="4308" spans="3:3" x14ac:dyDescent="0.25">
      <c r="C4308" s="211"/>
    </row>
    <row r="4309" spans="3:3" x14ac:dyDescent="0.25">
      <c r="C4309" s="211"/>
    </row>
    <row r="4310" spans="3:3" x14ac:dyDescent="0.25">
      <c r="C4310" s="211"/>
    </row>
    <row r="4311" spans="3:3" x14ac:dyDescent="0.25">
      <c r="C4311" s="211"/>
    </row>
    <row r="4312" spans="3:3" x14ac:dyDescent="0.25">
      <c r="C4312" s="211"/>
    </row>
    <row r="4313" spans="3:3" x14ac:dyDescent="0.25">
      <c r="C4313" s="211"/>
    </row>
    <row r="4314" spans="3:3" x14ac:dyDescent="0.25">
      <c r="C4314" s="211"/>
    </row>
    <row r="4315" spans="3:3" x14ac:dyDescent="0.25">
      <c r="C4315" s="211"/>
    </row>
    <row r="4316" spans="3:3" x14ac:dyDescent="0.25">
      <c r="C4316" s="211"/>
    </row>
    <row r="4317" spans="3:3" x14ac:dyDescent="0.25">
      <c r="C4317" s="211"/>
    </row>
    <row r="4318" spans="3:3" x14ac:dyDescent="0.25">
      <c r="C4318" s="211"/>
    </row>
    <row r="4319" spans="3:3" x14ac:dyDescent="0.25">
      <c r="C4319" s="211"/>
    </row>
    <row r="4320" spans="3:3" x14ac:dyDescent="0.25">
      <c r="C4320" s="211"/>
    </row>
    <row r="4321" spans="3:3" x14ac:dyDescent="0.25">
      <c r="C4321" s="211"/>
    </row>
    <row r="4322" spans="3:3" x14ac:dyDescent="0.25">
      <c r="C4322" s="211"/>
    </row>
    <row r="4323" spans="3:3" x14ac:dyDescent="0.25">
      <c r="C4323" s="211"/>
    </row>
    <row r="4324" spans="3:3" x14ac:dyDescent="0.25">
      <c r="C4324" s="211"/>
    </row>
    <row r="4325" spans="3:3" x14ac:dyDescent="0.25">
      <c r="C4325" s="211"/>
    </row>
    <row r="4326" spans="3:3" x14ac:dyDescent="0.25">
      <c r="C4326" s="211"/>
    </row>
    <row r="4327" spans="3:3" x14ac:dyDescent="0.25">
      <c r="C4327" s="211"/>
    </row>
    <row r="4328" spans="3:3" x14ac:dyDescent="0.25">
      <c r="C4328" s="211"/>
    </row>
    <row r="4329" spans="3:3" x14ac:dyDescent="0.25">
      <c r="C4329" s="211"/>
    </row>
    <row r="4330" spans="3:3" x14ac:dyDescent="0.25">
      <c r="C4330" s="211"/>
    </row>
    <row r="4331" spans="3:3" x14ac:dyDescent="0.25">
      <c r="C4331" s="211"/>
    </row>
    <row r="4332" spans="3:3" x14ac:dyDescent="0.25">
      <c r="C4332" s="211"/>
    </row>
    <row r="4333" spans="3:3" x14ac:dyDescent="0.25">
      <c r="C4333" s="211"/>
    </row>
    <row r="4334" spans="3:3" x14ac:dyDescent="0.25">
      <c r="C4334" s="211"/>
    </row>
    <row r="4335" spans="3:3" x14ac:dyDescent="0.25">
      <c r="C4335" s="211"/>
    </row>
    <row r="4336" spans="3:3" x14ac:dyDescent="0.25">
      <c r="C4336" s="211"/>
    </row>
    <row r="4337" spans="3:3" x14ac:dyDescent="0.25">
      <c r="C4337" s="211"/>
    </row>
    <row r="4338" spans="3:3" x14ac:dyDescent="0.25">
      <c r="C4338" s="211"/>
    </row>
    <row r="4339" spans="3:3" x14ac:dyDescent="0.25">
      <c r="C4339" s="211"/>
    </row>
    <row r="4340" spans="3:3" x14ac:dyDescent="0.25">
      <c r="C4340" s="211"/>
    </row>
    <row r="4341" spans="3:3" x14ac:dyDescent="0.25">
      <c r="C4341" s="211"/>
    </row>
    <row r="4342" spans="3:3" x14ac:dyDescent="0.25">
      <c r="C4342" s="211"/>
    </row>
    <row r="4343" spans="3:3" x14ac:dyDescent="0.25">
      <c r="C4343" s="211"/>
    </row>
    <row r="4344" spans="3:3" x14ac:dyDescent="0.25">
      <c r="C4344" s="211"/>
    </row>
    <row r="4345" spans="3:3" x14ac:dyDescent="0.25">
      <c r="C4345" s="211"/>
    </row>
    <row r="4346" spans="3:3" x14ac:dyDescent="0.25">
      <c r="C4346" s="211"/>
    </row>
    <row r="4347" spans="3:3" x14ac:dyDescent="0.25">
      <c r="C4347" s="211"/>
    </row>
    <row r="4348" spans="3:3" x14ac:dyDescent="0.25">
      <c r="C4348" s="211"/>
    </row>
    <row r="4349" spans="3:3" x14ac:dyDescent="0.25">
      <c r="C4349" s="211"/>
    </row>
    <row r="4350" spans="3:3" x14ac:dyDescent="0.25">
      <c r="C4350" s="211"/>
    </row>
    <row r="4351" spans="3:3" x14ac:dyDescent="0.25">
      <c r="C4351" s="211"/>
    </row>
    <row r="4352" spans="3:3" x14ac:dyDescent="0.25">
      <c r="C4352" s="211"/>
    </row>
    <row r="4353" spans="3:3" x14ac:dyDescent="0.25">
      <c r="C4353" s="211"/>
    </row>
    <row r="4354" spans="3:3" x14ac:dyDescent="0.25">
      <c r="C4354" s="211"/>
    </row>
    <row r="4355" spans="3:3" x14ac:dyDescent="0.25">
      <c r="C4355" s="211"/>
    </row>
    <row r="4356" spans="3:3" x14ac:dyDescent="0.25">
      <c r="C4356" s="211"/>
    </row>
    <row r="4357" spans="3:3" x14ac:dyDescent="0.25">
      <c r="C4357" s="211"/>
    </row>
    <row r="4358" spans="3:3" x14ac:dyDescent="0.25">
      <c r="C4358" s="211"/>
    </row>
    <row r="4359" spans="3:3" x14ac:dyDescent="0.25">
      <c r="C4359" s="211"/>
    </row>
    <row r="4360" spans="3:3" x14ac:dyDescent="0.25">
      <c r="C4360" s="211"/>
    </row>
    <row r="4361" spans="3:3" x14ac:dyDescent="0.25">
      <c r="C4361" s="211"/>
    </row>
    <row r="4362" spans="3:3" x14ac:dyDescent="0.25">
      <c r="C4362" s="211"/>
    </row>
    <row r="4363" spans="3:3" x14ac:dyDescent="0.25">
      <c r="C4363" s="211"/>
    </row>
    <row r="4364" spans="3:3" x14ac:dyDescent="0.25">
      <c r="C4364" s="211"/>
    </row>
    <row r="4365" spans="3:3" x14ac:dyDescent="0.25">
      <c r="C4365" s="211"/>
    </row>
    <row r="4366" spans="3:3" x14ac:dyDescent="0.25">
      <c r="C4366" s="211"/>
    </row>
    <row r="4367" spans="3:3" x14ac:dyDescent="0.25">
      <c r="C4367" s="211"/>
    </row>
    <row r="4368" spans="3:3" x14ac:dyDescent="0.25">
      <c r="C4368" s="211"/>
    </row>
    <row r="4369" spans="3:3" x14ac:dyDescent="0.25">
      <c r="C4369" s="211"/>
    </row>
    <row r="4370" spans="3:3" x14ac:dyDescent="0.25">
      <c r="C4370" s="211"/>
    </row>
    <row r="4371" spans="3:3" x14ac:dyDescent="0.25">
      <c r="C4371" s="211"/>
    </row>
    <row r="4372" spans="3:3" x14ac:dyDescent="0.25">
      <c r="C4372" s="211"/>
    </row>
    <row r="4373" spans="3:3" x14ac:dyDescent="0.25">
      <c r="C4373" s="211"/>
    </row>
    <row r="4374" spans="3:3" x14ac:dyDescent="0.25">
      <c r="C4374" s="211"/>
    </row>
    <row r="4375" spans="3:3" x14ac:dyDescent="0.25">
      <c r="C4375" s="211"/>
    </row>
    <row r="4376" spans="3:3" x14ac:dyDescent="0.25">
      <c r="C4376" s="211"/>
    </row>
    <row r="4377" spans="3:3" x14ac:dyDescent="0.25">
      <c r="C4377" s="211"/>
    </row>
    <row r="4378" spans="3:3" x14ac:dyDescent="0.25">
      <c r="C4378" s="211"/>
    </row>
    <row r="4379" spans="3:3" x14ac:dyDescent="0.25">
      <c r="C4379" s="211"/>
    </row>
    <row r="4380" spans="3:3" x14ac:dyDescent="0.25">
      <c r="C4380" s="211"/>
    </row>
    <row r="4381" spans="3:3" x14ac:dyDescent="0.25">
      <c r="C4381" s="211"/>
    </row>
    <row r="4382" spans="3:3" x14ac:dyDescent="0.25">
      <c r="C4382" s="211"/>
    </row>
    <row r="4383" spans="3:3" x14ac:dyDescent="0.25">
      <c r="C4383" s="211"/>
    </row>
    <row r="4384" spans="3:3" x14ac:dyDescent="0.25">
      <c r="C4384" s="211"/>
    </row>
    <row r="4385" spans="3:3" x14ac:dyDescent="0.25">
      <c r="C4385" s="211"/>
    </row>
    <row r="4386" spans="3:3" x14ac:dyDescent="0.25">
      <c r="C4386" s="211"/>
    </row>
    <row r="4387" spans="3:3" x14ac:dyDescent="0.25">
      <c r="C4387" s="211"/>
    </row>
    <row r="4388" spans="3:3" x14ac:dyDescent="0.25">
      <c r="C4388" s="211"/>
    </row>
    <row r="4389" spans="3:3" x14ac:dyDescent="0.25">
      <c r="C4389" s="211"/>
    </row>
    <row r="4390" spans="3:3" x14ac:dyDescent="0.25">
      <c r="C4390" s="211"/>
    </row>
    <row r="4391" spans="3:3" x14ac:dyDescent="0.25">
      <c r="C4391" s="211"/>
    </row>
    <row r="4392" spans="3:3" x14ac:dyDescent="0.25">
      <c r="C4392" s="211"/>
    </row>
    <row r="4393" spans="3:3" x14ac:dyDescent="0.25">
      <c r="C4393" s="211"/>
    </row>
    <row r="4394" spans="3:3" x14ac:dyDescent="0.25">
      <c r="C4394" s="211"/>
    </row>
    <row r="4395" spans="3:3" x14ac:dyDescent="0.25">
      <c r="C4395" s="211"/>
    </row>
    <row r="4396" spans="3:3" x14ac:dyDescent="0.25">
      <c r="C4396" s="211"/>
    </row>
    <row r="4397" spans="3:3" x14ac:dyDescent="0.25">
      <c r="C4397" s="211"/>
    </row>
    <row r="4398" spans="3:3" x14ac:dyDescent="0.25">
      <c r="C4398" s="211"/>
    </row>
    <row r="4399" spans="3:3" x14ac:dyDescent="0.25">
      <c r="C4399" s="211"/>
    </row>
    <row r="4400" spans="3:3" x14ac:dyDescent="0.25">
      <c r="C4400" s="211"/>
    </row>
    <row r="4401" spans="3:3" x14ac:dyDescent="0.25">
      <c r="C4401" s="211"/>
    </row>
    <row r="4402" spans="3:3" x14ac:dyDescent="0.25">
      <c r="C4402" s="211"/>
    </row>
    <row r="4403" spans="3:3" x14ac:dyDescent="0.25">
      <c r="C4403" s="211"/>
    </row>
    <row r="4404" spans="3:3" x14ac:dyDescent="0.25">
      <c r="C4404" s="211"/>
    </row>
    <row r="4405" spans="3:3" x14ac:dyDescent="0.25">
      <c r="C4405" s="211"/>
    </row>
    <row r="4406" spans="3:3" x14ac:dyDescent="0.25">
      <c r="C4406" s="211"/>
    </row>
    <row r="4407" spans="3:3" x14ac:dyDescent="0.25">
      <c r="C4407" s="211"/>
    </row>
    <row r="4408" spans="3:3" x14ac:dyDescent="0.25">
      <c r="C4408" s="211"/>
    </row>
    <row r="4409" spans="3:3" x14ac:dyDescent="0.25">
      <c r="C4409" s="211"/>
    </row>
    <row r="4410" spans="3:3" x14ac:dyDescent="0.25">
      <c r="C4410" s="211"/>
    </row>
    <row r="4411" spans="3:3" x14ac:dyDescent="0.25">
      <c r="C4411" s="211"/>
    </row>
    <row r="4412" spans="3:3" x14ac:dyDescent="0.25">
      <c r="C4412" s="211"/>
    </row>
    <row r="4413" spans="3:3" x14ac:dyDescent="0.25">
      <c r="C4413" s="211"/>
    </row>
    <row r="4414" spans="3:3" x14ac:dyDescent="0.25">
      <c r="C4414" s="211"/>
    </row>
    <row r="4415" spans="3:3" x14ac:dyDescent="0.25">
      <c r="C4415" s="211"/>
    </row>
    <row r="4416" spans="3:3" x14ac:dyDescent="0.25">
      <c r="C4416" s="211"/>
    </row>
    <row r="4417" spans="3:3" x14ac:dyDescent="0.25">
      <c r="C4417" s="211"/>
    </row>
    <row r="4418" spans="3:3" x14ac:dyDescent="0.25">
      <c r="C4418" s="211"/>
    </row>
    <row r="4419" spans="3:3" x14ac:dyDescent="0.25">
      <c r="C4419" s="211"/>
    </row>
    <row r="4420" spans="3:3" x14ac:dyDescent="0.25">
      <c r="C4420" s="211"/>
    </row>
    <row r="4421" spans="3:3" x14ac:dyDescent="0.25">
      <c r="C4421" s="211"/>
    </row>
    <row r="4422" spans="3:3" x14ac:dyDescent="0.25">
      <c r="C4422" s="211"/>
    </row>
    <row r="4423" spans="3:3" x14ac:dyDescent="0.25">
      <c r="C4423" s="211"/>
    </row>
    <row r="4424" spans="3:3" x14ac:dyDescent="0.25">
      <c r="C4424" s="211"/>
    </row>
    <row r="4425" spans="3:3" x14ac:dyDescent="0.25">
      <c r="C4425" s="211"/>
    </row>
    <row r="4426" spans="3:3" x14ac:dyDescent="0.25">
      <c r="C4426" s="211"/>
    </row>
    <row r="4427" spans="3:3" x14ac:dyDescent="0.25">
      <c r="C4427" s="211"/>
    </row>
    <row r="4428" spans="3:3" x14ac:dyDescent="0.25">
      <c r="C4428" s="211"/>
    </row>
    <row r="4429" spans="3:3" x14ac:dyDescent="0.25">
      <c r="C4429" s="211"/>
    </row>
    <row r="4430" spans="3:3" x14ac:dyDescent="0.25">
      <c r="C4430" s="211"/>
    </row>
    <row r="4431" spans="3:3" x14ac:dyDescent="0.25">
      <c r="C4431" s="211"/>
    </row>
    <row r="4432" spans="3:3" x14ac:dyDescent="0.25">
      <c r="C4432" s="211"/>
    </row>
    <row r="4433" spans="3:3" x14ac:dyDescent="0.25">
      <c r="C4433" s="211"/>
    </row>
    <row r="4434" spans="3:3" x14ac:dyDescent="0.25">
      <c r="C4434" s="211"/>
    </row>
    <row r="4435" spans="3:3" x14ac:dyDescent="0.25">
      <c r="C4435" s="211"/>
    </row>
    <row r="4436" spans="3:3" x14ac:dyDescent="0.25">
      <c r="C4436" s="211"/>
    </row>
    <row r="4437" spans="3:3" x14ac:dyDescent="0.25">
      <c r="C4437" s="211"/>
    </row>
    <row r="4438" spans="3:3" x14ac:dyDescent="0.25">
      <c r="C4438" s="211"/>
    </row>
    <row r="4439" spans="3:3" x14ac:dyDescent="0.25">
      <c r="C4439" s="211"/>
    </row>
    <row r="4440" spans="3:3" x14ac:dyDescent="0.25">
      <c r="C4440" s="211"/>
    </row>
    <row r="4441" spans="3:3" x14ac:dyDescent="0.25">
      <c r="C4441" s="211"/>
    </row>
    <row r="4442" spans="3:3" x14ac:dyDescent="0.25">
      <c r="C4442" s="211"/>
    </row>
    <row r="4443" spans="3:3" x14ac:dyDescent="0.25">
      <c r="C4443" s="211"/>
    </row>
    <row r="4444" spans="3:3" x14ac:dyDescent="0.25">
      <c r="C4444" s="211"/>
    </row>
    <row r="4445" spans="3:3" x14ac:dyDescent="0.25">
      <c r="C4445" s="211"/>
    </row>
    <row r="4446" spans="3:3" x14ac:dyDescent="0.25">
      <c r="C4446" s="211"/>
    </row>
    <row r="4447" spans="3:3" x14ac:dyDescent="0.25">
      <c r="C4447" s="211"/>
    </row>
    <row r="4448" spans="3:3" x14ac:dyDescent="0.25">
      <c r="C4448" s="211"/>
    </row>
    <row r="4449" spans="3:3" x14ac:dyDescent="0.25">
      <c r="C4449" s="211"/>
    </row>
    <row r="4450" spans="3:3" x14ac:dyDescent="0.25">
      <c r="C4450" s="211"/>
    </row>
    <row r="4451" spans="3:3" x14ac:dyDescent="0.25">
      <c r="C4451" s="211"/>
    </row>
    <row r="4452" spans="3:3" x14ac:dyDescent="0.25">
      <c r="C4452" s="211"/>
    </row>
    <row r="4453" spans="3:3" x14ac:dyDescent="0.25">
      <c r="C4453" s="211"/>
    </row>
    <row r="4454" spans="3:3" x14ac:dyDescent="0.25">
      <c r="C4454" s="211"/>
    </row>
    <row r="4455" spans="3:3" x14ac:dyDescent="0.25">
      <c r="C4455" s="211"/>
    </row>
    <row r="4456" spans="3:3" x14ac:dyDescent="0.25">
      <c r="C4456" s="211"/>
    </row>
    <row r="4457" spans="3:3" x14ac:dyDescent="0.25">
      <c r="C4457" s="211"/>
    </row>
    <row r="4458" spans="3:3" x14ac:dyDescent="0.25">
      <c r="C4458" s="211"/>
    </row>
    <row r="4459" spans="3:3" x14ac:dyDescent="0.25">
      <c r="C4459" s="211"/>
    </row>
    <row r="4460" spans="3:3" x14ac:dyDescent="0.25">
      <c r="C4460" s="211"/>
    </row>
    <row r="4461" spans="3:3" x14ac:dyDescent="0.25">
      <c r="C4461" s="211"/>
    </row>
    <row r="4462" spans="3:3" x14ac:dyDescent="0.25">
      <c r="C4462" s="211"/>
    </row>
    <row r="4463" spans="3:3" x14ac:dyDescent="0.25">
      <c r="C4463" s="211"/>
    </row>
    <row r="4464" spans="3:3" x14ac:dyDescent="0.25">
      <c r="C4464" s="211"/>
    </row>
    <row r="4465" spans="3:3" x14ac:dyDescent="0.25">
      <c r="C4465" s="211"/>
    </row>
    <row r="4466" spans="3:3" x14ac:dyDescent="0.25">
      <c r="C4466" s="211"/>
    </row>
    <row r="4467" spans="3:3" x14ac:dyDescent="0.25">
      <c r="C4467" s="211"/>
    </row>
    <row r="4468" spans="3:3" x14ac:dyDescent="0.25">
      <c r="C4468" s="211"/>
    </row>
    <row r="4469" spans="3:3" x14ac:dyDescent="0.25">
      <c r="C4469" s="211"/>
    </row>
    <row r="4470" spans="3:3" x14ac:dyDescent="0.25">
      <c r="C4470" s="211"/>
    </row>
    <row r="4471" spans="3:3" x14ac:dyDescent="0.25">
      <c r="C4471" s="211"/>
    </row>
    <row r="4472" spans="3:3" x14ac:dyDescent="0.25">
      <c r="C4472" s="211"/>
    </row>
    <row r="4473" spans="3:3" x14ac:dyDescent="0.25">
      <c r="C4473" s="211"/>
    </row>
    <row r="4474" spans="3:3" x14ac:dyDescent="0.25">
      <c r="C4474" s="211"/>
    </row>
    <row r="4475" spans="3:3" x14ac:dyDescent="0.25">
      <c r="C4475" s="211"/>
    </row>
    <row r="4476" spans="3:3" x14ac:dyDescent="0.25">
      <c r="C4476" s="211"/>
    </row>
    <row r="4477" spans="3:3" x14ac:dyDescent="0.25">
      <c r="C4477" s="211"/>
    </row>
    <row r="4478" spans="3:3" x14ac:dyDescent="0.25">
      <c r="C4478" s="211"/>
    </row>
    <row r="4479" spans="3:3" x14ac:dyDescent="0.25">
      <c r="C4479" s="211"/>
    </row>
    <row r="4480" spans="3:3" x14ac:dyDescent="0.25">
      <c r="C4480" s="211"/>
    </row>
    <row r="4481" spans="3:3" x14ac:dyDescent="0.25">
      <c r="C4481" s="211"/>
    </row>
    <row r="4482" spans="3:3" x14ac:dyDescent="0.25">
      <c r="C4482" s="211"/>
    </row>
    <row r="4483" spans="3:3" x14ac:dyDescent="0.25">
      <c r="C4483" s="211"/>
    </row>
    <row r="4484" spans="3:3" x14ac:dyDescent="0.25">
      <c r="C4484" s="211"/>
    </row>
    <row r="4485" spans="3:3" x14ac:dyDescent="0.25">
      <c r="C4485" s="211"/>
    </row>
    <row r="4486" spans="3:3" x14ac:dyDescent="0.25">
      <c r="C4486" s="211"/>
    </row>
    <row r="4487" spans="3:3" x14ac:dyDescent="0.25">
      <c r="C4487" s="211"/>
    </row>
    <row r="4488" spans="3:3" x14ac:dyDescent="0.25">
      <c r="C4488" s="211"/>
    </row>
    <row r="4489" spans="3:3" x14ac:dyDescent="0.25">
      <c r="C4489" s="211"/>
    </row>
    <row r="4490" spans="3:3" x14ac:dyDescent="0.25">
      <c r="C4490" s="211"/>
    </row>
    <row r="4491" spans="3:3" x14ac:dyDescent="0.25">
      <c r="C4491" s="211"/>
    </row>
    <row r="4492" spans="3:3" x14ac:dyDescent="0.25">
      <c r="C4492" s="211"/>
    </row>
    <row r="4493" spans="3:3" x14ac:dyDescent="0.25">
      <c r="C4493" s="211"/>
    </row>
    <row r="4494" spans="3:3" x14ac:dyDescent="0.25">
      <c r="C4494" s="211"/>
    </row>
    <row r="4495" spans="3:3" x14ac:dyDescent="0.25">
      <c r="C4495" s="211"/>
    </row>
    <row r="4496" spans="3:3" x14ac:dyDescent="0.25">
      <c r="C4496" s="211"/>
    </row>
    <row r="4497" spans="3:3" x14ac:dyDescent="0.25">
      <c r="C4497" s="211"/>
    </row>
    <row r="4498" spans="3:3" x14ac:dyDescent="0.25">
      <c r="C4498" s="211"/>
    </row>
    <row r="4499" spans="3:3" x14ac:dyDescent="0.25">
      <c r="C4499" s="211"/>
    </row>
    <row r="4500" spans="3:3" x14ac:dyDescent="0.25">
      <c r="C4500" s="211"/>
    </row>
    <row r="4501" spans="3:3" x14ac:dyDescent="0.25">
      <c r="C4501" s="211"/>
    </row>
    <row r="4502" spans="3:3" x14ac:dyDescent="0.25">
      <c r="C4502" s="211"/>
    </row>
    <row r="4503" spans="3:3" x14ac:dyDescent="0.25">
      <c r="C4503" s="211"/>
    </row>
    <row r="4504" spans="3:3" x14ac:dyDescent="0.25">
      <c r="C4504" s="211"/>
    </row>
    <row r="4505" spans="3:3" x14ac:dyDescent="0.25">
      <c r="C4505" s="211"/>
    </row>
    <row r="4506" spans="3:3" x14ac:dyDescent="0.25">
      <c r="C4506" s="211"/>
    </row>
    <row r="4507" spans="3:3" x14ac:dyDescent="0.25">
      <c r="C4507" s="211"/>
    </row>
    <row r="4508" spans="3:3" x14ac:dyDescent="0.25">
      <c r="C4508" s="211"/>
    </row>
    <row r="4509" spans="3:3" x14ac:dyDescent="0.25">
      <c r="C4509" s="211"/>
    </row>
    <row r="4510" spans="3:3" x14ac:dyDescent="0.25">
      <c r="C4510" s="211"/>
    </row>
    <row r="4511" spans="3:3" x14ac:dyDescent="0.25">
      <c r="C4511" s="211"/>
    </row>
    <row r="4512" spans="3:3" x14ac:dyDescent="0.25">
      <c r="C4512" s="211"/>
    </row>
    <row r="4513" spans="3:3" x14ac:dyDescent="0.25">
      <c r="C4513" s="211"/>
    </row>
    <row r="4514" spans="3:3" x14ac:dyDescent="0.25">
      <c r="C4514" s="211"/>
    </row>
    <row r="4515" spans="3:3" x14ac:dyDescent="0.25">
      <c r="C4515" s="211"/>
    </row>
    <row r="4516" spans="3:3" x14ac:dyDescent="0.25">
      <c r="C4516" s="211"/>
    </row>
    <row r="4517" spans="3:3" x14ac:dyDescent="0.25">
      <c r="C4517" s="211"/>
    </row>
    <row r="4518" spans="3:3" x14ac:dyDescent="0.25">
      <c r="C4518" s="211"/>
    </row>
    <row r="4519" spans="3:3" x14ac:dyDescent="0.25">
      <c r="C4519" s="211"/>
    </row>
    <row r="4520" spans="3:3" x14ac:dyDescent="0.25">
      <c r="C4520" s="211"/>
    </row>
    <row r="4521" spans="3:3" x14ac:dyDescent="0.25">
      <c r="C4521" s="211"/>
    </row>
    <row r="4522" spans="3:3" x14ac:dyDescent="0.25">
      <c r="C4522" s="211"/>
    </row>
    <row r="4523" spans="3:3" x14ac:dyDescent="0.25">
      <c r="C4523" s="211"/>
    </row>
    <row r="4524" spans="3:3" x14ac:dyDescent="0.25">
      <c r="C4524" s="211"/>
    </row>
    <row r="4525" spans="3:3" x14ac:dyDescent="0.25">
      <c r="C4525" s="211"/>
    </row>
    <row r="4526" spans="3:3" x14ac:dyDescent="0.25">
      <c r="C4526" s="211"/>
    </row>
    <row r="4527" spans="3:3" x14ac:dyDescent="0.25">
      <c r="C4527" s="211"/>
    </row>
    <row r="4528" spans="3:3" x14ac:dyDescent="0.25">
      <c r="C4528" s="211"/>
    </row>
    <row r="4529" spans="3:3" x14ac:dyDescent="0.25">
      <c r="C4529" s="211"/>
    </row>
    <row r="4530" spans="3:3" x14ac:dyDescent="0.25">
      <c r="C4530" s="211"/>
    </row>
    <row r="4531" spans="3:3" x14ac:dyDescent="0.25">
      <c r="C4531" s="211"/>
    </row>
    <row r="4532" spans="3:3" x14ac:dyDescent="0.25">
      <c r="C4532" s="211"/>
    </row>
    <row r="4533" spans="3:3" x14ac:dyDescent="0.25">
      <c r="C4533" s="211"/>
    </row>
    <row r="4534" spans="3:3" x14ac:dyDescent="0.25">
      <c r="C4534" s="211"/>
    </row>
    <row r="4535" spans="3:3" x14ac:dyDescent="0.25">
      <c r="C4535" s="211"/>
    </row>
    <row r="4536" spans="3:3" x14ac:dyDescent="0.25">
      <c r="C4536" s="211"/>
    </row>
    <row r="4537" spans="3:3" x14ac:dyDescent="0.25">
      <c r="C4537" s="211"/>
    </row>
    <row r="4538" spans="3:3" x14ac:dyDescent="0.25">
      <c r="C4538" s="211"/>
    </row>
    <row r="4539" spans="3:3" x14ac:dyDescent="0.25">
      <c r="C4539" s="211"/>
    </row>
    <row r="4540" spans="3:3" x14ac:dyDescent="0.25">
      <c r="C4540" s="211"/>
    </row>
    <row r="4541" spans="3:3" x14ac:dyDescent="0.25">
      <c r="C4541" s="211"/>
    </row>
    <row r="4542" spans="3:3" x14ac:dyDescent="0.25">
      <c r="C4542" s="211"/>
    </row>
    <row r="4543" spans="3:3" x14ac:dyDescent="0.25">
      <c r="C4543" s="211"/>
    </row>
    <row r="4544" spans="3:3" x14ac:dyDescent="0.25">
      <c r="C4544" s="211"/>
    </row>
    <row r="4545" spans="3:3" x14ac:dyDescent="0.25">
      <c r="C4545" s="211"/>
    </row>
    <row r="4546" spans="3:3" x14ac:dyDescent="0.25">
      <c r="C4546" s="211"/>
    </row>
    <row r="4547" spans="3:3" x14ac:dyDescent="0.25">
      <c r="C4547" s="211"/>
    </row>
    <row r="4548" spans="3:3" x14ac:dyDescent="0.25">
      <c r="C4548" s="211"/>
    </row>
    <row r="4549" spans="3:3" x14ac:dyDescent="0.25">
      <c r="C4549" s="211"/>
    </row>
    <row r="4550" spans="3:3" x14ac:dyDescent="0.25">
      <c r="C4550" s="211"/>
    </row>
    <row r="4551" spans="3:3" x14ac:dyDescent="0.25">
      <c r="C4551" s="211"/>
    </row>
    <row r="4552" spans="3:3" x14ac:dyDescent="0.25">
      <c r="C4552" s="211"/>
    </row>
    <row r="4553" spans="3:3" x14ac:dyDescent="0.25">
      <c r="C4553" s="211"/>
    </row>
    <row r="4554" spans="3:3" x14ac:dyDescent="0.25">
      <c r="C4554" s="211"/>
    </row>
    <row r="4555" spans="3:3" x14ac:dyDescent="0.25">
      <c r="C4555" s="211"/>
    </row>
    <row r="4556" spans="3:3" x14ac:dyDescent="0.25">
      <c r="C4556" s="211"/>
    </row>
    <row r="4557" spans="3:3" x14ac:dyDescent="0.25">
      <c r="C4557" s="211"/>
    </row>
    <row r="4558" spans="3:3" x14ac:dyDescent="0.25">
      <c r="C4558" s="211"/>
    </row>
    <row r="4559" spans="3:3" x14ac:dyDescent="0.25">
      <c r="C4559" s="211"/>
    </row>
    <row r="4560" spans="3:3" x14ac:dyDescent="0.25">
      <c r="C4560" s="211"/>
    </row>
    <row r="4561" spans="3:3" x14ac:dyDescent="0.25">
      <c r="C4561" s="211"/>
    </row>
    <row r="4562" spans="3:3" x14ac:dyDescent="0.25">
      <c r="C4562" s="211"/>
    </row>
    <row r="4563" spans="3:3" x14ac:dyDescent="0.25">
      <c r="C4563" s="211"/>
    </row>
    <row r="4564" spans="3:3" x14ac:dyDescent="0.25">
      <c r="C4564" s="211"/>
    </row>
    <row r="4565" spans="3:3" x14ac:dyDescent="0.25">
      <c r="C4565" s="211"/>
    </row>
    <row r="4566" spans="3:3" x14ac:dyDescent="0.25">
      <c r="C4566" s="211"/>
    </row>
    <row r="4567" spans="3:3" x14ac:dyDescent="0.25">
      <c r="C4567" s="211"/>
    </row>
    <row r="4568" spans="3:3" x14ac:dyDescent="0.25">
      <c r="C4568" s="211"/>
    </row>
    <row r="4569" spans="3:3" x14ac:dyDescent="0.25">
      <c r="C4569" s="211"/>
    </row>
    <row r="4570" spans="3:3" x14ac:dyDescent="0.25">
      <c r="C4570" s="211"/>
    </row>
    <row r="4571" spans="3:3" x14ac:dyDescent="0.25">
      <c r="C4571" s="211"/>
    </row>
    <row r="4572" spans="3:3" x14ac:dyDescent="0.25">
      <c r="C4572" s="211"/>
    </row>
    <row r="4573" spans="3:3" x14ac:dyDescent="0.25">
      <c r="C4573" s="211"/>
    </row>
    <row r="4574" spans="3:3" x14ac:dyDescent="0.25">
      <c r="C4574" s="211"/>
    </row>
    <row r="4575" spans="3:3" x14ac:dyDescent="0.25">
      <c r="C4575" s="211"/>
    </row>
    <row r="4576" spans="3:3" x14ac:dyDescent="0.25">
      <c r="C4576" s="211"/>
    </row>
    <row r="4577" spans="3:3" x14ac:dyDescent="0.25">
      <c r="C4577" s="211"/>
    </row>
    <row r="4578" spans="3:3" x14ac:dyDescent="0.25">
      <c r="C4578" s="211"/>
    </row>
    <row r="4579" spans="3:3" x14ac:dyDescent="0.25">
      <c r="C4579" s="211"/>
    </row>
    <row r="4580" spans="3:3" x14ac:dyDescent="0.25">
      <c r="C4580" s="211"/>
    </row>
    <row r="4581" spans="3:3" x14ac:dyDescent="0.25">
      <c r="C4581" s="211"/>
    </row>
    <row r="4582" spans="3:3" x14ac:dyDescent="0.25">
      <c r="C4582" s="211"/>
    </row>
    <row r="4583" spans="3:3" x14ac:dyDescent="0.25">
      <c r="C4583" s="211"/>
    </row>
    <row r="4584" spans="3:3" x14ac:dyDescent="0.25">
      <c r="C4584" s="211"/>
    </row>
    <row r="4585" spans="3:3" x14ac:dyDescent="0.25">
      <c r="C4585" s="211"/>
    </row>
    <row r="4586" spans="3:3" x14ac:dyDescent="0.25">
      <c r="C4586" s="211"/>
    </row>
    <row r="4587" spans="3:3" x14ac:dyDescent="0.25">
      <c r="C4587" s="211"/>
    </row>
    <row r="4588" spans="3:3" x14ac:dyDescent="0.25">
      <c r="C4588" s="211"/>
    </row>
    <row r="4589" spans="3:3" x14ac:dyDescent="0.25">
      <c r="C4589" s="211"/>
    </row>
    <row r="4590" spans="3:3" x14ac:dyDescent="0.25">
      <c r="C4590" s="211"/>
    </row>
    <row r="4591" spans="3:3" x14ac:dyDescent="0.25">
      <c r="C4591" s="211"/>
    </row>
    <row r="4592" spans="3:3" x14ac:dyDescent="0.25">
      <c r="C4592" s="211"/>
    </row>
    <row r="4593" spans="3:3" x14ac:dyDescent="0.25">
      <c r="C4593" s="211"/>
    </row>
    <row r="4594" spans="3:3" x14ac:dyDescent="0.25">
      <c r="C4594" s="211"/>
    </row>
    <row r="4595" spans="3:3" x14ac:dyDescent="0.25">
      <c r="C4595" s="211"/>
    </row>
    <row r="4596" spans="3:3" x14ac:dyDescent="0.25">
      <c r="C4596" s="211"/>
    </row>
    <row r="4597" spans="3:3" x14ac:dyDescent="0.25">
      <c r="C4597" s="211"/>
    </row>
    <row r="4598" spans="3:3" x14ac:dyDescent="0.25">
      <c r="C4598" s="211"/>
    </row>
    <row r="4599" spans="3:3" x14ac:dyDescent="0.25">
      <c r="C4599" s="211"/>
    </row>
    <row r="4600" spans="3:3" x14ac:dyDescent="0.25">
      <c r="C4600" s="211"/>
    </row>
    <row r="4601" spans="3:3" x14ac:dyDescent="0.25">
      <c r="C4601" s="211"/>
    </row>
    <row r="4602" spans="3:3" x14ac:dyDescent="0.25">
      <c r="C4602" s="211"/>
    </row>
    <row r="4603" spans="3:3" x14ac:dyDescent="0.25">
      <c r="C4603" s="211"/>
    </row>
    <row r="4604" spans="3:3" x14ac:dyDescent="0.25">
      <c r="C4604" s="211"/>
    </row>
    <row r="4605" spans="3:3" x14ac:dyDescent="0.25">
      <c r="C4605" s="211"/>
    </row>
    <row r="4606" spans="3:3" x14ac:dyDescent="0.25">
      <c r="C4606" s="211"/>
    </row>
    <row r="4607" spans="3:3" x14ac:dyDescent="0.25">
      <c r="C4607" s="211"/>
    </row>
    <row r="4608" spans="3:3" x14ac:dyDescent="0.25">
      <c r="C4608" s="211"/>
    </row>
    <row r="4609" spans="3:3" x14ac:dyDescent="0.25">
      <c r="C4609" s="211"/>
    </row>
    <row r="4610" spans="3:3" x14ac:dyDescent="0.25">
      <c r="C4610" s="211"/>
    </row>
    <row r="4611" spans="3:3" x14ac:dyDescent="0.25">
      <c r="C4611" s="211"/>
    </row>
    <row r="4612" spans="3:3" x14ac:dyDescent="0.25">
      <c r="C4612" s="211"/>
    </row>
    <row r="4613" spans="3:3" x14ac:dyDescent="0.25">
      <c r="C4613" s="211"/>
    </row>
    <row r="4614" spans="3:3" x14ac:dyDescent="0.25">
      <c r="C4614" s="211"/>
    </row>
    <row r="4615" spans="3:3" x14ac:dyDescent="0.25">
      <c r="C4615" s="211"/>
    </row>
    <row r="4616" spans="3:3" x14ac:dyDescent="0.25">
      <c r="C4616" s="211"/>
    </row>
    <row r="4617" spans="3:3" x14ac:dyDescent="0.25">
      <c r="C4617" s="211"/>
    </row>
    <row r="4618" spans="3:3" x14ac:dyDescent="0.25">
      <c r="C4618" s="211"/>
    </row>
    <row r="4619" spans="3:3" x14ac:dyDescent="0.25">
      <c r="C4619" s="211"/>
    </row>
    <row r="4620" spans="3:3" x14ac:dyDescent="0.25">
      <c r="C4620" s="211"/>
    </row>
    <row r="4621" spans="3:3" x14ac:dyDescent="0.25">
      <c r="C4621" s="211"/>
    </row>
    <row r="4622" spans="3:3" x14ac:dyDescent="0.25">
      <c r="C4622" s="211"/>
    </row>
    <row r="4623" spans="3:3" x14ac:dyDescent="0.25">
      <c r="C4623" s="211"/>
    </row>
    <row r="4624" spans="3:3" x14ac:dyDescent="0.25">
      <c r="C4624" s="211"/>
    </row>
    <row r="4625" spans="3:3" x14ac:dyDescent="0.25">
      <c r="C4625" s="211"/>
    </row>
    <row r="4626" spans="3:3" x14ac:dyDescent="0.25">
      <c r="C4626" s="211"/>
    </row>
    <row r="4627" spans="3:3" x14ac:dyDescent="0.25">
      <c r="C4627" s="211"/>
    </row>
    <row r="4628" spans="3:3" x14ac:dyDescent="0.25">
      <c r="C4628" s="211"/>
    </row>
    <row r="4629" spans="3:3" x14ac:dyDescent="0.25">
      <c r="C4629" s="211"/>
    </row>
    <row r="4630" spans="3:3" x14ac:dyDescent="0.25">
      <c r="C4630" s="211"/>
    </row>
    <row r="4631" spans="3:3" x14ac:dyDescent="0.25">
      <c r="C4631" s="211"/>
    </row>
    <row r="4632" spans="3:3" x14ac:dyDescent="0.25">
      <c r="C4632" s="211"/>
    </row>
    <row r="4633" spans="3:3" x14ac:dyDescent="0.25">
      <c r="C4633" s="211"/>
    </row>
    <row r="4634" spans="3:3" x14ac:dyDescent="0.25">
      <c r="C4634" s="211"/>
    </row>
    <row r="4635" spans="3:3" x14ac:dyDescent="0.25">
      <c r="C4635" s="211"/>
    </row>
    <row r="4636" spans="3:3" x14ac:dyDescent="0.25">
      <c r="C4636" s="211"/>
    </row>
    <row r="4637" spans="3:3" x14ac:dyDescent="0.25">
      <c r="C4637" s="211"/>
    </row>
    <row r="4638" spans="3:3" x14ac:dyDescent="0.25">
      <c r="C4638" s="211"/>
    </row>
    <row r="4639" spans="3:3" x14ac:dyDescent="0.25">
      <c r="C4639" s="211"/>
    </row>
    <row r="4640" spans="3:3" x14ac:dyDescent="0.25">
      <c r="C4640" s="211"/>
    </row>
    <row r="4641" spans="3:3" x14ac:dyDescent="0.25">
      <c r="C4641" s="211"/>
    </row>
    <row r="4642" spans="3:3" x14ac:dyDescent="0.25">
      <c r="C4642" s="211"/>
    </row>
    <row r="4643" spans="3:3" x14ac:dyDescent="0.25">
      <c r="C4643" s="211"/>
    </row>
    <row r="4644" spans="3:3" x14ac:dyDescent="0.25">
      <c r="C4644" s="211"/>
    </row>
    <row r="4645" spans="3:3" x14ac:dyDescent="0.25">
      <c r="C4645" s="211"/>
    </row>
    <row r="4646" spans="3:3" x14ac:dyDescent="0.25">
      <c r="C4646" s="211"/>
    </row>
    <row r="4647" spans="3:3" x14ac:dyDescent="0.25">
      <c r="C4647" s="211"/>
    </row>
    <row r="4648" spans="3:3" x14ac:dyDescent="0.25">
      <c r="C4648" s="211"/>
    </row>
    <row r="4649" spans="3:3" x14ac:dyDescent="0.25">
      <c r="C4649" s="211"/>
    </row>
    <row r="4650" spans="3:3" x14ac:dyDescent="0.25">
      <c r="C4650" s="211"/>
    </row>
    <row r="4651" spans="3:3" x14ac:dyDescent="0.25">
      <c r="C4651" s="211"/>
    </row>
    <row r="4652" spans="3:3" x14ac:dyDescent="0.25">
      <c r="C4652" s="211"/>
    </row>
    <row r="4653" spans="3:3" x14ac:dyDescent="0.25">
      <c r="C4653" s="211"/>
    </row>
    <row r="4654" spans="3:3" x14ac:dyDescent="0.25">
      <c r="C4654" s="211"/>
    </row>
    <row r="4655" spans="3:3" x14ac:dyDescent="0.25">
      <c r="C4655" s="211"/>
    </row>
    <row r="4656" spans="3:3" x14ac:dyDescent="0.25">
      <c r="C4656" s="211"/>
    </row>
    <row r="4657" spans="3:3" x14ac:dyDescent="0.25">
      <c r="C4657" s="211"/>
    </row>
    <row r="4658" spans="3:3" x14ac:dyDescent="0.25">
      <c r="C4658" s="211"/>
    </row>
    <row r="4659" spans="3:3" x14ac:dyDescent="0.25">
      <c r="C4659" s="211"/>
    </row>
    <row r="4660" spans="3:3" x14ac:dyDescent="0.25">
      <c r="C4660" s="211"/>
    </row>
    <row r="4661" spans="3:3" x14ac:dyDescent="0.25">
      <c r="C4661" s="211"/>
    </row>
    <row r="4662" spans="3:3" x14ac:dyDescent="0.25">
      <c r="C4662" s="211"/>
    </row>
    <row r="4663" spans="3:3" x14ac:dyDescent="0.25">
      <c r="C4663" s="211"/>
    </row>
    <row r="4664" spans="3:3" x14ac:dyDescent="0.25">
      <c r="C4664" s="211"/>
    </row>
    <row r="4665" spans="3:3" x14ac:dyDescent="0.25">
      <c r="C4665" s="211"/>
    </row>
    <row r="4666" spans="3:3" x14ac:dyDescent="0.25">
      <c r="C4666" s="211"/>
    </row>
    <row r="4667" spans="3:3" x14ac:dyDescent="0.25">
      <c r="C4667" s="211"/>
    </row>
    <row r="4668" spans="3:3" x14ac:dyDescent="0.25">
      <c r="C4668" s="211"/>
    </row>
    <row r="4669" spans="3:3" x14ac:dyDescent="0.25">
      <c r="C4669" s="211"/>
    </row>
    <row r="4670" spans="3:3" x14ac:dyDescent="0.25">
      <c r="C4670" s="211"/>
    </row>
    <row r="4671" spans="3:3" x14ac:dyDescent="0.25">
      <c r="C4671" s="211"/>
    </row>
    <row r="4672" spans="3:3" x14ac:dyDescent="0.25">
      <c r="C4672" s="211"/>
    </row>
    <row r="4673" spans="3:3" x14ac:dyDescent="0.25">
      <c r="C4673" s="211"/>
    </row>
    <row r="4674" spans="3:3" x14ac:dyDescent="0.25">
      <c r="C4674" s="211"/>
    </row>
    <row r="4675" spans="3:3" x14ac:dyDescent="0.25">
      <c r="C4675" s="211"/>
    </row>
    <row r="4676" spans="3:3" x14ac:dyDescent="0.25">
      <c r="C4676" s="211"/>
    </row>
    <row r="4677" spans="3:3" x14ac:dyDescent="0.25">
      <c r="C4677" s="211"/>
    </row>
    <row r="4678" spans="3:3" x14ac:dyDescent="0.25">
      <c r="C4678" s="211"/>
    </row>
    <row r="4679" spans="3:3" x14ac:dyDescent="0.25">
      <c r="C4679" s="211"/>
    </row>
    <row r="4680" spans="3:3" x14ac:dyDescent="0.25">
      <c r="C4680" s="211"/>
    </row>
    <row r="4681" spans="3:3" x14ac:dyDescent="0.25">
      <c r="C4681" s="211"/>
    </row>
    <row r="4682" spans="3:3" x14ac:dyDescent="0.25">
      <c r="C4682" s="211"/>
    </row>
    <row r="4683" spans="3:3" x14ac:dyDescent="0.25">
      <c r="C4683" s="211"/>
    </row>
    <row r="4684" spans="3:3" x14ac:dyDescent="0.25">
      <c r="C4684" s="211"/>
    </row>
    <row r="4685" spans="3:3" x14ac:dyDescent="0.25">
      <c r="C4685" s="211"/>
    </row>
    <row r="4686" spans="3:3" x14ac:dyDescent="0.25">
      <c r="C4686" s="211"/>
    </row>
    <row r="4687" spans="3:3" x14ac:dyDescent="0.25">
      <c r="C4687" s="211"/>
    </row>
    <row r="4688" spans="3:3" x14ac:dyDescent="0.25">
      <c r="C4688" s="211"/>
    </row>
    <row r="4689" spans="3:3" x14ac:dyDescent="0.25">
      <c r="C4689" s="211"/>
    </row>
    <row r="4690" spans="3:3" x14ac:dyDescent="0.25">
      <c r="C4690" s="211"/>
    </row>
    <row r="4691" spans="3:3" x14ac:dyDescent="0.25">
      <c r="C4691" s="211"/>
    </row>
    <row r="4692" spans="3:3" x14ac:dyDescent="0.25">
      <c r="C4692" s="211"/>
    </row>
    <row r="4693" spans="3:3" x14ac:dyDescent="0.25">
      <c r="C4693" s="211"/>
    </row>
    <row r="4694" spans="3:3" x14ac:dyDescent="0.25">
      <c r="C4694" s="211"/>
    </row>
    <row r="4695" spans="3:3" x14ac:dyDescent="0.25">
      <c r="C4695" s="211"/>
    </row>
    <row r="4696" spans="3:3" x14ac:dyDescent="0.25">
      <c r="C4696" s="211"/>
    </row>
    <row r="4697" spans="3:3" x14ac:dyDescent="0.25">
      <c r="C4697" s="211"/>
    </row>
    <row r="4698" spans="3:3" x14ac:dyDescent="0.25">
      <c r="C4698" s="211"/>
    </row>
    <row r="4699" spans="3:3" x14ac:dyDescent="0.25">
      <c r="C4699" s="211"/>
    </row>
    <row r="4700" spans="3:3" x14ac:dyDescent="0.25">
      <c r="C4700" s="211"/>
    </row>
    <row r="4701" spans="3:3" x14ac:dyDescent="0.25">
      <c r="C4701" s="211"/>
    </row>
    <row r="4702" spans="3:3" x14ac:dyDescent="0.25">
      <c r="C4702" s="211"/>
    </row>
    <row r="4703" spans="3:3" x14ac:dyDescent="0.25">
      <c r="C4703" s="211"/>
    </row>
    <row r="4704" spans="3:3" x14ac:dyDescent="0.25">
      <c r="C4704" s="211"/>
    </row>
    <row r="4705" spans="3:3" x14ac:dyDescent="0.25">
      <c r="C4705" s="211"/>
    </row>
    <row r="4706" spans="3:3" x14ac:dyDescent="0.25">
      <c r="C4706" s="211"/>
    </row>
    <row r="4707" spans="3:3" x14ac:dyDescent="0.25">
      <c r="C4707" s="211"/>
    </row>
    <row r="4708" spans="3:3" x14ac:dyDescent="0.25">
      <c r="C4708" s="211"/>
    </row>
    <row r="4709" spans="3:3" x14ac:dyDescent="0.25">
      <c r="C4709" s="211"/>
    </row>
    <row r="4710" spans="3:3" x14ac:dyDescent="0.25">
      <c r="C4710" s="211"/>
    </row>
    <row r="4711" spans="3:3" x14ac:dyDescent="0.25">
      <c r="C4711" s="211"/>
    </row>
    <row r="4712" spans="3:3" x14ac:dyDescent="0.25">
      <c r="C4712" s="211"/>
    </row>
    <row r="4713" spans="3:3" x14ac:dyDescent="0.25">
      <c r="C4713" s="211"/>
    </row>
    <row r="4714" spans="3:3" x14ac:dyDescent="0.25">
      <c r="C4714" s="211"/>
    </row>
    <row r="4715" spans="3:3" x14ac:dyDescent="0.25">
      <c r="C4715" s="211"/>
    </row>
    <row r="4716" spans="3:3" x14ac:dyDescent="0.25">
      <c r="C4716" s="211"/>
    </row>
    <row r="4717" spans="3:3" x14ac:dyDescent="0.25">
      <c r="C4717" s="211"/>
    </row>
    <row r="4718" spans="3:3" x14ac:dyDescent="0.25">
      <c r="C4718" s="211"/>
    </row>
    <row r="4719" spans="3:3" x14ac:dyDescent="0.25">
      <c r="C4719" s="211"/>
    </row>
    <row r="4720" spans="3:3" x14ac:dyDescent="0.25">
      <c r="C4720" s="211"/>
    </row>
    <row r="4721" spans="3:3" x14ac:dyDescent="0.25">
      <c r="C4721" s="211"/>
    </row>
    <row r="4722" spans="3:3" x14ac:dyDescent="0.25">
      <c r="C4722" s="211"/>
    </row>
    <row r="4723" spans="3:3" x14ac:dyDescent="0.25">
      <c r="C4723" s="211"/>
    </row>
    <row r="4724" spans="3:3" x14ac:dyDescent="0.25">
      <c r="C4724" s="211"/>
    </row>
    <row r="4725" spans="3:3" x14ac:dyDescent="0.25">
      <c r="C4725" s="211"/>
    </row>
    <row r="4726" spans="3:3" x14ac:dyDescent="0.25">
      <c r="C4726" s="211"/>
    </row>
    <row r="4727" spans="3:3" x14ac:dyDescent="0.25">
      <c r="C4727" s="211"/>
    </row>
    <row r="4728" spans="3:3" x14ac:dyDescent="0.25">
      <c r="C4728" s="211"/>
    </row>
    <row r="4729" spans="3:3" x14ac:dyDescent="0.25">
      <c r="C4729" s="211"/>
    </row>
    <row r="4730" spans="3:3" x14ac:dyDescent="0.25">
      <c r="C4730" s="211"/>
    </row>
    <row r="4731" spans="3:3" x14ac:dyDescent="0.25">
      <c r="C4731" s="211"/>
    </row>
    <row r="4732" spans="3:3" x14ac:dyDescent="0.25">
      <c r="C4732" s="211"/>
    </row>
    <row r="4733" spans="3:3" x14ac:dyDescent="0.25">
      <c r="C4733" s="211"/>
    </row>
    <row r="4734" spans="3:3" x14ac:dyDescent="0.25">
      <c r="C4734" s="211"/>
    </row>
    <row r="4735" spans="3:3" x14ac:dyDescent="0.25">
      <c r="C4735" s="211"/>
    </row>
    <row r="4736" spans="3:3" x14ac:dyDescent="0.25">
      <c r="C4736" s="211"/>
    </row>
    <row r="4737" spans="3:3" x14ac:dyDescent="0.25">
      <c r="C4737" s="211"/>
    </row>
    <row r="4738" spans="3:3" x14ac:dyDescent="0.25">
      <c r="C4738" s="211"/>
    </row>
    <row r="4739" spans="3:3" x14ac:dyDescent="0.25">
      <c r="C4739" s="211"/>
    </row>
    <row r="4740" spans="3:3" x14ac:dyDescent="0.25">
      <c r="C4740" s="211"/>
    </row>
    <row r="4741" spans="3:3" x14ac:dyDescent="0.25">
      <c r="C4741" s="211"/>
    </row>
    <row r="4742" spans="3:3" x14ac:dyDescent="0.25">
      <c r="C4742" s="211"/>
    </row>
    <row r="4743" spans="3:3" x14ac:dyDescent="0.25">
      <c r="C4743" s="211"/>
    </row>
    <row r="4744" spans="3:3" x14ac:dyDescent="0.25">
      <c r="C4744" s="211"/>
    </row>
    <row r="4745" spans="3:3" x14ac:dyDescent="0.25">
      <c r="C4745" s="211"/>
    </row>
    <row r="4746" spans="3:3" x14ac:dyDescent="0.25">
      <c r="C4746" s="211"/>
    </row>
    <row r="4747" spans="3:3" x14ac:dyDescent="0.25">
      <c r="C4747" s="211"/>
    </row>
    <row r="4748" spans="3:3" x14ac:dyDescent="0.25">
      <c r="C4748" s="211"/>
    </row>
    <row r="4749" spans="3:3" x14ac:dyDescent="0.25">
      <c r="C4749" s="211"/>
    </row>
    <row r="4750" spans="3:3" x14ac:dyDescent="0.25">
      <c r="C4750" s="211"/>
    </row>
    <row r="4751" spans="3:3" x14ac:dyDescent="0.25">
      <c r="C4751" s="211"/>
    </row>
    <row r="4752" spans="3:3" x14ac:dyDescent="0.25">
      <c r="C4752" s="211"/>
    </row>
    <row r="4753" spans="3:3" x14ac:dyDescent="0.25">
      <c r="C4753" s="211"/>
    </row>
    <row r="4754" spans="3:3" x14ac:dyDescent="0.25">
      <c r="C4754" s="211"/>
    </row>
    <row r="4755" spans="3:3" x14ac:dyDescent="0.25">
      <c r="C4755" s="211"/>
    </row>
    <row r="4756" spans="3:3" x14ac:dyDescent="0.25">
      <c r="C4756" s="211"/>
    </row>
    <row r="4757" spans="3:3" x14ac:dyDescent="0.25">
      <c r="C4757" s="211"/>
    </row>
    <row r="4758" spans="3:3" x14ac:dyDescent="0.25">
      <c r="C4758" s="211"/>
    </row>
    <row r="4759" spans="3:3" x14ac:dyDescent="0.25">
      <c r="C4759" s="211"/>
    </row>
    <row r="4760" spans="3:3" x14ac:dyDescent="0.25">
      <c r="C4760" s="211"/>
    </row>
    <row r="4761" spans="3:3" x14ac:dyDescent="0.25">
      <c r="C4761" s="211"/>
    </row>
    <row r="4762" spans="3:3" x14ac:dyDescent="0.25">
      <c r="C4762" s="211"/>
    </row>
    <row r="4763" spans="3:3" x14ac:dyDescent="0.25">
      <c r="C4763" s="211"/>
    </row>
    <row r="4764" spans="3:3" x14ac:dyDescent="0.25">
      <c r="C4764" s="211"/>
    </row>
    <row r="4765" spans="3:3" x14ac:dyDescent="0.25">
      <c r="C4765" s="211"/>
    </row>
    <row r="4766" spans="3:3" x14ac:dyDescent="0.25">
      <c r="C4766" s="211"/>
    </row>
    <row r="4767" spans="3:3" x14ac:dyDescent="0.25">
      <c r="C4767" s="211"/>
    </row>
    <row r="4768" spans="3:3" x14ac:dyDescent="0.25">
      <c r="C4768" s="211"/>
    </row>
    <row r="4769" spans="3:3" x14ac:dyDescent="0.25">
      <c r="C4769" s="211"/>
    </row>
    <row r="4770" spans="3:3" x14ac:dyDescent="0.25">
      <c r="C4770" s="211"/>
    </row>
    <row r="4771" spans="3:3" x14ac:dyDescent="0.25">
      <c r="C4771" s="211"/>
    </row>
    <row r="4772" spans="3:3" x14ac:dyDescent="0.25">
      <c r="C4772" s="211"/>
    </row>
    <row r="4773" spans="3:3" x14ac:dyDescent="0.25">
      <c r="C4773" s="211"/>
    </row>
    <row r="4774" spans="3:3" x14ac:dyDescent="0.25">
      <c r="C4774" s="211"/>
    </row>
    <row r="4775" spans="3:3" x14ac:dyDescent="0.25">
      <c r="C4775" s="211"/>
    </row>
    <row r="4776" spans="3:3" x14ac:dyDescent="0.25">
      <c r="C4776" s="211"/>
    </row>
    <row r="4777" spans="3:3" x14ac:dyDescent="0.25">
      <c r="C4777" s="211"/>
    </row>
    <row r="4778" spans="3:3" x14ac:dyDescent="0.25">
      <c r="C4778" s="211"/>
    </row>
    <row r="4779" spans="3:3" x14ac:dyDescent="0.25">
      <c r="C4779" s="211"/>
    </row>
    <row r="4780" spans="3:3" x14ac:dyDescent="0.25">
      <c r="C4780" s="211"/>
    </row>
    <row r="4781" spans="3:3" x14ac:dyDescent="0.25">
      <c r="C4781" s="211"/>
    </row>
    <row r="4782" spans="3:3" x14ac:dyDescent="0.25">
      <c r="C4782" s="211"/>
    </row>
    <row r="4783" spans="3:3" x14ac:dyDescent="0.25">
      <c r="C4783" s="211"/>
    </row>
    <row r="4784" spans="3:3" x14ac:dyDescent="0.25">
      <c r="C4784" s="211"/>
    </row>
    <row r="4785" spans="3:3" x14ac:dyDescent="0.25">
      <c r="C4785" s="211"/>
    </row>
    <row r="4786" spans="3:3" x14ac:dyDescent="0.25">
      <c r="C4786" s="211"/>
    </row>
    <row r="4787" spans="3:3" x14ac:dyDescent="0.25">
      <c r="C4787" s="211"/>
    </row>
    <row r="4788" spans="3:3" x14ac:dyDescent="0.25">
      <c r="C4788" s="211"/>
    </row>
    <row r="4789" spans="3:3" x14ac:dyDescent="0.25">
      <c r="C4789" s="211"/>
    </row>
    <row r="4790" spans="3:3" x14ac:dyDescent="0.25">
      <c r="C4790" s="211"/>
    </row>
    <row r="4791" spans="3:3" x14ac:dyDescent="0.25">
      <c r="C4791" s="211"/>
    </row>
    <row r="4792" spans="3:3" x14ac:dyDescent="0.25">
      <c r="C4792" s="211"/>
    </row>
    <row r="4793" spans="3:3" x14ac:dyDescent="0.25">
      <c r="C4793" s="211"/>
    </row>
    <row r="4794" spans="3:3" x14ac:dyDescent="0.25">
      <c r="C4794" s="211"/>
    </row>
    <row r="4795" spans="3:3" x14ac:dyDescent="0.25">
      <c r="C4795" s="211"/>
    </row>
    <row r="4796" spans="3:3" x14ac:dyDescent="0.25">
      <c r="C4796" s="211"/>
    </row>
    <row r="4797" spans="3:3" x14ac:dyDescent="0.25">
      <c r="C4797" s="211"/>
    </row>
    <row r="4798" spans="3:3" x14ac:dyDescent="0.25">
      <c r="C4798" s="211"/>
    </row>
    <row r="4799" spans="3:3" x14ac:dyDescent="0.25">
      <c r="C4799" s="211"/>
    </row>
    <row r="4800" spans="3:3" x14ac:dyDescent="0.25">
      <c r="C4800" s="211"/>
    </row>
    <row r="4801" spans="3:3" x14ac:dyDescent="0.25">
      <c r="C4801" s="211"/>
    </row>
    <row r="4802" spans="3:3" x14ac:dyDescent="0.25">
      <c r="C4802" s="211"/>
    </row>
    <row r="4803" spans="3:3" x14ac:dyDescent="0.25">
      <c r="C4803" s="211"/>
    </row>
    <row r="4804" spans="3:3" x14ac:dyDescent="0.25">
      <c r="C4804" s="211"/>
    </row>
    <row r="4805" spans="3:3" x14ac:dyDescent="0.25">
      <c r="C4805" s="211"/>
    </row>
    <row r="4806" spans="3:3" x14ac:dyDescent="0.25">
      <c r="C4806" s="211"/>
    </row>
    <row r="4807" spans="3:3" x14ac:dyDescent="0.25">
      <c r="C4807" s="211"/>
    </row>
    <row r="4808" spans="3:3" x14ac:dyDescent="0.25">
      <c r="C4808" s="211"/>
    </row>
    <row r="4809" spans="3:3" x14ac:dyDescent="0.25">
      <c r="C4809" s="211"/>
    </row>
    <row r="4810" spans="3:3" x14ac:dyDescent="0.25">
      <c r="C4810" s="211"/>
    </row>
    <row r="4811" spans="3:3" x14ac:dyDescent="0.25">
      <c r="C4811" s="211"/>
    </row>
    <row r="4812" spans="3:3" x14ac:dyDescent="0.25">
      <c r="C4812" s="211"/>
    </row>
    <row r="4813" spans="3:3" x14ac:dyDescent="0.25">
      <c r="C4813" s="211"/>
    </row>
    <row r="4814" spans="3:3" x14ac:dyDescent="0.25">
      <c r="C4814" s="211"/>
    </row>
    <row r="4815" spans="3:3" x14ac:dyDescent="0.25">
      <c r="C4815" s="211"/>
    </row>
    <row r="4816" spans="3:3" x14ac:dyDescent="0.25">
      <c r="C4816" s="211"/>
    </row>
    <row r="4817" spans="3:3" x14ac:dyDescent="0.25">
      <c r="C4817" s="211"/>
    </row>
    <row r="4818" spans="3:3" x14ac:dyDescent="0.25">
      <c r="C4818" s="211"/>
    </row>
    <row r="4819" spans="3:3" x14ac:dyDescent="0.25">
      <c r="C4819" s="211"/>
    </row>
    <row r="4820" spans="3:3" x14ac:dyDescent="0.25">
      <c r="C4820" s="211"/>
    </row>
    <row r="4821" spans="3:3" x14ac:dyDescent="0.25">
      <c r="C4821" s="211"/>
    </row>
    <row r="4822" spans="3:3" x14ac:dyDescent="0.25">
      <c r="C4822" s="211"/>
    </row>
    <row r="4823" spans="3:3" x14ac:dyDescent="0.25">
      <c r="C4823" s="211"/>
    </row>
    <row r="4824" spans="3:3" x14ac:dyDescent="0.25">
      <c r="C4824" s="211"/>
    </row>
    <row r="4825" spans="3:3" x14ac:dyDescent="0.25">
      <c r="C4825" s="211"/>
    </row>
    <row r="4826" spans="3:3" x14ac:dyDescent="0.25">
      <c r="C4826" s="211"/>
    </row>
    <row r="4827" spans="3:3" x14ac:dyDescent="0.25">
      <c r="C4827" s="211"/>
    </row>
    <row r="4828" spans="3:3" x14ac:dyDescent="0.25">
      <c r="C4828" s="211"/>
    </row>
    <row r="4829" spans="3:3" x14ac:dyDescent="0.25">
      <c r="C4829" s="211"/>
    </row>
    <row r="4830" spans="3:3" x14ac:dyDescent="0.25">
      <c r="C4830" s="211"/>
    </row>
    <row r="4831" spans="3:3" x14ac:dyDescent="0.25">
      <c r="C4831" s="211"/>
    </row>
    <row r="4832" spans="3:3" x14ac:dyDescent="0.25">
      <c r="C4832" s="211"/>
    </row>
    <row r="4833" spans="3:3" x14ac:dyDescent="0.25">
      <c r="C4833" s="211"/>
    </row>
    <row r="4834" spans="3:3" x14ac:dyDescent="0.25">
      <c r="C4834" s="211"/>
    </row>
    <row r="4835" spans="3:3" x14ac:dyDescent="0.25">
      <c r="C4835" s="211"/>
    </row>
    <row r="4836" spans="3:3" x14ac:dyDescent="0.25">
      <c r="C4836" s="211"/>
    </row>
    <row r="4837" spans="3:3" x14ac:dyDescent="0.25">
      <c r="C4837" s="211"/>
    </row>
    <row r="4838" spans="3:3" x14ac:dyDescent="0.25">
      <c r="C4838" s="211"/>
    </row>
    <row r="4839" spans="3:3" x14ac:dyDescent="0.25">
      <c r="C4839" s="211"/>
    </row>
    <row r="4840" spans="3:3" x14ac:dyDescent="0.25">
      <c r="C4840" s="211"/>
    </row>
    <row r="4841" spans="3:3" x14ac:dyDescent="0.25">
      <c r="C4841" s="211"/>
    </row>
    <row r="4842" spans="3:3" x14ac:dyDescent="0.25">
      <c r="C4842" s="211"/>
    </row>
    <row r="4843" spans="3:3" x14ac:dyDescent="0.25">
      <c r="C4843" s="211"/>
    </row>
    <row r="4844" spans="3:3" x14ac:dyDescent="0.25">
      <c r="C4844" s="211"/>
    </row>
    <row r="4845" spans="3:3" x14ac:dyDescent="0.25">
      <c r="C4845" s="211"/>
    </row>
    <row r="4846" spans="3:3" x14ac:dyDescent="0.25">
      <c r="C4846" s="211"/>
    </row>
    <row r="4847" spans="3:3" x14ac:dyDescent="0.25">
      <c r="C4847" s="211"/>
    </row>
    <row r="4848" spans="3:3" x14ac:dyDescent="0.25">
      <c r="C4848" s="211"/>
    </row>
    <row r="4849" spans="3:3" x14ac:dyDescent="0.25">
      <c r="C4849" s="211"/>
    </row>
    <row r="4850" spans="3:3" x14ac:dyDescent="0.25">
      <c r="C4850" s="211"/>
    </row>
    <row r="4851" spans="3:3" x14ac:dyDescent="0.25">
      <c r="C4851" s="211"/>
    </row>
    <row r="4852" spans="3:3" x14ac:dyDescent="0.25">
      <c r="C4852" s="211"/>
    </row>
    <row r="4853" spans="3:3" x14ac:dyDescent="0.25">
      <c r="C4853" s="211"/>
    </row>
    <row r="4854" spans="3:3" x14ac:dyDescent="0.25">
      <c r="C4854" s="211"/>
    </row>
    <row r="4855" spans="3:3" x14ac:dyDescent="0.25">
      <c r="C4855" s="211"/>
    </row>
    <row r="4856" spans="3:3" x14ac:dyDescent="0.25">
      <c r="C4856" s="211"/>
    </row>
    <row r="4857" spans="3:3" x14ac:dyDescent="0.25">
      <c r="C4857" s="211"/>
    </row>
    <row r="4858" spans="3:3" x14ac:dyDescent="0.25">
      <c r="C4858" s="211"/>
    </row>
    <row r="4859" spans="3:3" x14ac:dyDescent="0.25">
      <c r="C4859" s="211"/>
    </row>
    <row r="4860" spans="3:3" x14ac:dyDescent="0.25">
      <c r="C4860" s="211"/>
    </row>
    <row r="4861" spans="3:3" x14ac:dyDescent="0.25">
      <c r="C4861" s="211"/>
    </row>
    <row r="4862" spans="3:3" x14ac:dyDescent="0.25">
      <c r="C4862" s="211"/>
    </row>
    <row r="4863" spans="3:3" x14ac:dyDescent="0.25">
      <c r="C4863" s="211"/>
    </row>
    <row r="4864" spans="3:3" x14ac:dyDescent="0.25">
      <c r="C4864" s="211"/>
    </row>
    <row r="4865" spans="3:3" x14ac:dyDescent="0.25">
      <c r="C4865" s="211"/>
    </row>
    <row r="4866" spans="3:3" x14ac:dyDescent="0.25">
      <c r="C4866" s="211"/>
    </row>
    <row r="4867" spans="3:3" x14ac:dyDescent="0.25">
      <c r="C4867" s="211"/>
    </row>
    <row r="4868" spans="3:3" x14ac:dyDescent="0.25">
      <c r="C4868" s="211"/>
    </row>
    <row r="4869" spans="3:3" x14ac:dyDescent="0.25">
      <c r="C4869" s="211"/>
    </row>
    <row r="4870" spans="3:3" x14ac:dyDescent="0.25">
      <c r="C4870" s="211"/>
    </row>
    <row r="4871" spans="3:3" x14ac:dyDescent="0.25">
      <c r="C4871" s="211"/>
    </row>
    <row r="4872" spans="3:3" x14ac:dyDescent="0.25">
      <c r="C4872" s="211"/>
    </row>
    <row r="4873" spans="3:3" x14ac:dyDescent="0.25">
      <c r="C4873" s="211"/>
    </row>
    <row r="4874" spans="3:3" x14ac:dyDescent="0.25">
      <c r="C4874" s="211"/>
    </row>
    <row r="4875" spans="3:3" x14ac:dyDescent="0.25">
      <c r="C4875" s="211"/>
    </row>
    <row r="4876" spans="3:3" x14ac:dyDescent="0.25">
      <c r="C4876" s="211"/>
    </row>
    <row r="4877" spans="3:3" x14ac:dyDescent="0.25">
      <c r="C4877" s="211"/>
    </row>
    <row r="4878" spans="3:3" x14ac:dyDescent="0.25">
      <c r="C4878" s="211"/>
    </row>
    <row r="4879" spans="3:3" x14ac:dyDescent="0.25">
      <c r="C4879" s="211"/>
    </row>
    <row r="4880" spans="3:3" x14ac:dyDescent="0.25">
      <c r="C4880" s="211"/>
    </row>
    <row r="4881" spans="3:3" x14ac:dyDescent="0.25">
      <c r="C4881" s="211"/>
    </row>
    <row r="4882" spans="3:3" x14ac:dyDescent="0.25">
      <c r="C4882" s="211"/>
    </row>
    <row r="4883" spans="3:3" x14ac:dyDescent="0.25">
      <c r="C4883" s="211"/>
    </row>
    <row r="4884" spans="3:3" x14ac:dyDescent="0.25">
      <c r="C4884" s="211"/>
    </row>
    <row r="4885" spans="3:3" x14ac:dyDescent="0.25">
      <c r="C4885" s="211"/>
    </row>
    <row r="4886" spans="3:3" x14ac:dyDescent="0.25">
      <c r="C4886" s="211"/>
    </row>
    <row r="4887" spans="3:3" x14ac:dyDescent="0.25">
      <c r="C4887" s="211"/>
    </row>
    <row r="4888" spans="3:3" x14ac:dyDescent="0.25">
      <c r="C4888" s="211"/>
    </row>
    <row r="4889" spans="3:3" x14ac:dyDescent="0.25">
      <c r="C4889" s="211"/>
    </row>
    <row r="4890" spans="3:3" x14ac:dyDescent="0.25">
      <c r="C4890" s="211"/>
    </row>
    <row r="4891" spans="3:3" x14ac:dyDescent="0.25">
      <c r="C4891" s="211"/>
    </row>
    <row r="4892" spans="3:3" x14ac:dyDescent="0.25">
      <c r="C4892" s="211"/>
    </row>
    <row r="4893" spans="3:3" x14ac:dyDescent="0.25">
      <c r="C4893" s="211"/>
    </row>
    <row r="4894" spans="3:3" x14ac:dyDescent="0.25">
      <c r="C4894" s="211"/>
    </row>
    <row r="4895" spans="3:3" x14ac:dyDescent="0.25">
      <c r="C4895" s="211"/>
    </row>
    <row r="4896" spans="3:3" x14ac:dyDescent="0.25">
      <c r="C4896" s="211"/>
    </row>
    <row r="4897" spans="3:3" x14ac:dyDescent="0.25">
      <c r="C4897" s="211"/>
    </row>
    <row r="4898" spans="3:3" x14ac:dyDescent="0.25">
      <c r="C4898" s="211"/>
    </row>
    <row r="4899" spans="3:3" x14ac:dyDescent="0.25">
      <c r="C4899" s="211"/>
    </row>
    <row r="4900" spans="3:3" x14ac:dyDescent="0.25">
      <c r="C4900" s="211"/>
    </row>
    <row r="4901" spans="3:3" x14ac:dyDescent="0.25">
      <c r="C4901" s="211"/>
    </row>
    <row r="4902" spans="3:3" x14ac:dyDescent="0.25">
      <c r="C4902" s="211"/>
    </row>
    <row r="4903" spans="3:3" x14ac:dyDescent="0.25">
      <c r="C4903" s="211"/>
    </row>
    <row r="4904" spans="3:3" x14ac:dyDescent="0.25">
      <c r="C4904" s="211"/>
    </row>
    <row r="4905" spans="3:3" x14ac:dyDescent="0.25">
      <c r="C4905" s="211"/>
    </row>
    <row r="4906" spans="3:3" x14ac:dyDescent="0.25">
      <c r="C4906" s="211"/>
    </row>
    <row r="4907" spans="3:3" x14ac:dyDescent="0.25">
      <c r="C4907" s="211"/>
    </row>
    <row r="4908" spans="3:3" x14ac:dyDescent="0.25">
      <c r="C4908" s="211"/>
    </row>
    <row r="4909" spans="3:3" x14ac:dyDescent="0.25">
      <c r="C4909" s="211"/>
    </row>
    <row r="4910" spans="3:3" x14ac:dyDescent="0.25">
      <c r="C4910" s="211"/>
    </row>
    <row r="4911" spans="3:3" x14ac:dyDescent="0.25">
      <c r="C4911" s="211"/>
    </row>
    <row r="4912" spans="3:3" x14ac:dyDescent="0.25">
      <c r="C4912" s="211"/>
    </row>
    <row r="4913" spans="3:3" x14ac:dyDescent="0.25">
      <c r="C4913" s="211"/>
    </row>
    <row r="4914" spans="3:3" x14ac:dyDescent="0.25">
      <c r="C4914" s="211"/>
    </row>
    <row r="4915" spans="3:3" x14ac:dyDescent="0.25">
      <c r="C4915" s="211"/>
    </row>
    <row r="4916" spans="3:3" x14ac:dyDescent="0.25">
      <c r="C4916" s="211"/>
    </row>
    <row r="4917" spans="3:3" x14ac:dyDescent="0.25">
      <c r="C4917" s="211"/>
    </row>
    <row r="4918" spans="3:3" x14ac:dyDescent="0.25">
      <c r="C4918" s="211"/>
    </row>
    <row r="4919" spans="3:3" x14ac:dyDescent="0.25">
      <c r="C4919" s="211"/>
    </row>
    <row r="4920" spans="3:3" x14ac:dyDescent="0.25">
      <c r="C4920" s="211"/>
    </row>
    <row r="4921" spans="3:3" x14ac:dyDescent="0.25">
      <c r="C4921" s="211"/>
    </row>
    <row r="4922" spans="3:3" x14ac:dyDescent="0.25">
      <c r="C4922" s="211"/>
    </row>
    <row r="4923" spans="3:3" x14ac:dyDescent="0.25">
      <c r="C4923" s="211"/>
    </row>
    <row r="4924" spans="3:3" x14ac:dyDescent="0.25">
      <c r="C4924" s="211"/>
    </row>
    <row r="4925" spans="3:3" x14ac:dyDescent="0.25">
      <c r="C4925" s="211"/>
    </row>
    <row r="4926" spans="3:3" x14ac:dyDescent="0.25">
      <c r="C4926" s="211"/>
    </row>
    <row r="4927" spans="3:3" x14ac:dyDescent="0.25">
      <c r="C4927" s="211"/>
    </row>
    <row r="4928" spans="3:3" x14ac:dyDescent="0.25">
      <c r="C4928" s="211"/>
    </row>
    <row r="4929" spans="3:3" x14ac:dyDescent="0.25">
      <c r="C4929" s="211"/>
    </row>
    <row r="4930" spans="3:3" x14ac:dyDescent="0.25">
      <c r="C4930" s="211"/>
    </row>
    <row r="4931" spans="3:3" x14ac:dyDescent="0.25">
      <c r="C4931" s="211"/>
    </row>
    <row r="4932" spans="3:3" x14ac:dyDescent="0.25">
      <c r="C4932" s="211"/>
    </row>
    <row r="4933" spans="3:3" x14ac:dyDescent="0.25">
      <c r="C4933" s="211"/>
    </row>
    <row r="4934" spans="3:3" x14ac:dyDescent="0.25">
      <c r="C4934" s="211"/>
    </row>
    <row r="4935" spans="3:3" x14ac:dyDescent="0.25">
      <c r="C4935" s="211"/>
    </row>
    <row r="4936" spans="3:3" x14ac:dyDescent="0.25">
      <c r="C4936" s="211"/>
    </row>
    <row r="4937" spans="3:3" x14ac:dyDescent="0.25">
      <c r="C4937" s="211"/>
    </row>
    <row r="4938" spans="3:3" x14ac:dyDescent="0.25">
      <c r="C4938" s="211"/>
    </row>
    <row r="4939" spans="3:3" x14ac:dyDescent="0.25">
      <c r="C4939" s="211"/>
    </row>
    <row r="4940" spans="3:3" x14ac:dyDescent="0.25">
      <c r="C4940" s="211"/>
    </row>
    <row r="4941" spans="3:3" x14ac:dyDescent="0.25">
      <c r="C4941" s="211"/>
    </row>
    <row r="4942" spans="3:3" x14ac:dyDescent="0.25">
      <c r="C4942" s="211"/>
    </row>
    <row r="4943" spans="3:3" x14ac:dyDescent="0.25">
      <c r="C4943" s="211"/>
    </row>
    <row r="4944" spans="3:3" x14ac:dyDescent="0.25">
      <c r="C4944" s="211"/>
    </row>
    <row r="4945" spans="3:3" x14ac:dyDescent="0.25">
      <c r="C4945" s="211"/>
    </row>
    <row r="4946" spans="3:3" x14ac:dyDescent="0.25">
      <c r="C4946" s="211"/>
    </row>
    <row r="4947" spans="3:3" x14ac:dyDescent="0.25">
      <c r="C4947" s="211"/>
    </row>
    <row r="4948" spans="3:3" x14ac:dyDescent="0.25">
      <c r="C4948" s="211"/>
    </row>
    <row r="4949" spans="3:3" x14ac:dyDescent="0.25">
      <c r="C4949" s="211"/>
    </row>
    <row r="4950" spans="3:3" x14ac:dyDescent="0.25">
      <c r="C4950" s="211"/>
    </row>
    <row r="4951" spans="3:3" x14ac:dyDescent="0.25">
      <c r="C4951" s="211"/>
    </row>
    <row r="4952" spans="3:3" x14ac:dyDescent="0.25">
      <c r="C4952" s="211"/>
    </row>
    <row r="4953" spans="3:3" x14ac:dyDescent="0.25">
      <c r="C4953" s="211"/>
    </row>
    <row r="4954" spans="3:3" x14ac:dyDescent="0.25">
      <c r="C4954" s="211"/>
    </row>
    <row r="4955" spans="3:3" x14ac:dyDescent="0.25">
      <c r="C4955" s="211"/>
    </row>
    <row r="4956" spans="3:3" x14ac:dyDescent="0.25">
      <c r="C4956" s="211"/>
    </row>
    <row r="4957" spans="3:3" x14ac:dyDescent="0.25">
      <c r="C4957" s="211"/>
    </row>
    <row r="4958" spans="3:3" x14ac:dyDescent="0.25">
      <c r="C4958" s="211"/>
    </row>
    <row r="4959" spans="3:3" x14ac:dyDescent="0.25">
      <c r="C4959" s="211"/>
    </row>
    <row r="4960" spans="3:3" x14ac:dyDescent="0.25">
      <c r="C4960" s="211"/>
    </row>
    <row r="4961" spans="3:3" x14ac:dyDescent="0.25">
      <c r="C4961" s="211"/>
    </row>
    <row r="4962" spans="3:3" x14ac:dyDescent="0.25">
      <c r="C4962" s="211"/>
    </row>
    <row r="4963" spans="3:3" x14ac:dyDescent="0.25">
      <c r="C4963" s="211"/>
    </row>
    <row r="4964" spans="3:3" x14ac:dyDescent="0.25">
      <c r="C4964" s="211"/>
    </row>
    <row r="4965" spans="3:3" x14ac:dyDescent="0.25">
      <c r="C4965" s="211"/>
    </row>
    <row r="4966" spans="3:3" x14ac:dyDescent="0.25">
      <c r="C4966" s="211"/>
    </row>
    <row r="4967" spans="3:3" x14ac:dyDescent="0.25">
      <c r="C4967" s="211"/>
    </row>
    <row r="4968" spans="3:3" x14ac:dyDescent="0.25">
      <c r="C4968" s="211"/>
    </row>
    <row r="4969" spans="3:3" x14ac:dyDescent="0.25">
      <c r="C4969" s="211"/>
    </row>
    <row r="4970" spans="3:3" x14ac:dyDescent="0.25">
      <c r="C4970" s="211"/>
    </row>
    <row r="4971" spans="3:3" x14ac:dyDescent="0.25">
      <c r="C4971" s="211"/>
    </row>
    <row r="4972" spans="3:3" x14ac:dyDescent="0.25">
      <c r="C4972" s="211"/>
    </row>
    <row r="4973" spans="3:3" x14ac:dyDescent="0.25">
      <c r="C4973" s="211"/>
    </row>
    <row r="4974" spans="3:3" x14ac:dyDescent="0.25">
      <c r="C4974" s="211"/>
    </row>
    <row r="4975" spans="3:3" x14ac:dyDescent="0.25">
      <c r="C4975" s="211"/>
    </row>
    <row r="4976" spans="3:3" x14ac:dyDescent="0.25">
      <c r="C4976" s="211"/>
    </row>
    <row r="4977" spans="3:3" x14ac:dyDescent="0.25">
      <c r="C4977" s="211"/>
    </row>
    <row r="4978" spans="3:3" x14ac:dyDescent="0.25">
      <c r="C4978" s="211"/>
    </row>
    <row r="4979" spans="3:3" x14ac:dyDescent="0.25">
      <c r="C4979" s="211"/>
    </row>
    <row r="4980" spans="3:3" x14ac:dyDescent="0.25">
      <c r="C4980" s="211"/>
    </row>
    <row r="4981" spans="3:3" x14ac:dyDescent="0.25">
      <c r="C4981" s="211"/>
    </row>
    <row r="4982" spans="3:3" x14ac:dyDescent="0.25">
      <c r="C4982" s="211"/>
    </row>
    <row r="4983" spans="3:3" x14ac:dyDescent="0.25">
      <c r="C4983" s="211"/>
    </row>
    <row r="4984" spans="3:3" x14ac:dyDescent="0.25">
      <c r="C4984" s="211"/>
    </row>
    <row r="4985" spans="3:3" x14ac:dyDescent="0.25">
      <c r="C4985" s="211"/>
    </row>
    <row r="4986" spans="3:3" x14ac:dyDescent="0.25">
      <c r="C4986" s="211"/>
    </row>
    <row r="4987" spans="3:3" x14ac:dyDescent="0.25">
      <c r="C4987" s="211"/>
    </row>
    <row r="4988" spans="3:3" x14ac:dyDescent="0.25">
      <c r="C4988" s="211"/>
    </row>
    <row r="4989" spans="3:3" x14ac:dyDescent="0.25">
      <c r="C4989" s="211"/>
    </row>
    <row r="4990" spans="3:3" x14ac:dyDescent="0.25">
      <c r="C4990" s="211"/>
    </row>
    <row r="4991" spans="3:3" x14ac:dyDescent="0.25">
      <c r="C4991" s="211"/>
    </row>
    <row r="4992" spans="3:3" x14ac:dyDescent="0.25">
      <c r="C4992" s="211"/>
    </row>
    <row r="4993" spans="3:3" x14ac:dyDescent="0.25">
      <c r="C4993" s="211"/>
    </row>
    <row r="4994" spans="3:3" x14ac:dyDescent="0.25">
      <c r="C4994" s="211"/>
    </row>
    <row r="4995" spans="3:3" x14ac:dyDescent="0.25">
      <c r="C4995" s="211"/>
    </row>
    <row r="4996" spans="3:3" x14ac:dyDescent="0.25">
      <c r="C4996" s="211"/>
    </row>
    <row r="4997" spans="3:3" x14ac:dyDescent="0.25">
      <c r="C4997" s="211"/>
    </row>
    <row r="4998" spans="3:3" x14ac:dyDescent="0.25">
      <c r="C4998" s="211"/>
    </row>
    <row r="4999" spans="3:3" x14ac:dyDescent="0.25">
      <c r="C4999" s="211"/>
    </row>
    <row r="5000" spans="3:3" x14ac:dyDescent="0.25">
      <c r="C5000" s="211"/>
    </row>
  </sheetData>
  <mergeCells count="17">
    <mergeCell ref="G1:J1"/>
    <mergeCell ref="G2:J2"/>
    <mergeCell ref="G3:J3"/>
    <mergeCell ref="B9:K9"/>
    <mergeCell ref="B10:B11"/>
    <mergeCell ref="C10:C11"/>
    <mergeCell ref="D10:D11"/>
    <mergeCell ref="E10:E11"/>
    <mergeCell ref="F10:H10"/>
    <mergeCell ref="I10:K10"/>
    <mergeCell ref="B2:C2"/>
    <mergeCell ref="B7:K7"/>
    <mergeCell ref="B8:K8"/>
    <mergeCell ref="A17:H17"/>
    <mergeCell ref="B18:K18"/>
    <mergeCell ref="H20:K20"/>
    <mergeCell ref="H21:K21"/>
  </mergeCells>
  <pageMargins left="0.75" right="0.75" top="0.79" bottom="0.79" header="0.3" footer="0.3"/>
  <pageSetup paperSize="9" scale="95" orientation="landscape" useFirstPageNumber="1" horizontalDpi="65532"/>
  <headerFooter>
    <oddFooter>&amp;CTrang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8"/>
  <sheetViews>
    <sheetView showGridLines="0" showZeros="0" topLeftCell="B1" workbookViewId="0">
      <selection sqref="A1:I1"/>
    </sheetView>
  </sheetViews>
  <sheetFormatPr defaultColWidth="9.42578125" defaultRowHeight="15" x14ac:dyDescent="0.25"/>
  <cols>
    <col min="1" max="1" width="8.85546875" hidden="1" customWidth="1"/>
    <col min="2" max="2" width="3.85546875" bestFit="1" customWidth="1"/>
    <col min="3" max="3" width="50.85546875" customWidth="1"/>
    <col min="4" max="4" width="7" bestFit="1" customWidth="1"/>
    <col min="5" max="5" width="18.85546875" bestFit="1" customWidth="1"/>
    <col min="6" max="8" width="12.85546875" customWidth="1"/>
    <col min="9" max="9" width="8.85546875" customWidth="1"/>
  </cols>
  <sheetData>
    <row r="1" spans="1:9" ht="18.75" x14ac:dyDescent="0.3">
      <c r="A1" s="605" t="s">
        <v>437</v>
      </c>
      <c r="B1" s="605"/>
      <c r="C1" s="605"/>
      <c r="D1" s="605"/>
      <c r="E1" s="605"/>
      <c r="F1" s="605"/>
      <c r="G1" s="605"/>
      <c r="H1" s="605"/>
      <c r="I1" s="605"/>
    </row>
    <row r="2" spans="1:9" ht="15.75" x14ac:dyDescent="0.25">
      <c r="A2" s="606" t="s">
        <v>471</v>
      </c>
      <c r="B2" s="606"/>
      <c r="C2" s="606"/>
      <c r="D2" s="606"/>
      <c r="E2" s="606"/>
      <c r="F2" s="606"/>
      <c r="G2" s="606"/>
      <c r="H2" s="606"/>
      <c r="I2" s="606"/>
    </row>
    <row r="3" spans="1:9" x14ac:dyDescent="0.25">
      <c r="A3" s="661" t="s">
        <v>875</v>
      </c>
      <c r="B3" s="661"/>
      <c r="C3" s="661"/>
      <c r="D3" s="661"/>
      <c r="E3" s="661"/>
      <c r="F3" s="661"/>
      <c r="G3" s="661"/>
      <c r="H3" s="661"/>
      <c r="I3" s="661"/>
    </row>
    <row r="4" spans="1:9" ht="28.5" x14ac:dyDescent="0.25">
      <c r="A4" s="2" t="s">
        <v>874</v>
      </c>
      <c r="B4" s="2" t="s">
        <v>306</v>
      </c>
      <c r="C4" s="2" t="s">
        <v>972</v>
      </c>
      <c r="D4" s="2" t="s">
        <v>434</v>
      </c>
      <c r="E4" s="2" t="s">
        <v>855</v>
      </c>
      <c r="F4" s="2" t="s">
        <v>659</v>
      </c>
      <c r="G4" s="2" t="s">
        <v>717</v>
      </c>
      <c r="H4" s="2" t="s">
        <v>72</v>
      </c>
      <c r="I4" s="2" t="s">
        <v>140</v>
      </c>
    </row>
    <row r="5" spans="1:9" ht="28.5" x14ac:dyDescent="0.25">
      <c r="A5" s="124" t="s">
        <v>581</v>
      </c>
      <c r="B5" s="240">
        <v>1</v>
      </c>
      <c r="C5" s="469" t="s">
        <v>951</v>
      </c>
      <c r="D5" s="240" t="s">
        <v>581</v>
      </c>
      <c r="E5" s="240"/>
      <c r="F5" s="257">
        <f t="shared" ref="F5:H5" si="0">SUM(F6:F6)</f>
        <v>10206416.49046026</v>
      </c>
      <c r="G5" s="257">
        <f t="shared" si="0"/>
        <v>1020641.6490460261</v>
      </c>
      <c r="H5" s="257">
        <f t="shared" si="0"/>
        <v>11227058.139506286</v>
      </c>
      <c r="I5" s="124"/>
    </row>
    <row r="6" spans="1:9" x14ac:dyDescent="0.25">
      <c r="A6" s="113" t="s">
        <v>750</v>
      </c>
      <c r="B6" s="27" t="s">
        <v>750</v>
      </c>
      <c r="C6" s="452" t="s">
        <v>5</v>
      </c>
      <c r="D6" s="27" t="s">
        <v>74</v>
      </c>
      <c r="E6" s="27" t="str">
        <f>"Gxd trước thuế x " &amp; 100*I6 &amp;"%"</f>
        <v>Gxd trước thuế x 1%</v>
      </c>
      <c r="F6" s="244">
        <f>THKPHM!F25*I6</f>
        <v>10206416.49046026</v>
      </c>
      <c r="G6" s="244">
        <f>F6*10%</f>
        <v>1020641.6490460261</v>
      </c>
      <c r="H6" s="244">
        <f>F6+G6</f>
        <v>11227058.139506286</v>
      </c>
      <c r="I6" s="196">
        <v>0.01</v>
      </c>
    </row>
    <row r="7" spans="1:9" ht="28.5" x14ac:dyDescent="0.25">
      <c r="A7" s="410" t="s">
        <v>633</v>
      </c>
      <c r="B7" s="509">
        <v>2</v>
      </c>
      <c r="C7" s="287" t="s">
        <v>215</v>
      </c>
      <c r="D7" s="509" t="s">
        <v>633</v>
      </c>
      <c r="E7" s="509"/>
      <c r="F7" s="522">
        <f t="shared" ref="F7:H7" si="1">SUM(F8:F8)</f>
        <v>25516041.226150651</v>
      </c>
      <c r="G7" s="522">
        <f t="shared" si="1"/>
        <v>2551604.1226150654</v>
      </c>
      <c r="H7" s="522">
        <f t="shared" si="1"/>
        <v>28067645.348765716</v>
      </c>
      <c r="I7" s="410"/>
    </row>
    <row r="8" spans="1:9" x14ac:dyDescent="0.25">
      <c r="A8" s="113" t="s">
        <v>998</v>
      </c>
      <c r="B8" s="27" t="s">
        <v>998</v>
      </c>
      <c r="C8" s="452" t="s">
        <v>5</v>
      </c>
      <c r="D8" s="27" t="s">
        <v>74</v>
      </c>
      <c r="E8" s="27" t="str">
        <f>"Gxd trước thuế x " &amp; 100*I8 &amp;"%"</f>
        <v>Gxd trước thuế x 2,5%</v>
      </c>
      <c r="F8" s="244">
        <f>THKPHM!F25*I8</f>
        <v>25516041.226150651</v>
      </c>
      <c r="G8" s="244">
        <f>F8*10%</f>
        <v>2551604.1226150654</v>
      </c>
      <c r="H8" s="244">
        <f>F8+G8</f>
        <v>28067645.348765716</v>
      </c>
      <c r="I8" s="196">
        <v>2.5000000000000001E-2</v>
      </c>
    </row>
    <row r="9" spans="1:9" x14ac:dyDescent="0.25">
      <c r="A9" s="410" t="s">
        <v>890</v>
      </c>
      <c r="B9" s="509">
        <v>3</v>
      </c>
      <c r="C9" s="287" t="s">
        <v>708</v>
      </c>
      <c r="D9" s="509" t="s">
        <v>890</v>
      </c>
      <c r="E9" s="509"/>
      <c r="F9" s="522">
        <f t="shared" ref="F9:H9" si="2">SUM(F10:F16)</f>
        <v>0</v>
      </c>
      <c r="G9" s="522">
        <f t="shared" si="2"/>
        <v>0</v>
      </c>
      <c r="H9" s="522">
        <f t="shared" si="2"/>
        <v>0</v>
      </c>
      <c r="I9" s="410"/>
    </row>
    <row r="10" spans="1:9" x14ac:dyDescent="0.25">
      <c r="A10" s="113"/>
      <c r="B10" s="27" t="s">
        <v>830</v>
      </c>
      <c r="C10" s="452" t="s">
        <v>166</v>
      </c>
      <c r="D10" s="27"/>
      <c r="E10" s="27"/>
      <c r="F10" s="244">
        <v>0</v>
      </c>
      <c r="G10" s="244">
        <f t="shared" ref="G10:G16" si="3">F10*10%</f>
        <v>0</v>
      </c>
      <c r="H10" s="244">
        <f t="shared" ref="H10:H16" si="4">F10+G10</f>
        <v>0</v>
      </c>
      <c r="I10" s="113"/>
    </row>
    <row r="11" spans="1:9" x14ac:dyDescent="0.25">
      <c r="A11" s="113"/>
      <c r="B11" s="27" t="s">
        <v>110</v>
      </c>
      <c r="C11" s="452" t="s">
        <v>234</v>
      </c>
      <c r="D11" s="27"/>
      <c r="E11" s="27"/>
      <c r="F11" s="244">
        <v>0</v>
      </c>
      <c r="G11" s="244">
        <f t="shared" si="3"/>
        <v>0</v>
      </c>
      <c r="H11" s="244">
        <f t="shared" si="4"/>
        <v>0</v>
      </c>
      <c r="I11" s="113"/>
    </row>
    <row r="12" spans="1:9" x14ac:dyDescent="0.25">
      <c r="A12" s="113"/>
      <c r="B12" s="27" t="s">
        <v>391</v>
      </c>
      <c r="C12" s="452" t="s">
        <v>407</v>
      </c>
      <c r="D12" s="27"/>
      <c r="E12" s="27"/>
      <c r="F12" s="244">
        <v>0</v>
      </c>
      <c r="G12" s="244">
        <f t="shared" si="3"/>
        <v>0</v>
      </c>
      <c r="H12" s="244">
        <f t="shared" si="4"/>
        <v>0</v>
      </c>
      <c r="I12" s="113"/>
    </row>
    <row r="13" spans="1:9" ht="30" x14ac:dyDescent="0.25">
      <c r="A13" s="113"/>
      <c r="B13" s="27" t="s">
        <v>675</v>
      </c>
      <c r="C13" s="452" t="s">
        <v>395</v>
      </c>
      <c r="D13" s="27"/>
      <c r="E13" s="27"/>
      <c r="F13" s="244">
        <v>0</v>
      </c>
      <c r="G13" s="244">
        <f t="shared" si="3"/>
        <v>0</v>
      </c>
      <c r="H13" s="244">
        <f t="shared" si="4"/>
        <v>0</v>
      </c>
      <c r="I13" s="113"/>
    </row>
    <row r="14" spans="1:9" x14ac:dyDescent="0.25">
      <c r="A14" s="113"/>
      <c r="B14" s="27" t="s">
        <v>550</v>
      </c>
      <c r="C14" s="452" t="s">
        <v>73</v>
      </c>
      <c r="D14" s="27"/>
      <c r="E14" s="27"/>
      <c r="F14" s="244">
        <v>0</v>
      </c>
      <c r="G14" s="244">
        <f t="shared" si="3"/>
        <v>0</v>
      </c>
      <c r="H14" s="244">
        <f t="shared" si="4"/>
        <v>0</v>
      </c>
      <c r="I14" s="113"/>
    </row>
    <row r="15" spans="1:9" x14ac:dyDescent="0.25">
      <c r="A15" s="113"/>
      <c r="B15" s="27" t="s">
        <v>842</v>
      </c>
      <c r="C15" s="452" t="s">
        <v>206</v>
      </c>
      <c r="D15" s="27"/>
      <c r="E15" s="27"/>
      <c r="F15" s="244">
        <v>0</v>
      </c>
      <c r="G15" s="244">
        <f t="shared" si="3"/>
        <v>0</v>
      </c>
      <c r="H15" s="244">
        <f t="shared" si="4"/>
        <v>0</v>
      </c>
      <c r="I15" s="113"/>
    </row>
    <row r="16" spans="1:9" x14ac:dyDescent="0.25">
      <c r="A16" s="113"/>
      <c r="B16" s="27" t="s">
        <v>121</v>
      </c>
      <c r="C16" s="452" t="s">
        <v>540</v>
      </c>
      <c r="D16" s="27"/>
      <c r="E16" s="27"/>
      <c r="F16" s="244">
        <v>0</v>
      </c>
      <c r="G16" s="244">
        <f t="shared" si="3"/>
        <v>0</v>
      </c>
      <c r="H16" s="244">
        <f t="shared" si="4"/>
        <v>0</v>
      </c>
      <c r="I16" s="113"/>
    </row>
    <row r="17" spans="1:9" x14ac:dyDescent="0.25">
      <c r="A17" s="214" t="s">
        <v>186</v>
      </c>
      <c r="B17" s="339"/>
      <c r="C17" s="558" t="s">
        <v>519</v>
      </c>
      <c r="D17" s="339" t="s">
        <v>80</v>
      </c>
      <c r="E17" s="339"/>
      <c r="F17" s="363">
        <f t="shared" ref="F17:H17" si="5">F5+F7+F9</f>
        <v>35722457.716610909</v>
      </c>
      <c r="G17" s="363">
        <f t="shared" si="5"/>
        <v>3572245.7716610916</v>
      </c>
      <c r="H17" s="363">
        <f t="shared" si="5"/>
        <v>39294703.488272004</v>
      </c>
      <c r="I17" s="214"/>
    </row>
    <row r="18" spans="1:9" x14ac:dyDescent="0.25">
      <c r="A18" s="425"/>
      <c r="B18" s="524"/>
      <c r="C18" s="162"/>
      <c r="D18" s="524"/>
      <c r="E18" s="524"/>
      <c r="F18" s="542"/>
      <c r="G18" s="542"/>
      <c r="H18" s="542"/>
      <c r="I18" s="425"/>
    </row>
  </sheetData>
  <mergeCells count="3">
    <mergeCell ref="A1:I1"/>
    <mergeCell ref="A2:I2"/>
    <mergeCell ref="A3:I3"/>
  </mergeCells>
  <pageMargins left="0.60000000000000009" right="0.60000000000000009" top="0.75" bottom="0.75" header="0.3" footer="0.3"/>
  <pageSetup scale="95"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22"/>
  </sheetPr>
  <dimension ref="A4:N35"/>
  <sheetViews>
    <sheetView showZeros="0" workbookViewId="0">
      <selection activeCell="H33" sqref="H33"/>
    </sheetView>
  </sheetViews>
  <sheetFormatPr defaultColWidth="9.42578125" defaultRowHeight="15.75" x14ac:dyDescent="0.25"/>
  <cols>
    <col min="1" max="2" width="9.42578125" style="33"/>
    <col min="3" max="3" width="25" style="33" customWidth="1"/>
    <col min="4" max="16384" width="9.42578125" style="33"/>
  </cols>
  <sheetData>
    <row r="4" spans="1:14" x14ac:dyDescent="0.25">
      <c r="A4" s="136"/>
      <c r="B4" s="136"/>
      <c r="C4" s="136"/>
      <c r="D4" s="136"/>
      <c r="E4" s="136"/>
      <c r="F4" s="136"/>
      <c r="G4" s="136"/>
      <c r="H4" s="136"/>
      <c r="I4" s="136"/>
      <c r="J4" s="136"/>
      <c r="K4" s="136"/>
      <c r="L4" s="136"/>
      <c r="M4" s="136"/>
      <c r="N4" s="136"/>
    </row>
    <row r="5" spans="1:14" x14ac:dyDescent="0.25">
      <c r="A5" s="662" t="s">
        <v>577</v>
      </c>
      <c r="B5" s="662"/>
      <c r="C5" s="662"/>
      <c r="D5" s="136"/>
      <c r="E5" s="662" t="s">
        <v>363</v>
      </c>
      <c r="F5" s="662"/>
      <c r="G5" s="662"/>
      <c r="H5" s="662"/>
      <c r="I5" s="662"/>
      <c r="J5" s="662"/>
      <c r="K5" s="662"/>
      <c r="L5" s="662"/>
      <c r="M5" s="662"/>
      <c r="N5" s="662"/>
    </row>
    <row r="6" spans="1:14" x14ac:dyDescent="0.25">
      <c r="A6" s="666" t="s">
        <v>124</v>
      </c>
      <c r="B6" s="667"/>
      <c r="C6" s="667"/>
      <c r="D6" s="136"/>
      <c r="E6" s="662" t="s">
        <v>445</v>
      </c>
      <c r="F6" s="662"/>
      <c r="G6" s="662"/>
      <c r="H6" s="662"/>
      <c r="I6" s="662"/>
      <c r="J6" s="662"/>
      <c r="K6" s="662"/>
      <c r="L6" s="662"/>
      <c r="M6" s="662"/>
      <c r="N6" s="662"/>
    </row>
    <row r="7" spans="1:14" x14ac:dyDescent="0.25">
      <c r="A7" s="668" t="s">
        <v>859</v>
      </c>
      <c r="B7" s="668"/>
      <c r="C7" s="668"/>
      <c r="D7" s="136"/>
      <c r="E7" s="668" t="s">
        <v>537</v>
      </c>
      <c r="F7" s="668"/>
      <c r="G7" s="668"/>
      <c r="H7" s="668"/>
      <c r="I7" s="668"/>
      <c r="J7" s="668"/>
      <c r="K7" s="668"/>
      <c r="L7" s="668"/>
      <c r="M7" s="668"/>
      <c r="N7" s="668"/>
    </row>
    <row r="8" spans="1:14" x14ac:dyDescent="0.25">
      <c r="A8" s="136"/>
      <c r="B8" s="136"/>
      <c r="C8" s="136"/>
      <c r="D8" s="136"/>
      <c r="E8" s="136"/>
      <c r="F8" s="136"/>
      <c r="G8" s="136"/>
      <c r="H8" s="136"/>
      <c r="I8" s="136"/>
      <c r="J8" s="136"/>
      <c r="K8" s="136"/>
      <c r="L8" s="136"/>
      <c r="M8" s="136"/>
      <c r="N8" s="136"/>
    </row>
    <row r="9" spans="1:14" x14ac:dyDescent="0.25">
      <c r="A9" s="136"/>
      <c r="B9" s="136"/>
      <c r="C9" s="136"/>
      <c r="D9" s="136"/>
      <c r="E9" s="136"/>
      <c r="F9" s="136"/>
      <c r="G9" s="136"/>
      <c r="H9" s="136"/>
      <c r="I9" s="136"/>
      <c r="J9" s="136"/>
      <c r="K9" s="136"/>
      <c r="L9" s="136"/>
      <c r="M9" s="136"/>
      <c r="N9" s="136"/>
    </row>
    <row r="10" spans="1:14" x14ac:dyDescent="0.25">
      <c r="A10" s="136"/>
      <c r="B10" s="136"/>
      <c r="C10" s="136"/>
      <c r="D10" s="136"/>
      <c r="E10" s="136"/>
      <c r="F10" s="136"/>
      <c r="G10" s="136"/>
      <c r="H10" s="136"/>
      <c r="I10" s="136"/>
      <c r="J10" s="136"/>
      <c r="K10" s="136"/>
      <c r="L10" s="136"/>
      <c r="M10" s="136"/>
      <c r="N10" s="136"/>
    </row>
    <row r="11" spans="1:14" x14ac:dyDescent="0.25">
      <c r="A11" s="136"/>
      <c r="B11" s="136"/>
      <c r="C11" s="136"/>
      <c r="D11" s="136"/>
      <c r="E11" s="136"/>
      <c r="F11" s="136"/>
      <c r="G11" s="136"/>
      <c r="H11" s="136"/>
      <c r="I11" s="136"/>
      <c r="J11" s="136"/>
      <c r="K11" s="136"/>
      <c r="L11" s="136"/>
      <c r="M11" s="136"/>
      <c r="N11" s="136"/>
    </row>
    <row r="12" spans="1:14" x14ac:dyDescent="0.25">
      <c r="A12" s="136"/>
      <c r="B12" s="136"/>
      <c r="C12" s="136"/>
      <c r="D12" s="136"/>
      <c r="E12" s="136"/>
      <c r="F12" s="136"/>
      <c r="G12" s="136"/>
      <c r="H12" s="136"/>
      <c r="I12" s="136"/>
      <c r="J12" s="136"/>
      <c r="K12" s="136"/>
      <c r="L12" s="136"/>
      <c r="M12" s="136"/>
      <c r="N12" s="136"/>
    </row>
    <row r="13" spans="1:14" x14ac:dyDescent="0.25">
      <c r="A13" s="136"/>
      <c r="B13" s="136"/>
      <c r="C13" s="136"/>
      <c r="D13" s="136"/>
      <c r="E13" s="136"/>
      <c r="F13" s="136"/>
      <c r="G13" s="136"/>
      <c r="H13" s="136"/>
      <c r="I13" s="136"/>
      <c r="J13" s="136"/>
      <c r="K13" s="136"/>
      <c r="L13" s="136"/>
      <c r="M13" s="136"/>
      <c r="N13" s="136"/>
    </row>
    <row r="14" spans="1:14" x14ac:dyDescent="0.25">
      <c r="A14" s="136"/>
      <c r="B14" s="136"/>
      <c r="C14" s="136"/>
      <c r="D14" s="136"/>
      <c r="E14" s="136"/>
      <c r="F14" s="136"/>
      <c r="G14" s="136"/>
      <c r="H14" s="136"/>
      <c r="I14" s="136"/>
      <c r="J14" s="136"/>
      <c r="K14" s="136"/>
      <c r="L14" s="136"/>
      <c r="M14" s="136"/>
      <c r="N14" s="136"/>
    </row>
    <row r="15" spans="1:14" x14ac:dyDescent="0.25">
      <c r="A15" s="136"/>
      <c r="B15" s="136"/>
      <c r="C15" s="136"/>
      <c r="D15" s="136"/>
      <c r="E15" s="136"/>
      <c r="F15" s="136"/>
      <c r="G15" s="136"/>
      <c r="H15" s="136"/>
      <c r="I15" s="136"/>
      <c r="J15" s="136"/>
      <c r="K15" s="136"/>
      <c r="L15" s="136"/>
      <c r="M15" s="136"/>
      <c r="N15" s="136"/>
    </row>
    <row r="16" spans="1:14" ht="20.25" x14ac:dyDescent="0.25">
      <c r="A16" s="663" t="s">
        <v>597</v>
      </c>
      <c r="B16" s="663"/>
      <c r="C16" s="663"/>
      <c r="D16" s="663"/>
      <c r="E16" s="663"/>
      <c r="F16" s="663"/>
      <c r="G16" s="663"/>
      <c r="H16" s="663"/>
      <c r="I16" s="663"/>
      <c r="J16" s="663"/>
      <c r="K16" s="663"/>
      <c r="L16" s="663"/>
      <c r="M16" s="663"/>
      <c r="N16" s="663"/>
    </row>
    <row r="17" spans="1:14" x14ac:dyDescent="0.25">
      <c r="A17" s="136"/>
      <c r="B17" s="136"/>
      <c r="C17" s="136"/>
      <c r="D17" s="136"/>
      <c r="E17" s="136"/>
      <c r="F17" s="136"/>
      <c r="G17" s="136"/>
      <c r="H17" s="136"/>
      <c r="I17" s="136"/>
      <c r="J17" s="136"/>
      <c r="K17" s="136"/>
      <c r="L17" s="136"/>
      <c r="M17" s="136"/>
      <c r="N17" s="136"/>
    </row>
    <row r="18" spans="1:14" x14ac:dyDescent="0.25">
      <c r="A18" s="664" t="s">
        <v>575</v>
      </c>
      <c r="B18" s="664"/>
      <c r="C18" s="664"/>
      <c r="D18" s="664"/>
      <c r="E18" s="664"/>
      <c r="F18" s="664"/>
      <c r="G18" s="664"/>
      <c r="H18" s="664"/>
      <c r="I18" s="664"/>
      <c r="J18" s="664"/>
      <c r="K18" s="664"/>
      <c r="L18" s="664"/>
      <c r="M18" s="664"/>
      <c r="N18" s="664"/>
    </row>
    <row r="19" spans="1:14" x14ac:dyDescent="0.25">
      <c r="A19" s="136"/>
      <c r="B19" s="136"/>
      <c r="C19" s="136"/>
      <c r="D19" s="136"/>
      <c r="E19" s="136"/>
      <c r="F19" s="136"/>
      <c r="G19" s="136"/>
      <c r="H19" s="136"/>
      <c r="I19" s="136"/>
      <c r="J19" s="136"/>
      <c r="K19" s="136"/>
      <c r="L19" s="136"/>
      <c r="M19" s="136"/>
      <c r="N19" s="136"/>
    </row>
    <row r="20" spans="1:14" x14ac:dyDescent="0.25">
      <c r="A20" s="136"/>
      <c r="B20" s="136"/>
      <c r="C20" s="133" t="s">
        <v>454</v>
      </c>
      <c r="D20" s="665" t="s">
        <v>298</v>
      </c>
      <c r="E20" s="665"/>
      <c r="F20" s="665"/>
      <c r="G20" s="665"/>
      <c r="H20" s="665"/>
      <c r="I20" s="665"/>
      <c r="J20" s="665"/>
      <c r="K20" s="665"/>
      <c r="L20" s="665"/>
      <c r="M20" s="665"/>
      <c r="N20" s="665"/>
    </row>
    <row r="21" spans="1:14" x14ac:dyDescent="0.25">
      <c r="A21" s="136"/>
      <c r="B21" s="136"/>
      <c r="C21" s="133" t="s">
        <v>613</v>
      </c>
      <c r="D21" s="665" t="s">
        <v>5</v>
      </c>
      <c r="E21" s="665"/>
      <c r="F21" s="665"/>
      <c r="G21" s="665"/>
      <c r="H21" s="665"/>
      <c r="I21" s="665"/>
      <c r="J21" s="665"/>
      <c r="K21" s="665"/>
      <c r="L21" s="665"/>
      <c r="M21" s="665"/>
      <c r="N21" s="665"/>
    </row>
    <row r="22" spans="1:14" x14ac:dyDescent="0.25">
      <c r="A22" s="136"/>
      <c r="B22" s="136"/>
      <c r="C22" s="133" t="s">
        <v>48</v>
      </c>
      <c r="D22" s="665"/>
      <c r="E22" s="665"/>
      <c r="F22" s="665"/>
      <c r="G22" s="665"/>
      <c r="H22" s="665"/>
      <c r="I22" s="665"/>
      <c r="J22" s="665"/>
      <c r="K22" s="665"/>
      <c r="L22" s="665"/>
      <c r="M22" s="665"/>
      <c r="N22" s="665"/>
    </row>
    <row r="23" spans="1:14" x14ac:dyDescent="0.25">
      <c r="A23" s="136"/>
      <c r="B23" s="136"/>
      <c r="C23" s="133" t="s">
        <v>423</v>
      </c>
      <c r="D23" s="665"/>
      <c r="E23" s="665"/>
      <c r="F23" s="665"/>
      <c r="G23" s="665"/>
      <c r="H23" s="665"/>
      <c r="I23" s="665"/>
      <c r="J23" s="665"/>
      <c r="K23" s="665"/>
      <c r="L23" s="665"/>
      <c r="M23" s="665"/>
      <c r="N23" s="665"/>
    </row>
    <row r="24" spans="1:14" x14ac:dyDescent="0.25">
      <c r="A24" s="136"/>
      <c r="B24" s="136"/>
      <c r="C24" s="136"/>
      <c r="D24" s="136"/>
      <c r="E24" s="136"/>
      <c r="F24" s="136"/>
      <c r="G24" s="136"/>
      <c r="H24" s="136"/>
      <c r="I24" s="136"/>
      <c r="J24" s="136"/>
      <c r="K24" s="136"/>
      <c r="L24" s="136"/>
      <c r="M24" s="136"/>
      <c r="N24" s="136"/>
    </row>
    <row r="25" spans="1:14" x14ac:dyDescent="0.25">
      <c r="A25" s="136"/>
      <c r="B25" s="136"/>
      <c r="C25" s="136"/>
      <c r="D25" s="136"/>
      <c r="E25" s="136"/>
      <c r="F25" s="136"/>
      <c r="G25" s="136"/>
      <c r="H25" s="136"/>
      <c r="I25" s="136"/>
      <c r="J25" s="136"/>
      <c r="K25" s="136"/>
      <c r="L25" s="136"/>
      <c r="M25" s="136"/>
      <c r="N25" s="136"/>
    </row>
    <row r="26" spans="1:14" x14ac:dyDescent="0.25">
      <c r="A26" s="136"/>
      <c r="B26" s="136"/>
      <c r="C26" s="136"/>
      <c r="D26" s="136"/>
      <c r="E26" s="136"/>
      <c r="F26" s="136"/>
      <c r="G26" s="136"/>
      <c r="H26" s="136"/>
      <c r="I26" s="136"/>
      <c r="J26" s="136"/>
      <c r="K26" s="136"/>
      <c r="L26" s="136"/>
      <c r="M26" s="136"/>
      <c r="N26" s="136"/>
    </row>
    <row r="27" spans="1:14" x14ac:dyDescent="0.25">
      <c r="A27" s="136"/>
      <c r="B27" s="136"/>
      <c r="C27" s="136"/>
      <c r="D27" s="136"/>
      <c r="E27" s="136"/>
      <c r="F27" s="136"/>
      <c r="G27" s="136"/>
      <c r="H27" s="136"/>
      <c r="I27" s="136"/>
      <c r="J27" s="136"/>
      <c r="K27" s="136"/>
      <c r="L27" s="136"/>
      <c r="M27" s="136"/>
      <c r="N27" s="136"/>
    </row>
    <row r="28" spans="1:14" x14ac:dyDescent="0.25">
      <c r="A28" s="136"/>
      <c r="B28" s="136"/>
      <c r="C28" s="136"/>
      <c r="D28" s="136"/>
      <c r="E28" s="136"/>
      <c r="F28" s="136"/>
      <c r="G28" s="136"/>
      <c r="H28" s="136"/>
      <c r="I28" s="136"/>
      <c r="J28" s="136"/>
      <c r="K28" s="136"/>
      <c r="L28" s="136"/>
      <c r="M28" s="136"/>
      <c r="N28" s="136"/>
    </row>
    <row r="29" spans="1:14" x14ac:dyDescent="0.25">
      <c r="A29" s="136"/>
      <c r="B29" s="136"/>
      <c r="C29" s="136"/>
      <c r="D29" s="136"/>
      <c r="E29" s="136"/>
      <c r="F29" s="136"/>
      <c r="G29" s="136"/>
      <c r="H29" s="136"/>
      <c r="I29" s="136"/>
      <c r="J29" s="136"/>
      <c r="K29" s="136"/>
      <c r="L29" s="136"/>
      <c r="M29" s="136"/>
      <c r="N29" s="136"/>
    </row>
    <row r="30" spans="1:14" x14ac:dyDescent="0.25">
      <c r="A30" s="136"/>
      <c r="B30" s="136"/>
      <c r="C30" s="136"/>
      <c r="D30" s="136"/>
      <c r="E30" s="136"/>
      <c r="F30" s="136"/>
      <c r="G30" s="136"/>
      <c r="H30" s="136"/>
      <c r="I30" s="136"/>
      <c r="J30" s="136"/>
      <c r="K30" s="136"/>
      <c r="L30" s="136"/>
      <c r="M30" s="136"/>
      <c r="N30" s="136"/>
    </row>
    <row r="31" spans="1:14" x14ac:dyDescent="0.25">
      <c r="A31" s="136"/>
      <c r="B31" s="136"/>
      <c r="C31" s="136"/>
      <c r="D31" s="136"/>
      <c r="E31" s="136"/>
      <c r="F31" s="136"/>
      <c r="G31" s="136"/>
      <c r="H31" s="136"/>
      <c r="I31" s="136"/>
      <c r="J31" s="136"/>
      <c r="K31" s="136"/>
      <c r="L31" s="136"/>
      <c r="M31" s="136"/>
      <c r="N31" s="136"/>
    </row>
    <row r="32" spans="1:14" x14ac:dyDescent="0.25">
      <c r="A32" s="136"/>
      <c r="B32" s="136"/>
      <c r="C32" s="136"/>
      <c r="D32" s="136"/>
      <c r="E32" s="136"/>
      <c r="F32" s="136"/>
      <c r="G32" s="136"/>
      <c r="H32" s="136"/>
      <c r="I32" s="136"/>
      <c r="J32" s="136"/>
      <c r="K32" s="136"/>
      <c r="L32" s="136"/>
      <c r="M32" s="136"/>
      <c r="N32" s="136"/>
    </row>
    <row r="33" spans="1:14" x14ac:dyDescent="0.25">
      <c r="A33" s="136"/>
      <c r="B33" s="136"/>
      <c r="C33" s="136"/>
      <c r="D33" s="136"/>
      <c r="E33" s="136"/>
      <c r="F33" s="136"/>
      <c r="G33" s="136"/>
      <c r="H33" s="136"/>
      <c r="I33" s="136"/>
      <c r="J33" s="136"/>
      <c r="K33" s="136"/>
      <c r="L33" s="136"/>
      <c r="M33" s="136"/>
      <c r="N33" s="136"/>
    </row>
    <row r="34" spans="1:14" x14ac:dyDescent="0.25">
      <c r="A34" s="136"/>
      <c r="B34" s="136"/>
      <c r="C34" s="136"/>
      <c r="D34" s="136"/>
      <c r="E34" s="136"/>
      <c r="F34" s="136"/>
      <c r="G34" s="136"/>
      <c r="H34" s="136"/>
      <c r="I34" s="136"/>
      <c r="J34" s="136"/>
      <c r="K34" s="136"/>
      <c r="L34" s="136"/>
      <c r="M34" s="136"/>
      <c r="N34" s="136"/>
    </row>
    <row r="35" spans="1:14" x14ac:dyDescent="0.25">
      <c r="A35" s="662" t="s">
        <v>742</v>
      </c>
      <c r="B35" s="662"/>
      <c r="C35" s="662"/>
      <c r="D35" s="662"/>
      <c r="E35" s="662"/>
      <c r="F35" s="662"/>
      <c r="G35" s="662"/>
      <c r="H35" s="662"/>
      <c r="I35" s="662"/>
      <c r="J35" s="662"/>
      <c r="K35" s="662"/>
      <c r="L35" s="662"/>
      <c r="M35" s="662"/>
      <c r="N35" s="662"/>
    </row>
  </sheetData>
  <mergeCells count="13">
    <mergeCell ref="A5:C5"/>
    <mergeCell ref="E5:N5"/>
    <mergeCell ref="A6:C6"/>
    <mergeCell ref="E6:N6"/>
    <mergeCell ref="A7:C7"/>
    <mergeCell ref="E7:N7"/>
    <mergeCell ref="A35:N35"/>
    <mergeCell ref="A16:N16"/>
    <mergeCell ref="A18:N18"/>
    <mergeCell ref="D20:N20"/>
    <mergeCell ref="D21:N21"/>
    <mergeCell ref="D22:N22"/>
    <mergeCell ref="D23:N23"/>
  </mergeCells>
  <hyperlinks>
    <hyperlink ref="A6" r:id="rId1" xr:uid="{00000000-0004-0000-1900-000000000000}"/>
  </hyperlinks>
  <pageMargins left="1.18" right="0.59" top="0.79" bottom="0.79" header="0.3" footer="0.3"/>
  <pageSetup paperSize="9" scale="85"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2"/>
  </sheetPr>
  <dimension ref="A1:N31"/>
  <sheetViews>
    <sheetView showZeros="0" topLeftCell="A13" workbookViewId="0">
      <selection activeCell="C10" sqref="C10"/>
    </sheetView>
  </sheetViews>
  <sheetFormatPr defaultColWidth="9.42578125" defaultRowHeight="15.75" x14ac:dyDescent="0.25"/>
  <cols>
    <col min="1" max="2" width="9.42578125" style="33"/>
    <col min="3" max="3" width="23.140625" style="33" customWidth="1"/>
    <col min="4" max="4" width="14" style="33" bestFit="1" customWidth="1"/>
    <col min="5" max="16384" width="9.42578125" style="33"/>
  </cols>
  <sheetData>
    <row r="1" spans="1:14" x14ac:dyDescent="0.25">
      <c r="A1" s="136"/>
      <c r="B1" s="136"/>
      <c r="C1" s="136"/>
      <c r="D1" s="136"/>
      <c r="E1" s="136"/>
      <c r="F1" s="136"/>
      <c r="G1" s="136"/>
      <c r="H1" s="136"/>
      <c r="I1" s="136"/>
      <c r="J1" s="136"/>
      <c r="K1" s="136"/>
      <c r="L1" s="136"/>
      <c r="M1" s="136"/>
      <c r="N1" s="136"/>
    </row>
    <row r="2" spans="1:14" x14ac:dyDescent="0.25">
      <c r="A2" s="662" t="s">
        <v>577</v>
      </c>
      <c r="B2" s="662"/>
      <c r="C2" s="662"/>
      <c r="D2" s="136"/>
      <c r="E2" s="662" t="s">
        <v>363</v>
      </c>
      <c r="F2" s="662"/>
      <c r="G2" s="662"/>
      <c r="H2" s="662"/>
      <c r="I2" s="662"/>
      <c r="J2" s="662"/>
      <c r="K2" s="662"/>
      <c r="L2" s="662"/>
      <c r="M2" s="662"/>
      <c r="N2" s="662"/>
    </row>
    <row r="3" spans="1:14" x14ac:dyDescent="0.25">
      <c r="A3" s="666" t="s">
        <v>124</v>
      </c>
      <c r="B3" s="667"/>
      <c r="C3" s="667"/>
      <c r="D3" s="136"/>
      <c r="E3" s="662" t="s">
        <v>445</v>
      </c>
      <c r="F3" s="662"/>
      <c r="G3" s="662"/>
      <c r="H3" s="662"/>
      <c r="I3" s="662"/>
      <c r="J3" s="662"/>
      <c r="K3" s="662"/>
      <c r="L3" s="662"/>
      <c r="M3" s="662"/>
      <c r="N3" s="662"/>
    </row>
    <row r="4" spans="1:14" x14ac:dyDescent="0.25">
      <c r="A4" s="668" t="s">
        <v>859</v>
      </c>
      <c r="B4" s="668"/>
      <c r="C4" s="668"/>
      <c r="D4" s="136"/>
      <c r="E4" s="668" t="s">
        <v>537</v>
      </c>
      <c r="F4" s="668"/>
      <c r="G4" s="668"/>
      <c r="H4" s="668"/>
      <c r="I4" s="668"/>
      <c r="J4" s="668"/>
      <c r="K4" s="668"/>
      <c r="L4" s="668"/>
      <c r="M4" s="668"/>
      <c r="N4" s="668"/>
    </row>
    <row r="5" spans="1:14" x14ac:dyDescent="0.25">
      <c r="A5" s="668" t="s">
        <v>575</v>
      </c>
      <c r="B5" s="668"/>
      <c r="C5" s="668"/>
      <c r="D5" s="136"/>
      <c r="E5" s="136"/>
      <c r="F5" s="136"/>
      <c r="G5" s="136"/>
      <c r="H5" s="136"/>
      <c r="I5" s="136"/>
      <c r="J5" s="136"/>
      <c r="K5" s="136"/>
      <c r="L5" s="136"/>
      <c r="M5" s="136"/>
      <c r="N5" s="136"/>
    </row>
    <row r="6" spans="1:14" x14ac:dyDescent="0.25">
      <c r="A6" s="136"/>
      <c r="B6" s="136"/>
      <c r="C6" s="136"/>
      <c r="D6" s="136"/>
      <c r="E6" s="136"/>
      <c r="F6" s="136"/>
      <c r="G6" s="136"/>
      <c r="H6" s="136"/>
      <c r="I6" s="136"/>
      <c r="J6" s="136"/>
      <c r="K6" s="136"/>
      <c r="L6" s="136"/>
      <c r="M6" s="136"/>
      <c r="N6" s="136"/>
    </row>
    <row r="7" spans="1:14" x14ac:dyDescent="0.25">
      <c r="A7" s="136"/>
      <c r="B7" s="136"/>
      <c r="C7" s="136"/>
      <c r="D7" s="136"/>
      <c r="E7" s="136"/>
      <c r="F7" s="136"/>
      <c r="G7" s="136"/>
      <c r="H7" s="136"/>
      <c r="I7" s="136"/>
      <c r="J7" s="136"/>
      <c r="K7" s="136"/>
      <c r="L7" s="136"/>
      <c r="M7" s="136"/>
      <c r="N7" s="136"/>
    </row>
    <row r="8" spans="1:14" x14ac:dyDescent="0.25">
      <c r="A8" s="136"/>
      <c r="B8" s="136"/>
      <c r="C8" s="136"/>
      <c r="D8" s="136"/>
      <c r="E8" s="136"/>
      <c r="F8" s="136"/>
      <c r="G8" s="136"/>
      <c r="H8" s="136"/>
      <c r="I8" s="136"/>
      <c r="J8" s="136"/>
      <c r="K8" s="136"/>
      <c r="L8" s="136"/>
      <c r="M8" s="136"/>
      <c r="N8" s="136"/>
    </row>
    <row r="9" spans="1:14" x14ac:dyDescent="0.25">
      <c r="A9" s="136"/>
      <c r="B9" s="136"/>
      <c r="C9" s="136"/>
      <c r="D9" s="136"/>
      <c r="E9" s="136"/>
      <c r="F9" s="136"/>
      <c r="G9" s="136"/>
      <c r="H9" s="136"/>
      <c r="I9" s="136"/>
      <c r="J9" s="136"/>
      <c r="K9" s="136"/>
      <c r="L9" s="136"/>
      <c r="M9" s="136"/>
      <c r="N9" s="136"/>
    </row>
    <row r="10" spans="1:14" x14ac:dyDescent="0.25">
      <c r="A10" s="136"/>
      <c r="B10" s="136"/>
      <c r="C10" s="136"/>
      <c r="D10" s="136"/>
      <c r="E10" s="136"/>
      <c r="F10" s="136"/>
      <c r="G10" s="136"/>
      <c r="H10" s="136"/>
      <c r="I10" s="136"/>
      <c r="J10" s="136"/>
      <c r="K10" s="136"/>
      <c r="L10" s="136"/>
      <c r="M10" s="136"/>
      <c r="N10" s="136"/>
    </row>
    <row r="11" spans="1:14" x14ac:dyDescent="0.25">
      <c r="A11" s="136"/>
      <c r="B11" s="136"/>
      <c r="C11" s="136"/>
      <c r="D11" s="136"/>
      <c r="E11" s="136"/>
      <c r="F11" s="136"/>
      <c r="G11" s="136"/>
      <c r="H11" s="136"/>
      <c r="I11" s="136"/>
      <c r="J11" s="136"/>
      <c r="K11" s="136"/>
      <c r="L11" s="136"/>
      <c r="M11" s="136"/>
      <c r="N11" s="136"/>
    </row>
    <row r="12" spans="1:14" x14ac:dyDescent="0.25">
      <c r="A12" s="136"/>
      <c r="B12" s="136"/>
      <c r="C12" s="136"/>
      <c r="D12" s="136"/>
      <c r="E12" s="136"/>
      <c r="F12" s="136"/>
      <c r="G12" s="136"/>
      <c r="H12" s="136"/>
      <c r="I12" s="136"/>
      <c r="J12" s="136"/>
      <c r="K12" s="136"/>
      <c r="L12" s="136"/>
      <c r="M12" s="136"/>
      <c r="N12" s="136"/>
    </row>
    <row r="13" spans="1:14" ht="20.25" x14ac:dyDescent="0.25">
      <c r="A13" s="663" t="s">
        <v>597</v>
      </c>
      <c r="B13" s="663"/>
      <c r="C13" s="663"/>
      <c r="D13" s="663"/>
      <c r="E13" s="663"/>
      <c r="F13" s="663"/>
      <c r="G13" s="663"/>
      <c r="H13" s="663"/>
      <c r="I13" s="663"/>
      <c r="J13" s="663"/>
      <c r="K13" s="663"/>
      <c r="L13" s="663"/>
      <c r="M13" s="663"/>
      <c r="N13" s="663"/>
    </row>
    <row r="14" spans="1:14" x14ac:dyDescent="0.25">
      <c r="A14" s="136"/>
      <c r="B14" s="136"/>
      <c r="C14" s="136"/>
      <c r="D14" s="136"/>
      <c r="E14" s="136"/>
      <c r="F14" s="136"/>
      <c r="G14" s="136"/>
      <c r="H14" s="136"/>
      <c r="I14" s="136"/>
      <c r="J14" s="136"/>
      <c r="K14" s="136"/>
      <c r="L14" s="136"/>
      <c r="M14" s="136"/>
      <c r="N14" s="136"/>
    </row>
    <row r="15" spans="1:14" x14ac:dyDescent="0.25">
      <c r="A15" s="136"/>
      <c r="B15" s="136"/>
      <c r="C15" s="133" t="s">
        <v>454</v>
      </c>
      <c r="D15" s="665" t="s">
        <v>298</v>
      </c>
      <c r="E15" s="665"/>
      <c r="F15" s="665"/>
      <c r="G15" s="665"/>
      <c r="H15" s="665"/>
      <c r="I15" s="665"/>
      <c r="J15" s="665"/>
      <c r="K15" s="665"/>
      <c r="L15" s="665"/>
      <c r="M15" s="665"/>
      <c r="N15" s="665"/>
    </row>
    <row r="16" spans="1:14" x14ac:dyDescent="0.25">
      <c r="A16" s="136"/>
      <c r="B16" s="136"/>
      <c r="C16" s="133" t="s">
        <v>613</v>
      </c>
      <c r="D16" s="665" t="s">
        <v>5</v>
      </c>
      <c r="E16" s="665"/>
      <c r="F16" s="665"/>
      <c r="G16" s="665"/>
      <c r="H16" s="665"/>
      <c r="I16" s="665"/>
      <c r="J16" s="665"/>
      <c r="K16" s="665"/>
      <c r="L16" s="665"/>
      <c r="M16" s="665"/>
      <c r="N16" s="665"/>
    </row>
    <row r="17" spans="1:14" x14ac:dyDescent="0.25">
      <c r="A17" s="136"/>
      <c r="B17" s="136"/>
      <c r="C17" s="133" t="s">
        <v>48</v>
      </c>
      <c r="D17" s="665"/>
      <c r="E17" s="665"/>
      <c r="F17" s="665"/>
      <c r="G17" s="665"/>
      <c r="H17" s="665"/>
      <c r="I17" s="665"/>
      <c r="J17" s="665"/>
      <c r="K17" s="665"/>
      <c r="L17" s="665"/>
      <c r="M17" s="665"/>
      <c r="N17" s="665"/>
    </row>
    <row r="18" spans="1:14" x14ac:dyDescent="0.25">
      <c r="A18" s="136"/>
      <c r="B18" s="136"/>
      <c r="C18" s="133" t="s">
        <v>423</v>
      </c>
      <c r="D18" s="665"/>
      <c r="E18" s="665"/>
      <c r="F18" s="665"/>
      <c r="G18" s="665"/>
      <c r="H18" s="665"/>
      <c r="I18" s="665"/>
      <c r="J18" s="665"/>
      <c r="K18" s="665"/>
      <c r="L18" s="665"/>
      <c r="M18" s="665"/>
      <c r="N18" s="665"/>
    </row>
    <row r="19" spans="1:14" x14ac:dyDescent="0.25">
      <c r="A19" s="136"/>
      <c r="B19" s="136"/>
      <c r="C19" s="136"/>
      <c r="D19" s="136"/>
      <c r="E19" s="136"/>
      <c r="F19" s="136"/>
      <c r="G19" s="136"/>
      <c r="H19" s="136"/>
      <c r="I19" s="136"/>
      <c r="J19" s="136"/>
      <c r="K19" s="136"/>
      <c r="L19" s="136"/>
      <c r="M19" s="136"/>
      <c r="N19" s="136"/>
    </row>
    <row r="20" spans="1:14" x14ac:dyDescent="0.25">
      <c r="A20" s="136"/>
      <c r="B20" s="136"/>
      <c r="C20" s="141" t="s">
        <v>340</v>
      </c>
      <c r="D20" s="669">
        <v>1531497000</v>
      </c>
      <c r="E20" s="669"/>
      <c r="F20" s="322" t="s">
        <v>582</v>
      </c>
      <c r="G20" s="136"/>
      <c r="H20" s="136"/>
      <c r="I20" s="136"/>
      <c r="J20" s="136"/>
      <c r="K20" s="136"/>
      <c r="L20" s="136"/>
      <c r="M20" s="136"/>
      <c r="N20" s="136"/>
    </row>
    <row r="21" spans="1:14" x14ac:dyDescent="0.25">
      <c r="A21" s="136"/>
      <c r="B21" s="136"/>
      <c r="C21" s="670" t="s">
        <v>226</v>
      </c>
      <c r="D21" s="670"/>
      <c r="E21" s="670"/>
      <c r="F21" s="670"/>
      <c r="G21" s="670"/>
      <c r="H21" s="670"/>
      <c r="I21" s="670"/>
      <c r="J21" s="670"/>
      <c r="K21" s="670"/>
      <c r="L21" s="670"/>
      <c r="M21" s="670"/>
      <c r="N21" s="136"/>
    </row>
    <row r="22" spans="1:14" x14ac:dyDescent="0.25">
      <c r="A22" s="136"/>
      <c r="B22" s="136"/>
      <c r="C22" s="136"/>
      <c r="D22" s="136"/>
      <c r="E22" s="136"/>
      <c r="F22" s="136"/>
      <c r="G22" s="136"/>
      <c r="H22" s="136"/>
      <c r="I22" s="136"/>
      <c r="J22" s="136"/>
      <c r="K22" s="136"/>
      <c r="L22" s="136"/>
      <c r="M22" s="136"/>
      <c r="N22" s="136"/>
    </row>
    <row r="23" spans="1:14" x14ac:dyDescent="0.25">
      <c r="A23" s="136"/>
      <c r="B23" s="136"/>
      <c r="C23" s="136"/>
      <c r="D23" s="136"/>
      <c r="E23" s="136"/>
      <c r="F23" s="136"/>
      <c r="G23" s="136"/>
      <c r="H23" s="136"/>
      <c r="I23" s="136"/>
      <c r="J23" s="136"/>
      <c r="K23" s="136"/>
      <c r="L23" s="136"/>
      <c r="M23" s="136"/>
      <c r="N23" s="136"/>
    </row>
    <row r="24" spans="1:14" x14ac:dyDescent="0.25">
      <c r="A24" s="136"/>
      <c r="B24" s="136"/>
      <c r="C24" s="136"/>
      <c r="D24" s="136"/>
      <c r="E24" s="136"/>
      <c r="F24" s="668" t="s">
        <v>12</v>
      </c>
      <c r="G24" s="668"/>
      <c r="H24" s="668"/>
      <c r="I24" s="668"/>
      <c r="J24" s="668"/>
      <c r="K24" s="668"/>
      <c r="L24" s="668"/>
      <c r="M24" s="668"/>
      <c r="N24" s="136"/>
    </row>
    <row r="25" spans="1:14" x14ac:dyDescent="0.25">
      <c r="A25" s="136"/>
      <c r="B25" s="136"/>
      <c r="C25" s="136"/>
      <c r="D25" s="136"/>
      <c r="E25" s="136"/>
      <c r="F25" s="662" t="s">
        <v>653</v>
      </c>
      <c r="G25" s="662"/>
      <c r="H25" s="662"/>
      <c r="I25" s="662"/>
      <c r="J25" s="662"/>
      <c r="K25" s="662"/>
      <c r="L25" s="662"/>
      <c r="M25" s="662"/>
      <c r="N25" s="136"/>
    </row>
    <row r="26" spans="1:14" x14ac:dyDescent="0.25">
      <c r="A26" s="136"/>
      <c r="B26" s="136"/>
      <c r="C26" s="136"/>
      <c r="D26" s="136"/>
      <c r="E26" s="136"/>
      <c r="F26" s="136"/>
      <c r="G26" s="136"/>
      <c r="H26" s="136"/>
      <c r="I26" s="136"/>
      <c r="J26" s="136"/>
      <c r="K26" s="136"/>
      <c r="L26" s="136"/>
      <c r="M26" s="136"/>
      <c r="N26" s="136"/>
    </row>
    <row r="27" spans="1:14" x14ac:dyDescent="0.25">
      <c r="A27" s="136"/>
      <c r="B27" s="136"/>
      <c r="C27" s="136"/>
      <c r="D27" s="136"/>
      <c r="E27" s="136"/>
      <c r="F27" s="136"/>
      <c r="G27" s="136"/>
      <c r="H27" s="136"/>
      <c r="I27" s="136"/>
      <c r="J27" s="136"/>
      <c r="K27" s="136"/>
      <c r="L27" s="136"/>
      <c r="M27" s="136"/>
      <c r="N27" s="136"/>
    </row>
    <row r="28" spans="1:14" x14ac:dyDescent="0.25">
      <c r="A28" s="136"/>
      <c r="B28" s="136"/>
      <c r="C28" s="136"/>
      <c r="D28" s="136"/>
      <c r="E28" s="136"/>
      <c r="F28" s="136"/>
      <c r="G28" s="136"/>
      <c r="H28" s="136"/>
      <c r="I28" s="136"/>
      <c r="J28" s="136"/>
      <c r="K28" s="136"/>
      <c r="L28" s="136"/>
      <c r="M28" s="136"/>
      <c r="N28" s="136"/>
    </row>
    <row r="29" spans="1:14" x14ac:dyDescent="0.25">
      <c r="A29" s="136"/>
      <c r="B29" s="136"/>
      <c r="C29" s="136"/>
      <c r="D29" s="136"/>
      <c r="E29" s="136"/>
      <c r="F29" s="136"/>
      <c r="G29" s="136"/>
      <c r="H29" s="136"/>
      <c r="I29" s="136"/>
      <c r="J29" s="136"/>
      <c r="K29" s="136"/>
      <c r="L29" s="136"/>
      <c r="M29" s="136"/>
      <c r="N29" s="136"/>
    </row>
    <row r="30" spans="1:14" x14ac:dyDescent="0.25">
      <c r="A30" s="136"/>
      <c r="B30" s="136"/>
      <c r="C30" s="136"/>
      <c r="D30" s="136"/>
      <c r="E30" s="136"/>
      <c r="F30" s="136"/>
      <c r="G30" s="136"/>
      <c r="H30" s="136"/>
      <c r="I30" s="136"/>
      <c r="J30" s="136"/>
      <c r="K30" s="136"/>
      <c r="L30" s="136"/>
      <c r="M30" s="136"/>
      <c r="N30" s="136"/>
    </row>
    <row r="31" spans="1:14" x14ac:dyDescent="0.25">
      <c r="A31" s="547"/>
      <c r="B31" s="136"/>
      <c r="C31" s="136"/>
      <c r="D31" s="136"/>
      <c r="E31" s="136"/>
      <c r="F31" s="668" t="s">
        <v>698</v>
      </c>
      <c r="G31" s="668"/>
      <c r="H31" s="668"/>
      <c r="I31" s="668"/>
      <c r="J31" s="668"/>
      <c r="K31" s="668"/>
      <c r="L31" s="668"/>
      <c r="M31" s="668"/>
      <c r="N31" s="136"/>
    </row>
  </sheetData>
  <mergeCells count="17">
    <mergeCell ref="D18:N18"/>
    <mergeCell ref="A2:C2"/>
    <mergeCell ref="E2:N2"/>
    <mergeCell ref="A3:C3"/>
    <mergeCell ref="E3:N3"/>
    <mergeCell ref="A4:C4"/>
    <mergeCell ref="E4:N4"/>
    <mergeCell ref="A5:C5"/>
    <mergeCell ref="A13:N13"/>
    <mergeCell ref="D15:N15"/>
    <mergeCell ref="D16:N16"/>
    <mergeCell ref="D17:N17"/>
    <mergeCell ref="D20:E20"/>
    <mergeCell ref="C21:M21"/>
    <mergeCell ref="F24:M24"/>
    <mergeCell ref="F25:M25"/>
    <mergeCell ref="F31:M31"/>
  </mergeCells>
  <hyperlinks>
    <hyperlink ref="A3" r:id="rId1" xr:uid="{00000000-0004-0000-1A00-000000000000}"/>
  </hyperlinks>
  <pageMargins left="1.18" right="0.59" top="0.79" bottom="0.79" header="0.3" footer="0.3"/>
  <pageSetup paperSize="9" scale="85"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22"/>
  </sheetPr>
  <dimension ref="A1:O34"/>
  <sheetViews>
    <sheetView showZeros="0" topLeftCell="A4" workbookViewId="0">
      <selection activeCell="A20" sqref="A20:O20"/>
    </sheetView>
  </sheetViews>
  <sheetFormatPr defaultColWidth="9.42578125" defaultRowHeight="15.75" x14ac:dyDescent="0.25"/>
  <cols>
    <col min="1" max="16384" width="9.42578125" style="33"/>
  </cols>
  <sheetData>
    <row r="1" spans="1:15" x14ac:dyDescent="0.25">
      <c r="A1" s="662" t="s">
        <v>577</v>
      </c>
      <c r="B1" s="662"/>
      <c r="C1" s="662"/>
      <c r="D1" s="662"/>
      <c r="E1" s="662"/>
      <c r="F1" s="136"/>
      <c r="G1" s="136"/>
      <c r="H1" s="662" t="s">
        <v>92</v>
      </c>
      <c r="I1" s="662"/>
      <c r="J1" s="662"/>
      <c r="K1" s="662"/>
      <c r="L1" s="662"/>
      <c r="M1" s="662"/>
      <c r="N1" s="662"/>
      <c r="O1" s="662"/>
    </row>
    <row r="2" spans="1:15" x14ac:dyDescent="0.25">
      <c r="A2" s="136"/>
      <c r="B2" s="136"/>
      <c r="C2" s="136"/>
      <c r="D2" s="136"/>
      <c r="E2" s="136"/>
      <c r="F2" s="136"/>
      <c r="G2" s="136"/>
      <c r="H2" s="662" t="s">
        <v>316</v>
      </c>
      <c r="I2" s="662"/>
      <c r="J2" s="662"/>
      <c r="K2" s="662"/>
      <c r="L2" s="662"/>
      <c r="M2" s="662"/>
      <c r="N2" s="662"/>
      <c r="O2" s="662"/>
    </row>
    <row r="3" spans="1:15" x14ac:dyDescent="0.25">
      <c r="A3" s="136"/>
      <c r="B3" s="136"/>
      <c r="C3" s="136"/>
      <c r="D3" s="136"/>
      <c r="E3" s="136"/>
      <c r="F3" s="136"/>
      <c r="G3" s="136"/>
      <c r="H3" s="136"/>
      <c r="I3" s="136"/>
      <c r="J3" s="136"/>
      <c r="K3" s="136"/>
      <c r="L3" s="136"/>
      <c r="M3" s="136"/>
      <c r="N3" s="136"/>
      <c r="O3" s="136"/>
    </row>
    <row r="4" spans="1:15" x14ac:dyDescent="0.25">
      <c r="A4" s="136"/>
      <c r="B4" s="136"/>
      <c r="C4" s="136"/>
      <c r="D4" s="136"/>
      <c r="E4" s="136"/>
      <c r="F4" s="136"/>
      <c r="G4" s="136"/>
      <c r="H4" s="136"/>
      <c r="I4" s="136"/>
      <c r="J4" s="136"/>
      <c r="K4" s="136"/>
      <c r="L4" s="136"/>
      <c r="M4" s="136"/>
      <c r="N4" s="136"/>
      <c r="O4" s="136"/>
    </row>
    <row r="5" spans="1:15" ht="20.25" x14ac:dyDescent="0.25">
      <c r="A5" s="663" t="s">
        <v>732</v>
      </c>
      <c r="B5" s="663"/>
      <c r="C5" s="663"/>
      <c r="D5" s="663"/>
      <c r="E5" s="663"/>
      <c r="F5" s="663"/>
      <c r="G5" s="663"/>
      <c r="H5" s="663"/>
      <c r="I5" s="663"/>
      <c r="J5" s="663"/>
      <c r="K5" s="663"/>
      <c r="L5" s="663"/>
      <c r="M5" s="663"/>
      <c r="N5" s="663"/>
      <c r="O5" s="663"/>
    </row>
    <row r="6" spans="1:15" x14ac:dyDescent="0.25">
      <c r="A6" s="662" t="s">
        <v>958</v>
      </c>
      <c r="B6" s="662"/>
      <c r="C6" s="662"/>
      <c r="D6" s="662"/>
      <c r="E6" s="662"/>
      <c r="F6" s="662"/>
      <c r="G6" s="662"/>
      <c r="H6" s="662"/>
      <c r="I6" s="662"/>
      <c r="J6" s="662"/>
      <c r="K6" s="662"/>
      <c r="L6" s="662"/>
      <c r="M6" s="662"/>
      <c r="N6" s="662"/>
      <c r="O6" s="662"/>
    </row>
    <row r="7" spans="1:15" ht="21.75" customHeight="1" x14ac:dyDescent="0.25">
      <c r="A7" s="665" t="s">
        <v>580</v>
      </c>
      <c r="B7" s="665"/>
      <c r="C7" s="665"/>
      <c r="D7" s="665"/>
      <c r="E7" s="665"/>
      <c r="F7" s="665"/>
      <c r="G7" s="665"/>
      <c r="H7" s="665"/>
      <c r="I7" s="665"/>
      <c r="J7" s="665"/>
      <c r="K7" s="665"/>
      <c r="L7" s="665"/>
      <c r="M7" s="665"/>
      <c r="N7" s="665"/>
      <c r="O7" s="665"/>
    </row>
    <row r="8" spans="1:15" ht="19.5" customHeight="1" x14ac:dyDescent="0.25">
      <c r="A8" s="665" t="s">
        <v>491</v>
      </c>
      <c r="B8" s="665"/>
      <c r="C8" s="665"/>
      <c r="D8" s="665"/>
      <c r="E8" s="665"/>
      <c r="F8" s="665"/>
      <c r="G8" s="665"/>
      <c r="H8" s="665"/>
      <c r="I8" s="665"/>
      <c r="J8" s="665"/>
      <c r="K8" s="665"/>
      <c r="L8" s="665"/>
      <c r="M8" s="665"/>
      <c r="N8" s="665"/>
      <c r="O8" s="665"/>
    </row>
    <row r="9" spans="1:15" ht="18" customHeight="1" x14ac:dyDescent="0.25">
      <c r="A9" s="671" t="s">
        <v>822</v>
      </c>
      <c r="B9" s="672"/>
      <c r="C9" s="672"/>
      <c r="D9" s="672"/>
      <c r="E9" s="672"/>
      <c r="F9" s="672"/>
      <c r="G9" s="672"/>
      <c r="H9" s="672"/>
      <c r="I9" s="672"/>
      <c r="J9" s="672"/>
      <c r="K9" s="672"/>
      <c r="L9" s="672"/>
      <c r="M9" s="672"/>
      <c r="N9" s="672"/>
      <c r="O9" s="672"/>
    </row>
    <row r="10" spans="1:15" ht="18" customHeight="1" x14ac:dyDescent="0.25">
      <c r="A10" s="671" t="s">
        <v>724</v>
      </c>
      <c r="B10" s="672"/>
      <c r="C10" s="672"/>
      <c r="D10" s="672"/>
      <c r="E10" s="672"/>
      <c r="F10" s="672"/>
      <c r="G10" s="672"/>
      <c r="H10" s="672"/>
      <c r="I10" s="672"/>
      <c r="J10" s="672"/>
      <c r="K10" s="672"/>
      <c r="L10" s="672"/>
      <c r="M10" s="672"/>
      <c r="N10" s="672"/>
      <c r="O10" s="672"/>
    </row>
    <row r="11" spans="1:15" ht="18" customHeight="1" x14ac:dyDescent="0.25">
      <c r="A11" s="671" t="s">
        <v>667</v>
      </c>
      <c r="B11" s="672"/>
      <c r="C11" s="672"/>
      <c r="D11" s="672"/>
      <c r="E11" s="672"/>
      <c r="F11" s="672"/>
      <c r="G11" s="672"/>
      <c r="H11" s="672"/>
      <c r="I11" s="672"/>
      <c r="J11" s="672"/>
      <c r="K11" s="672"/>
      <c r="L11" s="672"/>
      <c r="M11" s="672"/>
      <c r="N11" s="672"/>
      <c r="O11" s="672"/>
    </row>
    <row r="12" spans="1:15" ht="18" customHeight="1" x14ac:dyDescent="0.25">
      <c r="A12" s="671" t="s">
        <v>805</v>
      </c>
      <c r="B12" s="672"/>
      <c r="C12" s="672"/>
      <c r="D12" s="672"/>
      <c r="E12" s="672"/>
      <c r="F12" s="672"/>
      <c r="G12" s="672"/>
      <c r="H12" s="672"/>
      <c r="I12" s="672"/>
      <c r="J12" s="672"/>
      <c r="K12" s="672"/>
      <c r="L12" s="672"/>
      <c r="M12" s="672"/>
      <c r="N12" s="672"/>
      <c r="O12" s="672"/>
    </row>
    <row r="13" spans="1:15" ht="18" customHeight="1" x14ac:dyDescent="0.25">
      <c r="A13" s="671" t="s">
        <v>232</v>
      </c>
      <c r="B13" s="672"/>
      <c r="C13" s="672"/>
      <c r="D13" s="672"/>
      <c r="E13" s="672"/>
      <c r="F13" s="672"/>
      <c r="G13" s="672"/>
      <c r="H13" s="672"/>
      <c r="I13" s="672"/>
      <c r="J13" s="672"/>
      <c r="K13" s="672"/>
      <c r="L13" s="672"/>
      <c r="M13" s="672"/>
      <c r="N13" s="672"/>
      <c r="O13" s="672"/>
    </row>
    <row r="14" spans="1:15" ht="18" customHeight="1" x14ac:dyDescent="0.25">
      <c r="A14" s="671" t="s">
        <v>801</v>
      </c>
      <c r="B14" s="672"/>
      <c r="C14" s="672"/>
      <c r="D14" s="672"/>
      <c r="E14" s="672"/>
      <c r="F14" s="672"/>
      <c r="G14" s="672"/>
      <c r="H14" s="672"/>
      <c r="I14" s="672"/>
      <c r="J14" s="672"/>
      <c r="K14" s="672"/>
      <c r="L14" s="672"/>
      <c r="M14" s="672"/>
      <c r="N14" s="672"/>
      <c r="O14" s="672"/>
    </row>
    <row r="15" spans="1:15" ht="18" customHeight="1" x14ac:dyDescent="0.25">
      <c r="A15" s="671" t="s">
        <v>800</v>
      </c>
      <c r="B15" s="672"/>
      <c r="C15" s="672"/>
      <c r="D15" s="672"/>
      <c r="E15" s="672"/>
      <c r="F15" s="672"/>
      <c r="G15" s="672"/>
      <c r="H15" s="672"/>
      <c r="I15" s="672"/>
      <c r="J15" s="672"/>
      <c r="K15" s="672"/>
      <c r="L15" s="672"/>
      <c r="M15" s="672"/>
      <c r="N15" s="672"/>
      <c r="O15" s="672"/>
    </row>
    <row r="16" spans="1:15" ht="18" customHeight="1" x14ac:dyDescent="0.25">
      <c r="A16" s="671" t="s">
        <v>556</v>
      </c>
      <c r="B16" s="672"/>
      <c r="C16" s="672"/>
      <c r="D16" s="672"/>
      <c r="E16" s="672"/>
      <c r="F16" s="672"/>
      <c r="G16" s="672"/>
      <c r="H16" s="672"/>
      <c r="I16" s="672"/>
      <c r="J16" s="672"/>
      <c r="K16" s="672"/>
      <c r="L16" s="672"/>
      <c r="M16" s="672"/>
      <c r="N16" s="672"/>
      <c r="O16" s="672"/>
    </row>
    <row r="17" spans="1:15" ht="18" customHeight="1" x14ac:dyDescent="0.25">
      <c r="A17" s="671" t="s">
        <v>636</v>
      </c>
      <c r="B17" s="672"/>
      <c r="C17" s="672"/>
      <c r="D17" s="672"/>
      <c r="E17" s="672"/>
      <c r="F17" s="672"/>
      <c r="G17" s="672"/>
      <c r="H17" s="672"/>
      <c r="I17" s="672"/>
      <c r="J17" s="672"/>
      <c r="K17" s="672"/>
      <c r="L17" s="672"/>
      <c r="M17" s="672"/>
      <c r="N17" s="672"/>
      <c r="O17" s="672"/>
    </row>
    <row r="18" spans="1:15" ht="18" customHeight="1" x14ac:dyDescent="0.25">
      <c r="A18" s="671" t="s">
        <v>113</v>
      </c>
      <c r="B18" s="672"/>
      <c r="C18" s="672"/>
      <c r="D18" s="672"/>
      <c r="E18" s="672"/>
      <c r="F18" s="672"/>
      <c r="G18" s="672"/>
      <c r="H18" s="672"/>
      <c r="I18" s="672"/>
      <c r="J18" s="672"/>
      <c r="K18" s="672"/>
      <c r="L18" s="672"/>
      <c r="M18" s="672"/>
      <c r="N18" s="672"/>
      <c r="O18" s="672"/>
    </row>
    <row r="19" spans="1:15" ht="19.5" customHeight="1" x14ac:dyDescent="0.25">
      <c r="A19" s="665" t="s">
        <v>816</v>
      </c>
      <c r="B19" s="665"/>
      <c r="C19" s="665"/>
      <c r="D19" s="665"/>
      <c r="E19" s="665"/>
      <c r="F19" s="665"/>
      <c r="G19" s="665"/>
      <c r="H19" s="665"/>
      <c r="I19" s="665"/>
      <c r="J19" s="665"/>
      <c r="K19" s="665"/>
      <c r="L19" s="665"/>
      <c r="M19" s="665"/>
      <c r="N19" s="665"/>
      <c r="O19" s="665"/>
    </row>
    <row r="20" spans="1:15" ht="18" customHeight="1" x14ac:dyDescent="0.25">
      <c r="A20" s="671" t="s">
        <v>19</v>
      </c>
      <c r="B20" s="672"/>
      <c r="C20" s="672"/>
      <c r="D20" s="672"/>
      <c r="E20" s="672"/>
      <c r="F20" s="672"/>
      <c r="G20" s="672"/>
      <c r="H20" s="672"/>
      <c r="I20" s="672"/>
      <c r="J20" s="672"/>
      <c r="K20" s="672"/>
      <c r="L20" s="672"/>
      <c r="M20" s="672"/>
      <c r="N20" s="672"/>
      <c r="O20" s="672"/>
    </row>
    <row r="21" spans="1:15" ht="18" customHeight="1" x14ac:dyDescent="0.25">
      <c r="A21" s="671" t="s">
        <v>484</v>
      </c>
      <c r="B21" s="672"/>
      <c r="C21" s="672"/>
      <c r="D21" s="672"/>
      <c r="E21" s="672"/>
      <c r="F21" s="672"/>
      <c r="G21" s="672"/>
      <c r="H21" s="672"/>
      <c r="I21" s="672"/>
      <c r="J21" s="672"/>
      <c r="K21" s="672"/>
      <c r="L21" s="672"/>
      <c r="M21" s="672"/>
      <c r="N21" s="672"/>
      <c r="O21" s="672"/>
    </row>
    <row r="22" spans="1:15" ht="18" customHeight="1" x14ac:dyDescent="0.25">
      <c r="A22" s="672" t="s">
        <v>400</v>
      </c>
      <c r="B22" s="672"/>
      <c r="C22" s="672"/>
      <c r="D22" s="672"/>
      <c r="E22" s="672"/>
      <c r="F22" s="672"/>
      <c r="G22" s="672"/>
      <c r="H22" s="672"/>
      <c r="I22" s="672"/>
      <c r="J22" s="672"/>
      <c r="K22" s="672"/>
      <c r="L22" s="672"/>
      <c r="M22" s="672"/>
      <c r="N22" s="672"/>
      <c r="O22" s="672"/>
    </row>
    <row r="23" spans="1:15" ht="19.5" customHeight="1" x14ac:dyDescent="0.25">
      <c r="A23" s="665" t="s">
        <v>371</v>
      </c>
      <c r="B23" s="665"/>
      <c r="C23" s="665"/>
      <c r="D23" s="665"/>
      <c r="E23" s="665"/>
      <c r="F23" s="665"/>
      <c r="G23" s="665"/>
      <c r="H23" s="665"/>
      <c r="I23" s="665"/>
      <c r="J23" s="665"/>
      <c r="K23" s="665"/>
      <c r="L23" s="665"/>
      <c r="M23" s="665"/>
      <c r="N23" s="665"/>
      <c r="O23" s="665"/>
    </row>
    <row r="24" spans="1:15" ht="18" customHeight="1" x14ac:dyDescent="0.25">
      <c r="A24" s="671" t="s">
        <v>841</v>
      </c>
      <c r="B24" s="672"/>
      <c r="C24" s="672"/>
      <c r="D24" s="672"/>
      <c r="E24" s="672"/>
      <c r="F24" s="672"/>
      <c r="G24" s="672"/>
      <c r="H24" s="672"/>
      <c r="I24" s="672"/>
      <c r="J24" s="672"/>
      <c r="K24" s="672"/>
      <c r="L24" s="672"/>
      <c r="M24" s="672"/>
      <c r="N24" s="672"/>
      <c r="O24" s="672"/>
    </row>
    <row r="25" spans="1:15" ht="18" customHeight="1" x14ac:dyDescent="0.25">
      <c r="A25" s="671" t="s">
        <v>884</v>
      </c>
      <c r="B25" s="672"/>
      <c r="C25" s="672"/>
      <c r="D25" s="672"/>
      <c r="E25" s="672"/>
      <c r="F25" s="672"/>
      <c r="G25" s="672"/>
      <c r="H25" s="672"/>
      <c r="I25" s="672"/>
      <c r="J25" s="672"/>
      <c r="K25" s="672"/>
      <c r="L25" s="672"/>
      <c r="M25" s="672"/>
      <c r="N25" s="672"/>
      <c r="O25" s="672"/>
    </row>
    <row r="26" spans="1:15" ht="18" customHeight="1" x14ac:dyDescent="0.25">
      <c r="A26" s="671" t="s">
        <v>57</v>
      </c>
      <c r="B26" s="672"/>
      <c r="C26" s="672"/>
      <c r="D26" s="672"/>
      <c r="E26" s="672"/>
      <c r="F26" s="672"/>
      <c r="G26" s="672"/>
      <c r="H26" s="672"/>
      <c r="I26" s="672"/>
      <c r="J26" s="672"/>
      <c r="K26" s="672"/>
      <c r="L26" s="672"/>
      <c r="M26" s="672"/>
      <c r="N26" s="672"/>
      <c r="O26" s="672"/>
    </row>
    <row r="27" spans="1:15" x14ac:dyDescent="0.25">
      <c r="A27" s="672" t="s">
        <v>400</v>
      </c>
      <c r="B27" s="672"/>
      <c r="C27" s="672"/>
      <c r="D27" s="672"/>
      <c r="E27" s="672"/>
      <c r="F27" s="672"/>
      <c r="G27" s="672"/>
      <c r="H27" s="672"/>
      <c r="I27" s="672"/>
      <c r="J27" s="672"/>
      <c r="K27" s="672"/>
      <c r="L27" s="672"/>
      <c r="M27" s="672"/>
      <c r="N27" s="672"/>
      <c r="O27" s="672"/>
    </row>
    <row r="28" spans="1:15" x14ac:dyDescent="0.25">
      <c r="A28" s="672"/>
      <c r="B28" s="672"/>
      <c r="C28" s="672"/>
      <c r="D28" s="672"/>
      <c r="E28" s="672"/>
      <c r="F28" s="672"/>
      <c r="G28" s="672"/>
      <c r="H28" s="672"/>
      <c r="I28" s="672"/>
      <c r="J28" s="672"/>
      <c r="K28" s="672"/>
      <c r="L28" s="672"/>
      <c r="M28" s="672"/>
      <c r="N28" s="672"/>
      <c r="O28" s="672"/>
    </row>
    <row r="29" spans="1:15" x14ac:dyDescent="0.25">
      <c r="A29" s="672"/>
      <c r="B29" s="672"/>
      <c r="C29" s="672"/>
      <c r="D29" s="672"/>
      <c r="E29" s="672"/>
      <c r="F29" s="672"/>
      <c r="G29" s="672"/>
      <c r="H29" s="672"/>
      <c r="I29" s="672"/>
      <c r="J29" s="672"/>
      <c r="K29" s="672"/>
      <c r="L29" s="672"/>
      <c r="M29" s="672"/>
      <c r="N29" s="672"/>
      <c r="O29" s="672"/>
    </row>
    <row r="30" spans="1:15" x14ac:dyDescent="0.25">
      <c r="A30" s="665" t="s">
        <v>101</v>
      </c>
      <c r="B30" s="665"/>
      <c r="C30" s="665"/>
      <c r="D30" s="673"/>
      <c r="E30" s="673"/>
      <c r="F30" s="673"/>
      <c r="G30" s="133" t="s">
        <v>582</v>
      </c>
      <c r="H30" s="136"/>
      <c r="I30" s="136"/>
      <c r="J30" s="136"/>
      <c r="K30" s="136"/>
      <c r="L30" s="136"/>
      <c r="M30" s="136"/>
      <c r="N30" s="136"/>
      <c r="O30" s="136"/>
    </row>
    <row r="31" spans="1:15" x14ac:dyDescent="0.25">
      <c r="A31" s="670"/>
      <c r="B31" s="670"/>
      <c r="C31" s="670"/>
      <c r="D31" s="670"/>
      <c r="E31" s="670"/>
      <c r="F31" s="670"/>
      <c r="G31" s="670"/>
      <c r="H31" s="670"/>
      <c r="I31" s="670"/>
      <c r="J31" s="670"/>
      <c r="K31" s="670"/>
      <c r="L31" s="670"/>
      <c r="M31" s="670"/>
      <c r="N31" s="670"/>
      <c r="O31" s="670"/>
    </row>
    <row r="32" spans="1:15" x14ac:dyDescent="0.25">
      <c r="A32" s="136"/>
      <c r="B32" s="136"/>
      <c r="C32" s="136"/>
      <c r="D32" s="136"/>
      <c r="E32" s="136"/>
      <c r="F32" s="136"/>
      <c r="G32" s="136"/>
      <c r="H32" s="136"/>
      <c r="I32" s="136"/>
      <c r="J32" s="136"/>
      <c r="K32" s="136"/>
      <c r="L32" s="136"/>
      <c r="M32" s="136"/>
      <c r="N32" s="136"/>
      <c r="O32" s="136"/>
    </row>
    <row r="33" spans="1:15" x14ac:dyDescent="0.25">
      <c r="A33" s="136"/>
      <c r="B33" s="136"/>
      <c r="C33" s="136"/>
      <c r="D33" s="136"/>
      <c r="E33" s="136"/>
      <c r="F33" s="136"/>
      <c r="G33" s="136"/>
      <c r="H33" s="136"/>
      <c r="I33" s="136"/>
      <c r="J33" s="668" t="s">
        <v>12</v>
      </c>
      <c r="K33" s="668"/>
      <c r="L33" s="668"/>
      <c r="M33" s="668"/>
      <c r="N33" s="668"/>
      <c r="O33" s="668"/>
    </row>
    <row r="34" spans="1:15" x14ac:dyDescent="0.25">
      <c r="A34" s="662" t="s">
        <v>82</v>
      </c>
      <c r="B34" s="662"/>
      <c r="C34" s="662"/>
      <c r="D34" s="662"/>
      <c r="E34" s="136"/>
      <c r="F34" s="136"/>
      <c r="G34" s="136"/>
      <c r="H34" s="136"/>
      <c r="I34" s="136"/>
      <c r="J34" s="662" t="s">
        <v>461</v>
      </c>
      <c r="K34" s="662"/>
      <c r="L34" s="662"/>
      <c r="M34" s="662"/>
      <c r="N34" s="662"/>
      <c r="O34" s="662"/>
    </row>
  </sheetData>
  <mergeCells count="34">
    <mergeCell ref="A13:O13"/>
    <mergeCell ref="A1:E1"/>
    <mergeCell ref="H1:O1"/>
    <mergeCell ref="H2:O2"/>
    <mergeCell ref="A5:O5"/>
    <mergeCell ref="A6:O6"/>
    <mergeCell ref="A7:O7"/>
    <mergeCell ref="A8:O8"/>
    <mergeCell ref="A10:O10"/>
    <mergeCell ref="A12:O12"/>
    <mergeCell ref="A9:O9"/>
    <mergeCell ref="A11:O11"/>
    <mergeCell ref="A25:O25"/>
    <mergeCell ref="A14:O14"/>
    <mergeCell ref="A15:O15"/>
    <mergeCell ref="A16:O16"/>
    <mergeCell ref="A17:O17"/>
    <mergeCell ref="A18:O18"/>
    <mergeCell ref="A19:O19"/>
    <mergeCell ref="A20:O20"/>
    <mergeCell ref="A21:O21"/>
    <mergeCell ref="A22:O22"/>
    <mergeCell ref="A23:O23"/>
    <mergeCell ref="A24:O24"/>
    <mergeCell ref="A26:O26"/>
    <mergeCell ref="A31:O31"/>
    <mergeCell ref="J33:O33"/>
    <mergeCell ref="A27:O27"/>
    <mergeCell ref="A34:D34"/>
    <mergeCell ref="J34:O34"/>
    <mergeCell ref="A28:O28"/>
    <mergeCell ref="A29:O29"/>
    <mergeCell ref="A30:C30"/>
    <mergeCell ref="D30:F30"/>
  </mergeCells>
  <pageMargins left="1.18" right="0.59" top="0.79" bottom="0.79" header="0.3" footer="0.3"/>
  <pageSetup paperSize="9" scale="85"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21"/>
  </sheetPr>
  <dimension ref="A1:F94"/>
  <sheetViews>
    <sheetView showZeros="0" topLeftCell="A46" workbookViewId="0">
      <selection activeCell="E64" sqref="E64"/>
    </sheetView>
  </sheetViews>
  <sheetFormatPr defaultColWidth="9.140625" defaultRowHeight="15" x14ac:dyDescent="0.25"/>
  <cols>
    <col min="1" max="1" width="7.28515625" style="460" customWidth="1"/>
    <col min="2" max="2" width="5.85546875" style="174" customWidth="1"/>
    <col min="3" max="3" width="13.42578125" style="480" customWidth="1"/>
    <col min="4" max="4" width="39.5703125" style="460" customWidth="1"/>
    <col min="5" max="5" width="66.5703125" style="460" customWidth="1"/>
    <col min="6" max="6" width="25.140625" style="460" customWidth="1"/>
    <col min="7" max="7" width="9.140625" style="460" customWidth="1"/>
    <col min="8" max="16384" width="9.140625" style="460"/>
  </cols>
  <sheetData>
    <row r="1" spans="1:6" x14ac:dyDescent="0.25">
      <c r="B1" s="674" t="s">
        <v>772</v>
      </c>
      <c r="C1" s="674"/>
      <c r="D1" s="675"/>
      <c r="E1" s="4"/>
    </row>
    <row r="2" spans="1:6" ht="18.75" x14ac:dyDescent="0.3">
      <c r="B2" s="85"/>
      <c r="C2" s="492"/>
      <c r="D2" s="85"/>
      <c r="E2" s="85"/>
      <c r="F2" s="85"/>
    </row>
    <row r="3" spans="1:6" x14ac:dyDescent="0.25">
      <c r="A3" s="460" t="s">
        <v>479</v>
      </c>
      <c r="B3" s="676" t="s">
        <v>8</v>
      </c>
      <c r="C3" s="676"/>
      <c r="D3" s="676"/>
      <c r="E3" s="676"/>
      <c r="F3" s="676"/>
    </row>
    <row r="4" spans="1:6" ht="17.25" customHeight="1" x14ac:dyDescent="0.25">
      <c r="B4" s="235" t="s">
        <v>306</v>
      </c>
      <c r="C4" s="527" t="s">
        <v>434</v>
      </c>
      <c r="D4" s="235" t="s">
        <v>388</v>
      </c>
      <c r="E4" s="235" t="s">
        <v>378</v>
      </c>
      <c r="F4" s="235" t="s">
        <v>877</v>
      </c>
    </row>
    <row r="5" spans="1:6" x14ac:dyDescent="0.25">
      <c r="B5" s="448">
        <v>1</v>
      </c>
      <c r="C5" s="150"/>
      <c r="D5" s="338" t="s">
        <v>504</v>
      </c>
      <c r="E5" s="338" t="s">
        <v>298</v>
      </c>
      <c r="F5" s="440"/>
    </row>
    <row r="6" spans="1:6" x14ac:dyDescent="0.25">
      <c r="B6" s="470">
        <f t="shared" ref="B6:B29" si="0">B5+1</f>
        <v>2</v>
      </c>
      <c r="C6" s="171"/>
      <c r="D6" s="463" t="s">
        <v>252</v>
      </c>
      <c r="E6" s="349" t="s">
        <v>79</v>
      </c>
      <c r="F6" s="463"/>
    </row>
    <row r="7" spans="1:6" x14ac:dyDescent="0.25">
      <c r="B7" s="470">
        <f t="shared" si="0"/>
        <v>3</v>
      </c>
      <c r="C7" s="171"/>
      <c r="D7" s="463" t="s">
        <v>69</v>
      </c>
      <c r="E7" s="349" t="s">
        <v>79</v>
      </c>
      <c r="F7" s="463"/>
    </row>
    <row r="8" spans="1:6" x14ac:dyDescent="0.25">
      <c r="B8" s="470">
        <f t="shared" si="0"/>
        <v>4</v>
      </c>
      <c r="C8" s="171"/>
      <c r="D8" s="463" t="s">
        <v>807</v>
      </c>
      <c r="E8" s="349" t="s">
        <v>514</v>
      </c>
      <c r="F8" s="463"/>
    </row>
    <row r="9" spans="1:6" x14ac:dyDescent="0.25">
      <c r="B9" s="470">
        <f t="shared" si="0"/>
        <v>5</v>
      </c>
      <c r="C9" s="171"/>
      <c r="D9" s="463" t="s">
        <v>106</v>
      </c>
      <c r="E9" s="463" t="s">
        <v>451</v>
      </c>
      <c r="F9" s="463"/>
    </row>
    <row r="10" spans="1:6" x14ac:dyDescent="0.25">
      <c r="B10" s="470">
        <f t="shared" si="0"/>
        <v>6</v>
      </c>
      <c r="C10" s="171"/>
      <c r="D10" s="463" t="s">
        <v>341</v>
      </c>
      <c r="E10" s="463" t="s">
        <v>840</v>
      </c>
      <c r="F10" s="463"/>
    </row>
    <row r="11" spans="1:6" x14ac:dyDescent="0.25">
      <c r="B11" s="470">
        <f t="shared" si="0"/>
        <v>7</v>
      </c>
      <c r="C11" s="171"/>
      <c r="D11" s="463" t="s">
        <v>65</v>
      </c>
      <c r="E11" s="463" t="s">
        <v>77</v>
      </c>
      <c r="F11" s="463"/>
    </row>
    <row r="12" spans="1:6" x14ac:dyDescent="0.25">
      <c r="B12" s="470">
        <f t="shared" si="0"/>
        <v>8</v>
      </c>
      <c r="C12" s="171"/>
      <c r="D12" s="463" t="s">
        <v>773</v>
      </c>
      <c r="E12" s="463"/>
      <c r="F12" s="463"/>
    </row>
    <row r="13" spans="1:6" x14ac:dyDescent="0.25">
      <c r="B13" s="470">
        <f t="shared" si="0"/>
        <v>9</v>
      </c>
      <c r="C13" s="171"/>
      <c r="D13" s="463"/>
      <c r="E13" s="463"/>
      <c r="F13" s="463"/>
    </row>
    <row r="14" spans="1:6" x14ac:dyDescent="0.25">
      <c r="B14" s="470">
        <f t="shared" si="0"/>
        <v>10</v>
      </c>
      <c r="C14" s="171"/>
      <c r="D14" s="463"/>
      <c r="E14" s="463"/>
      <c r="F14" s="463"/>
    </row>
    <row r="15" spans="1:6" x14ac:dyDescent="0.25">
      <c r="B15" s="470">
        <f t="shared" si="0"/>
        <v>11</v>
      </c>
      <c r="C15" s="171"/>
      <c r="D15" s="463"/>
      <c r="E15" s="463"/>
      <c r="F15" s="463"/>
    </row>
    <row r="16" spans="1:6" x14ac:dyDescent="0.25">
      <c r="B16" s="470">
        <f t="shared" si="0"/>
        <v>12</v>
      </c>
      <c r="C16" s="171"/>
      <c r="D16" s="463" t="s">
        <v>263</v>
      </c>
      <c r="E16" s="463" t="s">
        <v>970</v>
      </c>
      <c r="F16" s="463"/>
    </row>
    <row r="17" spans="1:6" x14ac:dyDescent="0.25">
      <c r="B17" s="470">
        <f t="shared" si="0"/>
        <v>13</v>
      </c>
      <c r="C17" s="171"/>
      <c r="D17" s="463" t="s">
        <v>455</v>
      </c>
      <c r="E17" s="389">
        <v>45179.446064814816</v>
      </c>
      <c r="F17" s="463"/>
    </row>
    <row r="18" spans="1:6" x14ac:dyDescent="0.25">
      <c r="B18" s="470">
        <f t="shared" si="0"/>
        <v>14</v>
      </c>
      <c r="C18" s="171"/>
      <c r="D18" s="463" t="s">
        <v>744</v>
      </c>
      <c r="E18" s="463" t="s">
        <v>260</v>
      </c>
      <c r="F18" s="463"/>
    </row>
    <row r="19" spans="1:6" x14ac:dyDescent="0.25">
      <c r="B19" s="470">
        <f t="shared" si="0"/>
        <v>15</v>
      </c>
      <c r="C19" s="171"/>
      <c r="D19" s="463" t="s">
        <v>649</v>
      </c>
      <c r="E19" s="463" t="s">
        <v>133</v>
      </c>
      <c r="F19" s="463"/>
    </row>
    <row r="20" spans="1:6" x14ac:dyDescent="0.25">
      <c r="B20" s="470">
        <f t="shared" si="0"/>
        <v>16</v>
      </c>
      <c r="C20" s="171"/>
      <c r="D20" s="463"/>
      <c r="E20" s="463"/>
      <c r="F20" s="463"/>
    </row>
    <row r="21" spans="1:6" x14ac:dyDescent="0.25">
      <c r="B21" s="470">
        <f t="shared" si="0"/>
        <v>17</v>
      </c>
      <c r="C21" s="171"/>
      <c r="D21" s="463"/>
      <c r="E21" s="463"/>
      <c r="F21" s="463"/>
    </row>
    <row r="22" spans="1:6" x14ac:dyDescent="0.25">
      <c r="B22" s="470">
        <f t="shared" si="0"/>
        <v>18</v>
      </c>
      <c r="C22" s="171"/>
      <c r="D22" s="463"/>
      <c r="E22" s="463"/>
      <c r="F22" s="463"/>
    </row>
    <row r="23" spans="1:6" x14ac:dyDescent="0.25">
      <c r="B23" s="470">
        <f t="shared" si="0"/>
        <v>19</v>
      </c>
      <c r="C23" s="171"/>
      <c r="D23" s="463"/>
      <c r="E23" s="463"/>
      <c r="F23" s="463"/>
    </row>
    <row r="24" spans="1:6" x14ac:dyDescent="0.25">
      <c r="B24" s="470">
        <f t="shared" si="0"/>
        <v>20</v>
      </c>
      <c r="C24" s="171"/>
      <c r="D24" s="463"/>
      <c r="E24" s="463"/>
      <c r="F24" s="463"/>
    </row>
    <row r="25" spans="1:6" x14ac:dyDescent="0.25">
      <c r="B25" s="470">
        <f t="shared" si="0"/>
        <v>21</v>
      </c>
      <c r="C25" s="171"/>
      <c r="D25" s="463"/>
      <c r="E25" s="463"/>
      <c r="F25" s="463"/>
    </row>
    <row r="26" spans="1:6" x14ac:dyDescent="0.25">
      <c r="B26" s="470">
        <f t="shared" si="0"/>
        <v>22</v>
      </c>
      <c r="C26" s="171"/>
      <c r="D26" s="463"/>
      <c r="E26" s="463"/>
      <c r="F26" s="463"/>
    </row>
    <row r="27" spans="1:6" x14ac:dyDescent="0.25">
      <c r="B27" s="470">
        <f t="shared" si="0"/>
        <v>23</v>
      </c>
      <c r="C27" s="171"/>
      <c r="D27" s="463"/>
      <c r="E27" s="463"/>
      <c r="F27" s="463"/>
    </row>
    <row r="28" spans="1:6" x14ac:dyDescent="0.25">
      <c r="B28" s="470">
        <f t="shared" si="0"/>
        <v>24</v>
      </c>
      <c r="C28" s="171"/>
      <c r="D28" s="463"/>
      <c r="E28" s="463"/>
      <c r="F28" s="463"/>
    </row>
    <row r="29" spans="1:6" x14ac:dyDescent="0.25">
      <c r="B29" s="296">
        <f t="shared" si="0"/>
        <v>25</v>
      </c>
      <c r="C29" s="582"/>
      <c r="D29" s="293"/>
      <c r="E29" s="293"/>
      <c r="F29" s="293"/>
    </row>
    <row r="31" spans="1:6" x14ac:dyDescent="0.25">
      <c r="A31" s="460" t="s">
        <v>479</v>
      </c>
      <c r="B31" s="677" t="s">
        <v>515</v>
      </c>
      <c r="C31" s="677"/>
      <c r="D31" s="677"/>
      <c r="E31" s="677"/>
      <c r="F31" s="677"/>
    </row>
    <row r="32" spans="1:6" x14ac:dyDescent="0.25">
      <c r="B32" s="235" t="s">
        <v>306</v>
      </c>
      <c r="C32" s="527" t="s">
        <v>434</v>
      </c>
      <c r="D32" s="235" t="s">
        <v>388</v>
      </c>
      <c r="E32" s="235" t="s">
        <v>261</v>
      </c>
      <c r="F32" s="528"/>
    </row>
    <row r="33" spans="1:6" ht="15" customHeight="1" x14ac:dyDescent="0.25">
      <c r="B33" s="448">
        <v>1</v>
      </c>
      <c r="C33" s="150"/>
      <c r="D33" s="338" t="s">
        <v>673</v>
      </c>
      <c r="E33" s="338" t="s">
        <v>688</v>
      </c>
      <c r="F33" s="66"/>
    </row>
    <row r="34" spans="1:6" x14ac:dyDescent="0.25">
      <c r="B34" s="470">
        <f>B33+1</f>
        <v>2</v>
      </c>
      <c r="C34" s="171"/>
      <c r="D34" s="463" t="s">
        <v>649</v>
      </c>
      <c r="E34" s="463"/>
      <c r="F34" s="66"/>
    </row>
    <row r="35" spans="1:6" x14ac:dyDescent="0.25">
      <c r="B35" s="448">
        <v>2</v>
      </c>
      <c r="C35" s="150"/>
      <c r="D35" s="463" t="s">
        <v>280</v>
      </c>
      <c r="E35" s="463"/>
      <c r="F35" s="66"/>
    </row>
    <row r="36" spans="1:6" x14ac:dyDescent="0.25">
      <c r="B36" s="470">
        <f>B35+1</f>
        <v>3</v>
      </c>
      <c r="C36" s="171"/>
      <c r="D36" s="463" t="s">
        <v>156</v>
      </c>
      <c r="E36" s="463"/>
      <c r="F36" s="66"/>
    </row>
    <row r="37" spans="1:6" x14ac:dyDescent="0.25">
      <c r="B37" s="448">
        <v>3</v>
      </c>
      <c r="C37" s="150"/>
      <c r="D37" s="463" t="s">
        <v>194</v>
      </c>
      <c r="E37" s="463"/>
      <c r="F37" s="66"/>
    </row>
    <row r="38" spans="1:6" x14ac:dyDescent="0.25">
      <c r="B38" s="470">
        <f>B37+1</f>
        <v>4</v>
      </c>
      <c r="C38" s="171"/>
      <c r="D38" s="463" t="s">
        <v>730</v>
      </c>
      <c r="E38" s="463"/>
      <c r="F38" s="66"/>
    </row>
    <row r="39" spans="1:6" x14ac:dyDescent="0.25">
      <c r="A39" s="460" t="s">
        <v>479</v>
      </c>
      <c r="B39" s="448">
        <v>4</v>
      </c>
      <c r="C39" s="150"/>
      <c r="D39" s="434" t="s">
        <v>643</v>
      </c>
      <c r="E39" s="463"/>
      <c r="F39" s="66"/>
    </row>
    <row r="40" spans="1:6" x14ac:dyDescent="0.25">
      <c r="B40" s="470">
        <f>B39+1</f>
        <v>5</v>
      </c>
      <c r="C40" s="171"/>
      <c r="D40" s="432" t="s">
        <v>761</v>
      </c>
      <c r="E40" s="463"/>
      <c r="F40" s="66"/>
    </row>
    <row r="41" spans="1:6" x14ac:dyDescent="0.25">
      <c r="B41" s="448">
        <v>5</v>
      </c>
      <c r="C41" s="150"/>
      <c r="D41" s="432" t="s">
        <v>878</v>
      </c>
      <c r="E41" s="463"/>
      <c r="F41" s="66"/>
    </row>
    <row r="42" spans="1:6" x14ac:dyDescent="0.25">
      <c r="B42" s="470">
        <f>B41+1</f>
        <v>6</v>
      </c>
      <c r="C42" s="171"/>
      <c r="D42" s="432" t="s">
        <v>867</v>
      </c>
      <c r="E42" s="463"/>
      <c r="F42" s="66"/>
    </row>
    <row r="43" spans="1:6" x14ac:dyDescent="0.25">
      <c r="B43" s="448">
        <v>6</v>
      </c>
      <c r="C43" s="150"/>
      <c r="D43" s="432" t="s">
        <v>439</v>
      </c>
      <c r="E43" s="463"/>
      <c r="F43" s="66"/>
    </row>
    <row r="44" spans="1:6" x14ac:dyDescent="0.25">
      <c r="B44" s="470">
        <f>B43+1</f>
        <v>7</v>
      </c>
      <c r="C44" s="171"/>
      <c r="D44" s="432" t="s">
        <v>328</v>
      </c>
      <c r="E44" s="463"/>
      <c r="F44" s="66"/>
    </row>
    <row r="45" spans="1:6" x14ac:dyDescent="0.25">
      <c r="B45" s="448">
        <v>7</v>
      </c>
      <c r="C45" s="150"/>
      <c r="D45" s="432" t="s">
        <v>778</v>
      </c>
      <c r="E45" s="463"/>
      <c r="F45" s="66"/>
    </row>
    <row r="46" spans="1:6" x14ac:dyDescent="0.25">
      <c r="B46" s="470">
        <f>B45+1</f>
        <v>8</v>
      </c>
      <c r="C46" s="171"/>
      <c r="D46" s="432" t="s">
        <v>849</v>
      </c>
      <c r="E46" s="463"/>
      <c r="F46" s="66"/>
    </row>
    <row r="47" spans="1:6" x14ac:dyDescent="0.25">
      <c r="B47" s="448">
        <v>8</v>
      </c>
      <c r="C47" s="150"/>
      <c r="D47" s="432" t="s">
        <v>191</v>
      </c>
      <c r="E47" s="463"/>
      <c r="F47" s="66"/>
    </row>
    <row r="48" spans="1:6" x14ac:dyDescent="0.25">
      <c r="B48" s="470">
        <f t="shared" ref="B48:B53" si="1">B47+1</f>
        <v>9</v>
      </c>
      <c r="C48" s="171"/>
      <c r="D48" s="432" t="s">
        <v>829</v>
      </c>
      <c r="E48" s="463"/>
      <c r="F48" s="66"/>
    </row>
    <row r="49" spans="1:6" x14ac:dyDescent="0.25">
      <c r="B49" s="470">
        <f t="shared" si="1"/>
        <v>10</v>
      </c>
      <c r="C49" s="171"/>
      <c r="D49" s="432" t="s">
        <v>42</v>
      </c>
      <c r="E49" s="463"/>
      <c r="F49" s="66"/>
    </row>
    <row r="50" spans="1:6" x14ac:dyDescent="0.25">
      <c r="B50" s="470">
        <f t="shared" si="1"/>
        <v>11</v>
      </c>
      <c r="C50" s="107"/>
      <c r="D50" s="450" t="s">
        <v>171</v>
      </c>
      <c r="E50" s="508"/>
      <c r="F50" s="66"/>
    </row>
    <row r="51" spans="1:6" x14ac:dyDescent="0.25">
      <c r="B51" s="470">
        <f t="shared" si="1"/>
        <v>12</v>
      </c>
      <c r="C51" s="171"/>
      <c r="D51" s="512" t="s">
        <v>977</v>
      </c>
      <c r="E51" s="508" t="s">
        <v>872</v>
      </c>
      <c r="F51" s="66"/>
    </row>
    <row r="52" spans="1:6" x14ac:dyDescent="0.25">
      <c r="B52" s="470">
        <f t="shared" si="1"/>
        <v>13</v>
      </c>
      <c r="C52" s="171"/>
      <c r="D52" s="512"/>
      <c r="E52" s="508"/>
      <c r="F52" s="66"/>
    </row>
    <row r="53" spans="1:6" x14ac:dyDescent="0.25">
      <c r="B53" s="470">
        <f t="shared" si="1"/>
        <v>14</v>
      </c>
      <c r="C53" s="171"/>
      <c r="D53" s="512"/>
      <c r="E53" s="508"/>
      <c r="F53" s="66"/>
    </row>
    <row r="54" spans="1:6" x14ac:dyDescent="0.25">
      <c r="B54" s="470"/>
      <c r="C54" s="171"/>
      <c r="D54" s="512"/>
      <c r="E54" s="508"/>
      <c r="F54" s="66"/>
    </row>
    <row r="55" spans="1:6" x14ac:dyDescent="0.25">
      <c r="B55" s="470">
        <f>B53+1</f>
        <v>15</v>
      </c>
      <c r="C55" s="171"/>
      <c r="D55" s="512"/>
      <c r="E55" s="508"/>
      <c r="F55" s="66"/>
    </row>
    <row r="56" spans="1:6" x14ac:dyDescent="0.25">
      <c r="B56" s="470">
        <f t="shared" ref="B56:B94" si="2">B55+1</f>
        <v>16</v>
      </c>
      <c r="C56" s="171"/>
      <c r="D56" s="512"/>
      <c r="E56" s="508"/>
      <c r="F56" s="66"/>
    </row>
    <row r="57" spans="1:6" x14ac:dyDescent="0.25">
      <c r="A57" s="460" t="s">
        <v>479</v>
      </c>
      <c r="B57" s="470">
        <f t="shared" si="2"/>
        <v>17</v>
      </c>
      <c r="C57" s="171"/>
      <c r="D57" s="10" t="s">
        <v>462</v>
      </c>
      <c r="E57" s="10"/>
      <c r="F57" s="66"/>
    </row>
    <row r="58" spans="1:6" x14ac:dyDescent="0.25">
      <c r="B58" s="470">
        <f t="shared" si="2"/>
        <v>18</v>
      </c>
      <c r="C58" s="171"/>
      <c r="D58" s="289"/>
      <c r="E58" s="417"/>
      <c r="F58" s="66"/>
    </row>
    <row r="59" spans="1:6" x14ac:dyDescent="0.25">
      <c r="B59" s="470">
        <f t="shared" si="2"/>
        <v>19</v>
      </c>
      <c r="C59" s="171" t="s">
        <v>965</v>
      </c>
      <c r="D59" s="289" t="s">
        <v>624</v>
      </c>
      <c r="E59" s="207">
        <f>0%</f>
        <v>0</v>
      </c>
      <c r="F59" s="66"/>
    </row>
    <row r="60" spans="1:6" x14ac:dyDescent="0.25">
      <c r="B60" s="470">
        <f t="shared" si="2"/>
        <v>20</v>
      </c>
      <c r="C60" s="171" t="s">
        <v>176</v>
      </c>
      <c r="D60" s="289" t="s">
        <v>853</v>
      </c>
      <c r="E60" s="207">
        <f>2%</f>
        <v>0.02</v>
      </c>
      <c r="F60" s="66"/>
    </row>
    <row r="61" spans="1:6" x14ac:dyDescent="0.25">
      <c r="B61" s="470">
        <f t="shared" si="2"/>
        <v>21</v>
      </c>
      <c r="C61" s="171" t="s">
        <v>68</v>
      </c>
      <c r="D61" s="289" t="s">
        <v>465</v>
      </c>
      <c r="E61" s="417">
        <v>1</v>
      </c>
      <c r="F61" s="66"/>
    </row>
    <row r="62" spans="1:6" x14ac:dyDescent="0.25">
      <c r="B62" s="470">
        <f t="shared" si="2"/>
        <v>22</v>
      </c>
      <c r="C62" s="171" t="s">
        <v>625</v>
      </c>
      <c r="D62" s="289" t="s">
        <v>218</v>
      </c>
      <c r="E62" s="207">
        <f>5%</f>
        <v>0.05</v>
      </c>
      <c r="F62" s="66"/>
    </row>
    <row r="63" spans="1:6" x14ac:dyDescent="0.25">
      <c r="B63" s="470">
        <f t="shared" si="2"/>
        <v>23</v>
      </c>
      <c r="C63" s="171" t="s">
        <v>272</v>
      </c>
      <c r="D63" s="289" t="s">
        <v>638</v>
      </c>
      <c r="E63" s="207">
        <f>10%</f>
        <v>0.1</v>
      </c>
      <c r="F63" s="66"/>
    </row>
    <row r="64" spans="1:6" x14ac:dyDescent="0.25">
      <c r="B64" s="470">
        <f t="shared" si="2"/>
        <v>24</v>
      </c>
      <c r="C64" s="171" t="s">
        <v>453</v>
      </c>
      <c r="D64" s="574" t="s">
        <v>795</v>
      </c>
      <c r="E64" s="417">
        <v>1</v>
      </c>
      <c r="F64" s="66"/>
    </row>
    <row r="65" spans="2:6" x14ac:dyDescent="0.25">
      <c r="B65" s="470">
        <f t="shared" si="2"/>
        <v>25</v>
      </c>
      <c r="C65" s="171" t="s">
        <v>734</v>
      </c>
      <c r="D65" s="289" t="s">
        <v>930</v>
      </c>
      <c r="E65" s="207">
        <f>6%</f>
        <v>0.06</v>
      </c>
      <c r="F65" s="66"/>
    </row>
    <row r="66" spans="2:6" ht="30" x14ac:dyDescent="0.25">
      <c r="B66" s="470">
        <f t="shared" si="2"/>
        <v>26</v>
      </c>
      <c r="C66" s="171" t="s">
        <v>1000</v>
      </c>
      <c r="D66" s="3" t="s">
        <v>622</v>
      </c>
      <c r="E66" s="207">
        <f>2.5%</f>
        <v>2.5000000000000001E-2</v>
      </c>
      <c r="F66" s="66"/>
    </row>
    <row r="67" spans="2:6" x14ac:dyDescent="0.25">
      <c r="B67" s="470">
        <f t="shared" si="2"/>
        <v>27</v>
      </c>
      <c r="C67" s="171" t="s">
        <v>399</v>
      </c>
      <c r="D67" s="3" t="s">
        <v>967</v>
      </c>
      <c r="E67" s="207">
        <f>3%</f>
        <v>0.03</v>
      </c>
      <c r="F67" s="66"/>
    </row>
    <row r="68" spans="2:6" x14ac:dyDescent="0.25">
      <c r="B68" s="470">
        <f t="shared" si="2"/>
        <v>28</v>
      </c>
      <c r="C68" s="171" t="s">
        <v>718</v>
      </c>
      <c r="D68" s="3" t="s">
        <v>311</v>
      </c>
      <c r="E68" s="417"/>
      <c r="F68" s="66"/>
    </row>
    <row r="69" spans="2:6" x14ac:dyDescent="0.25">
      <c r="B69" s="470">
        <f t="shared" si="2"/>
        <v>29</v>
      </c>
      <c r="C69" s="171" t="s">
        <v>566</v>
      </c>
      <c r="D69" s="3" t="s">
        <v>229</v>
      </c>
      <c r="E69" s="207">
        <f>70%</f>
        <v>0.7</v>
      </c>
      <c r="F69" s="66"/>
    </row>
    <row r="70" spans="2:6" x14ac:dyDescent="0.25">
      <c r="B70" s="470">
        <f t="shared" si="2"/>
        <v>30</v>
      </c>
      <c r="C70" s="171" t="s">
        <v>420</v>
      </c>
      <c r="D70" s="3" t="s">
        <v>381</v>
      </c>
      <c r="E70" s="207">
        <f>1.1%</f>
        <v>1.1000000000000001E-2</v>
      </c>
      <c r="F70" s="66"/>
    </row>
    <row r="71" spans="2:6" x14ac:dyDescent="0.25">
      <c r="B71" s="470">
        <f t="shared" si="2"/>
        <v>31</v>
      </c>
      <c r="C71" s="171" t="s">
        <v>607</v>
      </c>
      <c r="D71" s="3" t="s">
        <v>788</v>
      </c>
      <c r="E71" s="417">
        <v>1</v>
      </c>
      <c r="F71" s="66"/>
    </row>
    <row r="72" spans="2:6" x14ac:dyDescent="0.25">
      <c r="B72" s="470">
        <f t="shared" si="2"/>
        <v>32</v>
      </c>
      <c r="C72" s="171" t="s">
        <v>393</v>
      </c>
      <c r="D72" s="3" t="s">
        <v>168</v>
      </c>
      <c r="E72" s="207">
        <f>5%</f>
        <v>0.05</v>
      </c>
      <c r="F72" s="66"/>
    </row>
    <row r="73" spans="2:6" x14ac:dyDescent="0.25">
      <c r="B73" s="470">
        <f t="shared" si="2"/>
        <v>33</v>
      </c>
      <c r="C73" s="171" t="s">
        <v>784</v>
      </c>
      <c r="D73" s="3" t="s">
        <v>783</v>
      </c>
      <c r="E73" s="417">
        <v>1</v>
      </c>
      <c r="F73" s="66"/>
    </row>
    <row r="74" spans="2:6" x14ac:dyDescent="0.25">
      <c r="B74" s="470">
        <f t="shared" si="2"/>
        <v>34</v>
      </c>
      <c r="C74" s="171" t="s">
        <v>798</v>
      </c>
      <c r="D74" s="3" t="s">
        <v>32</v>
      </c>
      <c r="E74" s="417">
        <v>1</v>
      </c>
      <c r="F74" s="66"/>
    </row>
    <row r="75" spans="2:6" x14ac:dyDescent="0.25">
      <c r="B75" s="470">
        <f t="shared" si="2"/>
        <v>35</v>
      </c>
      <c r="C75" s="171" t="s">
        <v>392</v>
      </c>
      <c r="D75" s="3" t="s">
        <v>429</v>
      </c>
      <c r="E75" s="417">
        <v>1</v>
      </c>
      <c r="F75" s="66"/>
    </row>
    <row r="76" spans="2:6" x14ac:dyDescent="0.25">
      <c r="B76" s="470">
        <f t="shared" si="2"/>
        <v>36</v>
      </c>
      <c r="C76" s="171" t="s">
        <v>828</v>
      </c>
      <c r="D76" s="512" t="s">
        <v>330</v>
      </c>
      <c r="E76" s="470">
        <v>1</v>
      </c>
      <c r="F76" s="66"/>
    </row>
    <row r="77" spans="2:6" x14ac:dyDescent="0.25">
      <c r="B77" s="470">
        <f t="shared" si="2"/>
        <v>37</v>
      </c>
      <c r="C77" s="171"/>
      <c r="D77" s="512"/>
      <c r="E77" s="470"/>
      <c r="F77" s="66"/>
    </row>
    <row r="78" spans="2:6" x14ac:dyDescent="0.25">
      <c r="B78" s="470">
        <f t="shared" si="2"/>
        <v>38</v>
      </c>
      <c r="C78" s="171"/>
      <c r="D78" s="512"/>
      <c r="E78" s="470"/>
      <c r="F78" s="66"/>
    </row>
    <row r="79" spans="2:6" x14ac:dyDescent="0.25">
      <c r="B79" s="470">
        <f t="shared" si="2"/>
        <v>39</v>
      </c>
      <c r="C79" s="171"/>
      <c r="D79" s="512"/>
      <c r="E79" s="470"/>
      <c r="F79" s="66"/>
    </row>
    <row r="80" spans="2:6" x14ac:dyDescent="0.25">
      <c r="B80" s="470">
        <f t="shared" si="2"/>
        <v>40</v>
      </c>
      <c r="C80" s="171"/>
      <c r="D80" s="512"/>
      <c r="E80" s="470"/>
      <c r="F80" s="66"/>
    </row>
    <row r="81" spans="2:6" x14ac:dyDescent="0.25">
      <c r="B81" s="470">
        <f t="shared" si="2"/>
        <v>41</v>
      </c>
      <c r="C81" s="171"/>
      <c r="D81" s="512"/>
      <c r="E81" s="470"/>
      <c r="F81" s="66"/>
    </row>
    <row r="82" spans="2:6" x14ac:dyDescent="0.25">
      <c r="B82" s="470">
        <f t="shared" si="2"/>
        <v>42</v>
      </c>
      <c r="C82" s="171"/>
      <c r="D82" s="512"/>
      <c r="E82" s="470"/>
      <c r="F82" s="66"/>
    </row>
    <row r="83" spans="2:6" x14ac:dyDescent="0.25">
      <c r="B83" s="470">
        <f t="shared" si="2"/>
        <v>43</v>
      </c>
      <c r="C83" s="171"/>
      <c r="D83" s="463"/>
      <c r="E83" s="470"/>
      <c r="F83" s="66"/>
    </row>
    <row r="84" spans="2:6" x14ac:dyDescent="0.25">
      <c r="B84" s="470">
        <f t="shared" si="2"/>
        <v>44</v>
      </c>
      <c r="C84" s="171"/>
      <c r="D84" s="463"/>
      <c r="E84" s="470"/>
      <c r="F84" s="66"/>
    </row>
    <row r="85" spans="2:6" x14ac:dyDescent="0.25">
      <c r="B85" s="470">
        <f t="shared" si="2"/>
        <v>45</v>
      </c>
      <c r="C85" s="171"/>
      <c r="D85" s="463"/>
      <c r="E85" s="470"/>
      <c r="F85" s="66"/>
    </row>
    <row r="86" spans="2:6" x14ac:dyDescent="0.25">
      <c r="B86" s="470">
        <f t="shared" si="2"/>
        <v>46</v>
      </c>
      <c r="C86" s="171"/>
      <c r="D86" s="463"/>
      <c r="E86" s="463"/>
      <c r="F86" s="66"/>
    </row>
    <row r="87" spans="2:6" x14ac:dyDescent="0.25">
      <c r="B87" s="470">
        <f t="shared" si="2"/>
        <v>47</v>
      </c>
      <c r="C87" s="171"/>
      <c r="D87" s="463"/>
      <c r="E87" s="463"/>
      <c r="F87" s="66"/>
    </row>
    <row r="88" spans="2:6" x14ac:dyDescent="0.25">
      <c r="B88" s="470">
        <f t="shared" si="2"/>
        <v>48</v>
      </c>
      <c r="C88" s="171"/>
      <c r="D88" s="463"/>
      <c r="E88" s="463"/>
      <c r="F88" s="66"/>
    </row>
    <row r="89" spans="2:6" x14ac:dyDescent="0.25">
      <c r="B89" s="470">
        <f t="shared" si="2"/>
        <v>49</v>
      </c>
      <c r="C89" s="171"/>
      <c r="D89" s="463"/>
      <c r="E89" s="463"/>
      <c r="F89" s="66"/>
    </row>
    <row r="90" spans="2:6" x14ac:dyDescent="0.25">
      <c r="B90" s="470">
        <f t="shared" si="2"/>
        <v>50</v>
      </c>
      <c r="C90" s="171"/>
      <c r="D90" s="463"/>
      <c r="E90" s="463"/>
      <c r="F90" s="66"/>
    </row>
    <row r="91" spans="2:6" x14ac:dyDescent="0.25">
      <c r="B91" s="470">
        <f t="shared" si="2"/>
        <v>51</v>
      </c>
      <c r="C91" s="171"/>
      <c r="D91" s="463"/>
      <c r="E91" s="463"/>
      <c r="F91" s="66"/>
    </row>
    <row r="92" spans="2:6" x14ac:dyDescent="0.25">
      <c r="B92" s="470">
        <f t="shared" si="2"/>
        <v>52</v>
      </c>
      <c r="C92" s="171"/>
      <c r="D92" s="463"/>
      <c r="E92" s="463"/>
      <c r="F92" s="66"/>
    </row>
    <row r="93" spans="2:6" x14ac:dyDescent="0.25">
      <c r="B93" s="470">
        <f t="shared" si="2"/>
        <v>53</v>
      </c>
      <c r="C93" s="171"/>
      <c r="D93" s="463"/>
      <c r="E93" s="463"/>
      <c r="F93" s="66"/>
    </row>
    <row r="94" spans="2:6" x14ac:dyDescent="0.25">
      <c r="B94" s="296">
        <f t="shared" si="2"/>
        <v>54</v>
      </c>
      <c r="C94" s="582"/>
      <c r="D94" s="293"/>
      <c r="E94" s="293"/>
      <c r="F94" s="66"/>
    </row>
  </sheetData>
  <mergeCells count="3">
    <mergeCell ref="B1:D1"/>
    <mergeCell ref="B3:F3"/>
    <mergeCell ref="B31:F31"/>
  </mergeCells>
  <pageMargins left="1.18" right="0.59" top="0.79" bottom="0.79"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AH30"/>
  <sheetViews>
    <sheetView showZeros="0" topLeftCell="B1" workbookViewId="0">
      <selection activeCell="E6" sqref="E6"/>
    </sheetView>
  </sheetViews>
  <sheetFormatPr defaultColWidth="9.140625" defaultRowHeight="15" x14ac:dyDescent="0.25"/>
  <cols>
    <col min="1" max="1" width="6.7109375" style="460" hidden="1" customWidth="1"/>
    <col min="2" max="2" width="4.7109375" style="460" bestFit="1" customWidth="1"/>
    <col min="3" max="3" width="8" style="460" bestFit="1" customWidth="1"/>
    <col min="4" max="4" width="10.28515625" style="460" hidden="1" customWidth="1"/>
    <col min="5" max="5" width="48.28515625" style="460" customWidth="1"/>
    <col min="6" max="6" width="8.7109375" style="460" customWidth="1"/>
    <col min="7" max="7" width="12.5703125" style="460" hidden="1" customWidth="1"/>
    <col min="8" max="8" width="10" style="460" hidden="1" customWidth="1"/>
    <col min="9" max="9" width="9.140625" style="460" hidden="1" customWidth="1"/>
    <col min="10" max="10" width="11.85546875" style="460" customWidth="1"/>
    <col min="11" max="11" width="9.42578125" style="460" customWidth="1"/>
    <col min="12" max="12" width="11.7109375" style="460" hidden="1" customWidth="1"/>
    <col min="13" max="13" width="9.42578125" style="460" hidden="1" customWidth="1"/>
    <col min="14" max="15" width="12.5703125" style="460" hidden="1" customWidth="1"/>
    <col min="16" max="16" width="12.42578125" style="460" hidden="1" customWidth="1"/>
    <col min="17" max="17" width="9.42578125" style="460" hidden="1" customWidth="1"/>
    <col min="18" max="18" width="12.28515625" style="460" hidden="1" customWidth="1"/>
    <col min="19" max="19" width="11.7109375" style="460" hidden="1" customWidth="1"/>
    <col min="20" max="20" width="11.85546875" style="460" hidden="1" customWidth="1"/>
    <col min="21" max="21" width="13.5703125" style="460" hidden="1" customWidth="1"/>
    <col min="22" max="22" width="9.85546875" style="460" hidden="1" customWidth="1"/>
    <col min="23" max="23" width="12.140625" style="460" hidden="1" customWidth="1"/>
    <col min="24" max="24" width="9.42578125" style="460" customWidth="1"/>
    <col min="25" max="25" width="11.28515625" style="460" hidden="1" customWidth="1"/>
    <col min="26" max="26" width="12.5703125" style="460" customWidth="1"/>
    <col min="27" max="27" width="12.28515625" style="460" customWidth="1"/>
    <col min="28" max="34" width="9.140625" style="460" hidden="1" customWidth="1"/>
    <col min="35" max="35" width="9.140625" style="460" customWidth="1"/>
    <col min="36" max="16384" width="9.140625" style="460"/>
  </cols>
  <sheetData>
    <row r="1" spans="1:27" ht="18.75" x14ac:dyDescent="0.3">
      <c r="A1" s="590" t="s">
        <v>64</v>
      </c>
      <c r="B1" s="590" t="s">
        <v>64</v>
      </c>
      <c r="C1" s="590" t="s">
        <v>64</v>
      </c>
      <c r="D1" s="590" t="s">
        <v>64</v>
      </c>
      <c r="E1" s="590" t="s">
        <v>64</v>
      </c>
      <c r="F1" s="590" t="s">
        <v>64</v>
      </c>
      <c r="G1" s="590" t="s">
        <v>64</v>
      </c>
      <c r="H1" s="590" t="s">
        <v>64</v>
      </c>
      <c r="I1" s="590" t="s">
        <v>64</v>
      </c>
      <c r="J1" s="590" t="s">
        <v>64</v>
      </c>
      <c r="K1" s="590" t="s">
        <v>64</v>
      </c>
      <c r="L1" s="590" t="s">
        <v>64</v>
      </c>
      <c r="M1" s="590" t="s">
        <v>64</v>
      </c>
      <c r="N1" s="590" t="s">
        <v>64</v>
      </c>
      <c r="O1" s="590" t="s">
        <v>64</v>
      </c>
      <c r="P1" s="590" t="s">
        <v>64</v>
      </c>
      <c r="Q1" s="590" t="s">
        <v>64</v>
      </c>
      <c r="R1" s="590" t="s">
        <v>64</v>
      </c>
      <c r="S1" s="590" t="s">
        <v>64</v>
      </c>
      <c r="T1" s="590" t="s">
        <v>64</v>
      </c>
      <c r="U1" s="590" t="s">
        <v>64</v>
      </c>
      <c r="V1" s="590" t="s">
        <v>64</v>
      </c>
      <c r="W1" s="590" t="s">
        <v>64</v>
      </c>
      <c r="X1" s="590" t="s">
        <v>64</v>
      </c>
      <c r="Y1" s="590" t="s">
        <v>64</v>
      </c>
      <c r="Z1" s="590" t="s">
        <v>64</v>
      </c>
      <c r="AA1" s="590" t="s">
        <v>64</v>
      </c>
    </row>
    <row r="2" spans="1:27" x14ac:dyDescent="0.25">
      <c r="A2" s="591" t="s">
        <v>471</v>
      </c>
      <c r="B2" s="591" t="s">
        <v>471</v>
      </c>
      <c r="C2" s="591" t="s">
        <v>471</v>
      </c>
      <c r="D2" s="591" t="s">
        <v>471</v>
      </c>
      <c r="E2" s="591" t="s">
        <v>471</v>
      </c>
      <c r="F2" s="591" t="s">
        <v>471</v>
      </c>
      <c r="G2" s="591" t="s">
        <v>471</v>
      </c>
      <c r="H2" s="591" t="s">
        <v>471</v>
      </c>
      <c r="I2" s="591" t="s">
        <v>471</v>
      </c>
      <c r="J2" s="591" t="s">
        <v>471</v>
      </c>
      <c r="K2" s="591" t="s">
        <v>471</v>
      </c>
      <c r="L2" s="591" t="s">
        <v>471</v>
      </c>
      <c r="M2" s="591" t="s">
        <v>471</v>
      </c>
      <c r="N2" s="591" t="s">
        <v>471</v>
      </c>
      <c r="O2" s="591" t="s">
        <v>471</v>
      </c>
      <c r="P2" s="591" t="s">
        <v>471</v>
      </c>
      <c r="Q2" s="591" t="s">
        <v>471</v>
      </c>
      <c r="R2" s="591" t="s">
        <v>471</v>
      </c>
      <c r="S2" s="591" t="s">
        <v>471</v>
      </c>
      <c r="T2" s="591" t="s">
        <v>471</v>
      </c>
      <c r="U2" s="591" t="s">
        <v>471</v>
      </c>
      <c r="V2" s="591" t="s">
        <v>471</v>
      </c>
      <c r="W2" s="591" t="s">
        <v>471</v>
      </c>
      <c r="X2" s="591" t="s">
        <v>471</v>
      </c>
      <c r="Y2" s="591" t="s">
        <v>471</v>
      </c>
      <c r="Z2" s="591" t="s">
        <v>471</v>
      </c>
      <c r="AA2" s="591" t="s">
        <v>471</v>
      </c>
    </row>
    <row r="3" spans="1:27" x14ac:dyDescent="0.25">
      <c r="A3" s="596" t="s">
        <v>813</v>
      </c>
      <c r="B3" s="596" t="s">
        <v>813</v>
      </c>
      <c r="C3" s="596" t="s">
        <v>813</v>
      </c>
      <c r="D3" s="596" t="s">
        <v>813</v>
      </c>
      <c r="E3" s="596" t="s">
        <v>813</v>
      </c>
      <c r="F3" s="596" t="s">
        <v>813</v>
      </c>
      <c r="G3" s="596" t="s">
        <v>813</v>
      </c>
      <c r="H3" s="596" t="s">
        <v>813</v>
      </c>
      <c r="I3" s="596" t="s">
        <v>813</v>
      </c>
      <c r="J3" s="596" t="s">
        <v>813</v>
      </c>
      <c r="K3" s="596" t="s">
        <v>813</v>
      </c>
      <c r="L3" s="596" t="s">
        <v>813</v>
      </c>
      <c r="M3" s="596" t="s">
        <v>813</v>
      </c>
      <c r="N3" s="596" t="s">
        <v>813</v>
      </c>
      <c r="O3" s="596" t="s">
        <v>813</v>
      </c>
      <c r="P3" s="596" t="s">
        <v>813</v>
      </c>
      <c r="Q3" s="596" t="s">
        <v>813</v>
      </c>
      <c r="R3" s="596" t="s">
        <v>813</v>
      </c>
      <c r="S3" s="596" t="s">
        <v>813</v>
      </c>
      <c r="T3" s="596" t="s">
        <v>813</v>
      </c>
      <c r="U3" s="596" t="s">
        <v>813</v>
      </c>
      <c r="V3" s="596" t="s">
        <v>813</v>
      </c>
      <c r="W3" s="596" t="s">
        <v>813</v>
      </c>
      <c r="X3" s="596" t="s">
        <v>813</v>
      </c>
      <c r="Y3" s="596" t="s">
        <v>813</v>
      </c>
      <c r="Z3" s="596" t="s">
        <v>813</v>
      </c>
      <c r="AA3" s="596" t="s">
        <v>813</v>
      </c>
    </row>
    <row r="4" spans="1:27" x14ac:dyDescent="0.25">
      <c r="A4" s="517"/>
      <c r="B4" s="584" t="s">
        <v>306</v>
      </c>
      <c r="C4" s="584" t="s">
        <v>587</v>
      </c>
      <c r="D4" s="482"/>
      <c r="E4" s="584" t="s">
        <v>731</v>
      </c>
      <c r="F4" s="584" t="s">
        <v>891</v>
      </c>
      <c r="G4" s="584" t="s">
        <v>572</v>
      </c>
      <c r="H4" s="584" t="s">
        <v>975</v>
      </c>
      <c r="I4" s="584" t="s">
        <v>764</v>
      </c>
      <c r="J4" s="584" t="s">
        <v>4</v>
      </c>
      <c r="K4" s="584" t="s">
        <v>723</v>
      </c>
      <c r="L4" s="584" t="s">
        <v>97</v>
      </c>
      <c r="M4" s="584" t="s">
        <v>47</v>
      </c>
      <c r="N4" s="584" t="s">
        <v>97</v>
      </c>
      <c r="O4" s="584" t="s">
        <v>782</v>
      </c>
      <c r="P4" s="584" t="s">
        <v>97</v>
      </c>
      <c r="Q4" s="584" t="s">
        <v>764</v>
      </c>
      <c r="R4" s="584" t="s">
        <v>448</v>
      </c>
      <c r="S4" s="584" t="s">
        <v>97</v>
      </c>
      <c r="T4" s="584" t="s">
        <v>782</v>
      </c>
      <c r="U4" s="584" t="s">
        <v>97</v>
      </c>
      <c r="V4" s="584" t="s">
        <v>935</v>
      </c>
      <c r="W4" s="584" t="s">
        <v>97</v>
      </c>
      <c r="X4" s="584" t="s">
        <v>670</v>
      </c>
      <c r="Y4" s="584" t="s">
        <v>97</v>
      </c>
      <c r="Z4" s="584" t="s">
        <v>782</v>
      </c>
      <c r="AA4" s="584" t="s">
        <v>97</v>
      </c>
    </row>
    <row r="5" spans="1:27" ht="7.15" customHeight="1" x14ac:dyDescent="0.25">
      <c r="A5" s="517"/>
      <c r="B5" s="584"/>
      <c r="C5" s="584"/>
      <c r="D5" s="482"/>
      <c r="E5" s="584"/>
      <c r="F5" s="584"/>
      <c r="G5" s="584" t="s">
        <v>572</v>
      </c>
      <c r="H5" s="584" t="s">
        <v>975</v>
      </c>
      <c r="I5" s="584" t="s">
        <v>764</v>
      </c>
      <c r="J5" s="584" t="s">
        <v>4</v>
      </c>
      <c r="K5" s="584"/>
      <c r="L5" s="584"/>
      <c r="M5" s="584"/>
      <c r="N5" s="584"/>
      <c r="O5" s="584"/>
      <c r="P5" s="584"/>
      <c r="Q5" s="584"/>
      <c r="R5" s="584"/>
      <c r="S5" s="584"/>
      <c r="T5" s="584"/>
      <c r="U5" s="584"/>
      <c r="V5" s="584"/>
      <c r="W5" s="584"/>
      <c r="X5" s="584"/>
      <c r="Y5" s="584"/>
      <c r="Z5" s="584"/>
      <c r="AA5" s="584"/>
    </row>
    <row r="6" spans="1:27" x14ac:dyDescent="0.25">
      <c r="A6" s="37" t="s">
        <v>207</v>
      </c>
      <c r="B6" s="234">
        <v>1</v>
      </c>
      <c r="C6" s="581" t="s">
        <v>793</v>
      </c>
      <c r="D6" s="37"/>
      <c r="E6" s="458" t="str">
        <f>'Giá VL'!E5</f>
        <v>Cát vàng</v>
      </c>
      <c r="F6" s="234" t="str">
        <f>'Giá VL'!F5</f>
        <v>m3</v>
      </c>
      <c r="G6" s="131"/>
      <c r="H6" s="131"/>
      <c r="I6" s="131"/>
      <c r="J6" s="131">
        <f>SUM(J7:J7)</f>
        <v>0.13200000000000001</v>
      </c>
      <c r="K6" s="77">
        <f>'Giá VL'!G5</f>
        <v>180000</v>
      </c>
      <c r="L6" s="77">
        <f>J6*K6</f>
        <v>23760</v>
      </c>
      <c r="M6" s="77">
        <f>'Giá VL'!J5</f>
        <v>180000</v>
      </c>
      <c r="N6" s="77">
        <f>J6*M6</f>
        <v>23760</v>
      </c>
      <c r="O6" s="228">
        <f>M6-K6</f>
        <v>0</v>
      </c>
      <c r="P6" s="77">
        <f>J6*O6</f>
        <v>0</v>
      </c>
      <c r="Q6" s="131">
        <v>1</v>
      </c>
      <c r="R6" s="77">
        <f>M6*Q6</f>
        <v>180000</v>
      </c>
      <c r="S6" s="77">
        <f>J6*R6</f>
        <v>23760</v>
      </c>
      <c r="T6" s="228">
        <v>0</v>
      </c>
      <c r="U6" s="77">
        <v>0</v>
      </c>
      <c r="V6" s="77">
        <v>0</v>
      </c>
      <c r="W6" s="77">
        <v>0</v>
      </c>
      <c r="X6" s="77">
        <f>'Giá VL'!V5</f>
        <v>180000</v>
      </c>
      <c r="Y6" s="77">
        <f>J6*X6</f>
        <v>23760</v>
      </c>
      <c r="Z6" s="228">
        <f>X6-K6</f>
        <v>0</v>
      </c>
      <c r="AA6" s="77">
        <f>J6*Z6</f>
        <v>0</v>
      </c>
    </row>
    <row r="7" spans="1:27" s="192" customFormat="1" ht="30" hidden="1" x14ac:dyDescent="0.25">
      <c r="A7" s="258"/>
      <c r="B7" s="383"/>
      <c r="C7" s="258" t="str">
        <f>'Tiên lượng'!C7</f>
        <v>CF.11620</v>
      </c>
      <c r="D7" s="258"/>
      <c r="E7" s="9" t="str">
        <f>'Tiên lượng'!D7</f>
        <v>Công tác đo lưới khống chế mặt bằng, đường chuyền cấp II, Bộ thiết bị GPS (3 máy)</v>
      </c>
      <c r="F7" s="383" t="str">
        <f>'Tiên lượng'!E7</f>
        <v>điểm</v>
      </c>
      <c r="G7" s="139">
        <f>'Tiên lượng'!M7</f>
        <v>22</v>
      </c>
      <c r="H7" s="139">
        <f>PTVT!G10</f>
        <v>6.0000000000000001E-3</v>
      </c>
      <c r="I7" s="139">
        <f>'Tiên lượng'!V7</f>
        <v>1</v>
      </c>
      <c r="J7" s="139">
        <f>PRODUCT(G7,H7,I7)</f>
        <v>0.13200000000000001</v>
      </c>
      <c r="K7" s="88"/>
      <c r="L7" s="88"/>
      <c r="M7" s="88"/>
      <c r="N7" s="88"/>
      <c r="O7" s="88"/>
      <c r="P7" s="88"/>
      <c r="Q7" s="139"/>
      <c r="R7" s="88"/>
      <c r="S7" s="88"/>
      <c r="T7" s="88"/>
      <c r="U7" s="88"/>
      <c r="V7" s="88"/>
      <c r="W7" s="88"/>
      <c r="X7" s="88"/>
      <c r="Y7" s="88"/>
      <c r="Z7" s="88"/>
      <c r="AA7" s="88"/>
    </row>
    <row r="8" spans="1:27" x14ac:dyDescent="0.25">
      <c r="A8" s="510" t="s">
        <v>207</v>
      </c>
      <c r="B8" s="45">
        <v>2</v>
      </c>
      <c r="C8" s="408" t="s">
        <v>494</v>
      </c>
      <c r="D8" s="510"/>
      <c r="E8" s="277" t="str">
        <f>'Giá VL'!E6</f>
        <v>Cọc gỗ (4x4x40) cm</v>
      </c>
      <c r="F8" s="45" t="str">
        <f>'Giá VL'!F6</f>
        <v>cái</v>
      </c>
      <c r="G8" s="422"/>
      <c r="H8" s="422"/>
      <c r="I8" s="422"/>
      <c r="J8" s="422">
        <f>SUM(J9:J10)</f>
        <v>558</v>
      </c>
      <c r="K8" s="368">
        <f>'Giá VL'!G6</f>
        <v>5000</v>
      </c>
      <c r="L8" s="368">
        <f>J8*K8</f>
        <v>2790000</v>
      </c>
      <c r="M8" s="368">
        <f>'Giá VL'!J6</f>
        <v>5000</v>
      </c>
      <c r="N8" s="368">
        <f>J8*M8</f>
        <v>2790000</v>
      </c>
      <c r="O8" s="501">
        <f>M8-K8</f>
        <v>0</v>
      </c>
      <c r="P8" s="368">
        <f>J8*O8</f>
        <v>0</v>
      </c>
      <c r="Q8" s="422">
        <v>1</v>
      </c>
      <c r="R8" s="368">
        <f>M8*Q8</f>
        <v>5000</v>
      </c>
      <c r="S8" s="368">
        <f>J8*R8</f>
        <v>2790000</v>
      </c>
      <c r="T8" s="501">
        <v>0</v>
      </c>
      <c r="U8" s="368">
        <v>0</v>
      </c>
      <c r="V8" s="368">
        <v>0</v>
      </c>
      <c r="W8" s="368">
        <v>0</v>
      </c>
      <c r="X8" s="368">
        <f>'Giá VL'!V6</f>
        <v>5000</v>
      </c>
      <c r="Y8" s="368">
        <f>J8*X8</f>
        <v>2790000</v>
      </c>
      <c r="Z8" s="501">
        <f>X8-K8</f>
        <v>0</v>
      </c>
      <c r="AA8" s="368">
        <f>J8*Z8</f>
        <v>0</v>
      </c>
    </row>
    <row r="9" spans="1:27" s="192" customFormat="1" ht="45" hidden="1" x14ac:dyDescent="0.25">
      <c r="A9" s="258"/>
      <c r="B9" s="383"/>
      <c r="C9" s="258" t="str">
        <f>'Tiên lượng'!C9</f>
        <v>CK.11430</v>
      </c>
      <c r="D9" s="258"/>
      <c r="E9" s="9" t="str">
        <f>'Tiên lượng'!D9</f>
        <v>Đo vẽ chi tiết bản đồ địa hình trên cạn bằng  máy toàn đạc điện tử và máy thủy bình điện tử; bản đồ tỷ lệ 1/500, đường đồng mức 1m, cấp địa hình III</v>
      </c>
      <c r="F9" s="383" t="str">
        <f>'Tiên lượng'!E9</f>
        <v>1 ha</v>
      </c>
      <c r="G9" s="139">
        <f>'Tiên lượng'!M9</f>
        <v>56</v>
      </c>
      <c r="H9" s="139">
        <f>PTVT!G33</f>
        <v>3</v>
      </c>
      <c r="I9" s="139">
        <f>'Tiên lượng'!V9</f>
        <v>1</v>
      </c>
      <c r="J9" s="139">
        <f t="shared" ref="J9:J10" si="0">PRODUCT(G9,H9,I9)</f>
        <v>168</v>
      </c>
      <c r="K9" s="88"/>
      <c r="L9" s="88"/>
      <c r="M9" s="88"/>
      <c r="N9" s="88"/>
      <c r="O9" s="88"/>
      <c r="P9" s="88"/>
      <c r="Q9" s="139"/>
      <c r="R9" s="88"/>
      <c r="S9" s="88"/>
      <c r="T9" s="88"/>
      <c r="U9" s="88"/>
      <c r="V9" s="88"/>
      <c r="W9" s="88"/>
      <c r="X9" s="88"/>
      <c r="Y9" s="88"/>
      <c r="Z9" s="88"/>
      <c r="AA9" s="88"/>
    </row>
    <row r="10" spans="1:27" s="192" customFormat="1" ht="45" hidden="1" x14ac:dyDescent="0.25">
      <c r="A10" s="258"/>
      <c r="B10" s="383"/>
      <c r="C10" s="258" t="str">
        <f>'Tiên lượng'!C10</f>
        <v>CK.11440</v>
      </c>
      <c r="D10" s="258"/>
      <c r="E10" s="9" t="str">
        <f>'Tiên lượng'!D10</f>
        <v>Đo vẽ chi tiết bản đồ địa hình trên cạn bằng  máy toàn đạc điện tử và máy thủy bình điện tử; bản đồ tỷ lệ 1/500, đường đồng mức 1m, cấp địa hình IV</v>
      </c>
      <c r="F10" s="383" t="str">
        <f>'Tiên lượng'!E10</f>
        <v>1 ha</v>
      </c>
      <c r="G10" s="139">
        <f>'Tiên lượng'!M10</f>
        <v>130</v>
      </c>
      <c r="H10" s="139">
        <f>PTVT!G45</f>
        <v>3</v>
      </c>
      <c r="I10" s="139">
        <f>'Tiên lượng'!V10</f>
        <v>1</v>
      </c>
      <c r="J10" s="139">
        <f t="shared" si="0"/>
        <v>390</v>
      </c>
      <c r="K10" s="88"/>
      <c r="L10" s="88"/>
      <c r="M10" s="88"/>
      <c r="N10" s="88"/>
      <c r="O10" s="88"/>
      <c r="P10" s="88"/>
      <c r="Q10" s="139"/>
      <c r="R10" s="88"/>
      <c r="S10" s="88"/>
      <c r="T10" s="88"/>
      <c r="U10" s="88"/>
      <c r="V10" s="88"/>
      <c r="W10" s="88"/>
      <c r="X10" s="88"/>
      <c r="Y10" s="88"/>
      <c r="Z10" s="88"/>
      <c r="AA10" s="88"/>
    </row>
    <row r="11" spans="1:27" x14ac:dyDescent="0.25">
      <c r="A11" s="510" t="s">
        <v>207</v>
      </c>
      <c r="B11" s="45">
        <v>3</v>
      </c>
      <c r="C11" s="408" t="s">
        <v>475</v>
      </c>
      <c r="D11" s="510"/>
      <c r="E11" s="277" t="str">
        <f>'Giá VL'!E7</f>
        <v>Đá 1x2</v>
      </c>
      <c r="F11" s="45" t="str">
        <f>'Giá VL'!F7</f>
        <v>m3</v>
      </c>
      <c r="G11" s="422"/>
      <c r="H11" s="422"/>
      <c r="I11" s="422"/>
      <c r="J11" s="422">
        <f>SUM(J12:J12)</f>
        <v>0.22</v>
      </c>
      <c r="K11" s="368">
        <f>'Giá VL'!G7</f>
        <v>207088.181818182</v>
      </c>
      <c r="L11" s="368">
        <f>J11*K11</f>
        <v>45559.400000000038</v>
      </c>
      <c r="M11" s="368">
        <f>'Giá VL'!J7</f>
        <v>207088.181818182</v>
      </c>
      <c r="N11" s="368">
        <f>J11*M11</f>
        <v>45559.400000000038</v>
      </c>
      <c r="O11" s="501">
        <f>M11-K11</f>
        <v>0</v>
      </c>
      <c r="P11" s="368">
        <f>J11*O11</f>
        <v>0</v>
      </c>
      <c r="Q11" s="422">
        <v>1</v>
      </c>
      <c r="R11" s="368">
        <f>M11*Q11</f>
        <v>207088.181818182</v>
      </c>
      <c r="S11" s="368">
        <f>J11*R11</f>
        <v>45559.400000000038</v>
      </c>
      <c r="T11" s="501">
        <v>0</v>
      </c>
      <c r="U11" s="368">
        <v>0</v>
      </c>
      <c r="V11" s="368">
        <v>0</v>
      </c>
      <c r="W11" s="368">
        <v>0</v>
      </c>
      <c r="X11" s="368">
        <f>'Giá VL'!V7</f>
        <v>207088.181818182</v>
      </c>
      <c r="Y11" s="368">
        <f>J11*X11</f>
        <v>45559.400000000038</v>
      </c>
      <c r="Z11" s="501">
        <f>X11-K11</f>
        <v>0</v>
      </c>
      <c r="AA11" s="368">
        <f>J11*Z11</f>
        <v>0</v>
      </c>
    </row>
    <row r="12" spans="1:27" s="192" customFormat="1" ht="30" hidden="1" x14ac:dyDescent="0.25">
      <c r="A12" s="258"/>
      <c r="B12" s="383"/>
      <c r="C12" s="258" t="str">
        <f>'Tiên lượng'!C7</f>
        <v>CF.11620</v>
      </c>
      <c r="D12" s="258"/>
      <c r="E12" s="9" t="str">
        <f>'Tiên lượng'!D7</f>
        <v>Công tác đo lưới khống chế mặt bằng, đường chuyền cấp II, Bộ thiết bị GPS (3 máy)</v>
      </c>
      <c r="F12" s="383" t="str">
        <f>'Tiên lượng'!E7</f>
        <v>điểm</v>
      </c>
      <c r="G12" s="139">
        <f>'Tiên lượng'!M7</f>
        <v>22</v>
      </c>
      <c r="H12" s="139">
        <f>PTVT!G9</f>
        <v>0.01</v>
      </c>
      <c r="I12" s="139">
        <f>'Tiên lượng'!V7</f>
        <v>1</v>
      </c>
      <c r="J12" s="139">
        <f>PRODUCT(G12,H12,I12)</f>
        <v>0.22</v>
      </c>
      <c r="K12" s="88"/>
      <c r="L12" s="88"/>
      <c r="M12" s="88"/>
      <c r="N12" s="88"/>
      <c r="O12" s="88"/>
      <c r="P12" s="88"/>
      <c r="Q12" s="139"/>
      <c r="R12" s="88"/>
      <c r="S12" s="88"/>
      <c r="T12" s="88"/>
      <c r="U12" s="88"/>
      <c r="V12" s="88"/>
      <c r="W12" s="88"/>
      <c r="X12" s="88"/>
      <c r="Y12" s="88"/>
      <c r="Z12" s="88"/>
      <c r="AA12" s="88"/>
    </row>
    <row r="13" spans="1:27" x14ac:dyDescent="0.25">
      <c r="A13" s="510" t="s">
        <v>207</v>
      </c>
      <c r="B13" s="45">
        <v>4</v>
      </c>
      <c r="C13" s="408" t="s">
        <v>634</v>
      </c>
      <c r="D13" s="510"/>
      <c r="E13" s="277" t="str">
        <f>'Giá VL'!E8</f>
        <v>Đinh+dây thép</v>
      </c>
      <c r="F13" s="45" t="str">
        <f>'Giá VL'!F8</f>
        <v>kg</v>
      </c>
      <c r="G13" s="422"/>
      <c r="H13" s="422"/>
      <c r="I13" s="422"/>
      <c r="J13" s="422">
        <f>SUM(J14:J14)</f>
        <v>2.2000000000000002</v>
      </c>
      <c r="K13" s="368">
        <f>'Giá VL'!G8</f>
        <v>18182</v>
      </c>
      <c r="L13" s="368">
        <f>J13*K13</f>
        <v>40000.400000000001</v>
      </c>
      <c r="M13" s="368">
        <f>'Giá VL'!J8</f>
        <v>18182</v>
      </c>
      <c r="N13" s="368">
        <f>J13*M13</f>
        <v>40000.400000000001</v>
      </c>
      <c r="O13" s="501">
        <f>M13-K13</f>
        <v>0</v>
      </c>
      <c r="P13" s="368">
        <f>J13*O13</f>
        <v>0</v>
      </c>
      <c r="Q13" s="422">
        <v>1</v>
      </c>
      <c r="R13" s="368">
        <f>M13*Q13</f>
        <v>18182</v>
      </c>
      <c r="S13" s="368">
        <f>J13*R13</f>
        <v>40000.400000000001</v>
      </c>
      <c r="T13" s="501">
        <v>0</v>
      </c>
      <c r="U13" s="368">
        <v>0</v>
      </c>
      <c r="V13" s="368">
        <v>0</v>
      </c>
      <c r="W13" s="368">
        <v>0</v>
      </c>
      <c r="X13" s="368">
        <f>'Giá VL'!V8</f>
        <v>18182</v>
      </c>
      <c r="Y13" s="368">
        <f>J13*X13</f>
        <v>40000.400000000001</v>
      </c>
      <c r="Z13" s="501">
        <f>X13-K13</f>
        <v>0</v>
      </c>
      <c r="AA13" s="368">
        <f>J13*Z13</f>
        <v>0</v>
      </c>
    </row>
    <row r="14" spans="1:27" s="192" customFormat="1" ht="30" hidden="1" x14ac:dyDescent="0.25">
      <c r="A14" s="258"/>
      <c r="B14" s="383"/>
      <c r="C14" s="258" t="str">
        <f>'Tiên lượng'!C7</f>
        <v>CF.11620</v>
      </c>
      <c r="D14" s="258"/>
      <c r="E14" s="9" t="str">
        <f>'Tiên lượng'!D7</f>
        <v>Công tác đo lưới khống chế mặt bằng, đường chuyền cấp II, Bộ thiết bị GPS (3 máy)</v>
      </c>
      <c r="F14" s="383" t="str">
        <f>'Tiên lượng'!E7</f>
        <v>điểm</v>
      </c>
      <c r="G14" s="139">
        <f>'Tiên lượng'!M7</f>
        <v>22</v>
      </c>
      <c r="H14" s="139">
        <f>PTVT!G11</f>
        <v>0.1</v>
      </c>
      <c r="I14" s="139">
        <f>'Tiên lượng'!V7</f>
        <v>1</v>
      </c>
      <c r="J14" s="139">
        <f>PRODUCT(G14,H14,I14)</f>
        <v>2.2000000000000002</v>
      </c>
      <c r="K14" s="88"/>
      <c r="L14" s="88"/>
      <c r="M14" s="88"/>
      <c r="N14" s="88"/>
      <c r="O14" s="88"/>
      <c r="P14" s="88"/>
      <c r="Q14" s="139"/>
      <c r="R14" s="88"/>
      <c r="S14" s="88"/>
      <c r="T14" s="88"/>
      <c r="U14" s="88"/>
      <c r="V14" s="88"/>
      <c r="W14" s="88"/>
      <c r="X14" s="88"/>
      <c r="Y14" s="88"/>
      <c r="Z14" s="88"/>
      <c r="AA14" s="88"/>
    </row>
    <row r="15" spans="1:27" x14ac:dyDescent="0.25">
      <c r="A15" s="510" t="s">
        <v>207</v>
      </c>
      <c r="B15" s="45">
        <v>5</v>
      </c>
      <c r="C15" s="408" t="s">
        <v>397</v>
      </c>
      <c r="D15" s="510"/>
      <c r="E15" s="277" t="str">
        <f>'Giá VL'!E9</f>
        <v>Sổ đo</v>
      </c>
      <c r="F15" s="45" t="str">
        <f>'Giá VL'!F9</f>
        <v>quyển</v>
      </c>
      <c r="G15" s="422"/>
      <c r="H15" s="422"/>
      <c r="I15" s="422"/>
      <c r="J15" s="422">
        <f>SUM(J16:J19)</f>
        <v>155.69999999999999</v>
      </c>
      <c r="K15" s="368">
        <f>'Giá VL'!G9</f>
        <v>8000</v>
      </c>
      <c r="L15" s="368">
        <f>J15*K15</f>
        <v>1245600</v>
      </c>
      <c r="M15" s="368">
        <f>'Giá VL'!J9</f>
        <v>8000</v>
      </c>
      <c r="N15" s="368">
        <f>J15*M15</f>
        <v>1245600</v>
      </c>
      <c r="O15" s="501">
        <f>M15-K15</f>
        <v>0</v>
      </c>
      <c r="P15" s="368">
        <f>J15*O15</f>
        <v>0</v>
      </c>
      <c r="Q15" s="422">
        <v>1</v>
      </c>
      <c r="R15" s="368">
        <f>M15*Q15</f>
        <v>8000</v>
      </c>
      <c r="S15" s="368">
        <f>J15*R15</f>
        <v>1245600</v>
      </c>
      <c r="T15" s="501">
        <v>0</v>
      </c>
      <c r="U15" s="368">
        <v>0</v>
      </c>
      <c r="V15" s="368">
        <v>0</v>
      </c>
      <c r="W15" s="368">
        <v>0</v>
      </c>
      <c r="X15" s="368">
        <f>'Giá VL'!V9</f>
        <v>8000</v>
      </c>
      <c r="Y15" s="368">
        <f>J15*X15</f>
        <v>1245600</v>
      </c>
      <c r="Z15" s="501">
        <f>X15-K15</f>
        <v>0</v>
      </c>
      <c r="AA15" s="368">
        <f>J15*Z15</f>
        <v>0</v>
      </c>
    </row>
    <row r="16" spans="1:27" s="192" customFormat="1" ht="30" hidden="1" x14ac:dyDescent="0.25">
      <c r="A16" s="258"/>
      <c r="B16" s="383"/>
      <c r="C16" s="258" t="str">
        <f>'Tiên lượng'!C7</f>
        <v>CF.11620</v>
      </c>
      <c r="D16" s="258"/>
      <c r="E16" s="9" t="str">
        <f>'Tiên lượng'!D7</f>
        <v>Công tác đo lưới khống chế mặt bằng, đường chuyền cấp II, Bộ thiết bị GPS (3 máy)</v>
      </c>
      <c r="F16" s="383" t="str">
        <f>'Tiên lượng'!E7</f>
        <v>điểm</v>
      </c>
      <c r="G16" s="139">
        <f>'Tiên lượng'!M7</f>
        <v>22</v>
      </c>
      <c r="H16" s="139">
        <f>PTVT!G13</f>
        <v>1</v>
      </c>
      <c r="I16" s="139">
        <f>'Tiên lượng'!V7</f>
        <v>1</v>
      </c>
      <c r="J16" s="139">
        <f t="shared" ref="J16:J19" si="1">PRODUCT(G16,H16,I16)</f>
        <v>22</v>
      </c>
      <c r="K16" s="88"/>
      <c r="L16" s="88"/>
      <c r="M16" s="88"/>
      <c r="N16" s="88"/>
      <c r="O16" s="88"/>
      <c r="P16" s="88"/>
      <c r="Q16" s="139"/>
      <c r="R16" s="88"/>
      <c r="S16" s="88"/>
      <c r="T16" s="88"/>
      <c r="U16" s="88"/>
      <c r="V16" s="88"/>
      <c r="W16" s="88"/>
      <c r="X16" s="88"/>
      <c r="Y16" s="88"/>
      <c r="Z16" s="88"/>
      <c r="AA16" s="88"/>
    </row>
    <row r="17" spans="1:27" s="192" customFormat="1" ht="30" hidden="1" x14ac:dyDescent="0.25">
      <c r="A17" s="258"/>
      <c r="B17" s="383"/>
      <c r="C17" s="258" t="str">
        <f>'Tiên lượng'!C8</f>
        <v>CG.11330</v>
      </c>
      <c r="D17" s="258"/>
      <c r="E17" s="9" t="str">
        <f>'Tiên lượng'!D8</f>
        <v>Công tác đo khống chế cao, thủy chuẩn kỹ thuật, cấp địa hình III</v>
      </c>
      <c r="F17" s="383" t="str">
        <f>'Tiên lượng'!E8</f>
        <v>km</v>
      </c>
      <c r="G17" s="139">
        <f>'Tiên lượng'!M8</f>
        <v>10</v>
      </c>
      <c r="H17" s="139">
        <f>PTVT!G23</f>
        <v>0.35</v>
      </c>
      <c r="I17" s="139">
        <f>'Tiên lượng'!V8</f>
        <v>1</v>
      </c>
      <c r="J17" s="139">
        <f t="shared" si="1"/>
        <v>3.5</v>
      </c>
      <c r="K17" s="88"/>
      <c r="L17" s="88"/>
      <c r="M17" s="88"/>
      <c r="N17" s="88"/>
      <c r="O17" s="88"/>
      <c r="P17" s="88"/>
      <c r="Q17" s="139"/>
      <c r="R17" s="88"/>
      <c r="S17" s="88"/>
      <c r="T17" s="88"/>
      <c r="U17" s="88"/>
      <c r="V17" s="88"/>
      <c r="W17" s="88"/>
      <c r="X17" s="88"/>
      <c r="Y17" s="88"/>
      <c r="Z17" s="88"/>
      <c r="AA17" s="88"/>
    </row>
    <row r="18" spans="1:27" s="192" customFormat="1" ht="45" hidden="1" x14ac:dyDescent="0.25">
      <c r="A18" s="258"/>
      <c r="B18" s="383"/>
      <c r="C18" s="258" t="str">
        <f>'Tiên lượng'!C9</f>
        <v>CK.11430</v>
      </c>
      <c r="D18" s="258"/>
      <c r="E18" s="9" t="str">
        <f>'Tiên lượng'!D9</f>
        <v>Đo vẽ chi tiết bản đồ địa hình trên cạn bằng  máy toàn đạc điện tử và máy thủy bình điện tử; bản đồ tỷ lệ 1/500, đường đồng mức 1m, cấp địa hình III</v>
      </c>
      <c r="F18" s="383" t="str">
        <f>'Tiên lượng'!E9</f>
        <v>1 ha</v>
      </c>
      <c r="G18" s="139">
        <f>'Tiên lượng'!M9</f>
        <v>56</v>
      </c>
      <c r="H18" s="139">
        <f>PTVT!G34</f>
        <v>0.7</v>
      </c>
      <c r="I18" s="139">
        <f>'Tiên lượng'!V9</f>
        <v>1</v>
      </c>
      <c r="J18" s="139">
        <f t="shared" si="1"/>
        <v>39.199999999999996</v>
      </c>
      <c r="K18" s="88"/>
      <c r="L18" s="88"/>
      <c r="M18" s="88"/>
      <c r="N18" s="88"/>
      <c r="O18" s="88"/>
      <c r="P18" s="88"/>
      <c r="Q18" s="139"/>
      <c r="R18" s="88"/>
      <c r="S18" s="88"/>
      <c r="T18" s="88"/>
      <c r="U18" s="88"/>
      <c r="V18" s="88"/>
      <c r="W18" s="88"/>
      <c r="X18" s="88"/>
      <c r="Y18" s="88"/>
      <c r="Z18" s="88"/>
      <c r="AA18" s="88"/>
    </row>
    <row r="19" spans="1:27" s="192" customFormat="1" ht="45" hidden="1" x14ac:dyDescent="0.25">
      <c r="A19" s="258"/>
      <c r="B19" s="383"/>
      <c r="C19" s="258" t="str">
        <f>'Tiên lượng'!C10</f>
        <v>CK.11440</v>
      </c>
      <c r="D19" s="258"/>
      <c r="E19" s="9" t="str">
        <f>'Tiên lượng'!D10</f>
        <v>Đo vẽ chi tiết bản đồ địa hình trên cạn bằng  máy toàn đạc điện tử và máy thủy bình điện tử; bản đồ tỷ lệ 1/500, đường đồng mức 1m, cấp địa hình IV</v>
      </c>
      <c r="F19" s="383" t="str">
        <f>'Tiên lượng'!E10</f>
        <v>1 ha</v>
      </c>
      <c r="G19" s="139">
        <f>'Tiên lượng'!M10</f>
        <v>130</v>
      </c>
      <c r="H19" s="139">
        <f>PTVT!G46</f>
        <v>0.7</v>
      </c>
      <c r="I19" s="139">
        <f>'Tiên lượng'!V10</f>
        <v>1</v>
      </c>
      <c r="J19" s="139">
        <f t="shared" si="1"/>
        <v>91</v>
      </c>
      <c r="K19" s="88"/>
      <c r="L19" s="88"/>
      <c r="M19" s="88"/>
      <c r="N19" s="88"/>
      <c r="O19" s="88"/>
      <c r="P19" s="88"/>
      <c r="Q19" s="139"/>
      <c r="R19" s="88"/>
      <c r="S19" s="88"/>
      <c r="T19" s="88"/>
      <c r="U19" s="88"/>
      <c r="V19" s="88"/>
      <c r="W19" s="88"/>
      <c r="X19" s="88"/>
      <c r="Y19" s="88"/>
      <c r="Z19" s="88"/>
      <c r="AA19" s="88"/>
    </row>
    <row r="20" spans="1:27" x14ac:dyDescent="0.25">
      <c r="A20" s="510" t="s">
        <v>207</v>
      </c>
      <c r="B20" s="45">
        <v>6</v>
      </c>
      <c r="C20" s="408" t="s">
        <v>594</v>
      </c>
      <c r="D20" s="510"/>
      <c r="E20" s="277" t="str">
        <f>'Giá VL'!E10</f>
        <v>Sơn trắng+đỏ</v>
      </c>
      <c r="F20" s="45" t="str">
        <f>'Giá VL'!F10</f>
        <v>kg</v>
      </c>
      <c r="G20" s="422"/>
      <c r="H20" s="422"/>
      <c r="I20" s="422"/>
      <c r="J20" s="422">
        <f>SUM(J21:J21)</f>
        <v>4.4000000000000004</v>
      </c>
      <c r="K20" s="368">
        <f>'Giá VL'!G10</f>
        <v>40000</v>
      </c>
      <c r="L20" s="368">
        <f>J20*K20</f>
        <v>176000</v>
      </c>
      <c r="M20" s="368">
        <f>'Giá VL'!J10</f>
        <v>40000</v>
      </c>
      <c r="N20" s="368">
        <f>J20*M20</f>
        <v>176000</v>
      </c>
      <c r="O20" s="501">
        <f>M20-K20</f>
        <v>0</v>
      </c>
      <c r="P20" s="368">
        <f>J20*O20</f>
        <v>0</v>
      </c>
      <c r="Q20" s="422">
        <v>1</v>
      </c>
      <c r="R20" s="368">
        <f>M20*Q20</f>
        <v>40000</v>
      </c>
      <c r="S20" s="368">
        <f>J20*R20</f>
        <v>176000</v>
      </c>
      <c r="T20" s="501">
        <v>0</v>
      </c>
      <c r="U20" s="368">
        <v>0</v>
      </c>
      <c r="V20" s="368">
        <v>0</v>
      </c>
      <c r="W20" s="368">
        <v>0</v>
      </c>
      <c r="X20" s="368">
        <f>'Giá VL'!V10</f>
        <v>40000</v>
      </c>
      <c r="Y20" s="368">
        <f>J20*X20</f>
        <v>176000</v>
      </c>
      <c r="Z20" s="501">
        <f>X20-K20</f>
        <v>0</v>
      </c>
      <c r="AA20" s="368">
        <f>J20*Z20</f>
        <v>0</v>
      </c>
    </row>
    <row r="21" spans="1:27" s="192" customFormat="1" ht="30" hidden="1" x14ac:dyDescent="0.25">
      <c r="A21" s="258"/>
      <c r="B21" s="383"/>
      <c r="C21" s="258" t="str">
        <f>'Tiên lượng'!C7</f>
        <v>CF.11620</v>
      </c>
      <c r="D21" s="258"/>
      <c r="E21" s="9" t="str">
        <f>'Tiên lượng'!D7</f>
        <v>Công tác đo lưới khống chế mặt bằng, đường chuyền cấp II, Bộ thiết bị GPS (3 máy)</v>
      </c>
      <c r="F21" s="383" t="str">
        <f>'Tiên lượng'!E7</f>
        <v>điểm</v>
      </c>
      <c r="G21" s="139">
        <f>'Tiên lượng'!M7</f>
        <v>22</v>
      </c>
      <c r="H21" s="139">
        <f>PTVT!G12</f>
        <v>0.2</v>
      </c>
      <c r="I21" s="139">
        <f>'Tiên lượng'!V7</f>
        <v>1</v>
      </c>
      <c r="J21" s="139">
        <f>PRODUCT(G21,H21,I21)</f>
        <v>4.4000000000000004</v>
      </c>
      <c r="K21" s="88"/>
      <c r="L21" s="88"/>
      <c r="M21" s="88"/>
      <c r="N21" s="88"/>
      <c r="O21" s="88"/>
      <c r="P21" s="88"/>
      <c r="Q21" s="139"/>
      <c r="R21" s="88"/>
      <c r="S21" s="88"/>
      <c r="T21" s="88"/>
      <c r="U21" s="88"/>
      <c r="V21" s="88"/>
      <c r="W21" s="88"/>
      <c r="X21" s="88"/>
      <c r="Y21" s="88"/>
      <c r="Z21" s="88"/>
      <c r="AA21" s="88"/>
    </row>
    <row r="22" spans="1:27" x14ac:dyDescent="0.25">
      <c r="A22" s="510" t="s">
        <v>207</v>
      </c>
      <c r="B22" s="45">
        <v>7</v>
      </c>
      <c r="C22" s="408" t="s">
        <v>126</v>
      </c>
      <c r="D22" s="510"/>
      <c r="E22" s="277" t="str">
        <f>'Giá VL'!E11</f>
        <v>Xi măng PCB30</v>
      </c>
      <c r="F22" s="45" t="str">
        <f>'Giá VL'!F11</f>
        <v>kg</v>
      </c>
      <c r="G22" s="422"/>
      <c r="H22" s="422"/>
      <c r="I22" s="422"/>
      <c r="J22" s="422">
        <f>SUM(J23:J23)</f>
        <v>66</v>
      </c>
      <c r="K22" s="368">
        <f>'Giá VL'!G11</f>
        <v>1409.0909090909099</v>
      </c>
      <c r="L22" s="368">
        <f>J22*K22</f>
        <v>93000.000000000058</v>
      </c>
      <c r="M22" s="368">
        <f>'Giá VL'!J11</f>
        <v>1409.0909090909099</v>
      </c>
      <c r="N22" s="368">
        <f>J22*M22</f>
        <v>93000.000000000058</v>
      </c>
      <c r="O22" s="501">
        <f>M22-K22</f>
        <v>0</v>
      </c>
      <c r="P22" s="368">
        <f>J22*O22</f>
        <v>0</v>
      </c>
      <c r="Q22" s="422">
        <v>1</v>
      </c>
      <c r="R22" s="368">
        <f>M22*Q22</f>
        <v>1409.0909090909099</v>
      </c>
      <c r="S22" s="368">
        <f>J22*R22</f>
        <v>93000.000000000058</v>
      </c>
      <c r="T22" s="501">
        <v>0</v>
      </c>
      <c r="U22" s="368">
        <v>0</v>
      </c>
      <c r="V22" s="368">
        <v>0</v>
      </c>
      <c r="W22" s="368">
        <v>0</v>
      </c>
      <c r="X22" s="368">
        <f>'Giá VL'!V11</f>
        <v>1409.0909090909099</v>
      </c>
      <c r="Y22" s="368">
        <f>J22*X22</f>
        <v>93000.000000000058</v>
      </c>
      <c r="Z22" s="501">
        <f>X22-K22</f>
        <v>0</v>
      </c>
      <c r="AA22" s="368">
        <f>J22*Z22</f>
        <v>0</v>
      </c>
    </row>
    <row r="23" spans="1:27" s="192" customFormat="1" ht="30" hidden="1" x14ac:dyDescent="0.25">
      <c r="A23" s="258"/>
      <c r="B23" s="383"/>
      <c r="C23" s="258" t="str">
        <f>'Tiên lượng'!C7</f>
        <v>CF.11620</v>
      </c>
      <c r="D23" s="258"/>
      <c r="E23" s="9" t="str">
        <f>'Tiên lượng'!D7</f>
        <v>Công tác đo lưới khống chế mặt bằng, đường chuyền cấp II, Bộ thiết bị GPS (3 máy)</v>
      </c>
      <c r="F23" s="383" t="str">
        <f>'Tiên lượng'!E7</f>
        <v>điểm</v>
      </c>
      <c r="G23" s="139">
        <f>'Tiên lượng'!M7</f>
        <v>22</v>
      </c>
      <c r="H23" s="139">
        <f>PTVT!G8</f>
        <v>3</v>
      </c>
      <c r="I23" s="139">
        <f>'Tiên lượng'!V7</f>
        <v>1</v>
      </c>
      <c r="J23" s="139">
        <f>PRODUCT(G23,H23,I23)</f>
        <v>66</v>
      </c>
      <c r="K23" s="88"/>
      <c r="L23" s="88"/>
      <c r="M23" s="88"/>
      <c r="N23" s="88"/>
      <c r="O23" s="88"/>
      <c r="P23" s="88"/>
      <c r="Q23" s="139"/>
      <c r="R23" s="88"/>
      <c r="S23" s="88"/>
      <c r="T23" s="88"/>
      <c r="U23" s="88"/>
      <c r="V23" s="88"/>
      <c r="W23" s="88"/>
      <c r="X23" s="88"/>
      <c r="Y23" s="88"/>
      <c r="Z23" s="88"/>
      <c r="AA23" s="88"/>
    </row>
    <row r="24" spans="1:27" x14ac:dyDescent="0.25">
      <c r="A24" s="510" t="s">
        <v>207</v>
      </c>
      <c r="B24" s="45">
        <v>8</v>
      </c>
      <c r="C24" s="408" t="s">
        <v>520</v>
      </c>
      <c r="D24" s="510"/>
      <c r="E24" s="277" t="s">
        <v>449</v>
      </c>
      <c r="F24" s="45" t="s">
        <v>873</v>
      </c>
      <c r="G24" s="422"/>
      <c r="H24" s="422"/>
      <c r="I24" s="422"/>
      <c r="J24" s="422">
        <f>SUM(J25:J28)</f>
        <v>3310</v>
      </c>
      <c r="K24" s="501">
        <v>0</v>
      </c>
      <c r="L24" s="368">
        <f>SUM(L25:L28)</f>
        <v>638571.98</v>
      </c>
      <c r="M24" s="501">
        <v>0</v>
      </c>
      <c r="N24" s="368">
        <f>SUM(N25:N28)</f>
        <v>638571.98</v>
      </c>
      <c r="O24" s="501">
        <v>0</v>
      </c>
      <c r="P24" s="368">
        <v>0</v>
      </c>
      <c r="Q24" s="422">
        <v>1</v>
      </c>
      <c r="R24" s="501">
        <v>0</v>
      </c>
      <c r="S24" s="368">
        <f>SUM(S25:S28)</f>
        <v>638571.98</v>
      </c>
      <c r="T24" s="501">
        <v>0</v>
      </c>
      <c r="U24" s="368">
        <v>0</v>
      </c>
      <c r="V24" s="368">
        <v>0</v>
      </c>
      <c r="W24" s="368">
        <f>SUM(W25:W28)</f>
        <v>0</v>
      </c>
      <c r="X24" s="501">
        <v>0</v>
      </c>
      <c r="Y24" s="368">
        <f>SUM(Y25:Y28)</f>
        <v>638571.98</v>
      </c>
      <c r="Z24" s="501"/>
      <c r="AA24" s="368">
        <f>SUM(AA25:AA28)</f>
        <v>0</v>
      </c>
    </row>
    <row r="25" spans="1:27" s="192" customFormat="1" ht="30" hidden="1" x14ac:dyDescent="0.25">
      <c r="A25" s="258"/>
      <c r="B25" s="383"/>
      <c r="C25" s="258" t="str">
        <f>'Tiên lượng'!C8</f>
        <v>CG.11330</v>
      </c>
      <c r="D25" s="258"/>
      <c r="E25" s="9" t="str">
        <f>'Tiên lượng'!D8</f>
        <v>Công tác đo khống chế cao, thủy chuẩn kỹ thuật, cấp địa hình III</v>
      </c>
      <c r="F25" s="383" t="str">
        <f>'Tiên lượng'!E8</f>
        <v>km</v>
      </c>
      <c r="G25" s="139">
        <f>'Tiên lượng'!M8</f>
        <v>10</v>
      </c>
      <c r="H25" s="139">
        <f>PTVT!G24</f>
        <v>30</v>
      </c>
      <c r="I25" s="139">
        <f>'Tiên lượng'!V8</f>
        <v>1</v>
      </c>
      <c r="J25" s="139">
        <f t="shared" ref="J25:J28" si="2">PRODUCT(G25,H25,I25)</f>
        <v>300</v>
      </c>
      <c r="K25" s="88">
        <f>PTVT!J24</f>
        <v>28</v>
      </c>
      <c r="L25" s="88">
        <f t="shared" ref="L25:L28" si="3">J25*K25</f>
        <v>8400</v>
      </c>
      <c r="M25" s="88">
        <f>PTVT!L24</f>
        <v>28</v>
      </c>
      <c r="N25" s="88">
        <f t="shared" ref="N25:N28" si="4">J25*M25</f>
        <v>8400</v>
      </c>
      <c r="O25" s="88">
        <f t="shared" ref="O25:O28" si="5">M25-K25</f>
        <v>0</v>
      </c>
      <c r="P25" s="88">
        <f t="shared" ref="P25:P28" si="6">J25*O25</f>
        <v>0</v>
      </c>
      <c r="Q25" s="139">
        <v>1</v>
      </c>
      <c r="R25" s="88">
        <f t="shared" ref="R25:R28" si="7">M25*Q25</f>
        <v>28</v>
      </c>
      <c r="S25" s="88">
        <f t="shared" ref="S25:S28" si="8">J25*R25</f>
        <v>8400</v>
      </c>
      <c r="T25" s="88"/>
      <c r="U25" s="88"/>
      <c r="V25" s="88">
        <v>0</v>
      </c>
      <c r="W25" s="88">
        <f t="shared" ref="W25:W28" si="9">J25*V25</f>
        <v>0</v>
      </c>
      <c r="X25" s="88">
        <f>PTVT!P24</f>
        <v>28</v>
      </c>
      <c r="Y25" s="88">
        <f t="shared" ref="Y25:Y28" si="10">J25*X25</f>
        <v>8400</v>
      </c>
      <c r="Z25" s="88">
        <f t="shared" ref="Z25:Z28" si="11">X25-K25</f>
        <v>0</v>
      </c>
      <c r="AA25" s="88">
        <f t="shared" ref="AA25:AA28" si="12">J25*Z25</f>
        <v>0</v>
      </c>
    </row>
    <row r="26" spans="1:27" s="192" customFormat="1" ht="45" hidden="1" x14ac:dyDescent="0.25">
      <c r="A26" s="258"/>
      <c r="B26" s="383"/>
      <c r="C26" s="258" t="str">
        <f>'Tiên lượng'!C9</f>
        <v>CK.11430</v>
      </c>
      <c r="D26" s="258"/>
      <c r="E26" s="9" t="str">
        <f>'Tiên lượng'!D9</f>
        <v>Đo vẽ chi tiết bản đồ địa hình trên cạn bằng  máy toàn đạc điện tử và máy thủy bình điện tử; bản đồ tỷ lệ 1/500, đường đồng mức 1m, cấp địa hình III</v>
      </c>
      <c r="F26" s="383" t="str">
        <f>'Tiên lượng'!E9</f>
        <v>1 ha</v>
      </c>
      <c r="G26" s="139">
        <f>'Tiên lượng'!M9</f>
        <v>56</v>
      </c>
      <c r="H26" s="139">
        <f>PTVT!G35</f>
        <v>15</v>
      </c>
      <c r="I26" s="139">
        <f>'Tiên lượng'!V9</f>
        <v>1</v>
      </c>
      <c r="J26" s="139">
        <f t="shared" si="2"/>
        <v>840</v>
      </c>
      <c r="K26" s="88">
        <f>PTVT!J35</f>
        <v>206</v>
      </c>
      <c r="L26" s="88">
        <f t="shared" si="3"/>
        <v>173040</v>
      </c>
      <c r="M26" s="88">
        <f>PTVT!L35</f>
        <v>206</v>
      </c>
      <c r="N26" s="88">
        <f t="shared" si="4"/>
        <v>173040</v>
      </c>
      <c r="O26" s="88">
        <f t="shared" si="5"/>
        <v>0</v>
      </c>
      <c r="P26" s="88">
        <f t="shared" si="6"/>
        <v>0</v>
      </c>
      <c r="Q26" s="139">
        <v>1</v>
      </c>
      <c r="R26" s="88">
        <f t="shared" si="7"/>
        <v>206</v>
      </c>
      <c r="S26" s="88">
        <f t="shared" si="8"/>
        <v>173040</v>
      </c>
      <c r="T26" s="88"/>
      <c r="U26" s="88"/>
      <c r="V26" s="88">
        <v>0</v>
      </c>
      <c r="W26" s="88">
        <f t="shared" si="9"/>
        <v>0</v>
      </c>
      <c r="X26" s="88">
        <f>PTVT!P35</f>
        <v>206</v>
      </c>
      <c r="Y26" s="88">
        <f t="shared" si="10"/>
        <v>173040</v>
      </c>
      <c r="Z26" s="88">
        <f t="shared" si="11"/>
        <v>0</v>
      </c>
      <c r="AA26" s="88">
        <f t="shared" si="12"/>
        <v>0</v>
      </c>
    </row>
    <row r="27" spans="1:27" s="192" customFormat="1" ht="45" hidden="1" x14ac:dyDescent="0.25">
      <c r="A27" s="258"/>
      <c r="B27" s="383"/>
      <c r="C27" s="258" t="str">
        <f>'Tiên lượng'!C10</f>
        <v>CK.11440</v>
      </c>
      <c r="D27" s="258"/>
      <c r="E27" s="9" t="str">
        <f>'Tiên lượng'!D10</f>
        <v>Đo vẽ chi tiết bản đồ địa hình trên cạn bằng  máy toàn đạc điện tử và máy thủy bình điện tử; bản đồ tỷ lệ 1/500, đường đồng mức 1m, cấp địa hình IV</v>
      </c>
      <c r="F27" s="383" t="str">
        <f>'Tiên lượng'!E10</f>
        <v>1 ha</v>
      </c>
      <c r="G27" s="139">
        <f>'Tiên lượng'!M10</f>
        <v>130</v>
      </c>
      <c r="H27" s="139">
        <f>PTVT!G47</f>
        <v>15</v>
      </c>
      <c r="I27" s="139">
        <f>'Tiên lượng'!V10</f>
        <v>1</v>
      </c>
      <c r="J27" s="139">
        <f t="shared" si="2"/>
        <v>1950</v>
      </c>
      <c r="K27" s="88">
        <f>PTVT!J47</f>
        <v>206</v>
      </c>
      <c r="L27" s="88">
        <f t="shared" si="3"/>
        <v>401700</v>
      </c>
      <c r="M27" s="88">
        <f>PTVT!L47</f>
        <v>206</v>
      </c>
      <c r="N27" s="88">
        <f t="shared" si="4"/>
        <v>401700</v>
      </c>
      <c r="O27" s="88">
        <f t="shared" si="5"/>
        <v>0</v>
      </c>
      <c r="P27" s="88">
        <f t="shared" si="6"/>
        <v>0</v>
      </c>
      <c r="Q27" s="139">
        <v>1</v>
      </c>
      <c r="R27" s="88">
        <f t="shared" si="7"/>
        <v>206</v>
      </c>
      <c r="S27" s="88">
        <f t="shared" si="8"/>
        <v>401700</v>
      </c>
      <c r="T27" s="88"/>
      <c r="U27" s="88"/>
      <c r="V27" s="88">
        <v>0</v>
      </c>
      <c r="W27" s="88">
        <f t="shared" si="9"/>
        <v>0</v>
      </c>
      <c r="X27" s="88">
        <f>PTVT!P47</f>
        <v>206</v>
      </c>
      <c r="Y27" s="88">
        <f t="shared" si="10"/>
        <v>401700</v>
      </c>
      <c r="Z27" s="88">
        <f t="shared" si="11"/>
        <v>0</v>
      </c>
      <c r="AA27" s="88">
        <f t="shared" si="12"/>
        <v>0</v>
      </c>
    </row>
    <row r="28" spans="1:27" s="192" customFormat="1" ht="30" hidden="1" x14ac:dyDescent="0.25">
      <c r="A28" s="258"/>
      <c r="B28" s="383"/>
      <c r="C28" s="258" t="str">
        <f>'Tiên lượng'!C7</f>
        <v>CF.11620</v>
      </c>
      <c r="D28" s="258"/>
      <c r="E28" s="9" t="str">
        <f>'Tiên lượng'!D7</f>
        <v>Công tác đo lưới khống chế mặt bằng, đường chuyền cấp II, Bộ thiết bị GPS (3 máy)</v>
      </c>
      <c r="F28" s="383" t="str">
        <f>'Tiên lượng'!E7</f>
        <v>điểm</v>
      </c>
      <c r="G28" s="139">
        <f>'Tiên lượng'!M7</f>
        <v>22</v>
      </c>
      <c r="H28" s="139">
        <f>PTVT!G14</f>
        <v>10</v>
      </c>
      <c r="I28" s="139">
        <f>'Tiên lượng'!V7</f>
        <v>1</v>
      </c>
      <c r="J28" s="139">
        <f t="shared" si="2"/>
        <v>220</v>
      </c>
      <c r="K28" s="88">
        <f>PTVT!J14</f>
        <v>251.96354545454554</v>
      </c>
      <c r="L28" s="88">
        <f t="shared" si="3"/>
        <v>55431.980000000018</v>
      </c>
      <c r="M28" s="88">
        <f>PTVT!L14</f>
        <v>251.96354545454554</v>
      </c>
      <c r="N28" s="88">
        <f t="shared" si="4"/>
        <v>55431.980000000018</v>
      </c>
      <c r="O28" s="88">
        <f t="shared" si="5"/>
        <v>0</v>
      </c>
      <c r="P28" s="88">
        <f t="shared" si="6"/>
        <v>0</v>
      </c>
      <c r="Q28" s="139">
        <v>1</v>
      </c>
      <c r="R28" s="88">
        <f t="shared" si="7"/>
        <v>251.96354545454554</v>
      </c>
      <c r="S28" s="88">
        <f t="shared" si="8"/>
        <v>55431.980000000018</v>
      </c>
      <c r="T28" s="88"/>
      <c r="U28" s="88"/>
      <c r="V28" s="88">
        <v>0</v>
      </c>
      <c r="W28" s="88">
        <f t="shared" si="9"/>
        <v>0</v>
      </c>
      <c r="X28" s="88">
        <f>PTVT!P14</f>
        <v>251.96354545454554</v>
      </c>
      <c r="Y28" s="88">
        <f t="shared" si="10"/>
        <v>55431.980000000018</v>
      </c>
      <c r="Z28" s="88">
        <f t="shared" si="11"/>
        <v>0</v>
      </c>
      <c r="AA28" s="88">
        <f t="shared" si="12"/>
        <v>0</v>
      </c>
    </row>
    <row r="29" spans="1:27" x14ac:dyDescent="0.25">
      <c r="A29" s="398"/>
      <c r="B29" s="491"/>
      <c r="C29" s="266"/>
      <c r="D29" s="398"/>
      <c r="E29" s="132" t="s">
        <v>473</v>
      </c>
      <c r="F29" s="491"/>
      <c r="G29" s="281"/>
      <c r="H29" s="281"/>
      <c r="I29" s="281"/>
      <c r="J29" s="281"/>
      <c r="K29" s="347"/>
      <c r="L29" s="347">
        <f>SUMIF(A6:A28,"VT",L6:L28)</f>
        <v>5052491.7799999993</v>
      </c>
      <c r="M29" s="347"/>
      <c r="N29" s="347">
        <f>SUMIF(A6:A28,"VT",N6:N28)</f>
        <v>5052491.7799999993</v>
      </c>
      <c r="O29" s="347"/>
      <c r="P29" s="347">
        <f>SUMIF(A6:A28,"VT",P6:P28)</f>
        <v>0</v>
      </c>
      <c r="Q29" s="281"/>
      <c r="R29" s="347"/>
      <c r="S29" s="347">
        <f>SUMIF(A6:A28,"VT",S6:S28)</f>
        <v>5052491.7799999993</v>
      </c>
      <c r="T29" s="347"/>
      <c r="U29" s="347">
        <f>SUMIF(A6:A28,"VT",U6:U28)</f>
        <v>0</v>
      </c>
      <c r="V29" s="347"/>
      <c r="W29" s="347">
        <f>SUMIF(A6:A28,"VT",W6:W28)</f>
        <v>0</v>
      </c>
      <c r="X29" s="347"/>
      <c r="Y29" s="347">
        <f>SUMIF(A6:A28,"VT",Y6:Y28)</f>
        <v>5052491.7799999993</v>
      </c>
      <c r="Z29" s="347"/>
      <c r="AA29" s="347">
        <f>SUMIF(A6:A28,"VT",AA6:AA28)</f>
        <v>0</v>
      </c>
    </row>
    <row r="30" spans="1:27" x14ac:dyDescent="0.25">
      <c r="A30" s="232"/>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row>
  </sheetData>
  <mergeCells count="28">
    <mergeCell ref="B4:B5"/>
    <mergeCell ref="C4:C5"/>
    <mergeCell ref="E4:E5"/>
    <mergeCell ref="F4:F5"/>
    <mergeCell ref="X4:X5"/>
    <mergeCell ref="Y4:Y5"/>
    <mergeCell ref="Z4:Z5"/>
    <mergeCell ref="Q4:Q5"/>
    <mergeCell ref="R4:R5"/>
    <mergeCell ref="S4:S5"/>
    <mergeCell ref="T4:T5"/>
    <mergeCell ref="U4:U5"/>
    <mergeCell ref="A1:AA1"/>
    <mergeCell ref="A2:AA2"/>
    <mergeCell ref="G4:G5"/>
    <mergeCell ref="H4:H5"/>
    <mergeCell ref="I4:I5"/>
    <mergeCell ref="J4:J5"/>
    <mergeCell ref="K4:K5"/>
    <mergeCell ref="L4:L5"/>
    <mergeCell ref="M4:M5"/>
    <mergeCell ref="N4:N5"/>
    <mergeCell ref="O4:O5"/>
    <mergeCell ref="P4:P5"/>
    <mergeCell ref="AA4:AA5"/>
    <mergeCell ref="A3:AA3"/>
    <mergeCell ref="V4:V5"/>
    <mergeCell ref="W4:W5"/>
  </mergeCells>
  <pageMargins left="0.75" right="0.75" top="0.79" bottom="0.79" header="0.3" footer="0.3"/>
  <pageSetup paperSize="9" orientation="landscape" useFirstPageNumber="1" horizontalDpi="65532"/>
  <headerFooter>
    <oddFooter>&amp;CTrang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63"/>
  </sheetPr>
  <dimension ref="A1"/>
  <sheetViews>
    <sheetView showZeros="0" workbookViewId="0"/>
  </sheetViews>
  <sheetFormatPr defaultColWidth="9.42578125" defaultRowHeight="15" x14ac:dyDescent="0.25"/>
  <sheetData/>
  <pageMargins left="1.18" right="0.59" top="0.79" bottom="0.79"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showZeros="0" workbookViewId="0">
      <selection activeCell="V33" sqref="V33"/>
    </sheetView>
  </sheetViews>
  <sheetFormatPr defaultColWidth="9.42578125"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5"/>
  </sheetPr>
  <dimension ref="A1:J26"/>
  <sheetViews>
    <sheetView showZeros="0" workbookViewId="0">
      <selection sqref="A1:J65536"/>
    </sheetView>
  </sheetViews>
  <sheetFormatPr defaultRowHeight="15" x14ac:dyDescent="0.25"/>
  <cols>
    <col min="1" max="1" width="4.85546875" customWidth="1"/>
    <col min="2" max="2" width="8.85546875" customWidth="1"/>
    <col min="3" max="3" width="29.140625" customWidth="1"/>
    <col min="4" max="4" width="7.140625" customWidth="1"/>
    <col min="5" max="5" width="10.85546875" customWidth="1"/>
    <col min="6" max="6" width="10.7109375" customWidth="1"/>
    <col min="7" max="7" width="12.7109375" customWidth="1"/>
    <col min="8" max="8" width="8.85546875" hidden="1" customWidth="1"/>
    <col min="9" max="9" width="12.28515625" customWidth="1"/>
    <col min="10" max="10" width="12.7109375" customWidth="1"/>
  </cols>
  <sheetData>
    <row r="1" spans="1:10" ht="17.649999999999999" customHeight="1" x14ac:dyDescent="0.25">
      <c r="A1" s="678" t="s">
        <v>287</v>
      </c>
      <c r="B1" s="679"/>
      <c r="C1" s="679"/>
      <c r="D1" s="679"/>
      <c r="E1" s="679"/>
      <c r="F1" s="679"/>
      <c r="G1" s="679"/>
      <c r="H1" s="679"/>
      <c r="I1" s="679"/>
      <c r="J1" s="679"/>
    </row>
    <row r="2" spans="1:10" ht="15" customHeight="1" x14ac:dyDescent="0.25">
      <c r="A2" s="680" t="s">
        <v>471</v>
      </c>
      <c r="B2" s="681"/>
      <c r="C2" s="681"/>
      <c r="D2" s="681"/>
      <c r="E2" s="681"/>
      <c r="F2" s="681"/>
      <c r="G2" s="681"/>
      <c r="H2" s="681"/>
      <c r="I2" s="681"/>
      <c r="J2" s="681"/>
    </row>
    <row r="3" spans="1:10" ht="15" customHeight="1" x14ac:dyDescent="0.25">
      <c r="A3" s="680" t="s">
        <v>178</v>
      </c>
      <c r="B3" s="681"/>
      <c r="C3" s="681"/>
      <c r="D3" s="681"/>
      <c r="E3" s="681"/>
      <c r="F3" s="681"/>
      <c r="G3" s="681"/>
      <c r="H3" s="681"/>
      <c r="I3" s="681"/>
      <c r="J3" s="681"/>
    </row>
    <row r="4" spans="1:10" ht="15.4" customHeight="1" x14ac:dyDescent="0.25">
      <c r="A4" s="682" t="s">
        <v>306</v>
      </c>
      <c r="B4" s="682" t="s">
        <v>587</v>
      </c>
      <c r="C4" s="682" t="s">
        <v>78</v>
      </c>
      <c r="D4" s="682" t="s">
        <v>891</v>
      </c>
      <c r="E4" s="682" t="s">
        <v>357</v>
      </c>
      <c r="F4" s="682" t="s">
        <v>723</v>
      </c>
      <c r="G4" s="682" t="s">
        <v>670</v>
      </c>
      <c r="H4" s="683" t="s">
        <v>174</v>
      </c>
      <c r="I4" s="682" t="s">
        <v>470</v>
      </c>
      <c r="J4" s="682"/>
    </row>
    <row r="5" spans="1:10" ht="32.450000000000003" customHeight="1" x14ac:dyDescent="0.25">
      <c r="A5" s="682"/>
      <c r="B5" s="682"/>
      <c r="C5" s="682"/>
      <c r="D5" s="682"/>
      <c r="E5" s="682"/>
      <c r="F5" s="682"/>
      <c r="G5" s="682"/>
      <c r="H5" s="684"/>
      <c r="I5" s="502" t="s">
        <v>782</v>
      </c>
      <c r="J5" s="502" t="s">
        <v>97</v>
      </c>
    </row>
    <row r="6" spans="1:10" ht="15" customHeight="1" x14ac:dyDescent="0.25">
      <c r="A6" s="91" t="s">
        <v>202</v>
      </c>
      <c r="B6" s="342"/>
      <c r="C6" s="342" t="s">
        <v>271</v>
      </c>
      <c r="D6" s="342"/>
      <c r="E6" s="186"/>
      <c r="F6" s="205"/>
      <c r="G6" s="205">
        <f t="shared" ref="G6:H6" si="0">ROUND(SUM(G7:G14),0)</f>
        <v>459679</v>
      </c>
      <c r="H6" s="205">
        <f t="shared" si="0"/>
        <v>5050123</v>
      </c>
      <c r="I6" s="205"/>
      <c r="J6" s="205">
        <f>ROUND(SUM(J7:J14),0)</f>
        <v>0</v>
      </c>
    </row>
    <row r="7" spans="1:10" ht="15" customHeight="1" x14ac:dyDescent="0.25">
      <c r="A7" s="441">
        <v>1</v>
      </c>
      <c r="B7" s="320" t="s">
        <v>793</v>
      </c>
      <c r="C7" s="330" t="s">
        <v>562</v>
      </c>
      <c r="D7" s="443" t="s">
        <v>749</v>
      </c>
      <c r="E7" s="479">
        <v>0.13200000000000001</v>
      </c>
      <c r="F7" s="54">
        <v>180000</v>
      </c>
      <c r="G7" s="54">
        <f>'Giá VL'!V5</f>
        <v>180000</v>
      </c>
      <c r="H7" s="54">
        <f t="shared" ref="H7:H13" si="1">E7*G7</f>
        <v>23760</v>
      </c>
      <c r="I7" s="54">
        <v>0</v>
      </c>
      <c r="J7" s="54">
        <v>0</v>
      </c>
    </row>
    <row r="8" spans="1:10" ht="15" customHeight="1" x14ac:dyDescent="0.25">
      <c r="A8" s="441">
        <v>2</v>
      </c>
      <c r="B8" s="320" t="s">
        <v>494</v>
      </c>
      <c r="C8" s="330" t="s">
        <v>265</v>
      </c>
      <c r="D8" s="443" t="s">
        <v>496</v>
      </c>
      <c r="E8" s="479">
        <v>557.70000000000005</v>
      </c>
      <c r="F8" s="54">
        <v>5000</v>
      </c>
      <c r="G8" s="54">
        <f>'Giá VL'!V6</f>
        <v>5000</v>
      </c>
      <c r="H8" s="54">
        <f t="shared" si="1"/>
        <v>2788500</v>
      </c>
      <c r="I8" s="54">
        <v>0</v>
      </c>
      <c r="J8" s="54">
        <v>0</v>
      </c>
    </row>
    <row r="9" spans="1:10" ht="15" customHeight="1" x14ac:dyDescent="0.25">
      <c r="A9" s="441">
        <v>3</v>
      </c>
      <c r="B9" s="320" t="s">
        <v>475</v>
      </c>
      <c r="C9" s="330" t="s">
        <v>386</v>
      </c>
      <c r="D9" s="443" t="s">
        <v>749</v>
      </c>
      <c r="E9" s="479">
        <v>0.22</v>
      </c>
      <c r="F9" s="54">
        <v>207088.181818182</v>
      </c>
      <c r="G9" s="54">
        <f>'Giá VL'!V7</f>
        <v>207088.181818182</v>
      </c>
      <c r="H9" s="54">
        <f t="shared" si="1"/>
        <v>45559.400000000038</v>
      </c>
      <c r="I9" s="54">
        <v>0</v>
      </c>
      <c r="J9" s="54">
        <v>0</v>
      </c>
    </row>
    <row r="10" spans="1:10" ht="15" customHeight="1" x14ac:dyDescent="0.25">
      <c r="A10" s="441">
        <v>4</v>
      </c>
      <c r="B10" s="320" t="s">
        <v>634</v>
      </c>
      <c r="C10" s="330" t="s">
        <v>81</v>
      </c>
      <c r="D10" s="443" t="s">
        <v>661</v>
      </c>
      <c r="E10" s="479">
        <v>2.2000000000000002</v>
      </c>
      <c r="F10" s="54">
        <v>18182</v>
      </c>
      <c r="G10" s="54">
        <f>'Giá VL'!V8</f>
        <v>18182</v>
      </c>
      <c r="H10" s="54">
        <f t="shared" si="1"/>
        <v>40000.400000000001</v>
      </c>
      <c r="I10" s="54">
        <v>0</v>
      </c>
      <c r="J10" s="54">
        <v>0</v>
      </c>
    </row>
    <row r="11" spans="1:10" ht="15" customHeight="1" x14ac:dyDescent="0.25">
      <c r="A11" s="441">
        <v>5</v>
      </c>
      <c r="B11" s="320" t="s">
        <v>397</v>
      </c>
      <c r="C11" s="330" t="s">
        <v>165</v>
      </c>
      <c r="D11" s="443" t="s">
        <v>626</v>
      </c>
      <c r="E11" s="479">
        <v>155.63</v>
      </c>
      <c r="F11" s="54">
        <v>8000</v>
      </c>
      <c r="G11" s="54">
        <f>'Giá VL'!V9</f>
        <v>8000</v>
      </c>
      <c r="H11" s="54">
        <f t="shared" si="1"/>
        <v>1245040</v>
      </c>
      <c r="I11" s="54">
        <v>0</v>
      </c>
      <c r="J11" s="54">
        <v>0</v>
      </c>
    </row>
    <row r="12" spans="1:10" ht="15" customHeight="1" x14ac:dyDescent="0.25">
      <c r="A12" s="441">
        <v>6</v>
      </c>
      <c r="B12" s="320" t="s">
        <v>594</v>
      </c>
      <c r="C12" s="330" t="s">
        <v>242</v>
      </c>
      <c r="D12" s="443" t="s">
        <v>661</v>
      </c>
      <c r="E12" s="479">
        <v>4.4000000000000004</v>
      </c>
      <c r="F12" s="54">
        <v>40000</v>
      </c>
      <c r="G12" s="54">
        <f>'Giá VL'!V10</f>
        <v>40000</v>
      </c>
      <c r="H12" s="54">
        <f t="shared" si="1"/>
        <v>176000</v>
      </c>
      <c r="I12" s="54">
        <v>0</v>
      </c>
      <c r="J12" s="54">
        <v>0</v>
      </c>
    </row>
    <row r="13" spans="1:10" ht="15" customHeight="1" x14ac:dyDescent="0.25">
      <c r="A13" s="441">
        <v>7</v>
      </c>
      <c r="B13" s="320" t="s">
        <v>126</v>
      </c>
      <c r="C13" s="330" t="s">
        <v>468</v>
      </c>
      <c r="D13" s="443" t="s">
        <v>661</v>
      </c>
      <c r="E13" s="479">
        <v>66</v>
      </c>
      <c r="F13" s="54">
        <v>1409.0909090909099</v>
      </c>
      <c r="G13" s="54">
        <f>'Giá VL'!V11</f>
        <v>1409.0909090909099</v>
      </c>
      <c r="H13" s="54">
        <f t="shared" si="1"/>
        <v>93000.000000000058</v>
      </c>
      <c r="I13" s="54">
        <v>0</v>
      </c>
      <c r="J13" s="54">
        <v>0</v>
      </c>
    </row>
    <row r="14" spans="1:10" ht="15" customHeight="1" x14ac:dyDescent="0.25">
      <c r="A14" s="441">
        <v>8</v>
      </c>
      <c r="B14" s="320" t="s">
        <v>520</v>
      </c>
      <c r="C14" s="330" t="s">
        <v>449</v>
      </c>
      <c r="D14" s="443" t="s">
        <v>873</v>
      </c>
      <c r="E14" s="479">
        <v>0</v>
      </c>
      <c r="F14" s="54">
        <v>0</v>
      </c>
      <c r="G14" s="54">
        <v>0</v>
      </c>
      <c r="H14" s="54">
        <v>638262.98</v>
      </c>
      <c r="I14" s="54">
        <v>0</v>
      </c>
      <c r="J14" s="54">
        <v>0</v>
      </c>
    </row>
    <row r="15" spans="1:10" ht="14.1" customHeight="1" x14ac:dyDescent="0.25">
      <c r="A15" s="441"/>
      <c r="B15" s="320"/>
      <c r="C15" s="330"/>
      <c r="D15" s="443"/>
      <c r="E15" s="479"/>
      <c r="F15" s="54"/>
      <c r="G15" s="54"/>
      <c r="H15" s="54"/>
      <c r="I15" s="54"/>
      <c r="J15" s="54"/>
    </row>
    <row r="16" spans="1:10" ht="15" customHeight="1" x14ac:dyDescent="0.25">
      <c r="A16" s="91" t="s">
        <v>59</v>
      </c>
      <c r="B16" s="342"/>
      <c r="C16" s="342" t="s">
        <v>34</v>
      </c>
      <c r="D16" s="342"/>
      <c r="E16" s="186"/>
      <c r="F16" s="205"/>
      <c r="G16" s="205">
        <f t="shared" ref="G16:H16" si="2">ROUND(SUM(G17:G18),0)</f>
        <v>579452</v>
      </c>
      <c r="H16" s="205">
        <f t="shared" si="2"/>
        <v>523764643</v>
      </c>
      <c r="I16" s="205"/>
      <c r="J16" s="205">
        <f>ROUND(SUM(J17:J18),0)</f>
        <v>0</v>
      </c>
    </row>
    <row r="17" spans="1:10" ht="16.149999999999999" customHeight="1" x14ac:dyDescent="0.25">
      <c r="A17" s="441">
        <v>1</v>
      </c>
      <c r="B17" s="320" t="s">
        <v>137</v>
      </c>
      <c r="C17" s="330" t="s">
        <v>719</v>
      </c>
      <c r="D17" s="443" t="s">
        <v>345</v>
      </c>
      <c r="E17" s="479">
        <v>1368.1120000000001</v>
      </c>
      <c r="F17" s="54">
        <v>283452</v>
      </c>
      <c r="G17" s="54">
        <f>'Giá NC'!K5</f>
        <v>283452</v>
      </c>
      <c r="H17" s="54">
        <f t="shared" ref="H17:H18" si="3">E17*G17</f>
        <v>387794082.62400001</v>
      </c>
      <c r="I17" s="54">
        <v>0</v>
      </c>
      <c r="J17" s="54">
        <v>0</v>
      </c>
    </row>
    <row r="18" spans="1:10" ht="16.149999999999999" customHeight="1" x14ac:dyDescent="0.25">
      <c r="A18" s="441">
        <v>2</v>
      </c>
      <c r="B18" s="320" t="s">
        <v>689</v>
      </c>
      <c r="C18" s="330" t="s">
        <v>131</v>
      </c>
      <c r="D18" s="443" t="s">
        <v>345</v>
      </c>
      <c r="E18" s="479">
        <v>459.36</v>
      </c>
      <c r="F18" s="54">
        <v>296000</v>
      </c>
      <c r="G18" s="54">
        <f>'Giá NC'!K6</f>
        <v>296000</v>
      </c>
      <c r="H18" s="54">
        <f t="shared" si="3"/>
        <v>135970560</v>
      </c>
      <c r="I18" s="54">
        <v>0</v>
      </c>
      <c r="J18" s="54">
        <v>0</v>
      </c>
    </row>
    <row r="19" spans="1:10" ht="16.149999999999999" customHeight="1" x14ac:dyDescent="0.25">
      <c r="A19" s="441"/>
      <c r="B19" s="320"/>
      <c r="C19" s="330"/>
      <c r="D19" s="443"/>
      <c r="E19" s="479"/>
      <c r="F19" s="54"/>
      <c r="G19" s="54"/>
      <c r="H19" s="54"/>
      <c r="I19" s="54"/>
      <c r="J19" s="54"/>
    </row>
    <row r="20" spans="1:10" ht="15" customHeight="1" x14ac:dyDescent="0.25">
      <c r="A20" s="91" t="s">
        <v>450</v>
      </c>
      <c r="B20" s="342"/>
      <c r="C20" s="342" t="s">
        <v>273</v>
      </c>
      <c r="D20" s="342"/>
      <c r="E20" s="186"/>
      <c r="F20" s="205"/>
      <c r="G20" s="205">
        <f t="shared" ref="G20:H20" si="4">ROUND(SUM(G21:G24),0)</f>
        <v>702118</v>
      </c>
      <c r="H20" s="205">
        <f t="shared" si="4"/>
        <v>38541234</v>
      </c>
      <c r="I20" s="205"/>
      <c r="J20" s="205">
        <f>ROUND(SUM(J21:J24),0)</f>
        <v>0</v>
      </c>
    </row>
    <row r="21" spans="1:10" ht="15" customHeight="1" x14ac:dyDescent="0.25">
      <c r="A21" s="441">
        <v>1</v>
      </c>
      <c r="B21" s="320" t="s">
        <v>188</v>
      </c>
      <c r="C21" s="330" t="s">
        <v>863</v>
      </c>
      <c r="D21" s="443" t="s">
        <v>560</v>
      </c>
      <c r="E21" s="479">
        <v>12.295</v>
      </c>
      <c r="F21" s="54">
        <v>14767</v>
      </c>
      <c r="G21" s="54">
        <f>'Giá Máy'!O5</f>
        <v>14767</v>
      </c>
      <c r="H21" s="54">
        <f t="shared" ref="H21:H23" si="5">E21*G21</f>
        <v>181560.26499999998</v>
      </c>
      <c r="I21" s="54">
        <v>0</v>
      </c>
      <c r="J21" s="54">
        <v>0</v>
      </c>
    </row>
    <row r="22" spans="1:10" ht="28.15" customHeight="1" x14ac:dyDescent="0.25">
      <c r="A22" s="441">
        <v>2</v>
      </c>
      <c r="B22" s="320" t="s">
        <v>153</v>
      </c>
      <c r="C22" s="330" t="s">
        <v>11</v>
      </c>
      <c r="D22" s="443" t="s">
        <v>560</v>
      </c>
      <c r="E22" s="479">
        <v>224.108</v>
      </c>
      <c r="F22" s="54">
        <v>147060</v>
      </c>
      <c r="G22" s="54">
        <f>'Giá Máy'!O6</f>
        <v>147060</v>
      </c>
      <c r="H22" s="54">
        <f t="shared" si="5"/>
        <v>32957322.48</v>
      </c>
      <c r="I22" s="54">
        <v>0</v>
      </c>
      <c r="J22" s="54">
        <v>0</v>
      </c>
    </row>
    <row r="23" spans="1:10" ht="28.15" customHeight="1" x14ac:dyDescent="0.25">
      <c r="A23" s="441">
        <v>3</v>
      </c>
      <c r="B23" s="320" t="s">
        <v>996</v>
      </c>
      <c r="C23" s="330" t="s">
        <v>418</v>
      </c>
      <c r="D23" s="443" t="s">
        <v>560</v>
      </c>
      <c r="E23" s="479">
        <v>3.52</v>
      </c>
      <c r="F23" s="54">
        <v>540291</v>
      </c>
      <c r="G23" s="54">
        <f>'Giá Máy'!O7</f>
        <v>540291</v>
      </c>
      <c r="H23" s="54">
        <f t="shared" si="5"/>
        <v>1901824.32</v>
      </c>
      <c r="I23" s="54">
        <v>0</v>
      </c>
      <c r="J23" s="54">
        <v>0</v>
      </c>
    </row>
    <row r="24" spans="1:10" ht="15" customHeight="1" x14ac:dyDescent="0.25">
      <c r="A24" s="441">
        <v>4</v>
      </c>
      <c r="B24" s="320" t="s">
        <v>914</v>
      </c>
      <c r="C24" s="330" t="s">
        <v>918</v>
      </c>
      <c r="D24" s="443" t="s">
        <v>873</v>
      </c>
      <c r="E24" s="479">
        <v>0</v>
      </c>
      <c r="F24" s="54">
        <v>0</v>
      </c>
      <c r="G24" s="54">
        <v>0</v>
      </c>
      <c r="H24" s="54">
        <v>3500526.6264999998</v>
      </c>
      <c r="I24" s="54">
        <v>0</v>
      </c>
      <c r="J24" s="54">
        <v>0</v>
      </c>
    </row>
    <row r="25" spans="1:10" ht="14.1" customHeight="1" x14ac:dyDescent="0.25">
      <c r="A25" s="576"/>
      <c r="B25" s="381"/>
      <c r="C25" s="256"/>
      <c r="D25" s="381"/>
      <c r="E25" s="413"/>
      <c r="F25" s="429"/>
      <c r="G25" s="429"/>
      <c r="H25" s="429"/>
      <c r="I25" s="429"/>
      <c r="J25" s="429"/>
    </row>
    <row r="26" spans="1:10" ht="14.1" customHeight="1" x14ac:dyDescent="0.25">
      <c r="A26" s="178"/>
      <c r="B26" s="178"/>
      <c r="C26" s="178"/>
      <c r="D26" s="178"/>
      <c r="E26" s="178"/>
      <c r="F26" s="178"/>
      <c r="G26" s="178"/>
      <c r="H26" s="178"/>
      <c r="I26" s="178"/>
      <c r="J26" s="178"/>
    </row>
  </sheetData>
  <mergeCells count="12">
    <mergeCell ref="A1:J1"/>
    <mergeCell ref="A2:J2"/>
    <mergeCell ref="A3:J3"/>
    <mergeCell ref="I4:J4"/>
    <mergeCell ref="A4:A5"/>
    <mergeCell ref="H4:H5"/>
    <mergeCell ref="B4:B5"/>
    <mergeCell ref="C4:C5"/>
    <mergeCell ref="D4:D5"/>
    <mergeCell ref="E4:E5"/>
    <mergeCell ref="F4:F5"/>
    <mergeCell ref="G4:G5"/>
  </mergeCells>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54"/>
  <sheetViews>
    <sheetView showZeros="0" topLeftCell="B1" workbookViewId="0">
      <selection sqref="A1:J1"/>
    </sheetView>
  </sheetViews>
  <sheetFormatPr defaultRowHeight="15" x14ac:dyDescent="0.25"/>
  <cols>
    <col min="1" max="1" width="8.85546875" hidden="1" customWidth="1"/>
    <col min="2" max="2" width="3.85546875" bestFit="1" customWidth="1"/>
    <col min="3" max="3" width="8.85546875" style="188" hidden="1" customWidth="1"/>
    <col min="4" max="4" width="12.85546875" style="188" customWidth="1"/>
    <col min="5" max="5" width="121" bestFit="1" customWidth="1"/>
    <col min="6" max="10" width="12.85546875" customWidth="1"/>
  </cols>
  <sheetData>
    <row r="1" spans="1:10" ht="18.75" x14ac:dyDescent="0.3">
      <c r="A1" s="605" t="s">
        <v>100</v>
      </c>
      <c r="B1" s="605"/>
      <c r="C1" s="605"/>
      <c r="D1" s="605"/>
      <c r="E1" s="605"/>
      <c r="F1" s="605"/>
      <c r="G1" s="605"/>
      <c r="H1" s="605"/>
      <c r="I1" s="605"/>
      <c r="J1" s="605"/>
    </row>
    <row r="2" spans="1:10" x14ac:dyDescent="0.25">
      <c r="A2" s="660" t="s">
        <v>471</v>
      </c>
      <c r="B2" s="660"/>
      <c r="C2" s="660"/>
      <c r="D2" s="660"/>
      <c r="E2" s="660"/>
      <c r="F2" s="660"/>
      <c r="G2" s="660"/>
      <c r="H2" s="660"/>
      <c r="I2" s="660"/>
      <c r="J2" s="660"/>
    </row>
    <row r="3" spans="1:10" x14ac:dyDescent="0.25">
      <c r="A3" s="660" t="s">
        <v>178</v>
      </c>
      <c r="B3" s="660"/>
      <c r="C3" s="660"/>
      <c r="D3" s="660"/>
      <c r="E3" s="660"/>
      <c r="F3" s="660"/>
      <c r="G3" s="660"/>
      <c r="H3" s="660"/>
      <c r="I3" s="660"/>
      <c r="J3" s="660"/>
    </row>
    <row r="4" spans="1:10" x14ac:dyDescent="0.25">
      <c r="A4" s="685" t="s">
        <v>79</v>
      </c>
      <c r="B4" s="685"/>
      <c r="C4" s="685"/>
      <c r="D4" s="685"/>
      <c r="E4" s="685"/>
      <c r="F4" s="685"/>
      <c r="G4" s="685"/>
      <c r="H4" s="685"/>
      <c r="I4" s="685"/>
      <c r="J4" s="685"/>
    </row>
    <row r="5" spans="1:10" ht="28.5" x14ac:dyDescent="0.25">
      <c r="A5" s="2"/>
      <c r="B5" s="2" t="s">
        <v>306</v>
      </c>
      <c r="C5" s="353" t="s">
        <v>170</v>
      </c>
      <c r="D5" s="353" t="s">
        <v>587</v>
      </c>
      <c r="E5" s="2" t="s">
        <v>52</v>
      </c>
      <c r="F5" s="2" t="s">
        <v>891</v>
      </c>
      <c r="G5" s="2" t="s">
        <v>975</v>
      </c>
      <c r="H5" s="2" t="s">
        <v>649</v>
      </c>
      <c r="I5" s="2" t="s">
        <v>764</v>
      </c>
      <c r="J5" s="2" t="s">
        <v>97</v>
      </c>
    </row>
    <row r="6" spans="1:10" x14ac:dyDescent="0.25">
      <c r="A6" s="216"/>
      <c r="B6" s="340">
        <v>1</v>
      </c>
      <c r="C6" s="216" t="str">
        <f>'Tiên lượng'!C7</f>
        <v>CF.11620</v>
      </c>
      <c r="D6" s="216" t="str">
        <f>'Tiên lượng'!C7</f>
        <v>CF.11620</v>
      </c>
      <c r="E6" s="559" t="str">
        <f>'Tiên lượng'!D7</f>
        <v>Công tác đo lưới khống chế mặt bằng, đường chuyền cấp II, Bộ thiết bị GPS (3 máy)</v>
      </c>
      <c r="F6" s="340" t="str">
        <f>'Tiên lượng'!E7</f>
        <v>điểm</v>
      </c>
      <c r="G6" s="154"/>
      <c r="H6" s="411"/>
      <c r="I6" s="543"/>
      <c r="J6" s="399">
        <f>J7+J15+J18</f>
        <v>1888121.4859999998</v>
      </c>
    </row>
    <row r="7" spans="1:10" x14ac:dyDescent="0.25">
      <c r="A7" s="566"/>
      <c r="B7" s="101"/>
      <c r="C7" s="329" t="s">
        <v>79</v>
      </c>
      <c r="D7" s="329" t="s">
        <v>79</v>
      </c>
      <c r="E7" s="326" t="s">
        <v>431</v>
      </c>
      <c r="F7" s="101" t="s">
        <v>757</v>
      </c>
      <c r="G7" s="506"/>
      <c r="H7" s="541"/>
      <c r="I7" s="226"/>
      <c r="J7" s="541">
        <f>SUM(J8:J14)</f>
        <v>27715.990000000009</v>
      </c>
    </row>
    <row r="8" spans="1:10" x14ac:dyDescent="0.25">
      <c r="A8" s="113"/>
      <c r="B8" s="27"/>
      <c r="C8" s="457" t="s">
        <v>79</v>
      </c>
      <c r="D8" s="58" t="s">
        <v>126</v>
      </c>
      <c r="E8" s="452" t="str">
        <f>" - " &amp; 'Giá VL'!E11</f>
        <v xml:space="preserve"> - Xi măng PCB30</v>
      </c>
      <c r="F8" s="27" t="str">
        <f>'Giá VL'!F11</f>
        <v>kg</v>
      </c>
      <c r="G8" s="75">
        <f>PTVT!G8</f>
        <v>3</v>
      </c>
      <c r="H8" s="89">
        <f>'Giá VL'!V11</f>
        <v>1409.0909090909099</v>
      </c>
      <c r="I8" s="372">
        <f>'Tiên lượng'!V7</f>
        <v>1</v>
      </c>
      <c r="J8" s="89">
        <f t="shared" ref="J8:J14" si="0">PRODUCT(G8,H8,I8)</f>
        <v>4227.2727272727298</v>
      </c>
    </row>
    <row r="9" spans="1:10" x14ac:dyDescent="0.25">
      <c r="A9" s="113"/>
      <c r="B9" s="27"/>
      <c r="C9" s="457" t="s">
        <v>79</v>
      </c>
      <c r="D9" s="58" t="s">
        <v>475</v>
      </c>
      <c r="E9" s="452" t="str">
        <f>" - " &amp; 'Giá VL'!E7</f>
        <v xml:space="preserve"> - Đá 1x2</v>
      </c>
      <c r="F9" s="27" t="str">
        <f>'Giá VL'!F7</f>
        <v>m3</v>
      </c>
      <c r="G9" s="75">
        <f>PTVT!G9</f>
        <v>0.01</v>
      </c>
      <c r="H9" s="89">
        <f>'Giá VL'!V7</f>
        <v>207088.181818182</v>
      </c>
      <c r="I9" s="372">
        <f>'Tiên lượng'!V7</f>
        <v>1</v>
      </c>
      <c r="J9" s="89">
        <f t="shared" si="0"/>
        <v>2070.8818181818201</v>
      </c>
    </row>
    <row r="10" spans="1:10" x14ac:dyDescent="0.25">
      <c r="A10" s="113"/>
      <c r="B10" s="27"/>
      <c r="C10" s="457" t="s">
        <v>79</v>
      </c>
      <c r="D10" s="58" t="s">
        <v>793</v>
      </c>
      <c r="E10" s="452" t="str">
        <f>" - " &amp; 'Giá VL'!E5</f>
        <v xml:space="preserve"> - Cát vàng</v>
      </c>
      <c r="F10" s="27" t="str">
        <f>'Giá VL'!F5</f>
        <v>m3</v>
      </c>
      <c r="G10" s="75">
        <f>PTVT!G10</f>
        <v>6.0000000000000001E-3</v>
      </c>
      <c r="H10" s="89">
        <f>'Giá VL'!V5</f>
        <v>180000</v>
      </c>
      <c r="I10" s="372">
        <f>'Tiên lượng'!V7</f>
        <v>1</v>
      </c>
      <c r="J10" s="89">
        <f t="shared" si="0"/>
        <v>1080</v>
      </c>
    </row>
    <row r="11" spans="1:10" x14ac:dyDescent="0.25">
      <c r="A11" s="113"/>
      <c r="B11" s="27"/>
      <c r="C11" s="457" t="s">
        <v>79</v>
      </c>
      <c r="D11" s="58" t="s">
        <v>634</v>
      </c>
      <c r="E11" s="452" t="str">
        <f>" - " &amp; 'Giá VL'!E8</f>
        <v xml:space="preserve"> - Đinh+dây thép</v>
      </c>
      <c r="F11" s="27" t="str">
        <f>'Giá VL'!F8</f>
        <v>kg</v>
      </c>
      <c r="G11" s="75">
        <f>PTVT!G11</f>
        <v>0.1</v>
      </c>
      <c r="H11" s="89">
        <f>'Giá VL'!V8</f>
        <v>18182</v>
      </c>
      <c r="I11" s="372">
        <f>'Tiên lượng'!V7</f>
        <v>1</v>
      </c>
      <c r="J11" s="89">
        <f t="shared" si="0"/>
        <v>1818.2</v>
      </c>
    </row>
    <row r="12" spans="1:10" x14ac:dyDescent="0.25">
      <c r="A12" s="113"/>
      <c r="B12" s="27"/>
      <c r="C12" s="457" t="s">
        <v>79</v>
      </c>
      <c r="D12" s="58" t="s">
        <v>594</v>
      </c>
      <c r="E12" s="452" t="str">
        <f>" - " &amp; 'Giá VL'!E10</f>
        <v xml:space="preserve"> - Sơn trắng+đỏ</v>
      </c>
      <c r="F12" s="27" t="str">
        <f>'Giá VL'!F10</f>
        <v>kg</v>
      </c>
      <c r="G12" s="75">
        <f>PTVT!G12</f>
        <v>0.2</v>
      </c>
      <c r="H12" s="89">
        <f>'Giá VL'!V10</f>
        <v>40000</v>
      </c>
      <c r="I12" s="372">
        <f>'Tiên lượng'!V7</f>
        <v>1</v>
      </c>
      <c r="J12" s="89">
        <f t="shared" si="0"/>
        <v>8000</v>
      </c>
    </row>
    <row r="13" spans="1:10" x14ac:dyDescent="0.25">
      <c r="A13" s="113"/>
      <c r="B13" s="27"/>
      <c r="C13" s="457" t="s">
        <v>79</v>
      </c>
      <c r="D13" s="58" t="s">
        <v>397</v>
      </c>
      <c r="E13" s="452" t="str">
        <f>" - " &amp; 'Giá VL'!E9</f>
        <v xml:space="preserve"> - Sổ đo</v>
      </c>
      <c r="F13" s="27" t="str">
        <f>'Giá VL'!F9</f>
        <v>quyển</v>
      </c>
      <c r="G13" s="75">
        <f>PTVT!G13</f>
        <v>1</v>
      </c>
      <c r="H13" s="89">
        <f>'Giá VL'!V9</f>
        <v>8000</v>
      </c>
      <c r="I13" s="372">
        <f>'Tiên lượng'!V7</f>
        <v>1</v>
      </c>
      <c r="J13" s="89">
        <f t="shared" si="0"/>
        <v>8000</v>
      </c>
    </row>
    <row r="14" spans="1:10" x14ac:dyDescent="0.25">
      <c r="A14" s="113"/>
      <c r="B14" s="27"/>
      <c r="C14" s="457" t="s">
        <v>79</v>
      </c>
      <c r="D14" s="58" t="s">
        <v>520</v>
      </c>
      <c r="E14" s="452" t="s">
        <v>189</v>
      </c>
      <c r="F14" s="27" t="s">
        <v>873</v>
      </c>
      <c r="G14" s="75">
        <f>PTVT!G14</f>
        <v>10</v>
      </c>
      <c r="H14" s="89">
        <f>(G8*H8+G9*H9+G10*H10+G11*H11+G12*H12+G13*H13)/100</f>
        <v>251.96354545454554</v>
      </c>
      <c r="I14" s="372">
        <f>'Tiên lượng'!V7</f>
        <v>1</v>
      </c>
      <c r="J14" s="89">
        <f t="shared" si="0"/>
        <v>2519.6354545454556</v>
      </c>
    </row>
    <row r="15" spans="1:10" x14ac:dyDescent="0.25">
      <c r="A15" s="566"/>
      <c r="B15" s="101"/>
      <c r="C15" s="329" t="s">
        <v>79</v>
      </c>
      <c r="D15" s="329" t="s">
        <v>79</v>
      </c>
      <c r="E15" s="326" t="s">
        <v>236</v>
      </c>
      <c r="F15" s="101" t="s">
        <v>799</v>
      </c>
      <c r="G15" s="506"/>
      <c r="H15" s="541"/>
      <c r="I15" s="226"/>
      <c r="J15" s="541">
        <f>SUM(J16:J17)</f>
        <v>1765314.2799999998</v>
      </c>
    </row>
    <row r="16" spans="1:10" x14ac:dyDescent="0.25">
      <c r="A16" s="113"/>
      <c r="B16" s="27"/>
      <c r="C16" s="457" t="s">
        <v>79</v>
      </c>
      <c r="D16" s="58" t="s">
        <v>689</v>
      </c>
      <c r="E16" s="452" t="str">
        <f>" - " &amp; 'Giá NC'!E6</f>
        <v xml:space="preserve"> - Kỹ sư bậc 4,0/8</v>
      </c>
      <c r="F16" s="27" t="str">
        <f>'Giá NC'!F6</f>
        <v>công</v>
      </c>
      <c r="G16" s="75">
        <f>PTVT!G16</f>
        <v>1.76</v>
      </c>
      <c r="H16" s="89">
        <f>'Giá NC'!K6</f>
        <v>296000</v>
      </c>
      <c r="I16" s="372">
        <f>'Tiên lượng'!W7</f>
        <v>1</v>
      </c>
      <c r="J16" s="89">
        <f t="shared" ref="J16:J17" si="1">PRODUCT(G16,H16,I16)</f>
        <v>520960</v>
      </c>
    </row>
    <row r="17" spans="1:10" x14ac:dyDescent="0.25">
      <c r="A17" s="113"/>
      <c r="B17" s="27"/>
      <c r="C17" s="457" t="s">
        <v>79</v>
      </c>
      <c r="D17" s="58" t="s">
        <v>137</v>
      </c>
      <c r="E17" s="452" t="str">
        <f>" - " &amp; 'Giá NC'!E5</f>
        <v xml:space="preserve"> - Nhân công bậc 4,0/7 - Nhóm 2</v>
      </c>
      <c r="F17" s="27" t="str">
        <f>'Giá NC'!F5</f>
        <v>công</v>
      </c>
      <c r="G17" s="75">
        <f>PTVT!G17</f>
        <v>4.3899999999999997</v>
      </c>
      <c r="H17" s="89">
        <f>'Giá NC'!K5</f>
        <v>283452</v>
      </c>
      <c r="I17" s="372">
        <f>'Tiên lượng'!W7</f>
        <v>1</v>
      </c>
      <c r="J17" s="89">
        <f t="shared" si="1"/>
        <v>1244354.2799999998</v>
      </c>
    </row>
    <row r="18" spans="1:10" x14ac:dyDescent="0.25">
      <c r="A18" s="566"/>
      <c r="B18" s="101"/>
      <c r="C18" s="329" t="s">
        <v>79</v>
      </c>
      <c r="D18" s="329" t="s">
        <v>79</v>
      </c>
      <c r="E18" s="326" t="s">
        <v>927</v>
      </c>
      <c r="F18" s="101" t="s">
        <v>112</v>
      </c>
      <c r="G18" s="506"/>
      <c r="H18" s="541"/>
      <c r="I18" s="226"/>
      <c r="J18" s="541">
        <f>SUM(J19:J20)</f>
        <v>95091.216</v>
      </c>
    </row>
    <row r="19" spans="1:10" x14ac:dyDescent="0.25">
      <c r="A19" s="113"/>
      <c r="B19" s="27"/>
      <c r="C19" s="457" t="s">
        <v>79</v>
      </c>
      <c r="D19" s="58" t="s">
        <v>996</v>
      </c>
      <c r="E19" s="452" t="str">
        <f>" - " &amp; 'Giá Máy'!E7</f>
        <v xml:space="preserve"> - Bộ thiết bị GPS G3100-R2 hoặc loại tương tự (3 máy)</v>
      </c>
      <c r="F19" s="27" t="str">
        <f>'Giá Máy'!F7</f>
        <v>ca</v>
      </c>
      <c r="G19" s="75">
        <f>PTVT!G19</f>
        <v>0.16</v>
      </c>
      <c r="H19" s="89">
        <f>'Giá Máy'!O7</f>
        <v>540291</v>
      </c>
      <c r="I19" s="372">
        <f>'Tiên lượng'!X7</f>
        <v>1</v>
      </c>
      <c r="J19" s="89">
        <f t="shared" ref="J19:J20" si="2">PRODUCT(G19,H19,I19)</f>
        <v>86446.56</v>
      </c>
    </row>
    <row r="20" spans="1:10" x14ac:dyDescent="0.25">
      <c r="A20" s="515"/>
      <c r="B20" s="52"/>
      <c r="C20" s="288" t="s">
        <v>79</v>
      </c>
      <c r="D20" s="468" t="s">
        <v>914</v>
      </c>
      <c r="E20" s="285" t="s">
        <v>845</v>
      </c>
      <c r="F20" s="52" t="s">
        <v>873</v>
      </c>
      <c r="G20" s="369">
        <f>PTVT!G20</f>
        <v>10</v>
      </c>
      <c r="H20" s="487">
        <f>(G19*H19)/100</f>
        <v>864.46559999999999</v>
      </c>
      <c r="I20" s="53">
        <f>'Tiên lượng'!X7</f>
        <v>1</v>
      </c>
      <c r="J20" s="487">
        <f t="shared" si="2"/>
        <v>8644.655999999999</v>
      </c>
    </row>
    <row r="21" spans="1:10" x14ac:dyDescent="0.25">
      <c r="A21" s="216"/>
      <c r="B21" s="340">
        <v>2</v>
      </c>
      <c r="C21" s="216" t="str">
        <f>'Tiên lượng'!C8</f>
        <v>CG.11330</v>
      </c>
      <c r="D21" s="216" t="str">
        <f>'Tiên lượng'!C8</f>
        <v>CG.11330</v>
      </c>
      <c r="E21" s="559" t="str">
        <f>'Tiên lượng'!D8</f>
        <v>Công tác đo khống chế cao, thủy chuẩn kỹ thuật, cấp địa hình III</v>
      </c>
      <c r="F21" s="340" t="str">
        <f>'Tiên lượng'!E8</f>
        <v>km</v>
      </c>
      <c r="G21" s="154"/>
      <c r="H21" s="411"/>
      <c r="I21" s="543"/>
      <c r="J21" s="399">
        <f>J22+J25+J28</f>
        <v>1008950.3419999999</v>
      </c>
    </row>
    <row r="22" spans="1:10" x14ac:dyDescent="0.25">
      <c r="A22" s="566"/>
      <c r="B22" s="101"/>
      <c r="C22" s="329" t="s">
        <v>79</v>
      </c>
      <c r="D22" s="329" t="s">
        <v>79</v>
      </c>
      <c r="E22" s="326" t="s">
        <v>431</v>
      </c>
      <c r="F22" s="101" t="s">
        <v>757</v>
      </c>
      <c r="G22" s="506"/>
      <c r="H22" s="541"/>
      <c r="I22" s="226"/>
      <c r="J22" s="541">
        <f>SUM(J23:J24)</f>
        <v>3640</v>
      </c>
    </row>
    <row r="23" spans="1:10" x14ac:dyDescent="0.25">
      <c r="A23" s="113"/>
      <c r="B23" s="27"/>
      <c r="C23" s="457" t="s">
        <v>79</v>
      </c>
      <c r="D23" s="58" t="s">
        <v>397</v>
      </c>
      <c r="E23" s="452" t="str">
        <f>" - " &amp; 'Giá VL'!E9</f>
        <v xml:space="preserve"> - Sổ đo</v>
      </c>
      <c r="F23" s="27" t="str">
        <f>'Giá VL'!F9</f>
        <v>quyển</v>
      </c>
      <c r="G23" s="75">
        <f>PTVT!G23</f>
        <v>0.35</v>
      </c>
      <c r="H23" s="89">
        <f>'Giá VL'!V9</f>
        <v>8000</v>
      </c>
      <c r="I23" s="372">
        <f>'Tiên lượng'!V8</f>
        <v>1</v>
      </c>
      <c r="J23" s="89">
        <f t="shared" ref="J23:J24" si="3">PRODUCT(G23,H23,I23)</f>
        <v>2800</v>
      </c>
    </row>
    <row r="24" spans="1:10" x14ac:dyDescent="0.25">
      <c r="A24" s="113"/>
      <c r="B24" s="27"/>
      <c r="C24" s="457" t="s">
        <v>79</v>
      </c>
      <c r="D24" s="58" t="s">
        <v>520</v>
      </c>
      <c r="E24" s="452" t="s">
        <v>189</v>
      </c>
      <c r="F24" s="27" t="s">
        <v>873</v>
      </c>
      <c r="G24" s="75">
        <f>PTVT!G24</f>
        <v>30</v>
      </c>
      <c r="H24" s="89">
        <f>(G23*H23)/100</f>
        <v>28</v>
      </c>
      <c r="I24" s="372">
        <f>'Tiên lượng'!V8</f>
        <v>1</v>
      </c>
      <c r="J24" s="89">
        <f t="shared" si="3"/>
        <v>840</v>
      </c>
    </row>
    <row r="25" spans="1:10" x14ac:dyDescent="0.25">
      <c r="A25" s="566"/>
      <c r="B25" s="101"/>
      <c r="C25" s="329" t="s">
        <v>79</v>
      </c>
      <c r="D25" s="329" t="s">
        <v>79</v>
      </c>
      <c r="E25" s="326" t="s">
        <v>236</v>
      </c>
      <c r="F25" s="101" t="s">
        <v>799</v>
      </c>
      <c r="G25" s="506"/>
      <c r="H25" s="541"/>
      <c r="I25" s="226"/>
      <c r="J25" s="541">
        <f>SUM(J26:J27)</f>
        <v>1000791.6399999999</v>
      </c>
    </row>
    <row r="26" spans="1:10" x14ac:dyDescent="0.25">
      <c r="A26" s="113"/>
      <c r="B26" s="27"/>
      <c r="C26" s="457" t="s">
        <v>79</v>
      </c>
      <c r="D26" s="58" t="s">
        <v>689</v>
      </c>
      <c r="E26" s="452" t="str">
        <f>" - " &amp; 'Giá NC'!E6</f>
        <v xml:space="preserve"> - Kỹ sư bậc 4,0/8</v>
      </c>
      <c r="F26" s="27" t="str">
        <f>'Giá NC'!F6</f>
        <v>công</v>
      </c>
      <c r="G26" s="75">
        <f>PTVT!G26</f>
        <v>0.92</v>
      </c>
      <c r="H26" s="89">
        <f>'Giá NC'!K6</f>
        <v>296000</v>
      </c>
      <c r="I26" s="372">
        <f>'Tiên lượng'!W8</f>
        <v>1</v>
      </c>
      <c r="J26" s="89">
        <f t="shared" ref="J26:J27" si="4">PRODUCT(G26,H26,I26)</f>
        <v>272320</v>
      </c>
    </row>
    <row r="27" spans="1:10" x14ac:dyDescent="0.25">
      <c r="A27" s="113"/>
      <c r="B27" s="27"/>
      <c r="C27" s="457" t="s">
        <v>79</v>
      </c>
      <c r="D27" s="58" t="s">
        <v>137</v>
      </c>
      <c r="E27" s="452" t="str">
        <f>" - " &amp; 'Giá NC'!E5</f>
        <v xml:space="preserve"> - Nhân công bậc 4,0/7 - Nhóm 2</v>
      </c>
      <c r="F27" s="27" t="str">
        <f>'Giá NC'!F5</f>
        <v>công</v>
      </c>
      <c r="G27" s="75">
        <f>PTVT!G27</f>
        <v>2.57</v>
      </c>
      <c r="H27" s="89">
        <f>'Giá NC'!K5</f>
        <v>283452</v>
      </c>
      <c r="I27" s="372">
        <f>'Tiên lượng'!W8</f>
        <v>1</v>
      </c>
      <c r="J27" s="89">
        <f t="shared" si="4"/>
        <v>728471.6399999999</v>
      </c>
    </row>
    <row r="28" spans="1:10" x14ac:dyDescent="0.25">
      <c r="A28" s="566"/>
      <c r="B28" s="101"/>
      <c r="C28" s="329" t="s">
        <v>79</v>
      </c>
      <c r="D28" s="329" t="s">
        <v>79</v>
      </c>
      <c r="E28" s="326" t="s">
        <v>927</v>
      </c>
      <c r="F28" s="101" t="s">
        <v>112</v>
      </c>
      <c r="G28" s="506"/>
      <c r="H28" s="541"/>
      <c r="I28" s="226"/>
      <c r="J28" s="541">
        <f>SUM(J29:J30)</f>
        <v>4518.7019999999993</v>
      </c>
    </row>
    <row r="29" spans="1:10" x14ac:dyDescent="0.25">
      <c r="A29" s="113"/>
      <c r="B29" s="27"/>
      <c r="C29" s="457" t="s">
        <v>79</v>
      </c>
      <c r="D29" s="58" t="s">
        <v>188</v>
      </c>
      <c r="E29" s="452" t="str">
        <f>" - " &amp; 'Giá Máy'!E5</f>
        <v xml:space="preserve"> - Máy thủy bình điện tử</v>
      </c>
      <c r="F29" s="27" t="str">
        <f>'Giá Máy'!F5</f>
        <v>ca</v>
      </c>
      <c r="G29" s="75">
        <f>PTVT!G29</f>
        <v>0.3</v>
      </c>
      <c r="H29" s="89">
        <f>'Giá Máy'!O5</f>
        <v>14767</v>
      </c>
      <c r="I29" s="372">
        <f>'Tiên lượng'!X8</f>
        <v>1</v>
      </c>
      <c r="J29" s="89">
        <f t="shared" ref="J29:J30" si="5">PRODUCT(G29,H29,I29)</f>
        <v>4430.0999999999995</v>
      </c>
    </row>
    <row r="30" spans="1:10" x14ac:dyDescent="0.25">
      <c r="A30" s="515"/>
      <c r="B30" s="52"/>
      <c r="C30" s="288" t="s">
        <v>79</v>
      </c>
      <c r="D30" s="468" t="s">
        <v>914</v>
      </c>
      <c r="E30" s="285" t="s">
        <v>845</v>
      </c>
      <c r="F30" s="52" t="s">
        <v>873</v>
      </c>
      <c r="G30" s="369">
        <f>PTVT!G30</f>
        <v>2</v>
      </c>
      <c r="H30" s="487">
        <f>(G29*H29)/100</f>
        <v>44.300999999999995</v>
      </c>
      <c r="I30" s="53">
        <f>'Tiên lượng'!X8</f>
        <v>1</v>
      </c>
      <c r="J30" s="487">
        <f t="shared" si="5"/>
        <v>88.60199999999999</v>
      </c>
    </row>
    <row r="31" spans="1:10" ht="30" x14ac:dyDescent="0.25">
      <c r="A31" s="216"/>
      <c r="B31" s="340">
        <v>3</v>
      </c>
      <c r="C31" s="216" t="str">
        <f>'Tiên lượng'!C9</f>
        <v>CK.11430</v>
      </c>
      <c r="D31" s="216" t="str">
        <f>'Tiên lượng'!C9</f>
        <v>CK.11430</v>
      </c>
      <c r="E31" s="559" t="str">
        <f>'Tiên lượng'!D9</f>
        <v>Đo vẽ chi tiết bản đồ địa hình trên cạn bằng  máy toàn đạc điện tử và máy thủy bình điện tử; bản đồ tỷ lệ 1/500, đường đồng mức 1m, cấp địa hình III</v>
      </c>
      <c r="F31" s="340" t="str">
        <f>'Tiên lượng'!E9</f>
        <v>1 ha</v>
      </c>
      <c r="G31" s="154"/>
      <c r="H31" s="411"/>
      <c r="I31" s="543"/>
      <c r="J31" s="399">
        <f>J32+J36+J39</f>
        <v>2222744.9450000003</v>
      </c>
    </row>
    <row r="32" spans="1:10" x14ac:dyDescent="0.25">
      <c r="A32" s="566"/>
      <c r="B32" s="101"/>
      <c r="C32" s="329" t="s">
        <v>79</v>
      </c>
      <c r="D32" s="329" t="s">
        <v>79</v>
      </c>
      <c r="E32" s="326" t="s">
        <v>431</v>
      </c>
      <c r="F32" s="101" t="s">
        <v>757</v>
      </c>
      <c r="G32" s="506"/>
      <c r="H32" s="541"/>
      <c r="I32" s="226"/>
      <c r="J32" s="541">
        <f>SUM(J33:J35)</f>
        <v>23690</v>
      </c>
    </row>
    <row r="33" spans="1:10" x14ac:dyDescent="0.25">
      <c r="A33" s="113"/>
      <c r="B33" s="27"/>
      <c r="C33" s="457" t="s">
        <v>79</v>
      </c>
      <c r="D33" s="58" t="s">
        <v>494</v>
      </c>
      <c r="E33" s="452" t="str">
        <f>" - " &amp; 'Giá VL'!E6</f>
        <v xml:space="preserve"> - Cọc gỗ (4x4x40) cm</v>
      </c>
      <c r="F33" s="27" t="str">
        <f>'Giá VL'!F6</f>
        <v>cái</v>
      </c>
      <c r="G33" s="75">
        <f>PTVT!G33</f>
        <v>3</v>
      </c>
      <c r="H33" s="89">
        <f>'Giá VL'!V6</f>
        <v>5000</v>
      </c>
      <c r="I33" s="372">
        <f>'Tiên lượng'!V9</f>
        <v>1</v>
      </c>
      <c r="J33" s="89">
        <f t="shared" ref="J33:J35" si="6">PRODUCT(G33,H33,I33)</f>
        <v>15000</v>
      </c>
    </row>
    <row r="34" spans="1:10" x14ac:dyDescent="0.25">
      <c r="A34" s="113"/>
      <c r="B34" s="27"/>
      <c r="C34" s="457" t="s">
        <v>79</v>
      </c>
      <c r="D34" s="58" t="s">
        <v>397</v>
      </c>
      <c r="E34" s="452" t="str">
        <f>" - " &amp; 'Giá VL'!E9</f>
        <v xml:space="preserve"> - Sổ đo</v>
      </c>
      <c r="F34" s="27" t="str">
        <f>'Giá VL'!F9</f>
        <v>quyển</v>
      </c>
      <c r="G34" s="75">
        <f>PTVT!G34</f>
        <v>0.7</v>
      </c>
      <c r="H34" s="89">
        <f>'Giá VL'!V9</f>
        <v>8000</v>
      </c>
      <c r="I34" s="372">
        <f>'Tiên lượng'!V9</f>
        <v>1</v>
      </c>
      <c r="J34" s="89">
        <f t="shared" si="6"/>
        <v>5600</v>
      </c>
    </row>
    <row r="35" spans="1:10" x14ac:dyDescent="0.25">
      <c r="A35" s="113"/>
      <c r="B35" s="27"/>
      <c r="C35" s="457" t="s">
        <v>79</v>
      </c>
      <c r="D35" s="58" t="s">
        <v>520</v>
      </c>
      <c r="E35" s="452" t="s">
        <v>189</v>
      </c>
      <c r="F35" s="27" t="s">
        <v>873</v>
      </c>
      <c r="G35" s="75">
        <f>PTVT!G35</f>
        <v>15</v>
      </c>
      <c r="H35" s="89">
        <f>(G33*H33+G34*H34)/100</f>
        <v>206</v>
      </c>
      <c r="I35" s="372">
        <f>'Tiên lượng'!V9</f>
        <v>1</v>
      </c>
      <c r="J35" s="89">
        <f t="shared" si="6"/>
        <v>3090</v>
      </c>
    </row>
    <row r="36" spans="1:10" x14ac:dyDescent="0.25">
      <c r="A36" s="566"/>
      <c r="B36" s="101"/>
      <c r="C36" s="329" t="s">
        <v>79</v>
      </c>
      <c r="D36" s="329" t="s">
        <v>79</v>
      </c>
      <c r="E36" s="326" t="s">
        <v>236</v>
      </c>
      <c r="F36" s="101" t="s">
        <v>799</v>
      </c>
      <c r="G36" s="506"/>
      <c r="H36" s="541"/>
      <c r="I36" s="226"/>
      <c r="J36" s="541">
        <f>SUM(J37:J38)</f>
        <v>2046182.7200000002</v>
      </c>
    </row>
    <row r="37" spans="1:10" x14ac:dyDescent="0.25">
      <c r="A37" s="113"/>
      <c r="B37" s="27"/>
      <c r="C37" s="457" t="s">
        <v>79</v>
      </c>
      <c r="D37" s="58" t="s">
        <v>689</v>
      </c>
      <c r="E37" s="452" t="str">
        <f>" - " &amp; 'Giá NC'!E6</f>
        <v xml:space="preserve"> - Kỹ sư bậc 4,0/8</v>
      </c>
      <c r="F37" s="27" t="str">
        <f>'Giá NC'!F6</f>
        <v>công</v>
      </c>
      <c r="G37" s="75">
        <f>PTVT!G37</f>
        <v>1.78</v>
      </c>
      <c r="H37" s="89">
        <f>'Giá NC'!K6</f>
        <v>296000</v>
      </c>
      <c r="I37" s="372">
        <f>'Tiên lượng'!W9</f>
        <v>1</v>
      </c>
      <c r="J37" s="89">
        <f t="shared" ref="J37:J38" si="7">PRODUCT(G37,H37,I37)</f>
        <v>526880</v>
      </c>
    </row>
    <row r="38" spans="1:10" x14ac:dyDescent="0.25">
      <c r="A38" s="113"/>
      <c r="B38" s="27"/>
      <c r="C38" s="457" t="s">
        <v>79</v>
      </c>
      <c r="D38" s="58" t="s">
        <v>137</v>
      </c>
      <c r="E38" s="452" t="str">
        <f>" - " &amp; 'Giá NC'!E5</f>
        <v xml:space="preserve"> - Nhân công bậc 4,0/7 - Nhóm 2</v>
      </c>
      <c r="F38" s="27" t="str">
        <f>'Giá NC'!F5</f>
        <v>công</v>
      </c>
      <c r="G38" s="75">
        <f>PTVT!G38</f>
        <v>5.36</v>
      </c>
      <c r="H38" s="89">
        <f>'Giá NC'!K5</f>
        <v>283452</v>
      </c>
      <c r="I38" s="372">
        <f>'Tiên lượng'!W9</f>
        <v>1</v>
      </c>
      <c r="J38" s="89">
        <f t="shared" si="7"/>
        <v>1519302.7200000002</v>
      </c>
    </row>
    <row r="39" spans="1:10" x14ac:dyDescent="0.25">
      <c r="A39" s="566"/>
      <c r="B39" s="101"/>
      <c r="C39" s="329" t="s">
        <v>79</v>
      </c>
      <c r="D39" s="329" t="s">
        <v>79</v>
      </c>
      <c r="E39" s="326" t="s">
        <v>927</v>
      </c>
      <c r="F39" s="101" t="s">
        <v>112</v>
      </c>
      <c r="G39" s="506"/>
      <c r="H39" s="541"/>
      <c r="I39" s="226"/>
      <c r="J39" s="541">
        <f>SUM(J40:J42)</f>
        <v>152872.22500000001</v>
      </c>
    </row>
    <row r="40" spans="1:10" x14ac:dyDescent="0.25">
      <c r="A40" s="113"/>
      <c r="B40" s="27"/>
      <c r="C40" s="457" t="s">
        <v>79</v>
      </c>
      <c r="D40" s="58" t="s">
        <v>153</v>
      </c>
      <c r="E40" s="452" t="str">
        <f>" - " &amp; 'Giá Máy'!E6</f>
        <v xml:space="preserve"> - Máy toàn đạc điện tử TS06 hoặc loại tương tự</v>
      </c>
      <c r="F40" s="27" t="str">
        <f>'Giá Máy'!F6</f>
        <v>ca</v>
      </c>
      <c r="G40" s="75">
        <f>PTVT!G40</f>
        <v>0.94</v>
      </c>
      <c r="H40" s="89">
        <f>'Giá Máy'!O6</f>
        <v>147060</v>
      </c>
      <c r="I40" s="372">
        <f>'Tiên lượng'!X9</f>
        <v>1</v>
      </c>
      <c r="J40" s="89">
        <f t="shared" ref="J40:J42" si="8">PRODUCT(G40,H40,I40)</f>
        <v>138236.4</v>
      </c>
    </row>
    <row r="41" spans="1:10" x14ac:dyDescent="0.25">
      <c r="A41" s="113"/>
      <c r="B41" s="27"/>
      <c r="C41" s="457" t="s">
        <v>79</v>
      </c>
      <c r="D41" s="58" t="s">
        <v>188</v>
      </c>
      <c r="E41" s="452" t="str">
        <f>" - " &amp; 'Giá Máy'!E5</f>
        <v xml:space="preserve"> - Máy thủy bình điện tử</v>
      </c>
      <c r="F41" s="27" t="str">
        <f>'Giá Máy'!F5</f>
        <v>ca</v>
      </c>
      <c r="G41" s="75">
        <f>PTVT!G41</f>
        <v>0.05</v>
      </c>
      <c r="H41" s="89">
        <f>'Giá Máy'!O5</f>
        <v>14767</v>
      </c>
      <c r="I41" s="372">
        <f>'Tiên lượng'!X9</f>
        <v>1</v>
      </c>
      <c r="J41" s="89">
        <f t="shared" si="8"/>
        <v>738.35</v>
      </c>
    </row>
    <row r="42" spans="1:10" x14ac:dyDescent="0.25">
      <c r="A42" s="515"/>
      <c r="B42" s="52"/>
      <c r="C42" s="288" t="s">
        <v>79</v>
      </c>
      <c r="D42" s="468" t="s">
        <v>914</v>
      </c>
      <c r="E42" s="285" t="s">
        <v>845</v>
      </c>
      <c r="F42" s="52" t="s">
        <v>873</v>
      </c>
      <c r="G42" s="369">
        <f>PTVT!G42</f>
        <v>10</v>
      </c>
      <c r="H42" s="487">
        <f>(G40*H40+G41*H41)/100</f>
        <v>1389.7474999999999</v>
      </c>
      <c r="I42" s="53">
        <f>'Tiên lượng'!X9</f>
        <v>1</v>
      </c>
      <c r="J42" s="487">
        <f t="shared" si="8"/>
        <v>13897.474999999999</v>
      </c>
    </row>
    <row r="43" spans="1:10" ht="30" x14ac:dyDescent="0.25">
      <c r="A43" s="216"/>
      <c r="B43" s="340">
        <v>4</v>
      </c>
      <c r="C43" s="216" t="str">
        <f>'Tiên lượng'!C10</f>
        <v>CK.11440</v>
      </c>
      <c r="D43" s="216" t="str">
        <f>'Tiên lượng'!C10</f>
        <v>CK.11440</v>
      </c>
      <c r="E43" s="559" t="str">
        <f>'Tiên lượng'!D10</f>
        <v>Đo vẽ chi tiết bản đồ địa hình trên cạn bằng  máy toàn đạc điện tử và máy thủy bình điện tử; bản đồ tỷ lệ 1/500, đường đồng mức 1m, cấp địa hình IV</v>
      </c>
      <c r="F43" s="340" t="str">
        <f>'Tiên lượng'!E10</f>
        <v>1 ha</v>
      </c>
      <c r="G43" s="154"/>
      <c r="H43" s="411"/>
      <c r="I43" s="543"/>
      <c r="J43" s="399">
        <f>J44+J48+J51</f>
        <v>3011963.8650000002</v>
      </c>
    </row>
    <row r="44" spans="1:10" x14ac:dyDescent="0.25">
      <c r="A44" s="566"/>
      <c r="B44" s="101"/>
      <c r="C44" s="329" t="s">
        <v>79</v>
      </c>
      <c r="D44" s="329" t="s">
        <v>79</v>
      </c>
      <c r="E44" s="326" t="s">
        <v>431</v>
      </c>
      <c r="F44" s="101" t="s">
        <v>757</v>
      </c>
      <c r="G44" s="506"/>
      <c r="H44" s="541"/>
      <c r="I44" s="226"/>
      <c r="J44" s="541">
        <f>SUM(J45:J47)</f>
        <v>23690</v>
      </c>
    </row>
    <row r="45" spans="1:10" x14ac:dyDescent="0.25">
      <c r="A45" s="113"/>
      <c r="B45" s="27"/>
      <c r="C45" s="457" t="s">
        <v>79</v>
      </c>
      <c r="D45" s="58" t="s">
        <v>494</v>
      </c>
      <c r="E45" s="452" t="str">
        <f>" - " &amp; 'Giá VL'!E6</f>
        <v xml:space="preserve"> - Cọc gỗ (4x4x40) cm</v>
      </c>
      <c r="F45" s="27" t="str">
        <f>'Giá VL'!F6</f>
        <v>cái</v>
      </c>
      <c r="G45" s="75">
        <f>PTVT!G45</f>
        <v>3</v>
      </c>
      <c r="H45" s="89">
        <f>'Giá VL'!V6</f>
        <v>5000</v>
      </c>
      <c r="I45" s="372">
        <f>'Tiên lượng'!V10</f>
        <v>1</v>
      </c>
      <c r="J45" s="89">
        <f t="shared" ref="J45:J47" si="9">PRODUCT(G45,H45,I45)</f>
        <v>15000</v>
      </c>
    </row>
    <row r="46" spans="1:10" x14ac:dyDescent="0.25">
      <c r="A46" s="113"/>
      <c r="B46" s="27"/>
      <c r="C46" s="457" t="s">
        <v>79</v>
      </c>
      <c r="D46" s="58" t="s">
        <v>397</v>
      </c>
      <c r="E46" s="452" t="str">
        <f>" - " &amp; 'Giá VL'!E9</f>
        <v xml:space="preserve"> - Sổ đo</v>
      </c>
      <c r="F46" s="27" t="str">
        <f>'Giá VL'!F9</f>
        <v>quyển</v>
      </c>
      <c r="G46" s="75">
        <f>PTVT!G46</f>
        <v>0.7</v>
      </c>
      <c r="H46" s="89">
        <f>'Giá VL'!V9</f>
        <v>8000</v>
      </c>
      <c r="I46" s="372">
        <f>'Tiên lượng'!V10</f>
        <v>1</v>
      </c>
      <c r="J46" s="89">
        <f t="shared" si="9"/>
        <v>5600</v>
      </c>
    </row>
    <row r="47" spans="1:10" x14ac:dyDescent="0.25">
      <c r="A47" s="113"/>
      <c r="B47" s="27"/>
      <c r="C47" s="457" t="s">
        <v>79</v>
      </c>
      <c r="D47" s="58" t="s">
        <v>520</v>
      </c>
      <c r="E47" s="452" t="s">
        <v>189</v>
      </c>
      <c r="F47" s="27" t="s">
        <v>873</v>
      </c>
      <c r="G47" s="75">
        <f>PTVT!G47</f>
        <v>15</v>
      </c>
      <c r="H47" s="89">
        <f>(G45*H45+G46*H46)/100</f>
        <v>206</v>
      </c>
      <c r="I47" s="372">
        <f>'Tiên lượng'!V10</f>
        <v>1</v>
      </c>
      <c r="J47" s="89">
        <f t="shared" si="9"/>
        <v>3090</v>
      </c>
    </row>
    <row r="48" spans="1:10" x14ac:dyDescent="0.25">
      <c r="A48" s="566"/>
      <c r="B48" s="101"/>
      <c r="C48" s="329" t="s">
        <v>79</v>
      </c>
      <c r="D48" s="329" t="s">
        <v>79</v>
      </c>
      <c r="E48" s="326" t="s">
        <v>236</v>
      </c>
      <c r="F48" s="101" t="s">
        <v>799</v>
      </c>
      <c r="G48" s="506"/>
      <c r="H48" s="541"/>
      <c r="I48" s="226"/>
      <c r="J48" s="541">
        <f>SUM(J49:J50)</f>
        <v>2773930.56</v>
      </c>
    </row>
    <row r="49" spans="1:10" x14ac:dyDescent="0.25">
      <c r="A49" s="113"/>
      <c r="B49" s="27"/>
      <c r="C49" s="457" t="s">
        <v>79</v>
      </c>
      <c r="D49" s="58" t="s">
        <v>689</v>
      </c>
      <c r="E49" s="452" t="str">
        <f>" - " &amp; 'Giá NC'!E6</f>
        <v xml:space="preserve"> - Kỹ sư bậc 4,0/8</v>
      </c>
      <c r="F49" s="27" t="str">
        <f>'Giá NC'!F6</f>
        <v>công</v>
      </c>
      <c r="G49" s="75">
        <f>PTVT!G49</f>
        <v>2.4</v>
      </c>
      <c r="H49" s="89">
        <f>'Giá NC'!K6</f>
        <v>296000</v>
      </c>
      <c r="I49" s="372">
        <f>'Tiên lượng'!W10</f>
        <v>1</v>
      </c>
      <c r="J49" s="89">
        <f t="shared" ref="J49:J50" si="10">PRODUCT(G49,H49,I49)</f>
        <v>710400</v>
      </c>
    </row>
    <row r="50" spans="1:10" x14ac:dyDescent="0.25">
      <c r="A50" s="113"/>
      <c r="B50" s="27"/>
      <c r="C50" s="457" t="s">
        <v>79</v>
      </c>
      <c r="D50" s="58" t="s">
        <v>137</v>
      </c>
      <c r="E50" s="452" t="str">
        <f>" - " &amp; 'Giá NC'!E5</f>
        <v xml:space="preserve"> - Nhân công bậc 4,0/7 - Nhóm 2</v>
      </c>
      <c r="F50" s="27" t="str">
        <f>'Giá NC'!F5</f>
        <v>công</v>
      </c>
      <c r="G50" s="75">
        <f>PTVT!G50</f>
        <v>7.28</v>
      </c>
      <c r="H50" s="89">
        <f>'Giá NC'!K5</f>
        <v>283452</v>
      </c>
      <c r="I50" s="372">
        <f>'Tiên lượng'!W10</f>
        <v>1</v>
      </c>
      <c r="J50" s="89">
        <f t="shared" si="10"/>
        <v>2063530.56</v>
      </c>
    </row>
    <row r="51" spans="1:10" x14ac:dyDescent="0.25">
      <c r="A51" s="566"/>
      <c r="B51" s="101"/>
      <c r="C51" s="329" t="s">
        <v>79</v>
      </c>
      <c r="D51" s="329" t="s">
        <v>79</v>
      </c>
      <c r="E51" s="326" t="s">
        <v>927</v>
      </c>
      <c r="F51" s="101" t="s">
        <v>112</v>
      </c>
      <c r="G51" s="506"/>
      <c r="H51" s="541"/>
      <c r="I51" s="226"/>
      <c r="J51" s="541">
        <f>SUM(J52:J54)</f>
        <v>214343.30500000002</v>
      </c>
    </row>
    <row r="52" spans="1:10" x14ac:dyDescent="0.25">
      <c r="A52" s="113"/>
      <c r="B52" s="27"/>
      <c r="C52" s="457" t="s">
        <v>79</v>
      </c>
      <c r="D52" s="58" t="s">
        <v>153</v>
      </c>
      <c r="E52" s="452" t="str">
        <f>" - " &amp; 'Giá Máy'!E6</f>
        <v xml:space="preserve"> - Máy toàn đạc điện tử TS06 hoặc loại tương tự</v>
      </c>
      <c r="F52" s="27" t="str">
        <f>'Giá Máy'!F6</f>
        <v>ca</v>
      </c>
      <c r="G52" s="75">
        <f>PTVT!G52</f>
        <v>1.32</v>
      </c>
      <c r="H52" s="89">
        <f>'Giá Máy'!O6</f>
        <v>147060</v>
      </c>
      <c r="I52" s="372">
        <f>'Tiên lượng'!X10</f>
        <v>1</v>
      </c>
      <c r="J52" s="89">
        <f t="shared" ref="J52:J54" si="11">PRODUCT(G52,H52,I52)</f>
        <v>194119.2</v>
      </c>
    </row>
    <row r="53" spans="1:10" x14ac:dyDescent="0.25">
      <c r="A53" s="113"/>
      <c r="B53" s="27"/>
      <c r="C53" s="457" t="s">
        <v>79</v>
      </c>
      <c r="D53" s="58" t="s">
        <v>188</v>
      </c>
      <c r="E53" s="452" t="str">
        <f>" - " &amp; 'Giá Máy'!E5</f>
        <v xml:space="preserve"> - Máy thủy bình điện tử</v>
      </c>
      <c r="F53" s="27" t="str">
        <f>'Giá Máy'!F5</f>
        <v>ca</v>
      </c>
      <c r="G53" s="75">
        <f>PTVT!G53</f>
        <v>0.05</v>
      </c>
      <c r="H53" s="89">
        <f>'Giá Máy'!O5</f>
        <v>14767</v>
      </c>
      <c r="I53" s="372">
        <f>'Tiên lượng'!X10</f>
        <v>1</v>
      </c>
      <c r="J53" s="89">
        <f t="shared" si="11"/>
        <v>738.35</v>
      </c>
    </row>
    <row r="54" spans="1:10" x14ac:dyDescent="0.25">
      <c r="A54" s="515"/>
      <c r="B54" s="52"/>
      <c r="C54" s="288" t="s">
        <v>79</v>
      </c>
      <c r="D54" s="468" t="s">
        <v>914</v>
      </c>
      <c r="E54" s="285" t="s">
        <v>845</v>
      </c>
      <c r="F54" s="52" t="s">
        <v>873</v>
      </c>
      <c r="G54" s="369">
        <f>PTVT!G54</f>
        <v>10</v>
      </c>
      <c r="H54" s="487">
        <f>(G52*H52+G53*H53)/100</f>
        <v>1948.5755000000001</v>
      </c>
      <c r="I54" s="53">
        <f>'Tiên lượng'!X10</f>
        <v>1</v>
      </c>
      <c r="J54" s="487">
        <f t="shared" si="11"/>
        <v>19485.755000000001</v>
      </c>
    </row>
  </sheetData>
  <mergeCells count="4">
    <mergeCell ref="A1:J1"/>
    <mergeCell ref="A2:J2"/>
    <mergeCell ref="A3:J3"/>
    <mergeCell ref="A4:J4"/>
  </mergeCells>
  <conditionalFormatting sqref="I1:I54">
    <cfRule type="cellIs" dxfId="0" priority="1" stopIfTrue="1" operator="equal">
      <formula>1</formula>
    </cfRule>
  </conditionalFormatting>
  <pageMargins left="0.60000000000000009" right="0.60000000000000009" top="0.75" bottom="0.75" header="0.3" footer="0.3"/>
  <pageSetup paperSize="9" scale="90" orientation="portrait" useFirstPageNumber="1"/>
  <headerFooter>
    <oddFooter>&amp;CTrang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11"/>
  <sheetViews>
    <sheetView showZeros="0" topLeftCell="B1" workbookViewId="0">
      <selection sqref="A1:P1"/>
    </sheetView>
  </sheetViews>
  <sheetFormatPr defaultRowHeight="15" x14ac:dyDescent="0.25"/>
  <cols>
    <col min="1" max="1" width="8.85546875" hidden="1" customWidth="1"/>
    <col min="2" max="2" width="4.7109375" bestFit="1" customWidth="1"/>
    <col min="3" max="3" width="8.7109375" bestFit="1" customWidth="1"/>
    <col min="4" max="4" width="35" customWidth="1"/>
    <col min="5" max="5" width="6.5703125" bestFit="1" customWidth="1"/>
    <col min="6" max="6" width="10.5703125" bestFit="1" customWidth="1"/>
    <col min="7" max="7" width="7.5703125" bestFit="1" customWidth="1"/>
    <col min="8" max="8" width="8.85546875" hidden="1" customWidth="1"/>
    <col min="9" max="9" width="10" bestFit="1" customWidth="1"/>
    <col min="10" max="10" width="7.42578125" bestFit="1" customWidth="1"/>
    <col min="11" max="11" width="8.85546875" hidden="1" customWidth="1"/>
    <col min="12" max="12" width="9" bestFit="1" customWidth="1"/>
    <col min="13" max="13" width="8.85546875" hidden="1" customWidth="1"/>
    <col min="14" max="14" width="11" bestFit="1" customWidth="1"/>
    <col min="15" max="15" width="10" bestFit="1" customWidth="1"/>
    <col min="16" max="16" width="11" bestFit="1" customWidth="1"/>
  </cols>
  <sheetData>
    <row r="1" spans="1:16" ht="18.75" x14ac:dyDescent="0.25">
      <c r="A1" s="686" t="s">
        <v>39</v>
      </c>
      <c r="B1" s="686"/>
      <c r="C1" s="686"/>
      <c r="D1" s="687"/>
      <c r="E1" s="686"/>
      <c r="F1" s="688"/>
      <c r="G1" s="689"/>
      <c r="H1" s="689"/>
      <c r="I1" s="689"/>
      <c r="J1" s="689"/>
      <c r="K1" s="689"/>
      <c r="L1" s="689"/>
      <c r="M1" s="689"/>
      <c r="N1" s="689"/>
      <c r="O1" s="689"/>
      <c r="P1" s="689"/>
    </row>
    <row r="2" spans="1:16" x14ac:dyDescent="0.25">
      <c r="A2" s="690" t="s">
        <v>471</v>
      </c>
      <c r="B2" s="690"/>
      <c r="C2" s="690"/>
      <c r="D2" s="691"/>
      <c r="E2" s="690"/>
      <c r="F2" s="692"/>
      <c r="G2" s="693"/>
      <c r="H2" s="693"/>
      <c r="I2" s="693"/>
      <c r="J2" s="693"/>
      <c r="K2" s="693"/>
      <c r="L2" s="693"/>
      <c r="M2" s="693"/>
      <c r="N2" s="693"/>
      <c r="O2" s="693"/>
      <c r="P2" s="693"/>
    </row>
    <row r="3" spans="1:16" x14ac:dyDescent="0.25">
      <c r="A3" s="690" t="s">
        <v>178</v>
      </c>
      <c r="B3" s="690"/>
      <c r="C3" s="690"/>
      <c r="D3" s="691"/>
      <c r="E3" s="690"/>
      <c r="F3" s="692"/>
      <c r="G3" s="693"/>
      <c r="H3" s="693"/>
      <c r="I3" s="693"/>
      <c r="J3" s="693"/>
      <c r="K3" s="693"/>
      <c r="L3" s="693"/>
      <c r="M3" s="693"/>
      <c r="N3" s="693"/>
      <c r="O3" s="693"/>
      <c r="P3" s="693"/>
    </row>
    <row r="4" spans="1:16" x14ac:dyDescent="0.25">
      <c r="A4" s="690"/>
      <c r="B4" s="690"/>
      <c r="C4" s="690"/>
      <c r="D4" s="691"/>
      <c r="E4" s="690"/>
      <c r="F4" s="692"/>
      <c r="G4" s="693"/>
      <c r="H4" s="693"/>
      <c r="I4" s="693"/>
      <c r="J4" s="693"/>
      <c r="K4" s="693"/>
      <c r="L4" s="693"/>
      <c r="M4" s="693"/>
      <c r="N4" s="693"/>
      <c r="O4" s="693"/>
      <c r="P4" s="693"/>
    </row>
    <row r="5" spans="1:16" x14ac:dyDescent="0.25">
      <c r="A5" s="247"/>
      <c r="B5" s="694" t="s">
        <v>306</v>
      </c>
      <c r="C5" s="694" t="s">
        <v>170</v>
      </c>
      <c r="D5" s="695" t="s">
        <v>924</v>
      </c>
      <c r="E5" s="694" t="s">
        <v>891</v>
      </c>
      <c r="F5" s="696" t="s">
        <v>357</v>
      </c>
      <c r="G5" s="697" t="s">
        <v>649</v>
      </c>
      <c r="H5" s="697"/>
      <c r="I5" s="697"/>
      <c r="J5" s="697"/>
      <c r="K5" s="392" t="s">
        <v>649</v>
      </c>
      <c r="L5" s="697" t="s">
        <v>97</v>
      </c>
      <c r="M5" s="697"/>
      <c r="N5" s="697"/>
      <c r="O5" s="697"/>
      <c r="P5" s="697" t="s">
        <v>882</v>
      </c>
    </row>
    <row r="6" spans="1:16" x14ac:dyDescent="0.25">
      <c r="A6" s="247"/>
      <c r="B6" s="694"/>
      <c r="C6" s="694"/>
      <c r="D6" s="695"/>
      <c r="E6" s="694"/>
      <c r="F6" s="696"/>
      <c r="G6" s="392" t="s">
        <v>431</v>
      </c>
      <c r="H6" s="392" t="s">
        <v>702</v>
      </c>
      <c r="I6" s="392" t="s">
        <v>236</v>
      </c>
      <c r="J6" s="392" t="s">
        <v>565</v>
      </c>
      <c r="K6" s="392"/>
      <c r="L6" s="392" t="s">
        <v>431</v>
      </c>
      <c r="M6" s="392" t="s">
        <v>702</v>
      </c>
      <c r="N6" s="392" t="s">
        <v>236</v>
      </c>
      <c r="O6" s="392" t="s">
        <v>565</v>
      </c>
      <c r="P6" s="697"/>
    </row>
    <row r="7" spans="1:16" ht="45" x14ac:dyDescent="0.25">
      <c r="A7" s="113"/>
      <c r="B7" s="27">
        <v>1</v>
      </c>
      <c r="C7" s="113" t="str">
        <f>'Tiên lượng'!C7</f>
        <v>CF.11620</v>
      </c>
      <c r="D7" s="452" t="str">
        <f>'Tiên lượng'!D7</f>
        <v>Công tác đo lưới khống chế mặt bằng, đường chuyền cấp II, Bộ thiết bị GPS (3 máy)</v>
      </c>
      <c r="E7" s="27" t="str">
        <f>'Tiên lượng'!E7</f>
        <v>điểm</v>
      </c>
      <c r="F7" s="128">
        <f>'Tiên lượng'!M7</f>
        <v>22</v>
      </c>
      <c r="G7" s="244">
        <f>'Chiết tính rút gọn'!J7</f>
        <v>27715.990000000009</v>
      </c>
      <c r="H7" s="244"/>
      <c r="I7" s="244">
        <f>'Chiết tính rút gọn'!J15</f>
        <v>1765314.2799999998</v>
      </c>
      <c r="J7" s="244">
        <f>'Chiết tính rút gọn'!J18</f>
        <v>95091.216</v>
      </c>
      <c r="K7" s="244">
        <f t="shared" ref="K7:K10" si="0">SUM(G7:J7)</f>
        <v>1888121.4859999998</v>
      </c>
      <c r="L7" s="244">
        <f t="shared" ref="L7:L10" si="1">F7*G7</f>
        <v>609751.78000000014</v>
      </c>
      <c r="M7" s="244">
        <f t="shared" ref="M7:M10" si="2">F7*H7</f>
        <v>0</v>
      </c>
      <c r="N7" s="244">
        <f t="shared" ref="N7:N10" si="3">F7*I7</f>
        <v>38836914.159999996</v>
      </c>
      <c r="O7" s="244">
        <f t="shared" ref="O7:O10" si="4">F7*J7</f>
        <v>2092006.7520000001</v>
      </c>
      <c r="P7" s="244">
        <f t="shared" ref="P7:P10" si="5">SUM(L7:O7)</f>
        <v>41538672.691999994</v>
      </c>
    </row>
    <row r="8" spans="1:16" ht="30" x14ac:dyDescent="0.25">
      <c r="A8" s="113"/>
      <c r="B8" s="27">
        <v>2</v>
      </c>
      <c r="C8" s="113" t="str">
        <f>'Tiên lượng'!C8</f>
        <v>CG.11330</v>
      </c>
      <c r="D8" s="452" t="str">
        <f>'Tiên lượng'!D8</f>
        <v>Công tác đo khống chế cao, thủy chuẩn kỹ thuật, cấp địa hình III</v>
      </c>
      <c r="E8" s="27" t="str">
        <f>'Tiên lượng'!E8</f>
        <v>km</v>
      </c>
      <c r="F8" s="128">
        <f>'Tiên lượng'!M8</f>
        <v>10</v>
      </c>
      <c r="G8" s="244">
        <f>'Chiết tính rút gọn'!J22</f>
        <v>3640</v>
      </c>
      <c r="H8" s="244"/>
      <c r="I8" s="244">
        <f>'Chiết tính rút gọn'!J25</f>
        <v>1000791.6399999999</v>
      </c>
      <c r="J8" s="244">
        <f>'Chiết tính rút gọn'!J28</f>
        <v>4518.7019999999993</v>
      </c>
      <c r="K8" s="244">
        <f t="shared" si="0"/>
        <v>1008950.3419999999</v>
      </c>
      <c r="L8" s="244">
        <f t="shared" si="1"/>
        <v>36400</v>
      </c>
      <c r="M8" s="244">
        <f t="shared" si="2"/>
        <v>0</v>
      </c>
      <c r="N8" s="244">
        <f t="shared" si="3"/>
        <v>10007916.399999999</v>
      </c>
      <c r="O8" s="244">
        <f t="shared" si="4"/>
        <v>45187.01999999999</v>
      </c>
      <c r="P8" s="244">
        <f t="shared" si="5"/>
        <v>10089503.419999998</v>
      </c>
    </row>
    <row r="9" spans="1:16" ht="60" x14ac:dyDescent="0.25">
      <c r="A9" s="113"/>
      <c r="B9" s="27">
        <v>3</v>
      </c>
      <c r="C9" s="113" t="str">
        <f>'Tiên lượng'!C9</f>
        <v>CK.11430</v>
      </c>
      <c r="D9" s="452" t="str">
        <f>'Tiên lượng'!D9</f>
        <v>Đo vẽ chi tiết bản đồ địa hình trên cạn bằng  máy toàn đạc điện tử và máy thủy bình điện tử; bản đồ tỷ lệ 1/500, đường đồng mức 1m, cấp địa hình III</v>
      </c>
      <c r="E9" s="27" t="str">
        <f>'Tiên lượng'!E9</f>
        <v>1 ha</v>
      </c>
      <c r="F9" s="128">
        <f>'Tiên lượng'!M9</f>
        <v>56</v>
      </c>
      <c r="G9" s="244">
        <f>'Chiết tính rút gọn'!J32</f>
        <v>23690</v>
      </c>
      <c r="H9" s="244"/>
      <c r="I9" s="244">
        <f>'Chiết tính rút gọn'!J36</f>
        <v>2046182.7200000002</v>
      </c>
      <c r="J9" s="244">
        <f>'Chiết tính rút gọn'!J39</f>
        <v>152872.22500000001</v>
      </c>
      <c r="K9" s="244">
        <f t="shared" si="0"/>
        <v>2222744.9450000003</v>
      </c>
      <c r="L9" s="244">
        <f t="shared" si="1"/>
        <v>1326640</v>
      </c>
      <c r="M9" s="244">
        <f t="shared" si="2"/>
        <v>0</v>
      </c>
      <c r="N9" s="244">
        <f t="shared" si="3"/>
        <v>114586232.32000001</v>
      </c>
      <c r="O9" s="244">
        <f t="shared" si="4"/>
        <v>8560844.5999999996</v>
      </c>
      <c r="P9" s="244">
        <f t="shared" si="5"/>
        <v>124473716.92</v>
      </c>
    </row>
    <row r="10" spans="1:16" ht="60" x14ac:dyDescent="0.25">
      <c r="A10" s="515"/>
      <c r="B10" s="52">
        <v>4</v>
      </c>
      <c r="C10" s="515" t="str">
        <f>'Tiên lượng'!C10</f>
        <v>CK.11440</v>
      </c>
      <c r="D10" s="285" t="str">
        <f>'Tiên lượng'!D10</f>
        <v>Đo vẽ chi tiết bản đồ địa hình trên cạn bằng  máy toàn đạc điện tử và máy thủy bình điện tử; bản đồ tỷ lệ 1/500, đường đồng mức 1m, cấp địa hình IV</v>
      </c>
      <c r="E10" s="52" t="str">
        <f>'Tiên lượng'!E10</f>
        <v>1 ha</v>
      </c>
      <c r="F10" s="533">
        <f>'Tiên lượng'!M10</f>
        <v>130</v>
      </c>
      <c r="G10" s="67">
        <f>'Chiết tính rút gọn'!J44</f>
        <v>23690</v>
      </c>
      <c r="H10" s="67"/>
      <c r="I10" s="67">
        <f>'Chiết tính rút gọn'!J48</f>
        <v>2773930.56</v>
      </c>
      <c r="J10" s="67">
        <f>'Chiết tính rút gọn'!J51</f>
        <v>214343.30500000002</v>
      </c>
      <c r="K10" s="67">
        <f t="shared" si="0"/>
        <v>3011963.8650000002</v>
      </c>
      <c r="L10" s="67">
        <f t="shared" si="1"/>
        <v>3079700</v>
      </c>
      <c r="M10" s="67">
        <f t="shared" si="2"/>
        <v>0</v>
      </c>
      <c r="N10" s="67">
        <f t="shared" si="3"/>
        <v>360610972.80000001</v>
      </c>
      <c r="O10" s="67">
        <f t="shared" si="4"/>
        <v>27864629.650000002</v>
      </c>
      <c r="P10" s="67">
        <f t="shared" si="5"/>
        <v>391555302.44999999</v>
      </c>
    </row>
    <row r="11" spans="1:16" x14ac:dyDescent="0.25">
      <c r="A11" s="401" t="s">
        <v>186</v>
      </c>
      <c r="B11" s="493"/>
      <c r="C11" s="401"/>
      <c r="D11" s="215" t="s">
        <v>887</v>
      </c>
      <c r="E11" s="493"/>
      <c r="F11" s="18"/>
      <c r="G11" s="11"/>
      <c r="H11" s="11"/>
      <c r="I11" s="11"/>
      <c r="J11" s="11"/>
      <c r="K11" s="11"/>
      <c r="L11" s="11">
        <f t="shared" ref="L11:P11" si="6">SUM(L7:L10)</f>
        <v>5052491.78</v>
      </c>
      <c r="M11" s="11">
        <f t="shared" si="6"/>
        <v>0</v>
      </c>
      <c r="N11" s="11">
        <f t="shared" si="6"/>
        <v>524042035.68000001</v>
      </c>
      <c r="O11" s="11">
        <f t="shared" si="6"/>
        <v>38562668.022</v>
      </c>
      <c r="P11" s="11">
        <f t="shared" si="6"/>
        <v>567657195.48199999</v>
      </c>
    </row>
  </sheetData>
  <mergeCells count="12">
    <mergeCell ref="A1:P1"/>
    <mergeCell ref="A2:P2"/>
    <mergeCell ref="A3:P3"/>
    <mergeCell ref="A4:P4"/>
    <mergeCell ref="B5:B6"/>
    <mergeCell ref="C5:C6"/>
    <mergeCell ref="D5:D6"/>
    <mergeCell ref="E5:E6"/>
    <mergeCell ref="F5:F6"/>
    <mergeCell ref="G5:J5"/>
    <mergeCell ref="L5:O5"/>
    <mergeCell ref="P5:P6"/>
  </mergeCells>
  <pageMargins left="0.75" right="0.75" top="0.75" bottom="0.75" header="0.3" footer="0.3"/>
  <pageSetup paperSize="9" orientation="landscape" useFirstPageNumber="1"/>
  <headerFooter>
    <oddFooter>&amp;CTrang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5"/>
  <sheetViews>
    <sheetView showGridLines="0" showZeros="0" topLeftCell="B1" workbookViewId="0">
      <pane ySplit="4" topLeftCell="A5" activePane="bottomLeft" state="frozen"/>
      <selection activeCell="A5" sqref="A5"/>
      <selection pane="bottomLeft" activeCell="A5" sqref="A5"/>
    </sheetView>
  </sheetViews>
  <sheetFormatPr defaultRowHeight="15" x14ac:dyDescent="0.25"/>
  <cols>
    <col min="1" max="1" width="8.85546875" hidden="1" customWidth="1"/>
    <col min="2" max="2" width="3.85546875" bestFit="1" customWidth="1"/>
    <col min="3" max="3" width="7.7109375" bestFit="1" customWidth="1"/>
    <col min="4" max="4" width="15" bestFit="1" customWidth="1"/>
    <col min="5" max="5" width="6.42578125" bestFit="1" customWidth="1"/>
    <col min="6" max="6" width="9" bestFit="1" customWidth="1"/>
    <col min="7" max="7" width="15.42578125" bestFit="1" customWidth="1"/>
    <col min="8" max="8" width="6.42578125" bestFit="1" customWidth="1"/>
  </cols>
  <sheetData>
    <row r="1" spans="1:9" ht="18.75" x14ac:dyDescent="0.25">
      <c r="A1" s="698" t="s">
        <v>375</v>
      </c>
      <c r="B1" s="698"/>
      <c r="C1" s="698"/>
      <c r="D1" s="698"/>
      <c r="E1" s="698"/>
      <c r="F1" s="698"/>
      <c r="G1" s="698"/>
      <c r="H1" s="698"/>
      <c r="I1" s="698"/>
    </row>
    <row r="2" spans="1:9" x14ac:dyDescent="0.25">
      <c r="A2" s="699"/>
      <c r="B2" s="699"/>
      <c r="C2" s="699"/>
      <c r="D2" s="699"/>
      <c r="E2" s="699"/>
      <c r="F2" s="699"/>
      <c r="G2" s="699"/>
      <c r="H2" s="699"/>
      <c r="I2" s="699"/>
    </row>
    <row r="3" spans="1:9" x14ac:dyDescent="0.25">
      <c r="A3" s="700" t="s">
        <v>474</v>
      </c>
      <c r="B3" s="700"/>
      <c r="C3" s="700"/>
      <c r="D3" s="700"/>
      <c r="E3" s="700"/>
      <c r="F3" s="700"/>
      <c r="G3" s="700"/>
      <c r="H3" s="700"/>
      <c r="I3" s="700"/>
    </row>
    <row r="4" spans="1:9" x14ac:dyDescent="0.25">
      <c r="A4" s="554" t="s">
        <v>874</v>
      </c>
      <c r="B4" s="554" t="s">
        <v>306</v>
      </c>
      <c r="C4" s="554" t="s">
        <v>587</v>
      </c>
      <c r="D4" s="554" t="s">
        <v>151</v>
      </c>
      <c r="E4" s="554" t="s">
        <v>891</v>
      </c>
      <c r="F4" s="554" t="s">
        <v>975</v>
      </c>
      <c r="G4" s="554" t="s">
        <v>139</v>
      </c>
      <c r="H4" s="554" t="s">
        <v>670</v>
      </c>
      <c r="I4" s="554" t="s">
        <v>97</v>
      </c>
    </row>
    <row r="5" spans="1:9" x14ac:dyDescent="0.25">
      <c r="A5" s="249"/>
      <c r="B5" s="254"/>
      <c r="C5" s="249"/>
      <c r="D5" s="249"/>
      <c r="E5" s="254"/>
      <c r="F5" s="267"/>
      <c r="G5" s="267"/>
      <c r="H5" s="393"/>
      <c r="I5" s="393"/>
    </row>
  </sheetData>
  <mergeCells count="3">
    <mergeCell ref="A1:I1"/>
    <mergeCell ref="A2:I2"/>
    <mergeCell ref="A3:I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W440"/>
  <sheetViews>
    <sheetView showZeros="0" workbookViewId="0">
      <pane xSplit="1" ySplit="1" topLeftCell="B2" activePane="bottomRight" state="frozen"/>
      <selection sqref="A1:B1"/>
      <selection pane="topRight" sqref="A1:B1"/>
      <selection pane="bottomLeft" sqref="A1:B1"/>
      <selection pane="bottomRight" activeCell="B17" sqref="B17"/>
    </sheetView>
  </sheetViews>
  <sheetFormatPr defaultRowHeight="15" x14ac:dyDescent="0.25"/>
  <cols>
    <col min="1" max="1" width="8" customWidth="1"/>
    <col min="2" max="2" width="29" customWidth="1"/>
    <col min="3" max="6" width="9.140625" customWidth="1"/>
    <col min="7" max="7" width="10.140625" customWidth="1"/>
    <col min="8" max="8" width="9.140625" customWidth="1"/>
    <col min="9" max="9" width="11" customWidth="1"/>
    <col min="10" max="10" width="12.42578125" customWidth="1"/>
    <col min="11" max="11" width="9.7109375" customWidth="1"/>
    <col min="12" max="12" width="10.85546875" customWidth="1"/>
    <col min="13" max="13" width="9.140625" customWidth="1"/>
    <col min="14" max="14" width="9.85546875" customWidth="1"/>
    <col min="15" max="15" width="11.28515625" customWidth="1"/>
    <col min="16" max="16" width="10.28515625" customWidth="1"/>
    <col min="17" max="17" width="8.5703125" customWidth="1"/>
    <col min="18" max="18" width="21" customWidth="1"/>
    <col min="19" max="19" width="14" customWidth="1"/>
    <col min="20" max="20" width="41.140625" customWidth="1"/>
    <col min="21" max="23" width="9.140625" customWidth="1"/>
  </cols>
  <sheetData>
    <row r="1" spans="1:23" ht="15.4" customHeight="1" x14ac:dyDescent="0.25">
      <c r="A1" s="704" t="s">
        <v>838</v>
      </c>
      <c r="B1" s="704"/>
      <c r="C1" s="731">
        <f>THKP_TT11_2021!F9/1000000000</f>
        <v>1.0711056214113099</v>
      </c>
      <c r="D1" s="731"/>
      <c r="E1" s="33" t="s">
        <v>208</v>
      </c>
      <c r="F1" s="33"/>
      <c r="G1" s="33"/>
      <c r="H1" s="33"/>
      <c r="I1" s="33"/>
      <c r="J1" s="33"/>
      <c r="K1" s="33"/>
      <c r="L1" s="33"/>
      <c r="M1" s="33"/>
      <c r="N1" s="33"/>
      <c r="O1" s="33"/>
      <c r="P1" s="33"/>
      <c r="Q1" s="33"/>
      <c r="R1" s="33"/>
      <c r="S1" s="33"/>
      <c r="T1" s="33"/>
      <c r="U1" s="33"/>
      <c r="V1" s="33"/>
      <c r="W1" s="33"/>
    </row>
    <row r="2" spans="1:23" ht="15.4" customHeight="1" x14ac:dyDescent="0.25">
      <c r="A2" s="704" t="s">
        <v>0</v>
      </c>
      <c r="B2" s="704"/>
      <c r="C2" s="731">
        <f>THKP_TT11_2021!F11/1000000000</f>
        <v>0</v>
      </c>
      <c r="D2" s="731"/>
      <c r="E2" s="33" t="s">
        <v>208</v>
      </c>
      <c r="F2" s="33"/>
      <c r="G2" s="33"/>
      <c r="H2" s="33"/>
      <c r="I2" s="33"/>
      <c r="J2" s="33"/>
      <c r="K2" s="33"/>
      <c r="L2" s="33"/>
      <c r="M2" s="33"/>
      <c r="N2" s="33"/>
      <c r="O2" s="33"/>
      <c r="P2" s="33"/>
      <c r="Q2" s="33"/>
      <c r="R2" s="33"/>
      <c r="S2" s="33"/>
      <c r="T2" s="33"/>
      <c r="U2" s="33"/>
      <c r="V2" s="33"/>
      <c r="W2" s="33"/>
    </row>
    <row r="3" spans="1:23" ht="29.25" customHeight="1" x14ac:dyDescent="0.25">
      <c r="A3" s="730" t="s">
        <v>824</v>
      </c>
      <c r="B3" s="730"/>
      <c r="C3" s="731">
        <v>0</v>
      </c>
      <c r="D3" s="731"/>
      <c r="E3" s="33" t="s">
        <v>208</v>
      </c>
      <c r="F3" s="33"/>
      <c r="G3" s="33"/>
      <c r="H3" s="33"/>
      <c r="I3" s="33"/>
      <c r="J3" s="33"/>
      <c r="K3" s="33"/>
      <c r="L3" s="33"/>
      <c r="M3" s="33"/>
      <c r="N3" s="33"/>
      <c r="O3" s="33"/>
      <c r="P3" s="33"/>
      <c r="Q3" s="33"/>
      <c r="R3" s="33"/>
      <c r="S3" s="33"/>
      <c r="T3" s="33"/>
      <c r="U3" s="33"/>
      <c r="V3" s="33"/>
      <c r="W3" s="33"/>
    </row>
    <row r="4" spans="1:23" ht="15.4" customHeight="1" x14ac:dyDescent="0.25">
      <c r="A4" s="704" t="s">
        <v>66</v>
      </c>
      <c r="B4" s="704"/>
      <c r="C4" s="731">
        <v>0</v>
      </c>
      <c r="D4" s="731"/>
      <c r="E4" s="33" t="s">
        <v>208</v>
      </c>
      <c r="F4" s="33"/>
      <c r="G4" s="33"/>
      <c r="H4" s="33"/>
      <c r="I4" s="33"/>
      <c r="J4" s="33"/>
      <c r="K4" s="33"/>
      <c r="L4" s="33"/>
      <c r="M4" s="33"/>
      <c r="N4" s="33"/>
      <c r="O4" s="33"/>
      <c r="P4" s="33"/>
      <c r="Q4" s="33"/>
      <c r="R4" s="33"/>
      <c r="S4" s="33"/>
      <c r="T4" s="33"/>
      <c r="U4" s="33"/>
      <c r="V4" s="33"/>
      <c r="W4" s="33"/>
    </row>
    <row r="5" spans="1:23" ht="16.350000000000001" customHeight="1" x14ac:dyDescent="0.25">
      <c r="A5" s="730" t="s">
        <v>154</v>
      </c>
      <c r="B5" s="730"/>
      <c r="C5" s="731">
        <v>0</v>
      </c>
      <c r="D5" s="731"/>
      <c r="E5" s="33" t="s">
        <v>208</v>
      </c>
      <c r="F5" s="33"/>
      <c r="G5" s="33"/>
      <c r="H5" s="33"/>
      <c r="I5" s="33"/>
      <c r="J5" s="33"/>
      <c r="K5" s="33"/>
      <c r="L5" s="33"/>
      <c r="M5" s="33"/>
      <c r="N5" s="33"/>
      <c r="O5" s="33"/>
      <c r="P5" s="33"/>
      <c r="Q5" s="33"/>
      <c r="R5" s="33"/>
      <c r="S5" s="33"/>
      <c r="T5" s="33"/>
      <c r="U5" s="33"/>
      <c r="V5" s="33"/>
      <c r="W5" s="33"/>
    </row>
    <row r="6" spans="1:23" ht="16.350000000000001" customHeight="1" x14ac:dyDescent="0.25">
      <c r="A6" s="730" t="s">
        <v>362</v>
      </c>
      <c r="B6" s="730"/>
      <c r="C6" s="731">
        <f>C1+C2+C3+C4+C5</f>
        <v>1.0711056214113099</v>
      </c>
      <c r="D6" s="731"/>
      <c r="E6" s="33" t="s">
        <v>208</v>
      </c>
      <c r="F6" s="33"/>
      <c r="G6" s="33"/>
      <c r="H6" s="33"/>
      <c r="I6" s="33"/>
      <c r="J6" s="33"/>
      <c r="K6" s="33"/>
      <c r="L6" s="33"/>
      <c r="M6" s="33"/>
      <c r="N6" s="33"/>
      <c r="O6" s="33"/>
      <c r="P6" s="33"/>
      <c r="Q6" s="33"/>
      <c r="R6" s="33"/>
      <c r="S6" s="33"/>
      <c r="T6" s="33"/>
      <c r="U6" s="33"/>
      <c r="V6" s="33"/>
      <c r="W6" s="33"/>
    </row>
    <row r="7" spans="1:23" ht="30" customHeight="1" x14ac:dyDescent="0.25">
      <c r="A7" s="730" t="s">
        <v>338</v>
      </c>
      <c r="B7" s="730"/>
      <c r="C7" s="731">
        <f>C1+C2+C4+C5</f>
        <v>1.0711056214113099</v>
      </c>
      <c r="D7" s="731"/>
      <c r="E7" s="33" t="s">
        <v>208</v>
      </c>
      <c r="F7" s="33"/>
      <c r="G7" s="33"/>
      <c r="H7" s="33"/>
      <c r="I7" s="33"/>
      <c r="J7" s="33"/>
      <c r="K7" s="33"/>
      <c r="L7" s="33"/>
      <c r="M7" s="33"/>
      <c r="N7" s="33"/>
      <c r="O7" s="33"/>
      <c r="P7" s="33"/>
      <c r="Q7" s="33"/>
      <c r="R7" s="33"/>
      <c r="S7" s="33"/>
      <c r="T7" s="33"/>
      <c r="U7" s="33"/>
      <c r="V7" s="33"/>
      <c r="W7" s="33"/>
    </row>
    <row r="8" spans="1:23" ht="15.4" customHeight="1" x14ac:dyDescent="0.25">
      <c r="A8" s="704" t="s">
        <v>660</v>
      </c>
      <c r="B8" s="704"/>
      <c r="C8" s="731">
        <v>0</v>
      </c>
      <c r="D8" s="731"/>
      <c r="E8" s="33" t="s">
        <v>208</v>
      </c>
      <c r="F8" s="33"/>
      <c r="G8" s="33"/>
      <c r="H8" s="33"/>
      <c r="I8" s="33"/>
      <c r="J8" s="33"/>
      <c r="K8" s="33"/>
      <c r="L8" s="33"/>
      <c r="M8" s="33"/>
      <c r="N8" s="33"/>
      <c r="O8" s="33"/>
      <c r="P8" s="33"/>
      <c r="Q8" s="33"/>
      <c r="R8" s="33"/>
      <c r="S8" s="33"/>
      <c r="T8" s="33"/>
      <c r="U8" s="33"/>
      <c r="V8" s="33"/>
      <c r="W8" s="33"/>
    </row>
    <row r="9" spans="1:23" ht="15.4" customHeight="1" x14ac:dyDescent="0.25">
      <c r="A9" s="33"/>
      <c r="B9" s="33"/>
      <c r="C9" s="33"/>
      <c r="D9" s="33"/>
      <c r="E9" s="33"/>
      <c r="F9" s="33"/>
      <c r="G9" s="33"/>
      <c r="H9" s="33"/>
      <c r="I9" s="33"/>
      <c r="J9" s="33"/>
      <c r="K9" s="33"/>
      <c r="L9" s="33"/>
      <c r="M9" s="33"/>
      <c r="N9" s="33"/>
      <c r="O9" s="33"/>
      <c r="P9" s="33"/>
      <c r="Q9" s="33"/>
      <c r="R9" s="33"/>
      <c r="S9" s="33"/>
      <c r="T9" s="33"/>
      <c r="U9" s="33"/>
      <c r="V9" s="33"/>
      <c r="W9" s="33"/>
    </row>
    <row r="10" spans="1:23" ht="15" hidden="1" customHeight="1" x14ac:dyDescent="0.25">
      <c r="A10" s="33" t="s">
        <v>14</v>
      </c>
      <c r="B10" s="33"/>
      <c r="C10" s="33"/>
      <c r="D10" s="33"/>
      <c r="E10" s="33"/>
      <c r="F10" s="33"/>
      <c r="G10" s="33"/>
      <c r="H10" s="33"/>
      <c r="I10" s="33"/>
      <c r="J10" s="33"/>
      <c r="K10" s="33"/>
      <c r="L10" s="33"/>
      <c r="M10" s="33"/>
      <c r="N10" s="33"/>
      <c r="O10" s="33"/>
      <c r="P10" s="33"/>
      <c r="Q10" s="33"/>
      <c r="R10" s="33"/>
      <c r="S10" s="33"/>
      <c r="T10" s="33"/>
      <c r="U10" s="33"/>
      <c r="V10" s="33"/>
      <c r="W10" s="33"/>
    </row>
    <row r="11" spans="1:23" ht="15.4" customHeight="1" x14ac:dyDescent="0.25">
      <c r="A11" s="606" t="s">
        <v>630</v>
      </c>
      <c r="B11" s="606"/>
      <c r="C11" s="606"/>
      <c r="D11" s="606"/>
      <c r="E11" s="606"/>
      <c r="F11" s="606"/>
      <c r="G11" s="606"/>
      <c r="H11" s="606"/>
      <c r="I11" s="606"/>
      <c r="J11" s="606"/>
      <c r="K11" s="606"/>
      <c r="L11" s="606"/>
      <c r="M11" s="606"/>
      <c r="N11" s="606"/>
      <c r="O11" s="33"/>
      <c r="P11" s="33"/>
      <c r="Q11" s="33"/>
      <c r="R11" s="33"/>
      <c r="S11" s="33"/>
      <c r="T11" s="33"/>
      <c r="U11" s="33"/>
      <c r="V11" s="33"/>
      <c r="W11" s="33"/>
    </row>
    <row r="12" spans="1:23" ht="15.4" customHeight="1" x14ac:dyDescent="0.25">
      <c r="A12" s="606" t="s">
        <v>934</v>
      </c>
      <c r="B12" s="606"/>
      <c r="C12" s="606"/>
      <c r="D12" s="606"/>
      <c r="E12" s="606"/>
      <c r="F12" s="606"/>
      <c r="G12" s="606"/>
      <c r="H12" s="606"/>
      <c r="I12" s="606"/>
      <c r="J12" s="606"/>
      <c r="K12" s="606"/>
      <c r="L12" s="606"/>
      <c r="M12" s="606"/>
      <c r="N12" s="606"/>
      <c r="O12" s="33"/>
      <c r="P12" s="33"/>
      <c r="Q12" s="33"/>
      <c r="R12" s="33"/>
      <c r="S12" s="33"/>
      <c r="T12" s="33"/>
      <c r="U12" s="33"/>
      <c r="V12" s="33"/>
      <c r="W12" s="33"/>
    </row>
    <row r="13" spans="1:23" ht="15.4" customHeight="1" x14ac:dyDescent="0.25">
      <c r="A13" s="263"/>
      <c r="B13" s="263"/>
      <c r="C13" s="263"/>
      <c r="D13" s="263"/>
      <c r="E13" s="263"/>
      <c r="F13" s="263"/>
      <c r="G13" s="263"/>
      <c r="H13" s="263"/>
      <c r="I13" s="263"/>
      <c r="J13" s="263"/>
      <c r="K13" s="263"/>
      <c r="L13" s="263"/>
      <c r="M13" s="263"/>
      <c r="N13" s="263"/>
      <c r="O13" s="33"/>
      <c r="P13" s="33"/>
      <c r="Q13" s="33"/>
      <c r="R13" s="33"/>
      <c r="S13" s="33"/>
      <c r="T13" s="33"/>
      <c r="U13" s="33"/>
      <c r="V13" s="33"/>
      <c r="W13" s="33"/>
    </row>
    <row r="14" spans="1:23" ht="15.4" customHeight="1" x14ac:dyDescent="0.25">
      <c r="A14" s="707" t="s">
        <v>827</v>
      </c>
      <c r="B14" s="707"/>
      <c r="C14" s="707"/>
      <c r="D14" s="707"/>
      <c r="E14" s="707"/>
      <c r="F14" s="707"/>
      <c r="G14" s="707"/>
      <c r="H14" s="707"/>
      <c r="I14" s="707"/>
      <c r="J14" s="707"/>
      <c r="K14" s="707"/>
      <c r="L14" s="707"/>
      <c r="M14" s="707"/>
      <c r="N14" s="33"/>
      <c r="O14" s="33"/>
      <c r="P14" s="33"/>
      <c r="Q14" s="33"/>
      <c r="R14" s="33"/>
      <c r="S14" s="33"/>
      <c r="T14" s="33"/>
      <c r="U14" s="33"/>
      <c r="V14" s="33"/>
      <c r="W14" s="33"/>
    </row>
    <row r="15" spans="1:23" ht="15" hidden="1" customHeight="1" x14ac:dyDescent="0.25">
      <c r="A15" s="33" t="s">
        <v>284</v>
      </c>
      <c r="B15" s="33"/>
      <c r="C15" s="33"/>
      <c r="D15" s="33"/>
      <c r="E15" s="33"/>
      <c r="F15" s="33"/>
      <c r="G15" s="33"/>
      <c r="H15" s="33"/>
      <c r="I15" s="33"/>
      <c r="J15" s="33"/>
      <c r="K15" s="575"/>
      <c r="L15" s="33" t="s">
        <v>300</v>
      </c>
      <c r="M15" s="575"/>
      <c r="N15" s="33"/>
      <c r="O15" s="33"/>
      <c r="P15" s="33"/>
      <c r="Q15" s="33"/>
      <c r="R15" s="33"/>
      <c r="S15" s="33"/>
      <c r="T15" s="33"/>
      <c r="U15" s="33"/>
      <c r="V15" s="33"/>
      <c r="W15" s="33"/>
    </row>
    <row r="16" spans="1:23" ht="15.4" customHeight="1" x14ac:dyDescent="0.25">
      <c r="A16" s="33"/>
      <c r="B16" s="33"/>
      <c r="C16" s="33"/>
      <c r="D16" s="33"/>
      <c r="E16" s="33"/>
      <c r="F16" s="33"/>
      <c r="G16" s="33"/>
      <c r="H16" s="33"/>
      <c r="I16" s="33"/>
      <c r="J16" s="33"/>
      <c r="K16" s="33"/>
      <c r="L16" s="33"/>
      <c r="M16" s="341" t="s">
        <v>378</v>
      </c>
      <c r="N16" s="562" t="s">
        <v>26</v>
      </c>
      <c r="O16" s="270" t="s">
        <v>510</v>
      </c>
      <c r="P16" s="33"/>
      <c r="Q16" s="33"/>
      <c r="R16" s="33"/>
      <c r="S16" s="33"/>
      <c r="T16" s="33"/>
      <c r="U16" s="33"/>
      <c r="V16" s="33"/>
      <c r="W16" s="33"/>
    </row>
    <row r="17" spans="1:23" ht="30.75" customHeight="1" x14ac:dyDescent="0.25">
      <c r="A17" s="23" t="s">
        <v>695</v>
      </c>
      <c r="B17" s="220" t="s">
        <v>490</v>
      </c>
      <c r="C17" s="23" t="s">
        <v>231</v>
      </c>
      <c r="D17" s="23">
        <v>25</v>
      </c>
      <c r="E17" s="23">
        <v>50</v>
      </c>
      <c r="F17" s="23">
        <v>100</v>
      </c>
      <c r="G17" s="23">
        <v>200</v>
      </c>
      <c r="H17" s="23">
        <v>500</v>
      </c>
      <c r="I17" s="23">
        <v>1000</v>
      </c>
      <c r="J17" s="23">
        <v>2000</v>
      </c>
      <c r="K17" s="23">
        <v>5000</v>
      </c>
      <c r="L17" s="36">
        <v>10000</v>
      </c>
      <c r="M17" s="44">
        <f>$C$6</f>
        <v>1.0711056214113099</v>
      </c>
      <c r="N17" s="279">
        <f>IF(M17&lt;D17,15,IF(M17&gt;L17,L17,HLOOKUP(M17,D17:L17,1)))</f>
        <v>15</v>
      </c>
      <c r="O17" s="561">
        <f>IF(M17&lt;15,15,IF(M17&lt;25,25,IF(M17&gt;L17,L17,INDEX(D17:L17,MATCH(M17,D17:L17,1)+1))))</f>
        <v>15</v>
      </c>
      <c r="P17" s="33"/>
      <c r="Q17" s="33"/>
      <c r="R17" s="33"/>
      <c r="S17" s="33"/>
      <c r="T17" s="33"/>
      <c r="U17" s="33"/>
      <c r="V17" s="33"/>
      <c r="W17" s="33"/>
    </row>
    <row r="18" spans="1:23" ht="15.4" customHeight="1" x14ac:dyDescent="0.25">
      <c r="A18" s="35">
        <v>1</v>
      </c>
      <c r="B18" s="317" t="s">
        <v>128</v>
      </c>
      <c r="C18" s="80">
        <v>1.9E-2</v>
      </c>
      <c r="D18" s="80">
        <v>1.7000000000000001E-2</v>
      </c>
      <c r="E18" s="80">
        <v>1.4999999999999999E-2</v>
      </c>
      <c r="F18" s="80">
        <v>1.2500000000000001E-2</v>
      </c>
      <c r="G18" s="80">
        <v>0.01</v>
      </c>
      <c r="H18" s="80">
        <v>7.4999999999999997E-3</v>
      </c>
      <c r="I18" s="80">
        <v>4.7000000000000002E-3</v>
      </c>
      <c r="J18" s="80">
        <v>2.5000000000000001E-3</v>
      </c>
      <c r="K18" s="80">
        <v>2E-3</v>
      </c>
      <c r="L18" s="80">
        <v>1E-3</v>
      </c>
      <c r="M18" s="6">
        <f>IF(O$17=N$17,N18,ROUND(N18-((N18-O18)/(O$17-N$17))*(M$17-N$17),3))</f>
        <v>1.9E-2</v>
      </c>
      <c r="N18" s="231">
        <f>IF(N$17=15,C18,HLOOKUP($N$17,$D$17:$L$18,2,TRUE))</f>
        <v>1.9E-2</v>
      </c>
      <c r="O18" s="513">
        <f>IF(O$17=15,C18,HLOOKUP($O$17,$D$17:$L$18,2,TRUE))</f>
        <v>1.9E-2</v>
      </c>
      <c r="P18" s="33"/>
      <c r="Q18" s="33"/>
      <c r="R18" s="33"/>
      <c r="S18" s="33"/>
      <c r="T18" s="33"/>
      <c r="U18" s="33"/>
      <c r="V18" s="33"/>
      <c r="W18" s="33"/>
    </row>
    <row r="19" spans="1:23" ht="15" hidden="1" customHeight="1" x14ac:dyDescent="0.25">
      <c r="A19" s="33" t="s">
        <v>984</v>
      </c>
      <c r="B19" s="33"/>
      <c r="C19" s="33"/>
      <c r="D19" s="33"/>
      <c r="E19" s="33"/>
      <c r="F19" s="33"/>
      <c r="G19" s="33"/>
      <c r="H19" s="33"/>
      <c r="I19" s="33"/>
      <c r="J19" s="33"/>
      <c r="K19" s="33"/>
      <c r="L19" s="33"/>
      <c r="M19" s="33"/>
      <c r="N19" s="33"/>
      <c r="O19" s="33"/>
      <c r="P19" s="33"/>
      <c r="Q19" s="33"/>
      <c r="R19" s="33"/>
      <c r="S19" s="33"/>
      <c r="T19" s="33"/>
      <c r="U19" s="33"/>
      <c r="V19" s="33"/>
      <c r="W19" s="33"/>
    </row>
    <row r="20" spans="1:23" ht="15.4" customHeight="1" x14ac:dyDescent="0.25">
      <c r="A20" s="33"/>
      <c r="B20" s="33"/>
      <c r="C20" s="33"/>
      <c r="D20" s="33"/>
      <c r="E20" s="33"/>
      <c r="F20" s="33"/>
      <c r="G20" s="33"/>
      <c r="H20" s="33"/>
      <c r="I20" s="33"/>
      <c r="J20" s="33"/>
      <c r="K20" s="33"/>
      <c r="L20" s="33"/>
      <c r="M20" s="33"/>
      <c r="N20" s="33"/>
      <c r="O20" s="33"/>
      <c r="P20" s="33"/>
      <c r="Q20" s="33"/>
      <c r="R20" s="33"/>
      <c r="S20" s="33"/>
      <c r="T20" s="33"/>
      <c r="U20" s="33"/>
      <c r="V20" s="33"/>
      <c r="W20" s="33"/>
    </row>
    <row r="21" spans="1:23" ht="15.4" customHeight="1" x14ac:dyDescent="0.25">
      <c r="A21" s="606" t="s">
        <v>777</v>
      </c>
      <c r="B21" s="606"/>
      <c r="C21" s="606"/>
      <c r="D21" s="606"/>
      <c r="E21" s="606"/>
      <c r="F21" s="606"/>
      <c r="G21" s="606"/>
      <c r="H21" s="606"/>
      <c r="I21" s="606"/>
      <c r="J21" s="606"/>
      <c r="K21" s="606"/>
      <c r="L21" s="606"/>
      <c r="M21" s="606"/>
      <c r="N21" s="606"/>
      <c r="O21" s="33"/>
      <c r="P21" s="33"/>
      <c r="Q21" s="33"/>
      <c r="R21" s="33"/>
      <c r="S21" s="33"/>
      <c r="T21" s="33"/>
      <c r="U21" s="33"/>
      <c r="V21" s="33"/>
      <c r="W21" s="33"/>
    </row>
    <row r="22" spans="1:23" ht="15.4" customHeight="1" x14ac:dyDescent="0.25">
      <c r="A22" s="606" t="s">
        <v>839</v>
      </c>
      <c r="B22" s="606"/>
      <c r="C22" s="606"/>
      <c r="D22" s="606"/>
      <c r="E22" s="606"/>
      <c r="F22" s="606"/>
      <c r="G22" s="606"/>
      <c r="H22" s="606"/>
      <c r="I22" s="606"/>
      <c r="J22" s="606"/>
      <c r="K22" s="606"/>
      <c r="L22" s="606"/>
      <c r="M22" s="606"/>
      <c r="N22" s="606"/>
      <c r="O22" s="33"/>
      <c r="P22" s="33"/>
      <c r="Q22" s="33"/>
      <c r="R22" s="33"/>
      <c r="S22" s="33"/>
      <c r="T22" s="33"/>
      <c r="U22" s="33"/>
      <c r="V22" s="33"/>
      <c r="W22" s="33"/>
    </row>
    <row r="23" spans="1:23" ht="15.4" customHeight="1" x14ac:dyDescent="0.25">
      <c r="A23" s="33"/>
      <c r="B23" s="33"/>
      <c r="C23" s="33"/>
      <c r="D23" s="33"/>
      <c r="E23" s="33"/>
      <c r="F23" s="33"/>
      <c r="G23" s="33"/>
      <c r="H23" s="33"/>
      <c r="I23" s="33"/>
      <c r="J23" s="33"/>
      <c r="K23" s="33"/>
      <c r="L23" s="33"/>
      <c r="M23" s="33"/>
      <c r="N23" s="33"/>
      <c r="O23" s="33"/>
      <c r="P23" s="33"/>
      <c r="Q23" s="33"/>
      <c r="R23" s="33"/>
      <c r="S23" s="33"/>
      <c r="T23" s="33"/>
      <c r="U23" s="33"/>
      <c r="V23" s="33"/>
      <c r="W23" s="33"/>
    </row>
    <row r="24" spans="1:23" ht="15.4" customHeight="1" x14ac:dyDescent="0.25">
      <c r="A24" s="707" t="s">
        <v>857</v>
      </c>
      <c r="B24" s="707"/>
      <c r="C24" s="707"/>
      <c r="D24" s="707"/>
      <c r="E24" s="707"/>
      <c r="F24" s="707"/>
      <c r="G24" s="707"/>
      <c r="H24" s="707"/>
      <c r="I24" s="707"/>
      <c r="J24" s="707"/>
      <c r="K24" s="707"/>
      <c r="L24" s="707"/>
      <c r="M24" s="707"/>
      <c r="N24" s="33"/>
      <c r="O24" s="33"/>
      <c r="P24" s="33"/>
      <c r="Q24" s="33"/>
      <c r="R24" s="33"/>
      <c r="S24" s="33"/>
      <c r="T24" s="33"/>
      <c r="U24" s="33"/>
      <c r="V24" s="33"/>
      <c r="W24" s="33"/>
    </row>
    <row r="25" spans="1:23" ht="15" hidden="1" customHeight="1" x14ac:dyDescent="0.25">
      <c r="A25" s="33" t="s">
        <v>641</v>
      </c>
      <c r="B25" s="33"/>
      <c r="C25" s="33"/>
      <c r="D25" s="33"/>
      <c r="E25" s="33"/>
      <c r="F25" s="33"/>
      <c r="G25" s="33"/>
      <c r="H25" s="33"/>
      <c r="I25" s="33" t="s">
        <v>300</v>
      </c>
      <c r="J25" s="33"/>
      <c r="K25" s="575"/>
      <c r="L25" s="33"/>
      <c r="M25" s="575"/>
      <c r="N25" s="33"/>
      <c r="O25" s="33"/>
      <c r="P25" s="33"/>
      <c r="Q25" s="33"/>
      <c r="R25" s="33"/>
      <c r="S25" s="33"/>
      <c r="T25" s="33"/>
      <c r="U25" s="33"/>
      <c r="V25" s="33"/>
      <c r="W25" s="33"/>
    </row>
    <row r="26" spans="1:23" ht="15.4" customHeight="1" x14ac:dyDescent="0.25">
      <c r="A26" s="33"/>
      <c r="B26" s="33"/>
      <c r="C26" s="33"/>
      <c r="D26" s="33"/>
      <c r="E26" s="33"/>
      <c r="F26" s="33"/>
      <c r="G26" s="33"/>
      <c r="H26" s="33"/>
      <c r="I26" s="33"/>
      <c r="J26" s="341" t="s">
        <v>378</v>
      </c>
      <c r="K26" s="562" t="s">
        <v>26</v>
      </c>
      <c r="L26" s="270" t="s">
        <v>510</v>
      </c>
      <c r="M26" s="33"/>
      <c r="N26" s="33"/>
      <c r="O26" s="33"/>
      <c r="P26" s="33"/>
      <c r="Q26" s="33"/>
      <c r="R26" s="33"/>
      <c r="S26" s="33"/>
      <c r="T26" s="33"/>
      <c r="U26" s="33"/>
      <c r="V26" s="33"/>
      <c r="W26" s="33"/>
    </row>
    <row r="27" spans="1:23" ht="30.75" customHeight="1" x14ac:dyDescent="0.25">
      <c r="A27" s="23" t="s">
        <v>695</v>
      </c>
      <c r="B27" s="220" t="s">
        <v>217</v>
      </c>
      <c r="C27" s="23" t="s">
        <v>499</v>
      </c>
      <c r="D27" s="23">
        <v>10</v>
      </c>
      <c r="E27" s="23">
        <v>50</v>
      </c>
      <c r="F27" s="23">
        <v>100</v>
      </c>
      <c r="G27" s="23">
        <v>500</v>
      </c>
      <c r="H27" s="23">
        <v>1000</v>
      </c>
      <c r="I27" s="36">
        <v>10000</v>
      </c>
      <c r="J27" s="44">
        <f>$C$6</f>
        <v>1.0711056214113099</v>
      </c>
      <c r="K27" s="279">
        <f>IF(J27&lt;D27,5,IF(J27&gt;I27,I27,HLOOKUP(J27,D27:I27,1)))</f>
        <v>5</v>
      </c>
      <c r="L27" s="561">
        <f>IF(J27&lt;5,5,IF(J27&lt;10,10,IF(J27&gt;I27,I27,INDEX(D27:I27,MATCH(J27,D27:I27,1)+1))))</f>
        <v>5</v>
      </c>
      <c r="M27" s="374"/>
      <c r="N27" s="199"/>
      <c r="O27" s="33"/>
      <c r="P27" s="33"/>
      <c r="Q27" s="33"/>
      <c r="R27" s="33"/>
      <c r="S27" s="33"/>
      <c r="T27" s="33"/>
      <c r="U27" s="33"/>
      <c r="V27" s="33"/>
      <c r="W27" s="33"/>
    </row>
    <row r="28" spans="1:23" ht="15.4" customHeight="1" x14ac:dyDescent="0.25">
      <c r="A28" s="35">
        <v>1</v>
      </c>
      <c r="B28" s="317" t="s">
        <v>167</v>
      </c>
      <c r="C28" s="15">
        <v>0.38</v>
      </c>
      <c r="D28" s="15">
        <v>0.26</v>
      </c>
      <c r="E28" s="15">
        <v>0.19</v>
      </c>
      <c r="F28" s="15">
        <v>0.15</v>
      </c>
      <c r="G28" s="15">
        <v>0.09</v>
      </c>
      <c r="H28" s="15">
        <v>0.06</v>
      </c>
      <c r="I28" s="15">
        <v>3.2000000000000001E-2</v>
      </c>
      <c r="J28" s="6">
        <f>IF(L$27=K$27,K28,ROUND(K28-((K28-L28)/(L$27-K$27))*(J$27-K$27),3))</f>
        <v>0.38</v>
      </c>
      <c r="K28" s="231">
        <f>IF(K$27=5,C28,HLOOKUP($K$27,$D$27:$I$28,2,TRUE))</f>
        <v>0.38</v>
      </c>
      <c r="L28" s="513">
        <f>IF(L$27=5,C28,HLOOKUP($L$27,$D$27:$I$28,2,TRUE))</f>
        <v>0.38</v>
      </c>
      <c r="M28" s="314"/>
      <c r="N28" s="314"/>
      <c r="O28" s="33"/>
      <c r="P28" s="33"/>
      <c r="Q28" s="33"/>
      <c r="R28" s="33"/>
      <c r="S28" s="33"/>
      <c r="T28" s="33"/>
      <c r="U28" s="33"/>
      <c r="V28" s="33"/>
      <c r="W28" s="33"/>
    </row>
    <row r="29" spans="1:23" ht="15" hidden="1" customHeight="1" x14ac:dyDescent="0.25">
      <c r="A29" s="197" t="s">
        <v>931</v>
      </c>
      <c r="B29" s="33"/>
      <c r="C29" s="33"/>
      <c r="D29" s="33"/>
      <c r="E29" s="33"/>
      <c r="F29" s="33"/>
      <c r="G29" s="33"/>
      <c r="H29" s="33"/>
      <c r="I29" s="33"/>
      <c r="J29" s="33"/>
      <c r="K29" s="33"/>
      <c r="L29" s="33"/>
      <c r="M29" s="33"/>
      <c r="N29" s="33"/>
      <c r="O29" s="33"/>
      <c r="P29" s="33"/>
      <c r="Q29" s="33"/>
      <c r="R29" s="33"/>
      <c r="S29" s="33"/>
      <c r="T29" s="33"/>
      <c r="U29" s="33"/>
      <c r="V29" s="33"/>
      <c r="W29" s="33"/>
    </row>
    <row r="30" spans="1:23" ht="15.4" customHeight="1" x14ac:dyDescent="0.25">
      <c r="A30" s="33"/>
      <c r="B30" s="33"/>
      <c r="C30" s="33"/>
      <c r="D30" s="33"/>
      <c r="E30" s="33"/>
      <c r="F30" s="33"/>
      <c r="G30" s="33"/>
      <c r="H30" s="33"/>
      <c r="I30" s="33"/>
      <c r="J30" s="33"/>
      <c r="K30" s="33"/>
      <c r="L30" s="33"/>
      <c r="M30" s="33"/>
      <c r="N30" s="33"/>
      <c r="O30" s="33"/>
      <c r="P30" s="33"/>
      <c r="Q30" s="33"/>
      <c r="R30" s="33"/>
      <c r="S30" s="33"/>
      <c r="T30" s="33"/>
      <c r="U30" s="33"/>
      <c r="V30" s="33"/>
      <c r="W30" s="33"/>
    </row>
    <row r="31" spans="1:23" ht="15.4" customHeight="1" x14ac:dyDescent="0.25">
      <c r="A31" s="707" t="s">
        <v>509</v>
      </c>
      <c r="B31" s="707"/>
      <c r="C31" s="707"/>
      <c r="D31" s="707"/>
      <c r="E31" s="707"/>
      <c r="F31" s="707"/>
      <c r="G31" s="707"/>
      <c r="H31" s="707"/>
      <c r="I31" s="707"/>
      <c r="J31" s="707"/>
      <c r="K31" s="707"/>
      <c r="L31" s="707"/>
      <c r="M31" s="707"/>
      <c r="N31" s="33"/>
      <c r="O31" s="33"/>
      <c r="P31" s="33"/>
      <c r="Q31" s="33"/>
      <c r="R31" s="33"/>
      <c r="S31" s="33"/>
      <c r="T31" s="33"/>
      <c r="U31" s="33"/>
      <c r="V31" s="33"/>
      <c r="W31" s="33"/>
    </row>
    <row r="32" spans="1:23" ht="15" hidden="1" customHeight="1" x14ac:dyDescent="0.25">
      <c r="A32" s="33" t="s">
        <v>56</v>
      </c>
      <c r="B32" s="33"/>
      <c r="C32" s="33"/>
      <c r="D32" s="33"/>
      <c r="E32" s="33"/>
      <c r="F32" s="33"/>
      <c r="G32" s="33"/>
      <c r="H32" s="33"/>
      <c r="I32" s="33" t="s">
        <v>300</v>
      </c>
      <c r="J32" s="33"/>
      <c r="K32" s="575"/>
      <c r="L32" s="33"/>
      <c r="M32" s="575"/>
      <c r="N32" s="33"/>
      <c r="O32" s="33"/>
      <c r="P32" s="33"/>
      <c r="Q32" s="33"/>
      <c r="R32" s="33"/>
      <c r="S32" s="33"/>
      <c r="T32" s="33"/>
      <c r="U32" s="33"/>
      <c r="V32" s="33"/>
      <c r="W32" s="33"/>
    </row>
    <row r="33" spans="1:23" ht="15.4" customHeight="1" x14ac:dyDescent="0.25">
      <c r="A33" s="33"/>
      <c r="B33" s="33"/>
      <c r="C33" s="33"/>
      <c r="D33" s="33"/>
      <c r="E33" s="33"/>
      <c r="F33" s="33"/>
      <c r="G33" s="33"/>
      <c r="H33" s="33"/>
      <c r="I33" s="33"/>
      <c r="J33" s="341" t="s">
        <v>378</v>
      </c>
      <c r="K33" s="562" t="s">
        <v>26</v>
      </c>
      <c r="L33" s="270" t="s">
        <v>510</v>
      </c>
      <c r="M33" s="33"/>
      <c r="N33" s="33"/>
      <c r="O33" s="33"/>
      <c r="P33" s="33"/>
      <c r="Q33" s="33"/>
      <c r="R33" s="33"/>
      <c r="S33" s="33"/>
      <c r="T33" s="33"/>
      <c r="U33" s="33"/>
      <c r="V33" s="33"/>
      <c r="W33" s="33"/>
    </row>
    <row r="34" spans="1:23" ht="30.75" customHeight="1" x14ac:dyDescent="0.25">
      <c r="A34" s="23" t="s">
        <v>695</v>
      </c>
      <c r="B34" s="220" t="s">
        <v>217</v>
      </c>
      <c r="C34" s="23" t="s">
        <v>499</v>
      </c>
      <c r="D34" s="23">
        <v>10</v>
      </c>
      <c r="E34" s="23">
        <v>50</v>
      </c>
      <c r="F34" s="23">
        <v>100</v>
      </c>
      <c r="G34" s="23">
        <v>500</v>
      </c>
      <c r="H34" s="23">
        <v>1000</v>
      </c>
      <c r="I34" s="36">
        <v>10000</v>
      </c>
      <c r="J34" s="44">
        <f>$C$6</f>
        <v>1.0711056214113099</v>
      </c>
      <c r="K34" s="279">
        <f>IF(J34&lt;D34,5,IF(J34&gt;I34,I34,HLOOKUP(J34,D34:I34,1)))</f>
        <v>5</v>
      </c>
      <c r="L34" s="561">
        <f>IF(J34&lt;5,5,IF(J34&lt;10,10,IF(J34&gt;I34,I34,INDEX(D34:I34,MATCH(J34,D34:I34,1)+1))))</f>
        <v>5</v>
      </c>
      <c r="M34" s="374"/>
      <c r="N34" s="199"/>
      <c r="O34" s="33"/>
      <c r="P34" s="33"/>
      <c r="Q34" s="33"/>
      <c r="R34" s="33"/>
      <c r="S34" s="33"/>
      <c r="T34" s="33"/>
      <c r="U34" s="33"/>
      <c r="V34" s="33"/>
      <c r="W34" s="33"/>
    </row>
    <row r="35" spans="1:23" ht="15.4" customHeight="1" x14ac:dyDescent="0.25">
      <c r="A35" s="35">
        <v>1</v>
      </c>
      <c r="B35" s="317" t="s">
        <v>604</v>
      </c>
      <c r="C35" s="15">
        <v>0.64</v>
      </c>
      <c r="D35" s="15">
        <v>0.43</v>
      </c>
      <c r="E35" s="15">
        <v>0.3</v>
      </c>
      <c r="F35" s="15">
        <v>0.23</v>
      </c>
      <c r="G35" s="15">
        <v>0.13</v>
      </c>
      <c r="H35" s="15">
        <v>8.5999999999999993E-2</v>
      </c>
      <c r="I35" s="15">
        <v>4.5999999999999999E-2</v>
      </c>
      <c r="J35" s="6">
        <f>IF(L$34=K$34,K35,ROUND(K35-((K35-L35)/(L$34-K$34))*(J$34-K$34),3))</f>
        <v>0.64</v>
      </c>
      <c r="K35" s="231">
        <f>IF(K$34=5,C35,HLOOKUP($K$34,$D$34:$I$35,2,TRUE))</f>
        <v>0.64</v>
      </c>
      <c r="L35" s="513">
        <f>IF(L$34=5,C35,HLOOKUP($L$34,$D$34:$I$35,2,TRUE))</f>
        <v>0.64</v>
      </c>
      <c r="M35" s="33"/>
      <c r="N35" s="33"/>
      <c r="O35" s="33"/>
      <c r="P35" s="33"/>
      <c r="Q35" s="33"/>
      <c r="R35" s="33"/>
      <c r="S35" s="33"/>
      <c r="T35" s="33"/>
      <c r="U35" s="33"/>
      <c r="V35" s="33"/>
      <c r="W35" s="33"/>
    </row>
    <row r="36" spans="1:23" ht="15" hidden="1" customHeight="1" x14ac:dyDescent="0.25">
      <c r="A36" s="197" t="s">
        <v>738</v>
      </c>
      <c r="B36" s="33"/>
      <c r="C36" s="33"/>
      <c r="D36" s="33"/>
      <c r="E36" s="33"/>
      <c r="F36" s="33"/>
      <c r="G36" s="33"/>
      <c r="H36" s="33"/>
      <c r="I36" s="33"/>
      <c r="J36" s="33"/>
      <c r="K36" s="33"/>
      <c r="L36" s="33"/>
      <c r="M36" s="33"/>
      <c r="N36" s="33"/>
      <c r="O36" s="33"/>
      <c r="P36" s="33"/>
      <c r="Q36" s="33"/>
      <c r="R36" s="33"/>
      <c r="S36" s="33"/>
      <c r="T36" s="33"/>
      <c r="U36" s="33"/>
      <c r="V36" s="33"/>
      <c r="W36" s="33"/>
    </row>
    <row r="37" spans="1:23" ht="15.4" customHeight="1" x14ac:dyDescent="0.25">
      <c r="A37" s="33"/>
      <c r="B37" s="33"/>
      <c r="C37" s="33"/>
      <c r="D37" s="33"/>
      <c r="E37" s="33"/>
      <c r="F37" s="33"/>
      <c r="G37" s="33"/>
      <c r="H37" s="33"/>
      <c r="I37" s="33"/>
      <c r="J37" s="33"/>
      <c r="K37" s="33"/>
      <c r="L37" s="33"/>
      <c r="M37" s="33"/>
      <c r="N37" s="33"/>
      <c r="O37" s="33"/>
      <c r="P37" s="33"/>
      <c r="Q37" s="33"/>
      <c r="R37" s="33"/>
      <c r="S37" s="33"/>
      <c r="T37" s="33"/>
      <c r="U37" s="33"/>
      <c r="V37" s="33"/>
      <c r="W37" s="33"/>
    </row>
    <row r="38" spans="1:23" ht="15.4" customHeight="1" x14ac:dyDescent="0.25">
      <c r="A38" s="606" t="s">
        <v>297</v>
      </c>
      <c r="B38" s="606"/>
      <c r="C38" s="606"/>
      <c r="D38" s="606"/>
      <c r="E38" s="606"/>
      <c r="F38" s="606"/>
      <c r="G38" s="606"/>
      <c r="H38" s="606"/>
      <c r="I38" s="606"/>
      <c r="J38" s="606"/>
      <c r="K38" s="606"/>
      <c r="L38" s="606"/>
      <c r="M38" s="606"/>
      <c r="N38" s="606"/>
      <c r="O38" s="33"/>
      <c r="P38" s="33"/>
      <c r="Q38" s="33"/>
      <c r="R38" s="33"/>
      <c r="S38" s="33"/>
      <c r="T38" s="33"/>
      <c r="U38" s="33"/>
      <c r="V38" s="33"/>
      <c r="W38" s="33"/>
    </row>
    <row r="39" spans="1:23" ht="15.4" customHeight="1" x14ac:dyDescent="0.25">
      <c r="A39" s="606" t="s">
        <v>108</v>
      </c>
      <c r="B39" s="606"/>
      <c r="C39" s="606"/>
      <c r="D39" s="606"/>
      <c r="E39" s="606"/>
      <c r="F39" s="606"/>
      <c r="G39" s="606"/>
      <c r="H39" s="606"/>
      <c r="I39" s="606"/>
      <c r="J39" s="606"/>
      <c r="K39" s="606"/>
      <c r="L39" s="606"/>
      <c r="M39" s="606"/>
      <c r="N39" s="606"/>
      <c r="O39" s="33"/>
      <c r="P39" s="33"/>
      <c r="Q39" s="33"/>
      <c r="R39" s="33"/>
      <c r="S39" s="33"/>
      <c r="T39" s="33"/>
      <c r="U39" s="33"/>
      <c r="V39" s="33"/>
      <c r="W39" s="33"/>
    </row>
    <row r="40" spans="1:23" ht="15.4" customHeight="1" x14ac:dyDescent="0.25">
      <c r="A40" s="33"/>
      <c r="B40" s="33"/>
      <c r="C40" s="33"/>
      <c r="D40" s="33"/>
      <c r="E40" s="33"/>
      <c r="F40" s="33"/>
      <c r="G40" s="33"/>
      <c r="H40" s="33"/>
      <c r="I40" s="33"/>
      <c r="J40" s="33"/>
      <c r="K40" s="33"/>
      <c r="L40" s="33"/>
      <c r="M40" s="33"/>
      <c r="N40" s="33"/>
      <c r="O40" s="33"/>
      <c r="P40" s="33"/>
      <c r="Q40" s="33"/>
      <c r="R40" s="33"/>
      <c r="S40" s="33"/>
      <c r="T40" s="33"/>
      <c r="U40" s="33"/>
      <c r="V40" s="33"/>
      <c r="W40" s="33"/>
    </row>
    <row r="41" spans="1:23" ht="15.4" customHeight="1" x14ac:dyDescent="0.25">
      <c r="A41" s="707"/>
      <c r="B41" s="707"/>
      <c r="C41" s="707"/>
      <c r="D41" s="707"/>
      <c r="E41" s="707"/>
      <c r="F41" s="707"/>
      <c r="G41" s="707"/>
      <c r="H41" s="707"/>
      <c r="I41" s="707"/>
      <c r="J41" s="707"/>
      <c r="K41" s="707"/>
      <c r="L41" s="707"/>
      <c r="M41" s="707"/>
      <c r="N41" s="707"/>
      <c r="O41" s="707"/>
      <c r="P41" s="33"/>
      <c r="Q41" s="33"/>
      <c r="R41" s="33"/>
      <c r="S41" s="33"/>
      <c r="T41" s="33"/>
      <c r="U41" s="33"/>
      <c r="V41" s="33"/>
      <c r="W41" s="33"/>
    </row>
    <row r="42" spans="1:23" ht="15.4" customHeight="1" x14ac:dyDescent="0.25">
      <c r="A42" s="707" t="s">
        <v>129</v>
      </c>
      <c r="B42" s="707"/>
      <c r="C42" s="290"/>
      <c r="D42" s="290"/>
      <c r="E42" s="290"/>
      <c r="F42" s="290"/>
      <c r="G42" s="290"/>
      <c r="H42" s="290"/>
      <c r="I42" s="290"/>
      <c r="J42" s="290"/>
      <c r="K42" s="290"/>
      <c r="L42" s="290"/>
      <c r="M42" s="290"/>
      <c r="N42" s="290"/>
      <c r="O42" s="290"/>
      <c r="P42" s="33"/>
      <c r="Q42" s="33"/>
      <c r="R42" s="33"/>
      <c r="S42" s="33"/>
      <c r="T42" s="33"/>
      <c r="U42" s="33"/>
      <c r="V42" s="33"/>
      <c r="W42" s="33"/>
    </row>
    <row r="43" spans="1:23" ht="15.4" customHeight="1" x14ac:dyDescent="0.25">
      <c r="A43" s="33"/>
      <c r="B43" s="33"/>
      <c r="C43" s="33"/>
      <c r="D43" s="33"/>
      <c r="E43" s="33"/>
      <c r="F43" s="33"/>
      <c r="G43" s="33"/>
      <c r="H43" s="33"/>
      <c r="I43" s="606" t="s">
        <v>754</v>
      </c>
      <c r="J43" s="606"/>
      <c r="K43" s="606"/>
      <c r="L43" s="606"/>
      <c r="M43" s="575"/>
      <c r="N43" s="575"/>
      <c r="O43" s="33"/>
      <c r="P43" s="33"/>
      <c r="Q43" s="33"/>
      <c r="R43" s="33"/>
      <c r="S43" s="33"/>
      <c r="T43" s="33"/>
      <c r="U43" s="33"/>
      <c r="V43" s="33"/>
      <c r="W43" s="33"/>
    </row>
    <row r="44" spans="1:23" ht="15" hidden="1" customHeight="1" x14ac:dyDescent="0.25">
      <c r="A44" s="33" t="s">
        <v>535</v>
      </c>
      <c r="B44" s="33"/>
      <c r="C44" s="33"/>
      <c r="D44" s="33"/>
      <c r="E44" s="33"/>
      <c r="F44" s="33"/>
      <c r="G44" s="33"/>
      <c r="H44" s="33"/>
      <c r="I44" s="33"/>
      <c r="J44" s="33"/>
      <c r="K44" s="33" t="s">
        <v>300</v>
      </c>
      <c r="L44" s="33"/>
      <c r="M44" s="33"/>
      <c r="N44" s="33"/>
      <c r="O44" s="33"/>
      <c r="P44" s="33"/>
      <c r="Q44" s="33"/>
      <c r="R44" s="33"/>
      <c r="S44" s="33"/>
      <c r="T44" s="33"/>
      <c r="U44" s="33"/>
      <c r="V44" s="33"/>
      <c r="W44" s="33"/>
    </row>
    <row r="45" spans="1:23" ht="33" customHeight="1" x14ac:dyDescent="0.25">
      <c r="A45" s="708" t="s">
        <v>695</v>
      </c>
      <c r="B45" s="708" t="s">
        <v>106</v>
      </c>
      <c r="C45" s="709" t="s">
        <v>561</v>
      </c>
      <c r="D45" s="710"/>
      <c r="E45" s="710"/>
      <c r="F45" s="710"/>
      <c r="G45" s="710"/>
      <c r="H45" s="710"/>
      <c r="I45" s="710"/>
      <c r="J45" s="710"/>
      <c r="K45" s="710"/>
      <c r="L45" s="341" t="s">
        <v>378</v>
      </c>
      <c r="M45" s="562" t="s">
        <v>26</v>
      </c>
      <c r="N45" s="270" t="s">
        <v>510</v>
      </c>
      <c r="O45" s="33"/>
      <c r="P45" s="33"/>
      <c r="Q45" s="33"/>
      <c r="R45" s="33"/>
      <c r="S45" s="33"/>
      <c r="T45" s="33"/>
      <c r="U45" s="33"/>
      <c r="V45" s="33"/>
      <c r="W45" s="33"/>
    </row>
    <row r="46" spans="1:23" ht="15.4" customHeight="1" x14ac:dyDescent="0.25">
      <c r="A46" s="708"/>
      <c r="B46" s="708"/>
      <c r="C46" s="23" t="s">
        <v>310</v>
      </c>
      <c r="D46" s="23">
        <v>50</v>
      </c>
      <c r="E46" s="23">
        <v>100</v>
      </c>
      <c r="F46" s="23">
        <v>200</v>
      </c>
      <c r="G46" s="23">
        <v>500</v>
      </c>
      <c r="H46" s="36">
        <v>1000</v>
      </c>
      <c r="I46" s="36">
        <v>2000</v>
      </c>
      <c r="J46" s="36">
        <v>5000</v>
      </c>
      <c r="K46" s="36">
        <v>8000</v>
      </c>
      <c r="L46" s="341">
        <f>$C$1</f>
        <v>1.0711056214113099</v>
      </c>
      <c r="M46" s="562">
        <f>IF(L46&lt;D46,15,IF(L46&gt;K46,K46,HLOOKUP(L46,D46:K46,1)))</f>
        <v>15</v>
      </c>
      <c r="N46" s="270">
        <f>IF(L46&lt;15,15,IF(L46&lt;50,50,IF(L46&gt;K46,K46,INDEX(D46:K46,MATCH(L46,D46:K46,1)+1))))</f>
        <v>15</v>
      </c>
      <c r="O46" s="33"/>
      <c r="P46" s="33"/>
      <c r="Q46" s="33"/>
      <c r="R46" s="33"/>
      <c r="S46" s="33"/>
      <c r="T46" s="33"/>
      <c r="U46" s="33"/>
      <c r="V46" s="33"/>
      <c r="W46" s="33"/>
    </row>
    <row r="47" spans="1:23" ht="30.75" customHeight="1" x14ac:dyDescent="0.25">
      <c r="A47" s="723" t="s">
        <v>570</v>
      </c>
      <c r="B47" s="724"/>
      <c r="C47" s="724"/>
      <c r="D47" s="724"/>
      <c r="E47" s="724"/>
      <c r="F47" s="724"/>
      <c r="G47" s="724"/>
      <c r="H47" s="724"/>
      <c r="I47" s="724"/>
      <c r="J47" s="724"/>
      <c r="K47" s="725"/>
      <c r="L47" s="317"/>
      <c r="M47" s="317"/>
      <c r="N47" s="317"/>
      <c r="O47" s="33"/>
      <c r="P47" s="33"/>
      <c r="Q47" s="33"/>
      <c r="R47" s="33"/>
      <c r="S47" s="33"/>
      <c r="T47" s="33"/>
      <c r="U47" s="33"/>
      <c r="V47" s="33"/>
      <c r="W47" s="33"/>
    </row>
    <row r="48" spans="1:23" ht="15.4" customHeight="1" x14ac:dyDescent="0.25">
      <c r="A48" s="35" t="s">
        <v>750</v>
      </c>
      <c r="B48" s="317" t="s">
        <v>451</v>
      </c>
      <c r="C48" s="15">
        <v>0.16500000000000001</v>
      </c>
      <c r="D48" s="15">
        <v>0.11</v>
      </c>
      <c r="E48" s="15">
        <v>8.5000000000000006E-2</v>
      </c>
      <c r="F48" s="15">
        <v>6.5000000000000002E-2</v>
      </c>
      <c r="G48" s="15">
        <v>0.05</v>
      </c>
      <c r="H48" s="15">
        <v>4.1000000000000002E-2</v>
      </c>
      <c r="I48" s="15">
        <v>2.9000000000000001E-2</v>
      </c>
      <c r="J48" s="15">
        <v>2.1999999999999999E-2</v>
      </c>
      <c r="K48" s="15">
        <v>1.9E-2</v>
      </c>
      <c r="L48" s="6">
        <f t="shared" ref="L48:L52" si="0">IF(N$46=M$46,M48,ROUND(M48-((M48-N48)/(N$46-M$46))*(L$46-M$46),3))</f>
        <v>0.16500000000000001</v>
      </c>
      <c r="M48" s="231">
        <f>IF(M$46=15,C48,HLOOKUP($M$46,$D$46:$K$64,3,TRUE))</f>
        <v>0.16500000000000001</v>
      </c>
      <c r="N48" s="513">
        <f>IF(N$46=15,C48,HLOOKUP($N$46,$D$46:$K$64,3,TRUE))</f>
        <v>0.16500000000000001</v>
      </c>
      <c r="O48" s="33"/>
      <c r="P48" s="33"/>
      <c r="Q48" s="33"/>
      <c r="R48" s="33"/>
      <c r="S48" s="33"/>
      <c r="T48" s="33"/>
      <c r="U48" s="33"/>
      <c r="V48" s="33"/>
      <c r="W48" s="33"/>
    </row>
    <row r="49" spans="1:23" ht="15.4" customHeight="1" x14ac:dyDescent="0.25">
      <c r="A49" s="35" t="s">
        <v>37</v>
      </c>
      <c r="B49" s="317" t="s">
        <v>699</v>
      </c>
      <c r="C49" s="15">
        <v>0.19</v>
      </c>
      <c r="D49" s="15">
        <v>0.126</v>
      </c>
      <c r="E49" s="15">
        <v>9.7000000000000003E-2</v>
      </c>
      <c r="F49" s="15">
        <v>7.4999999999999997E-2</v>
      </c>
      <c r="G49" s="15">
        <v>5.8000000000000003E-2</v>
      </c>
      <c r="H49" s="15">
        <v>4.3999999999999997E-2</v>
      </c>
      <c r="I49" s="15">
        <v>3.5000000000000003E-2</v>
      </c>
      <c r="J49" s="15">
        <v>2.5999999999999999E-2</v>
      </c>
      <c r="K49" s="15">
        <v>2.1999999999999999E-2</v>
      </c>
      <c r="L49" s="6">
        <f t="shared" si="0"/>
        <v>0.19</v>
      </c>
      <c r="M49" s="231">
        <f>IF(M$46=15,C49,HLOOKUP($M$46,$D$46:$K$64,4,TRUE))</f>
        <v>0.19</v>
      </c>
      <c r="N49" s="513">
        <f>IF(N$46=15,C49,HLOOKUP($N$46,$D$46:$K$64,4,TRUE))</f>
        <v>0.19</v>
      </c>
      <c r="O49" s="33"/>
      <c r="P49" s="33"/>
      <c r="Q49" s="33"/>
      <c r="R49" s="33"/>
      <c r="S49" s="33"/>
      <c r="T49" s="33"/>
      <c r="U49" s="33"/>
      <c r="V49" s="33"/>
      <c r="W49" s="33"/>
    </row>
    <row r="50" spans="1:23" ht="15.4" customHeight="1" x14ac:dyDescent="0.25">
      <c r="A50" s="35" t="s">
        <v>323</v>
      </c>
      <c r="B50" s="317" t="s">
        <v>440</v>
      </c>
      <c r="C50" s="15">
        <v>0.109</v>
      </c>
      <c r="D50" s="15">
        <v>7.1999999999999995E-2</v>
      </c>
      <c r="E50" s="15">
        <v>5.5E-2</v>
      </c>
      <c r="F50" s="15">
        <v>4.2999999999999997E-2</v>
      </c>
      <c r="G50" s="15">
        <v>3.3000000000000002E-2</v>
      </c>
      <c r="H50" s="15">
        <v>2.5000000000000001E-2</v>
      </c>
      <c r="I50" s="15">
        <v>2.1000000000000001E-2</v>
      </c>
      <c r="J50" s="15">
        <v>1.6E-2</v>
      </c>
      <c r="K50" s="15">
        <v>1.4E-2</v>
      </c>
      <c r="L50" s="6">
        <f t="shared" si="0"/>
        <v>0.109</v>
      </c>
      <c r="M50" s="231">
        <f>IF(M$46=15,C50,HLOOKUP($M$46,$D$46:$K$64,5,TRUE))</f>
        <v>0.109</v>
      </c>
      <c r="N50" s="513">
        <f>IF(N$46=15,C50,HLOOKUP($N$46,$D$46:$K$64,5,TRUE))</f>
        <v>0.109</v>
      </c>
      <c r="O50" s="33"/>
      <c r="P50" s="33"/>
      <c r="Q50" s="33"/>
      <c r="R50" s="33"/>
      <c r="S50" s="33"/>
      <c r="T50" s="33"/>
      <c r="U50" s="33"/>
      <c r="V50" s="33"/>
      <c r="W50" s="33"/>
    </row>
    <row r="51" spans="1:23" ht="30.6" customHeight="1" x14ac:dyDescent="0.25">
      <c r="A51" s="35" t="s">
        <v>610</v>
      </c>
      <c r="B51" s="544" t="s">
        <v>469</v>
      </c>
      <c r="C51" s="15">
        <v>0.121</v>
      </c>
      <c r="D51" s="15">
        <v>0.08</v>
      </c>
      <c r="E51" s="15">
        <v>6.0999999999999999E-2</v>
      </c>
      <c r="F51" s="15">
        <v>4.8000000000000001E-2</v>
      </c>
      <c r="G51" s="15">
        <v>3.6999999999999998E-2</v>
      </c>
      <c r="H51" s="15">
        <v>2.8000000000000001E-2</v>
      </c>
      <c r="I51" s="15">
        <v>2.3E-2</v>
      </c>
      <c r="J51" s="15">
        <v>1.7000000000000001E-2</v>
      </c>
      <c r="K51" s="15">
        <v>1.4999999999999999E-2</v>
      </c>
      <c r="L51" s="6">
        <f t="shared" si="0"/>
        <v>0.121</v>
      </c>
      <c r="M51" s="231">
        <f>IF(M$46=15,C51,HLOOKUP($M$46,$D$46:$K$64,6,TRUE))</f>
        <v>0.121</v>
      </c>
      <c r="N51" s="513">
        <f>IF(N$46=15,C51,HLOOKUP($N$46,$D$46:$K$64,6,TRUE))</f>
        <v>0.121</v>
      </c>
      <c r="O51" s="33"/>
      <c r="P51" s="33"/>
      <c r="Q51" s="33"/>
      <c r="R51" s="33"/>
      <c r="S51" s="33"/>
      <c r="T51" s="33"/>
      <c r="U51" s="33"/>
      <c r="V51" s="33"/>
      <c r="W51" s="33"/>
    </row>
    <row r="52" spans="1:23" ht="15.4" customHeight="1" x14ac:dyDescent="0.25">
      <c r="A52" s="35" t="s">
        <v>472</v>
      </c>
      <c r="B52" s="317" t="s">
        <v>285</v>
      </c>
      <c r="C52" s="15">
        <v>0.126</v>
      </c>
      <c r="D52" s="15">
        <v>8.5000000000000006E-2</v>
      </c>
      <c r="E52" s="15">
        <v>6.5000000000000002E-2</v>
      </c>
      <c r="F52" s="15">
        <v>0.05</v>
      </c>
      <c r="G52" s="15">
        <v>3.9E-2</v>
      </c>
      <c r="H52" s="15">
        <v>0.03</v>
      </c>
      <c r="I52" s="15">
        <v>2.5999999999999999E-2</v>
      </c>
      <c r="J52" s="15">
        <v>1.9E-2</v>
      </c>
      <c r="K52" s="15">
        <v>1.7000000000000001E-2</v>
      </c>
      <c r="L52" s="6">
        <f t="shared" si="0"/>
        <v>0.126</v>
      </c>
      <c r="M52" s="231">
        <f>IF(M$46=15,C52,HLOOKUP($M$46,$D$46:$K$64,7,TRUE))</f>
        <v>0.126</v>
      </c>
      <c r="N52" s="513">
        <f>IF(N$46=15,C52,HLOOKUP($N$46,$D$46:$K$64,7,TRUE))</f>
        <v>0.126</v>
      </c>
      <c r="O52" s="33"/>
      <c r="P52" s="33"/>
      <c r="Q52" s="33"/>
      <c r="R52" s="33"/>
      <c r="S52" s="33"/>
      <c r="T52" s="33"/>
      <c r="U52" s="33"/>
      <c r="V52" s="33"/>
      <c r="W52" s="33"/>
    </row>
    <row r="53" spans="1:23" ht="31.5" customHeight="1" x14ac:dyDescent="0.25">
      <c r="A53" s="729" t="s">
        <v>909</v>
      </c>
      <c r="B53" s="729"/>
      <c r="C53" s="729"/>
      <c r="D53" s="729"/>
      <c r="E53" s="729"/>
      <c r="F53" s="729"/>
      <c r="G53" s="729"/>
      <c r="H53" s="729"/>
      <c r="I53" s="729"/>
      <c r="J53" s="729"/>
      <c r="K53" s="729"/>
      <c r="L53" s="317"/>
      <c r="M53" s="317"/>
      <c r="N53" s="317"/>
      <c r="O53" s="33"/>
      <c r="P53" s="33"/>
      <c r="Q53" s="33"/>
      <c r="R53" s="33"/>
      <c r="S53" s="33"/>
      <c r="T53" s="33"/>
      <c r="U53" s="33"/>
      <c r="V53" s="33"/>
      <c r="W53" s="33"/>
    </row>
    <row r="54" spans="1:23" ht="15.4" customHeight="1" x14ac:dyDescent="0.25">
      <c r="A54" s="35" t="s">
        <v>998</v>
      </c>
      <c r="B54" s="317" t="str">
        <f t="shared" ref="B54:B58" si="1">B48</f>
        <v>Công trình dân dụng</v>
      </c>
      <c r="C54" s="80">
        <v>4.9500000000000002E-2</v>
      </c>
      <c r="D54" s="80">
        <v>3.3000000000000002E-2</v>
      </c>
      <c r="E54" s="80">
        <v>2.5499999999999998E-2</v>
      </c>
      <c r="F54" s="80">
        <v>1.95E-2</v>
      </c>
      <c r="G54" s="80">
        <v>1.4999999999999999E-2</v>
      </c>
      <c r="H54" s="80">
        <v>1.23E-2</v>
      </c>
      <c r="I54" s="80">
        <v>8.6999999999999994E-3</v>
      </c>
      <c r="J54" s="80">
        <v>6.6E-3</v>
      </c>
      <c r="K54" s="80">
        <v>5.7000000000000002E-3</v>
      </c>
      <c r="L54" s="531">
        <f t="shared" ref="L54:L58" si="2">IF(N$46=M$46,M54,ROUND(M54-((M54-N54)/(N$46-M$46))*(L$46-M$46),4))</f>
        <v>4.9500000000000002E-2</v>
      </c>
      <c r="M54" s="167">
        <f>IF(M$46=15,C54,HLOOKUP($M$46,$D$46:$K$64,9,TRUE))</f>
        <v>4.9500000000000002E-2</v>
      </c>
      <c r="N54" s="467">
        <f>IF(N$46=15,C54,HLOOKUP($N$46,$D$46:$K$64,9,TRUE))</f>
        <v>4.9500000000000002E-2</v>
      </c>
      <c r="O54" s="33"/>
      <c r="P54" s="33"/>
      <c r="Q54" s="33"/>
      <c r="R54" s="33"/>
      <c r="S54" s="33"/>
      <c r="T54" s="33"/>
      <c r="U54" s="33"/>
      <c r="V54" s="33"/>
      <c r="W54" s="33"/>
    </row>
    <row r="55" spans="1:23" ht="15.4" customHeight="1" x14ac:dyDescent="0.25">
      <c r="A55" s="35" t="s">
        <v>278</v>
      </c>
      <c r="B55" s="317" t="str">
        <f t="shared" si="1"/>
        <v>Công trình công nghiệp</v>
      </c>
      <c r="C55" s="80">
        <v>5.7000000000000002E-2</v>
      </c>
      <c r="D55" s="80">
        <v>3.78E-2</v>
      </c>
      <c r="E55" s="80">
        <v>2.9100000000000001E-2</v>
      </c>
      <c r="F55" s="80">
        <v>2.5499999999999998E-2</v>
      </c>
      <c r="G55" s="80">
        <v>1.7399999999999999E-2</v>
      </c>
      <c r="H55" s="80">
        <v>1.32E-2</v>
      </c>
      <c r="I55" s="80">
        <v>1.0500000000000001E-2</v>
      </c>
      <c r="J55" s="80">
        <v>7.7999999999999996E-3</v>
      </c>
      <c r="K55" s="80">
        <v>6.6E-3</v>
      </c>
      <c r="L55" s="531">
        <f t="shared" si="2"/>
        <v>5.7000000000000002E-2</v>
      </c>
      <c r="M55" s="167">
        <f>IF(M$46=15,C55,HLOOKUP($M$46,$D$46:$K$64,10,TRUE))</f>
        <v>5.7000000000000002E-2</v>
      </c>
      <c r="N55" s="467">
        <f>IF(N$46=15,C55,HLOOKUP($N$46,$D$46:$K$64,10,TRUE))</f>
        <v>5.7000000000000002E-2</v>
      </c>
      <c r="O55" s="33"/>
      <c r="P55" s="33"/>
      <c r="Q55" s="33"/>
      <c r="R55" s="33"/>
      <c r="S55" s="33"/>
      <c r="T55" s="33"/>
      <c r="U55" s="33"/>
      <c r="V55" s="33"/>
      <c r="W55" s="33"/>
    </row>
    <row r="56" spans="1:23" ht="15.4" customHeight="1" x14ac:dyDescent="0.25">
      <c r="A56" s="35" t="s">
        <v>150</v>
      </c>
      <c r="B56" s="317" t="str">
        <f t="shared" si="1"/>
        <v>Công trình giao thông</v>
      </c>
      <c r="C56" s="80">
        <v>3.27E-2</v>
      </c>
      <c r="D56" s="80">
        <v>2.1600000000000001E-2</v>
      </c>
      <c r="E56" s="80">
        <v>1.6500000000000001E-2</v>
      </c>
      <c r="F56" s="80">
        <v>1.29E-2</v>
      </c>
      <c r="G56" s="80">
        <v>9.9000000000000008E-3</v>
      </c>
      <c r="H56" s="80">
        <v>7.4999999999999997E-3</v>
      </c>
      <c r="I56" s="80">
        <v>6.3E-3</v>
      </c>
      <c r="J56" s="80">
        <v>4.7999999999999996E-3</v>
      </c>
      <c r="K56" s="80">
        <v>4.1999999999999997E-3</v>
      </c>
      <c r="L56" s="531">
        <f t="shared" si="2"/>
        <v>3.27E-2</v>
      </c>
      <c r="M56" s="167">
        <f>IF(M$46=15,C56,HLOOKUP($M$46,$D$46:$K$64,11,TRUE))</f>
        <v>3.27E-2</v>
      </c>
      <c r="N56" s="467">
        <f>IF(N$46=15,C56,HLOOKUP($N$46,$D$46:$K$64,11,TRUE))</f>
        <v>3.27E-2</v>
      </c>
      <c r="O56" s="33"/>
      <c r="P56" s="33"/>
      <c r="Q56" s="33"/>
      <c r="R56" s="33"/>
      <c r="S56" s="33"/>
      <c r="T56" s="33"/>
      <c r="U56" s="33"/>
      <c r="V56" s="33"/>
      <c r="W56" s="33"/>
    </row>
    <row r="57" spans="1:23" ht="30.6" customHeight="1" x14ac:dyDescent="0.25">
      <c r="A57" s="35" t="s">
        <v>436</v>
      </c>
      <c r="B57" s="544" t="str">
        <f t="shared" si="1"/>
        <v>Công trình nông nghiệp và phát triển nông thôn</v>
      </c>
      <c r="C57" s="80">
        <v>3.6299999999999999E-2</v>
      </c>
      <c r="D57" s="80">
        <v>2.4E-2</v>
      </c>
      <c r="E57" s="80">
        <v>1.83E-2</v>
      </c>
      <c r="F57" s="80">
        <v>1.44E-2</v>
      </c>
      <c r="G57" s="80">
        <v>1.11E-2</v>
      </c>
      <c r="H57" s="80">
        <v>8.3999999999999995E-3</v>
      </c>
      <c r="I57" s="80">
        <v>6.8999999999999999E-3</v>
      </c>
      <c r="J57" s="80">
        <v>5.1000000000000004E-3</v>
      </c>
      <c r="K57" s="80">
        <v>4.3E-3</v>
      </c>
      <c r="L57" s="531">
        <f t="shared" si="2"/>
        <v>3.6299999999999999E-2</v>
      </c>
      <c r="M57" s="167">
        <f>IF(M$46=15,C57,HLOOKUP($M$46,$D$46:$K$64,12,TRUE))</f>
        <v>3.6299999999999999E-2</v>
      </c>
      <c r="N57" s="467">
        <f>IF(N$46=15,C57,HLOOKUP($N$46,$D$46:$K$64,12,TRUE))</f>
        <v>3.6299999999999999E-2</v>
      </c>
      <c r="O57" s="33"/>
      <c r="P57" s="33"/>
      <c r="Q57" s="33"/>
      <c r="R57" s="33"/>
      <c r="S57" s="33"/>
      <c r="T57" s="33"/>
      <c r="U57" s="33"/>
      <c r="V57" s="33"/>
      <c r="W57" s="33"/>
    </row>
    <row r="58" spans="1:23" ht="15.4" customHeight="1" x14ac:dyDescent="0.25">
      <c r="A58" s="35" t="s">
        <v>713</v>
      </c>
      <c r="B58" s="317" t="str">
        <f t="shared" si="1"/>
        <v>Công trình hạ tầng kỹ thuật</v>
      </c>
      <c r="C58" s="80">
        <v>3.78E-2</v>
      </c>
      <c r="D58" s="80">
        <v>2.5499999999999998E-2</v>
      </c>
      <c r="E58" s="80">
        <v>1.95E-2</v>
      </c>
      <c r="F58" s="80">
        <v>1.4999999999999999E-2</v>
      </c>
      <c r="G58" s="80">
        <v>1.17E-2</v>
      </c>
      <c r="H58" s="80">
        <v>8.9999999999999993E-3</v>
      </c>
      <c r="I58" s="80">
        <v>7.8E-2</v>
      </c>
      <c r="J58" s="80">
        <v>5.7000000000000002E-3</v>
      </c>
      <c r="K58" s="80">
        <v>5.1000000000000004E-3</v>
      </c>
      <c r="L58" s="531">
        <f t="shared" si="2"/>
        <v>3.78E-2</v>
      </c>
      <c r="M58" s="167">
        <f>IF(M$46=15,C58,HLOOKUP($M$46,$D$46:$K$64,13,TRUE))</f>
        <v>3.78E-2</v>
      </c>
      <c r="N58" s="467">
        <f>IF(N$46=15,C58,HLOOKUP($N$46,$D$46:$K$64,13,TRUE))</f>
        <v>3.78E-2</v>
      </c>
      <c r="O58" s="33"/>
      <c r="P58" s="33"/>
      <c r="Q58" s="33"/>
      <c r="R58" s="33"/>
      <c r="S58" s="33"/>
      <c r="T58" s="33"/>
      <c r="U58" s="33"/>
      <c r="V58" s="33"/>
      <c r="W58" s="33"/>
    </row>
    <row r="59" spans="1:23" ht="16.350000000000001" customHeight="1" x14ac:dyDescent="0.25">
      <c r="A59" s="729" t="s">
        <v>344</v>
      </c>
      <c r="B59" s="729"/>
      <c r="C59" s="729"/>
      <c r="D59" s="729"/>
      <c r="E59" s="729"/>
      <c r="F59" s="729"/>
      <c r="G59" s="729"/>
      <c r="H59" s="729"/>
      <c r="I59" s="729"/>
      <c r="J59" s="729"/>
      <c r="K59" s="729"/>
      <c r="L59" s="317"/>
      <c r="M59" s="317"/>
      <c r="N59" s="317"/>
      <c r="O59" s="33"/>
      <c r="P59" s="33"/>
      <c r="Q59" s="33"/>
      <c r="R59" s="33"/>
      <c r="S59" s="33"/>
      <c r="T59" s="33"/>
      <c r="U59" s="33"/>
      <c r="V59" s="33"/>
      <c r="W59" s="33"/>
    </row>
    <row r="60" spans="1:23" ht="15.4" customHeight="1" x14ac:dyDescent="0.25">
      <c r="A60" s="35" t="s">
        <v>830</v>
      </c>
      <c r="B60" s="317" t="str">
        <f t="shared" ref="B60:B64" si="3">B48</f>
        <v>Công trình dân dụng</v>
      </c>
      <c r="C60" s="15">
        <v>9.9000000000000005E-2</v>
      </c>
      <c r="D60" s="15">
        <v>6.6000000000000003E-2</v>
      </c>
      <c r="E60" s="15">
        <v>5.0999999999999997E-2</v>
      </c>
      <c r="F60" s="15">
        <v>3.9E-2</v>
      </c>
      <c r="G60" s="15">
        <v>0.03</v>
      </c>
      <c r="H60" s="15">
        <v>2.4E-2</v>
      </c>
      <c r="I60" s="15">
        <v>1.7000000000000001E-2</v>
      </c>
      <c r="J60" s="15">
        <v>1.2999999999999999E-2</v>
      </c>
      <c r="K60" s="15">
        <v>1.2E-2</v>
      </c>
      <c r="L60" s="531">
        <f t="shared" ref="L60:L64" si="4">IF(N$46=M$46,M60,ROUND(M60-((M60-N60)/(N$46-M$46))*(L$46-M$46),4))</f>
        <v>9.9000000000000005E-2</v>
      </c>
      <c r="M60" s="167">
        <f>IF(M$46=15,C60,HLOOKUP($M$46,$D$46:$K$64,15,TRUE))</f>
        <v>9.9000000000000005E-2</v>
      </c>
      <c r="N60" s="467">
        <f>IF(N$46=15,C60,HLOOKUP($N$46,$D$46:$K$64,15,TRUE))</f>
        <v>9.9000000000000005E-2</v>
      </c>
      <c r="O60" s="33"/>
      <c r="P60" s="33"/>
      <c r="Q60" s="33"/>
      <c r="R60" s="33"/>
      <c r="S60" s="33"/>
      <c r="T60" s="33"/>
      <c r="U60" s="33"/>
      <c r="V60" s="33"/>
      <c r="W60" s="33"/>
    </row>
    <row r="61" spans="1:23" ht="15.4" customHeight="1" x14ac:dyDescent="0.25">
      <c r="A61" s="35" t="s">
        <v>110</v>
      </c>
      <c r="B61" s="317" t="str">
        <f t="shared" si="3"/>
        <v>Công trình công nghiệp</v>
      </c>
      <c r="C61" s="15">
        <v>0.114</v>
      </c>
      <c r="D61" s="15">
        <v>7.5999999999999998E-2</v>
      </c>
      <c r="E61" s="15">
        <v>5.8000000000000003E-2</v>
      </c>
      <c r="F61" s="15">
        <v>4.4999999999999998E-2</v>
      </c>
      <c r="G61" s="15">
        <v>3.5000000000000003E-2</v>
      </c>
      <c r="H61" s="15">
        <v>2.5999999999999999E-2</v>
      </c>
      <c r="I61" s="15">
        <v>2.1000000000000001E-2</v>
      </c>
      <c r="J61" s="15">
        <v>1.6E-2</v>
      </c>
      <c r="K61" s="15">
        <v>1.2999999999999999E-2</v>
      </c>
      <c r="L61" s="531">
        <f t="shared" si="4"/>
        <v>0.114</v>
      </c>
      <c r="M61" s="167">
        <f>IF(M$46=15,C61,HLOOKUP($M$46,$D$46:$K$64,16,TRUE))</f>
        <v>0.114</v>
      </c>
      <c r="N61" s="467">
        <f>IF(N$46=15,C61,HLOOKUP($N$46,$D$46:$K$64,16,TRUE))</f>
        <v>0.114</v>
      </c>
      <c r="O61" s="33"/>
      <c r="P61" s="33"/>
      <c r="Q61" s="33"/>
      <c r="R61" s="33"/>
      <c r="S61" s="33"/>
      <c r="T61" s="33"/>
      <c r="U61" s="33"/>
      <c r="V61" s="33"/>
      <c r="W61" s="33"/>
    </row>
    <row r="62" spans="1:23" ht="15.4" customHeight="1" x14ac:dyDescent="0.25">
      <c r="A62" s="35" t="s">
        <v>391</v>
      </c>
      <c r="B62" s="317" t="str">
        <f t="shared" si="3"/>
        <v>Công trình giao thông</v>
      </c>
      <c r="C62" s="15">
        <v>6.5000000000000002E-2</v>
      </c>
      <c r="D62" s="15">
        <v>4.2999999999999997E-2</v>
      </c>
      <c r="E62" s="15">
        <v>3.3000000000000002E-2</v>
      </c>
      <c r="F62" s="15">
        <v>2.5999999999999999E-2</v>
      </c>
      <c r="G62" s="15">
        <v>0.02</v>
      </c>
      <c r="H62" s="15">
        <v>1.4999999999999999E-2</v>
      </c>
      <c r="I62" s="15">
        <v>1.2E-2</v>
      </c>
      <c r="J62" s="15">
        <v>0.01</v>
      </c>
      <c r="K62" s="15">
        <v>8.0000000000000002E-3</v>
      </c>
      <c r="L62" s="531">
        <f t="shared" si="4"/>
        <v>6.5000000000000002E-2</v>
      </c>
      <c r="M62" s="167">
        <f>IF(M$46=15,C62,HLOOKUP($M$46,$D$46:$K$64,17,TRUE))</f>
        <v>6.5000000000000002E-2</v>
      </c>
      <c r="N62" s="467">
        <f>IF(N$46=15,C62,HLOOKUP($N$46,$D$46:$K$64,17,TRUE))</f>
        <v>6.5000000000000002E-2</v>
      </c>
      <c r="O62" s="33"/>
      <c r="P62" s="33"/>
      <c r="Q62" s="33"/>
      <c r="R62" s="33"/>
      <c r="S62" s="33"/>
      <c r="T62" s="33"/>
      <c r="U62" s="33"/>
      <c r="V62" s="33"/>
      <c r="W62" s="33"/>
    </row>
    <row r="63" spans="1:23" ht="30.6" customHeight="1" x14ac:dyDescent="0.25">
      <c r="A63" s="35" t="s">
        <v>675</v>
      </c>
      <c r="B63" s="544" t="str">
        <f t="shared" si="3"/>
        <v>Công trình nông nghiệp và phát triển nông thôn</v>
      </c>
      <c r="C63" s="15">
        <v>7.1999999999999995E-2</v>
      </c>
      <c r="D63" s="15">
        <v>4.8000000000000001E-2</v>
      </c>
      <c r="E63" s="15">
        <v>3.5999999999999997E-2</v>
      </c>
      <c r="F63" s="15">
        <v>2.9000000000000001E-2</v>
      </c>
      <c r="G63" s="15">
        <v>2.1999999999999999E-2</v>
      </c>
      <c r="H63" s="15">
        <v>1.7000000000000001E-2</v>
      </c>
      <c r="I63" s="15">
        <v>1.4E-2</v>
      </c>
      <c r="J63" s="15">
        <v>0.01</v>
      </c>
      <c r="K63" s="15">
        <v>8.9999999999999993E-3</v>
      </c>
      <c r="L63" s="531">
        <f t="shared" si="4"/>
        <v>7.1999999999999995E-2</v>
      </c>
      <c r="M63" s="167">
        <f>IF(M$46=15,C63,HLOOKUP($M$46,$D$46:$K$64,18,TRUE))</f>
        <v>7.1999999999999995E-2</v>
      </c>
      <c r="N63" s="467">
        <f>IF(N$46=15,C63,HLOOKUP($N$46,$D$46:$K$64,18,TRUE))</f>
        <v>7.1999999999999995E-2</v>
      </c>
      <c r="O63" s="33"/>
      <c r="P63" s="33"/>
      <c r="Q63" s="33"/>
      <c r="R63" s="33"/>
      <c r="S63" s="33"/>
      <c r="T63" s="33"/>
      <c r="U63" s="33"/>
      <c r="V63" s="33"/>
      <c r="W63" s="33"/>
    </row>
    <row r="64" spans="1:23" ht="15.4" customHeight="1" x14ac:dyDescent="0.25">
      <c r="A64" s="35" t="s">
        <v>550</v>
      </c>
      <c r="B64" s="317" t="str">
        <f t="shared" si="3"/>
        <v>Công trình hạ tầng kỹ thuật</v>
      </c>
      <c r="C64" s="15">
        <v>7.5999999999999998E-2</v>
      </c>
      <c r="D64" s="15">
        <v>5.0999999999999997E-2</v>
      </c>
      <c r="E64" s="15">
        <v>3.9E-2</v>
      </c>
      <c r="F64" s="15">
        <v>0.03</v>
      </c>
      <c r="G64" s="15">
        <v>2.4E-2</v>
      </c>
      <c r="H64" s="15">
        <v>1.7999999999999999E-2</v>
      </c>
      <c r="I64" s="15">
        <v>1.6E-2</v>
      </c>
      <c r="J64" s="15">
        <v>1.2E-2</v>
      </c>
      <c r="K64" s="15">
        <v>0.01</v>
      </c>
      <c r="L64" s="531">
        <f t="shared" si="4"/>
        <v>7.5999999999999998E-2</v>
      </c>
      <c r="M64" s="167">
        <f>IF(M$46=15,C64,HLOOKUP($M$46,$D$46:$K$64,19,TRUE))</f>
        <v>7.5999999999999998E-2</v>
      </c>
      <c r="N64" s="467">
        <f>IF(N$46=15,C64,HLOOKUP($N$46,$D$46:$K$64,19,TRUE))</f>
        <v>7.5999999999999998E-2</v>
      </c>
      <c r="O64" s="33"/>
      <c r="P64" s="33"/>
      <c r="Q64" s="33"/>
      <c r="R64" s="33"/>
      <c r="S64" s="33"/>
      <c r="T64" s="33"/>
      <c r="U64" s="33"/>
      <c r="V64" s="33"/>
      <c r="W64" s="33"/>
    </row>
    <row r="65" spans="1:23" ht="15" hidden="1" customHeight="1" x14ac:dyDescent="0.25">
      <c r="A65" s="33" t="s">
        <v>223</v>
      </c>
      <c r="B65" s="33"/>
      <c r="C65" s="33"/>
      <c r="D65" s="33"/>
      <c r="E65" s="33"/>
      <c r="F65" s="33"/>
      <c r="G65" s="33"/>
      <c r="H65" s="33"/>
      <c r="I65" s="33"/>
      <c r="J65" s="33"/>
      <c r="K65" s="33"/>
      <c r="L65" s="6">
        <f>IF(N$46=M$46,M65,ROUND(M65-((M65-N65)/(N$46-M$46))*(L$46-M$46),3))</f>
        <v>0</v>
      </c>
      <c r="M65" s="231">
        <f>IF(M$46=15,C65,HLOOKUP($M$46,$D$46:$K$52,6,TRUE))</f>
        <v>0</v>
      </c>
      <c r="N65" s="33"/>
      <c r="O65" s="33"/>
      <c r="P65" s="33"/>
      <c r="Q65" s="33"/>
      <c r="R65" s="33"/>
      <c r="S65" s="33"/>
      <c r="T65" s="33"/>
      <c r="U65" s="33"/>
      <c r="V65" s="33"/>
      <c r="W65" s="33"/>
    </row>
    <row r="66" spans="1:23" ht="15.4" customHeight="1" x14ac:dyDescent="0.25">
      <c r="A66" s="33"/>
      <c r="B66" s="33"/>
      <c r="C66" s="33"/>
      <c r="D66" s="33"/>
      <c r="E66" s="33"/>
      <c r="F66" s="33"/>
      <c r="G66" s="33"/>
      <c r="H66" s="33"/>
      <c r="I66" s="33"/>
      <c r="J66" s="33"/>
      <c r="K66" s="33"/>
      <c r="L66" s="33"/>
      <c r="M66" s="33"/>
      <c r="N66" s="33"/>
      <c r="O66" s="33"/>
      <c r="P66" s="33"/>
      <c r="Q66" s="33"/>
      <c r="R66" s="33"/>
      <c r="S66" s="33"/>
      <c r="T66" s="33"/>
      <c r="U66" s="33"/>
      <c r="V66" s="33"/>
      <c r="W66" s="33"/>
    </row>
    <row r="67" spans="1:23" ht="15.4" customHeight="1" x14ac:dyDescent="0.25">
      <c r="A67" s="707" t="s">
        <v>771</v>
      </c>
      <c r="B67" s="707"/>
      <c r="C67" s="290"/>
      <c r="D67" s="290"/>
      <c r="E67" s="290"/>
      <c r="F67" s="290"/>
      <c r="G67" s="290"/>
      <c r="H67" s="290"/>
      <c r="I67" s="290"/>
      <c r="J67" s="290"/>
      <c r="K67" s="290"/>
      <c r="L67" s="290"/>
      <c r="M67" s="290"/>
      <c r="N67" s="290"/>
      <c r="O67" s="290"/>
      <c r="P67" s="33"/>
      <c r="Q67" s="33"/>
      <c r="R67" s="33"/>
      <c r="S67" s="33"/>
      <c r="T67" s="33"/>
      <c r="U67" s="33"/>
      <c r="V67" s="33"/>
      <c r="W67" s="33"/>
    </row>
    <row r="68" spans="1:23" ht="15.4" customHeight="1" x14ac:dyDescent="0.25">
      <c r="A68" s="33"/>
      <c r="B68" s="33"/>
      <c r="C68" s="33"/>
      <c r="D68" s="33"/>
      <c r="E68" s="33"/>
      <c r="F68" s="33"/>
      <c r="G68" s="33"/>
      <c r="H68" s="33"/>
      <c r="I68" s="606" t="s">
        <v>754</v>
      </c>
      <c r="J68" s="606"/>
      <c r="K68" s="606"/>
      <c r="L68" s="606"/>
      <c r="M68" s="575"/>
      <c r="N68" s="575"/>
      <c r="O68" s="33"/>
      <c r="P68" s="33"/>
      <c r="Q68" s="33"/>
      <c r="R68" s="33"/>
      <c r="S68" s="33"/>
      <c r="T68" s="33"/>
      <c r="U68" s="33"/>
      <c r="V68" s="33"/>
      <c r="W68" s="33"/>
    </row>
    <row r="69" spans="1:23" ht="15" hidden="1" customHeight="1" x14ac:dyDescent="0.25">
      <c r="A69" s="33" t="s">
        <v>428</v>
      </c>
      <c r="B69" s="33"/>
      <c r="C69" s="33"/>
      <c r="D69" s="33"/>
      <c r="E69" s="33"/>
      <c r="F69" s="33"/>
      <c r="G69" s="33"/>
      <c r="H69" s="33"/>
      <c r="I69" s="33"/>
      <c r="J69" s="33"/>
      <c r="K69" s="33" t="s">
        <v>300</v>
      </c>
      <c r="L69" s="33"/>
      <c r="M69" s="33"/>
      <c r="N69" s="33"/>
      <c r="O69" s="33"/>
      <c r="P69" s="33"/>
      <c r="Q69" s="33"/>
      <c r="R69" s="33"/>
      <c r="S69" s="33"/>
      <c r="T69" s="33"/>
      <c r="U69" s="33"/>
      <c r="V69" s="33"/>
      <c r="W69" s="33"/>
    </row>
    <row r="70" spans="1:23" ht="33" customHeight="1" x14ac:dyDescent="0.25">
      <c r="A70" s="708" t="s">
        <v>695</v>
      </c>
      <c r="B70" s="708" t="s">
        <v>106</v>
      </c>
      <c r="C70" s="709" t="s">
        <v>561</v>
      </c>
      <c r="D70" s="710"/>
      <c r="E70" s="710"/>
      <c r="F70" s="710"/>
      <c r="G70" s="710"/>
      <c r="H70" s="710"/>
      <c r="I70" s="710"/>
      <c r="J70" s="710"/>
      <c r="K70" s="710"/>
      <c r="L70" s="341" t="s">
        <v>378</v>
      </c>
      <c r="M70" s="562" t="s">
        <v>26</v>
      </c>
      <c r="N70" s="270" t="s">
        <v>510</v>
      </c>
      <c r="O70" s="33"/>
      <c r="P70" s="33"/>
      <c r="Q70" s="33"/>
      <c r="R70" s="33"/>
      <c r="S70" s="33"/>
      <c r="T70" s="33"/>
      <c r="U70" s="33"/>
      <c r="V70" s="33"/>
      <c r="W70" s="33"/>
    </row>
    <row r="71" spans="1:23" ht="15.4" customHeight="1" x14ac:dyDescent="0.25">
      <c r="A71" s="708"/>
      <c r="B71" s="708"/>
      <c r="C71" s="23" t="s">
        <v>310</v>
      </c>
      <c r="D71" s="23">
        <v>50</v>
      </c>
      <c r="E71" s="23">
        <v>100</v>
      </c>
      <c r="F71" s="23">
        <v>200</v>
      </c>
      <c r="G71" s="23">
        <v>500</v>
      </c>
      <c r="H71" s="36">
        <v>1000</v>
      </c>
      <c r="I71" s="36">
        <v>2000</v>
      </c>
      <c r="J71" s="36">
        <v>5000</v>
      </c>
      <c r="K71" s="36">
        <v>8000</v>
      </c>
      <c r="L71" s="341">
        <f>$C$1</f>
        <v>1.0711056214113099</v>
      </c>
      <c r="M71" s="562">
        <f>IF(L71&lt;D71,15,IF(L71&gt;K71,K71,HLOOKUP(L71,D71:K71,1)))</f>
        <v>15</v>
      </c>
      <c r="N71" s="270">
        <f>IF(L71&lt;15,15,IF(L71&lt;50,50,IF(L71&gt;K71,K71,INDEX(D71:K71,MATCH(L71,D71:K71,1)+1))))</f>
        <v>15</v>
      </c>
      <c r="O71" s="33"/>
      <c r="P71" s="33"/>
      <c r="Q71" s="33"/>
      <c r="R71" s="33"/>
      <c r="S71" s="33"/>
      <c r="T71" s="33"/>
      <c r="U71" s="33"/>
      <c r="V71" s="33"/>
      <c r="W71" s="33"/>
    </row>
    <row r="72" spans="1:23" ht="32.25" customHeight="1" x14ac:dyDescent="0.25">
      <c r="A72" s="723" t="s">
        <v>570</v>
      </c>
      <c r="B72" s="724"/>
      <c r="C72" s="724"/>
      <c r="D72" s="724"/>
      <c r="E72" s="724"/>
      <c r="F72" s="724"/>
      <c r="G72" s="724"/>
      <c r="H72" s="724"/>
      <c r="I72" s="724"/>
      <c r="J72" s="724"/>
      <c r="K72" s="725"/>
      <c r="L72" s="317"/>
      <c r="M72" s="317"/>
      <c r="N72" s="317"/>
      <c r="O72" s="33"/>
      <c r="P72" s="33"/>
      <c r="Q72" s="33"/>
      <c r="R72" s="33"/>
      <c r="S72" s="33"/>
      <c r="T72" s="33"/>
      <c r="U72" s="33"/>
      <c r="V72" s="33"/>
      <c r="W72" s="33"/>
    </row>
    <row r="73" spans="1:23" ht="15.4" customHeight="1" x14ac:dyDescent="0.25">
      <c r="A73" s="35" t="s">
        <v>750</v>
      </c>
      <c r="B73" s="317" t="str">
        <f t="shared" ref="B73:B77" si="5">B48</f>
        <v>Công trình dân dụng</v>
      </c>
      <c r="C73" s="15">
        <v>0.16</v>
      </c>
      <c r="D73" s="15">
        <v>0.106</v>
      </c>
      <c r="E73" s="15">
        <v>8.3000000000000004E-2</v>
      </c>
      <c r="F73" s="15">
        <v>6.2E-2</v>
      </c>
      <c r="G73" s="15">
        <v>4.5999999999999999E-2</v>
      </c>
      <c r="H73" s="15">
        <v>3.7999999999999999E-2</v>
      </c>
      <c r="I73" s="15">
        <v>2.8000000000000001E-2</v>
      </c>
      <c r="J73" s="15">
        <v>2.1000000000000001E-2</v>
      </c>
      <c r="K73" s="15">
        <v>1.7999999999999999E-2</v>
      </c>
      <c r="L73" s="6">
        <f t="shared" ref="L73:L77" si="6">IF(N$71=M$71,M73,ROUND(M73-((M73-N73)/(N$71-M$71))*(L$71-M$71),3))</f>
        <v>0.16</v>
      </c>
      <c r="M73" s="231">
        <f>IF(M$71=15,C73,HLOOKUP($M$71,$D$71:$K$83,3,TRUE))</f>
        <v>0.16</v>
      </c>
      <c r="N73" s="513">
        <f>IF(N$71=15,C73,HLOOKUP($N$71,$D$71:$K$83,3,TRUE))</f>
        <v>0.16</v>
      </c>
      <c r="O73" s="33"/>
      <c r="P73" s="33"/>
      <c r="Q73" s="33"/>
      <c r="R73" s="33"/>
      <c r="S73" s="33"/>
      <c r="T73" s="33"/>
      <c r="U73" s="33"/>
      <c r="V73" s="33"/>
      <c r="W73" s="33"/>
    </row>
    <row r="74" spans="1:23" ht="15.4" customHeight="1" x14ac:dyDescent="0.25">
      <c r="A74" s="35" t="s">
        <v>37</v>
      </c>
      <c r="B74" s="317" t="str">
        <f t="shared" si="5"/>
        <v>Công trình công nghiệp</v>
      </c>
      <c r="C74" s="15">
        <v>0.185</v>
      </c>
      <c r="D74" s="15">
        <v>0.121</v>
      </c>
      <c r="E74" s="15">
        <v>9.4E-2</v>
      </c>
      <c r="F74" s="15">
        <v>7.1999999999999995E-2</v>
      </c>
      <c r="G74" s="15">
        <v>5.5E-2</v>
      </c>
      <c r="H74" s="15">
        <v>4.1000000000000002E-2</v>
      </c>
      <c r="I74" s="15">
        <v>3.3000000000000002E-2</v>
      </c>
      <c r="J74" s="15">
        <v>2.3E-2</v>
      </c>
      <c r="K74" s="15">
        <v>0.02</v>
      </c>
      <c r="L74" s="6">
        <f t="shared" si="6"/>
        <v>0.185</v>
      </c>
      <c r="M74" s="231">
        <f>IF(M$71=15,C74,HLOOKUP($M$71,$D$71:$K$83,4,TRUE))</f>
        <v>0.185</v>
      </c>
      <c r="N74" s="513">
        <f>IF(N$71=15,C74,HLOOKUP($N$71,$D$71:$K$83,4,TRUE))</f>
        <v>0.185</v>
      </c>
      <c r="O74" s="33"/>
      <c r="P74" s="33"/>
      <c r="Q74" s="33"/>
      <c r="R74" s="33"/>
      <c r="S74" s="33"/>
      <c r="T74" s="33"/>
      <c r="U74" s="33"/>
      <c r="V74" s="33"/>
      <c r="W74" s="33"/>
    </row>
    <row r="75" spans="1:23" ht="15.4" customHeight="1" x14ac:dyDescent="0.25">
      <c r="A75" s="35" t="s">
        <v>323</v>
      </c>
      <c r="B75" s="317" t="str">
        <f t="shared" si="5"/>
        <v>Công trình giao thông</v>
      </c>
      <c r="C75" s="15">
        <v>0.106</v>
      </c>
      <c r="D75" s="15">
        <v>6.8000000000000005E-2</v>
      </c>
      <c r="E75" s="15">
        <v>5.3999999999999999E-2</v>
      </c>
      <c r="F75" s="15">
        <v>4.1000000000000002E-2</v>
      </c>
      <c r="G75" s="15">
        <v>3.1E-2</v>
      </c>
      <c r="H75" s="15">
        <v>2.4E-2</v>
      </c>
      <c r="I75" s="15">
        <v>0.02</v>
      </c>
      <c r="J75" s="15">
        <v>1.4E-2</v>
      </c>
      <c r="K75" s="15">
        <v>1.2E-2</v>
      </c>
      <c r="L75" s="6">
        <f t="shared" si="6"/>
        <v>0.106</v>
      </c>
      <c r="M75" s="231">
        <f>IF(M$71=15,C75,HLOOKUP($M$71,$D$71:$K$83,5,TRUE))</f>
        <v>0.106</v>
      </c>
      <c r="N75" s="513">
        <f>IF(N$71=15,C75,HLOOKUP($N$71,$D$71:$K$83,5,TRUE))</f>
        <v>0.106</v>
      </c>
      <c r="O75" s="33"/>
      <c r="P75" s="33"/>
      <c r="Q75" s="33"/>
      <c r="R75" s="33"/>
      <c r="S75" s="33"/>
      <c r="T75" s="33"/>
      <c r="U75" s="33"/>
      <c r="V75" s="33"/>
      <c r="W75" s="33"/>
    </row>
    <row r="76" spans="1:23" ht="30.6" customHeight="1" x14ac:dyDescent="0.25">
      <c r="A76" s="35" t="s">
        <v>610</v>
      </c>
      <c r="B76" s="544" t="str">
        <f t="shared" si="5"/>
        <v>Công trình nông nghiệp và phát triển nông thôn</v>
      </c>
      <c r="C76" s="15">
        <v>0.11700000000000001</v>
      </c>
      <c r="D76" s="15">
        <v>7.5999999999999998E-2</v>
      </c>
      <c r="E76" s="15">
        <v>0.06</v>
      </c>
      <c r="F76" s="15">
        <v>4.5999999999999999E-2</v>
      </c>
      <c r="G76" s="15">
        <v>3.5000000000000003E-2</v>
      </c>
      <c r="H76" s="15">
        <v>2.5999999999999999E-2</v>
      </c>
      <c r="I76" s="15">
        <v>2.1999999999999999E-2</v>
      </c>
      <c r="J76" s="15">
        <v>1.6E-2</v>
      </c>
      <c r="K76" s="15">
        <v>1.4E-2</v>
      </c>
      <c r="L76" s="172">
        <f t="shared" si="6"/>
        <v>0.11700000000000001</v>
      </c>
      <c r="M76" s="231">
        <f>IF(M$71=15,C76,HLOOKUP($M$71,$D$71:$K$83,6,TRUE))</f>
        <v>0.11700000000000001</v>
      </c>
      <c r="N76" s="513">
        <f>IF(N$71=15,C76,HLOOKUP($N$71,$D$71:$K$83,6,TRUE))</f>
        <v>0.11700000000000001</v>
      </c>
      <c r="O76" s="33"/>
      <c r="P76" s="33"/>
      <c r="Q76" s="33"/>
      <c r="R76" s="33"/>
      <c r="S76" s="33"/>
      <c r="T76" s="33"/>
      <c r="U76" s="33"/>
      <c r="V76" s="33"/>
      <c r="W76" s="33"/>
    </row>
    <row r="77" spans="1:23" ht="15.4" customHeight="1" x14ac:dyDescent="0.25">
      <c r="A77" s="35" t="s">
        <v>472</v>
      </c>
      <c r="B77" s="317" t="str">
        <f t="shared" si="5"/>
        <v>Công trình hạ tầng kỹ thuật</v>
      </c>
      <c r="C77" s="15">
        <v>0.122</v>
      </c>
      <c r="D77" s="15">
        <v>8.2000000000000003E-2</v>
      </c>
      <c r="E77" s="15">
        <v>6.2E-2</v>
      </c>
      <c r="F77" s="15">
        <v>4.7E-2</v>
      </c>
      <c r="G77" s="15">
        <v>3.6999999999999998E-2</v>
      </c>
      <c r="H77" s="15">
        <v>2.9000000000000001E-2</v>
      </c>
      <c r="I77" s="15">
        <v>2.4E-2</v>
      </c>
      <c r="J77" s="15">
        <v>1.7000000000000001E-2</v>
      </c>
      <c r="K77" s="15">
        <v>1.4999999999999999E-2</v>
      </c>
      <c r="L77" s="6">
        <f t="shared" si="6"/>
        <v>0.122</v>
      </c>
      <c r="M77" s="231">
        <f>IF(M$71=15,C77,HLOOKUP($M$71,$D$71:$K$83,7,TRUE))</f>
        <v>0.122</v>
      </c>
      <c r="N77" s="513">
        <f>IF(N$71=15,C77,HLOOKUP($N$71,$D$71:$K$83,7,TRUE))</f>
        <v>0.122</v>
      </c>
      <c r="O77" s="33"/>
      <c r="P77" s="33"/>
      <c r="Q77" s="33"/>
      <c r="R77" s="33"/>
      <c r="S77" s="33"/>
      <c r="T77" s="33"/>
      <c r="U77" s="33"/>
      <c r="V77" s="33"/>
      <c r="W77" s="33"/>
    </row>
    <row r="78" spans="1:23" ht="33.75" customHeight="1" x14ac:dyDescent="0.25">
      <c r="A78" s="729" t="s">
        <v>909</v>
      </c>
      <c r="B78" s="729"/>
      <c r="C78" s="729"/>
      <c r="D78" s="729"/>
      <c r="E78" s="729"/>
      <c r="F78" s="729"/>
      <c r="G78" s="729"/>
      <c r="H78" s="729"/>
      <c r="I78" s="729"/>
      <c r="J78" s="729"/>
      <c r="K78" s="729"/>
      <c r="L78" s="317"/>
      <c r="M78" s="317"/>
      <c r="N78" s="317"/>
      <c r="O78" s="33"/>
      <c r="P78" s="33"/>
      <c r="Q78" s="33"/>
      <c r="R78" s="33"/>
      <c r="S78" s="33"/>
      <c r="T78" s="33"/>
      <c r="U78" s="33"/>
      <c r="V78" s="33"/>
      <c r="W78" s="33"/>
    </row>
    <row r="79" spans="1:23" ht="15.4" customHeight="1" x14ac:dyDescent="0.25">
      <c r="A79" s="35" t="s">
        <v>998</v>
      </c>
      <c r="B79" s="317" t="str">
        <f t="shared" ref="B79:B83" si="7">B48</f>
        <v>Công trình dân dụng</v>
      </c>
      <c r="C79" s="80">
        <v>4.8000000000000001E-2</v>
      </c>
      <c r="D79" s="80">
        <v>3.1800000000000002E-2</v>
      </c>
      <c r="E79" s="80">
        <v>2.4899999999999999E-2</v>
      </c>
      <c r="F79" s="80">
        <v>1.8599999999999998E-2</v>
      </c>
      <c r="G79" s="80">
        <v>1.38E-2</v>
      </c>
      <c r="H79" s="80">
        <v>1.14E-2</v>
      </c>
      <c r="I79" s="80">
        <v>8.3999999999999995E-3</v>
      </c>
      <c r="J79" s="80">
        <v>6.3E-3</v>
      </c>
      <c r="K79" s="80">
        <v>5.4000000000000003E-3</v>
      </c>
      <c r="L79" s="531">
        <f t="shared" ref="L79:L83" si="8">IF(N$71=M$71,M79,ROUND(M79-((M79-N79)/(N$71-M$71))*(L$71-M$71),4))</f>
        <v>4.8000000000000001E-2</v>
      </c>
      <c r="M79" s="167">
        <f>IF(M$71=15,C79,HLOOKUP($M$71,$D$71:$K$83,9,TRUE))</f>
        <v>4.8000000000000001E-2</v>
      </c>
      <c r="N79" s="467">
        <f>IF(N$71=15,C79,HLOOKUP($N$71,$D$71:$K$83,9,TRUE))</f>
        <v>4.8000000000000001E-2</v>
      </c>
      <c r="O79" s="33"/>
      <c r="P79" s="33"/>
      <c r="Q79" s="33"/>
      <c r="R79" s="33"/>
      <c r="S79" s="33"/>
      <c r="T79" s="33"/>
      <c r="U79" s="33"/>
      <c r="V79" s="33"/>
      <c r="W79" s="33"/>
    </row>
    <row r="80" spans="1:23" ht="15.4" customHeight="1" x14ac:dyDescent="0.25">
      <c r="A80" s="35" t="s">
        <v>278</v>
      </c>
      <c r="B80" s="317" t="str">
        <f t="shared" si="7"/>
        <v>Công trình công nghiệp</v>
      </c>
      <c r="C80" s="80">
        <v>5.5500000000000001E-2</v>
      </c>
      <c r="D80" s="80">
        <v>3.6299999999999999E-2</v>
      </c>
      <c r="E80" s="80">
        <v>2.8199999999999999E-2</v>
      </c>
      <c r="F80" s="80">
        <v>2.1600000000000001E-2</v>
      </c>
      <c r="G80" s="80">
        <v>1.6500000000000001E-2</v>
      </c>
      <c r="H80" s="80">
        <v>1.23E-2</v>
      </c>
      <c r="I80" s="80">
        <v>9.9000000000000008E-3</v>
      </c>
      <c r="J80" s="80">
        <v>6.8999999999999999E-3</v>
      </c>
      <c r="K80" s="80">
        <v>6.0000000000000001E-3</v>
      </c>
      <c r="L80" s="531">
        <f t="shared" si="8"/>
        <v>5.5500000000000001E-2</v>
      </c>
      <c r="M80" s="167">
        <f>IF(M$71=15,C80,HLOOKUP($M$71,$D$71:$K$83,10,TRUE))</f>
        <v>5.5500000000000001E-2</v>
      </c>
      <c r="N80" s="467">
        <f>IF(N$71=15,C80,HLOOKUP($N$71,$D$71:$K$83,10,TRUE))</f>
        <v>5.5500000000000001E-2</v>
      </c>
      <c r="O80" s="33"/>
      <c r="P80" s="33"/>
      <c r="Q80" s="33"/>
      <c r="R80" s="33"/>
      <c r="S80" s="33"/>
      <c r="T80" s="33"/>
      <c r="U80" s="33"/>
      <c r="V80" s="33"/>
      <c r="W80" s="33"/>
    </row>
    <row r="81" spans="1:23" ht="15.4" customHeight="1" x14ac:dyDescent="0.25">
      <c r="A81" s="35" t="s">
        <v>150</v>
      </c>
      <c r="B81" s="317" t="str">
        <f t="shared" si="7"/>
        <v>Công trình giao thông</v>
      </c>
      <c r="C81" s="80">
        <v>3.1800000000000002E-2</v>
      </c>
      <c r="D81" s="80">
        <v>2.0400000000000001E-2</v>
      </c>
      <c r="E81" s="80">
        <v>1.6199999999999999E-2</v>
      </c>
      <c r="F81" s="80">
        <v>1.23E-2</v>
      </c>
      <c r="G81" s="80">
        <v>9.2999999999999992E-3</v>
      </c>
      <c r="H81" s="80">
        <v>7.1999999999999998E-3</v>
      </c>
      <c r="I81" s="80">
        <v>6.0000000000000001E-3</v>
      </c>
      <c r="J81" s="80">
        <v>4.1999999999999997E-3</v>
      </c>
      <c r="K81" s="80">
        <v>3.5999999999999999E-3</v>
      </c>
      <c r="L81" s="531">
        <f t="shared" si="8"/>
        <v>3.1800000000000002E-2</v>
      </c>
      <c r="M81" s="167">
        <f>IF(M$71=15,C81,HLOOKUP($M$71,$D$71:$K$83,11,TRUE))</f>
        <v>3.1800000000000002E-2</v>
      </c>
      <c r="N81" s="467">
        <f>IF(N$71=15,C81,HLOOKUP($N$71,$D$71:$K$83,11,TRUE))</f>
        <v>3.1800000000000002E-2</v>
      </c>
      <c r="O81" s="33"/>
      <c r="P81" s="33"/>
      <c r="Q81" s="33"/>
      <c r="R81" s="33"/>
      <c r="S81" s="33"/>
      <c r="T81" s="33"/>
      <c r="U81" s="33"/>
      <c r="V81" s="33"/>
      <c r="W81" s="33"/>
    </row>
    <row r="82" spans="1:23" ht="30.6" customHeight="1" x14ac:dyDescent="0.25">
      <c r="A82" s="35" t="s">
        <v>436</v>
      </c>
      <c r="B82" s="544" t="str">
        <f t="shared" si="7"/>
        <v>Công trình nông nghiệp và phát triển nông thôn</v>
      </c>
      <c r="C82" s="80">
        <v>3.5099999999999999E-2</v>
      </c>
      <c r="D82" s="80">
        <v>2.2800000000000001E-2</v>
      </c>
      <c r="E82" s="80">
        <v>1.7999999999999999E-2</v>
      </c>
      <c r="F82" s="80">
        <v>1.38E-2</v>
      </c>
      <c r="G82" s="80">
        <v>1.0500000000000001E-2</v>
      </c>
      <c r="H82" s="80">
        <v>7.7999999999999996E-3</v>
      </c>
      <c r="I82" s="80">
        <v>6.6E-3</v>
      </c>
      <c r="J82" s="80">
        <v>4.7999999999999996E-3</v>
      </c>
      <c r="K82" s="80">
        <v>4.1999999999999997E-3</v>
      </c>
      <c r="L82" s="531">
        <f t="shared" si="8"/>
        <v>3.5099999999999999E-2</v>
      </c>
      <c r="M82" s="167">
        <f>IF(M$71=15,C82,HLOOKUP($M$71,$D$71:$K$83,12,TRUE))</f>
        <v>3.5099999999999999E-2</v>
      </c>
      <c r="N82" s="467">
        <f>IF(N$71=15,C82,HLOOKUP($N$71,$D$71:$K$83,12,TRUE))</f>
        <v>3.5099999999999999E-2</v>
      </c>
      <c r="O82" s="33"/>
      <c r="P82" s="33"/>
      <c r="Q82" s="33"/>
      <c r="R82" s="33"/>
      <c r="S82" s="33"/>
      <c r="T82" s="33"/>
      <c r="U82" s="33"/>
      <c r="V82" s="33"/>
      <c r="W82" s="33"/>
    </row>
    <row r="83" spans="1:23" ht="15.4" customHeight="1" x14ac:dyDescent="0.25">
      <c r="A83" s="35" t="s">
        <v>713</v>
      </c>
      <c r="B83" s="317" t="str">
        <f t="shared" si="7"/>
        <v>Công trình hạ tầng kỹ thuật</v>
      </c>
      <c r="C83" s="80">
        <v>3.6600000000000001E-2</v>
      </c>
      <c r="D83" s="80">
        <v>2.46E-2</v>
      </c>
      <c r="E83" s="80">
        <v>1.8599999999999998E-2</v>
      </c>
      <c r="F83" s="80">
        <v>1.41E-2</v>
      </c>
      <c r="G83" s="80">
        <v>1.11E-2</v>
      </c>
      <c r="H83" s="80">
        <v>8.6999999999999994E-3</v>
      </c>
      <c r="I83" s="80">
        <v>7.1999999999999998E-3</v>
      </c>
      <c r="J83" s="80">
        <v>5.1000000000000004E-3</v>
      </c>
      <c r="K83" s="80">
        <v>4.3E-3</v>
      </c>
      <c r="L83" s="531">
        <f t="shared" si="8"/>
        <v>3.6600000000000001E-2</v>
      </c>
      <c r="M83" s="167">
        <f>IF(M$71=15,C83,HLOOKUP($M$71,$D$71:$K$83,13,TRUE))</f>
        <v>3.6600000000000001E-2</v>
      </c>
      <c r="N83" s="467">
        <f>IF(N$71=15,C83,HLOOKUP($N$71,$D$71:$K$83,13,TRUE))</f>
        <v>3.6600000000000001E-2</v>
      </c>
      <c r="O83" s="33"/>
      <c r="P83" s="33"/>
      <c r="Q83" s="33"/>
      <c r="R83" s="33"/>
      <c r="S83" s="33"/>
      <c r="T83" s="33"/>
      <c r="U83" s="33"/>
      <c r="V83" s="33"/>
      <c r="W83" s="33"/>
    </row>
    <row r="84" spans="1:23" ht="15" hidden="1" customHeight="1" x14ac:dyDescent="0.25">
      <c r="A84" s="33" t="s">
        <v>116</v>
      </c>
      <c r="B84" s="33"/>
      <c r="C84" s="33"/>
      <c r="D84" s="33"/>
      <c r="E84" s="33"/>
      <c r="F84" s="33"/>
      <c r="G84" s="33"/>
      <c r="H84" s="33"/>
      <c r="I84" s="33"/>
      <c r="J84" s="33"/>
      <c r="K84" s="33"/>
      <c r="L84" s="33"/>
      <c r="M84" s="231">
        <f>IF(M$71=15,C84,HLOOKUP($M$71,$D$71:$K$83,2,TRUE))</f>
        <v>0</v>
      </c>
      <c r="N84" s="33"/>
      <c r="O84" s="33"/>
      <c r="P84" s="33"/>
      <c r="Q84" s="33"/>
      <c r="R84" s="33"/>
      <c r="S84" s="33"/>
      <c r="T84" s="33"/>
      <c r="U84" s="33"/>
      <c r="V84" s="33"/>
      <c r="W84" s="33"/>
    </row>
    <row r="85" spans="1:23" ht="15.4" customHeight="1" x14ac:dyDescent="0.25">
      <c r="A85" s="33"/>
      <c r="B85" s="33"/>
      <c r="C85" s="33"/>
      <c r="D85" s="33"/>
      <c r="E85" s="33"/>
      <c r="F85" s="33"/>
      <c r="G85" s="33"/>
      <c r="H85" s="33"/>
      <c r="I85" s="33"/>
      <c r="J85" s="33"/>
      <c r="K85" s="33"/>
      <c r="L85" s="33"/>
      <c r="M85" s="33"/>
      <c r="N85" s="33"/>
      <c r="O85" s="33"/>
      <c r="P85" s="33"/>
      <c r="Q85" s="33"/>
      <c r="R85" s="33"/>
      <c r="S85" s="33"/>
      <c r="T85" s="33"/>
      <c r="U85" s="33"/>
      <c r="V85" s="33"/>
      <c r="W85" s="33"/>
    </row>
    <row r="86" spans="1:23" ht="15.4" customHeight="1" x14ac:dyDescent="0.25">
      <c r="A86" s="606" t="s">
        <v>614</v>
      </c>
      <c r="B86" s="606"/>
      <c r="C86" s="606"/>
      <c r="D86" s="606"/>
      <c r="E86" s="606"/>
      <c r="F86" s="606"/>
      <c r="G86" s="606"/>
      <c r="H86" s="606"/>
      <c r="I86" s="606"/>
      <c r="J86" s="606"/>
      <c r="K86" s="606"/>
      <c r="L86" s="606"/>
      <c r="M86" s="606"/>
      <c r="N86" s="606"/>
      <c r="O86" s="33"/>
      <c r="P86" s="33"/>
      <c r="Q86" s="33"/>
      <c r="R86" s="33"/>
      <c r="S86" s="33"/>
      <c r="T86" s="33"/>
      <c r="U86" s="33"/>
      <c r="V86" s="33"/>
      <c r="W86" s="33"/>
    </row>
    <row r="87" spans="1:23" ht="15.4" customHeight="1" x14ac:dyDescent="0.25">
      <c r="A87" s="606" t="s">
        <v>980</v>
      </c>
      <c r="B87" s="606"/>
      <c r="C87" s="606"/>
      <c r="D87" s="606"/>
      <c r="E87" s="606"/>
      <c r="F87" s="606"/>
      <c r="G87" s="606"/>
      <c r="H87" s="606"/>
      <c r="I87" s="606"/>
      <c r="J87" s="606"/>
      <c r="K87" s="606"/>
      <c r="L87" s="606"/>
      <c r="M87" s="606"/>
      <c r="N87" s="606"/>
      <c r="O87" s="33"/>
      <c r="P87" s="33"/>
      <c r="Q87" s="33"/>
      <c r="R87" s="33"/>
      <c r="S87" s="33"/>
      <c r="T87" s="33"/>
      <c r="U87" s="33"/>
      <c r="V87" s="33"/>
      <c r="W87" s="33"/>
    </row>
    <row r="88" spans="1:23" ht="15.4"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row>
    <row r="89" spans="1:23" ht="15.4" customHeight="1" x14ac:dyDescent="0.25">
      <c r="A89" s="707"/>
      <c r="B89" s="707"/>
      <c r="C89" s="707"/>
      <c r="D89" s="707"/>
      <c r="E89" s="707"/>
      <c r="F89" s="707"/>
      <c r="G89" s="707"/>
      <c r="H89" s="707"/>
      <c r="I89" s="707"/>
      <c r="J89" s="707"/>
      <c r="K89" s="707"/>
      <c r="L89" s="707"/>
      <c r="M89" s="707"/>
      <c r="N89" s="707"/>
      <c r="O89" s="707"/>
      <c r="P89" s="33"/>
      <c r="Q89" s="33"/>
      <c r="R89" s="33"/>
      <c r="S89" s="33"/>
      <c r="T89" s="33"/>
      <c r="U89" s="33"/>
      <c r="V89" s="33"/>
      <c r="W89" s="33"/>
    </row>
    <row r="90" spans="1:23" ht="15.4" customHeight="1" x14ac:dyDescent="0.25">
      <c r="A90" s="712" t="s">
        <v>737</v>
      </c>
      <c r="B90" s="712"/>
      <c r="C90" s="712"/>
      <c r="D90" s="712"/>
      <c r="E90" s="712"/>
      <c r="F90" s="712"/>
      <c r="G90" s="712"/>
      <c r="H90" s="712"/>
      <c r="I90" s="712"/>
      <c r="J90" s="712"/>
      <c r="K90" s="712"/>
      <c r="L90" s="712"/>
      <c r="M90" s="712"/>
      <c r="N90" s="712"/>
      <c r="O90" s="290"/>
      <c r="P90" s="33"/>
      <c r="Q90" s="33"/>
      <c r="R90" s="33"/>
      <c r="S90" s="33"/>
      <c r="T90" s="33"/>
      <c r="U90" s="33"/>
      <c r="V90" s="33"/>
      <c r="W90" s="33"/>
    </row>
    <row r="91" spans="1:23" ht="15.4" customHeight="1" x14ac:dyDescent="0.25">
      <c r="A91" s="33"/>
      <c r="B91" s="33"/>
      <c r="C91" s="33"/>
      <c r="D91" s="33"/>
      <c r="E91" s="33"/>
      <c r="F91" s="33"/>
      <c r="G91" s="33"/>
      <c r="H91" s="33"/>
      <c r="I91" s="606" t="s">
        <v>754</v>
      </c>
      <c r="J91" s="606"/>
      <c r="K91" s="606"/>
      <c r="L91" s="606"/>
      <c r="M91" s="575"/>
      <c r="N91" s="575"/>
      <c r="O91" s="33"/>
      <c r="P91" s="33"/>
      <c r="Q91" s="33"/>
      <c r="R91" s="33"/>
      <c r="S91" s="33"/>
      <c r="T91" s="33"/>
      <c r="U91" s="33"/>
      <c r="V91" s="33"/>
      <c r="W91" s="33"/>
    </row>
    <row r="92" spans="1:23" ht="15" hidden="1" customHeight="1" x14ac:dyDescent="0.25">
      <c r="A92" s="33" t="s">
        <v>98</v>
      </c>
      <c r="B92" s="33"/>
      <c r="C92" s="33"/>
      <c r="D92" s="33"/>
      <c r="E92" s="33"/>
      <c r="F92" s="33"/>
      <c r="G92" s="33"/>
      <c r="H92" s="33"/>
      <c r="I92" s="33" t="s">
        <v>300</v>
      </c>
      <c r="J92" s="33"/>
      <c r="K92" s="33"/>
      <c r="L92" s="33"/>
      <c r="M92" s="33"/>
      <c r="N92" s="33"/>
      <c r="O92" s="33"/>
      <c r="P92" s="33"/>
      <c r="Q92" s="33"/>
      <c r="R92" s="33"/>
      <c r="S92" s="33"/>
      <c r="T92" s="33"/>
      <c r="U92" s="33"/>
      <c r="V92" s="33"/>
      <c r="W92" s="33"/>
    </row>
    <row r="93" spans="1:23" ht="46.5" customHeight="1" x14ac:dyDescent="0.25">
      <c r="A93" s="708" t="s">
        <v>695</v>
      </c>
      <c r="B93" s="708" t="s">
        <v>106</v>
      </c>
      <c r="C93" s="709" t="s">
        <v>910</v>
      </c>
      <c r="D93" s="710"/>
      <c r="E93" s="710"/>
      <c r="F93" s="710"/>
      <c r="G93" s="710"/>
      <c r="H93" s="710"/>
      <c r="I93" s="710"/>
      <c r="J93" s="341" t="s">
        <v>378</v>
      </c>
      <c r="K93" s="562" t="s">
        <v>26</v>
      </c>
      <c r="L93" s="270" t="s">
        <v>510</v>
      </c>
      <c r="M93" s="33"/>
      <c r="N93" s="33"/>
      <c r="O93" s="33"/>
      <c r="P93" s="33"/>
      <c r="Q93" s="33"/>
      <c r="R93" s="33"/>
      <c r="S93" s="33"/>
      <c r="T93" s="33"/>
      <c r="U93" s="33"/>
      <c r="V93" s="33"/>
      <c r="W93" s="33"/>
    </row>
    <row r="94" spans="1:23" ht="15.4" customHeight="1" x14ac:dyDescent="0.25">
      <c r="A94" s="708"/>
      <c r="B94" s="708"/>
      <c r="C94" s="23" t="s">
        <v>231</v>
      </c>
      <c r="D94" s="23">
        <v>50</v>
      </c>
      <c r="E94" s="23">
        <v>100</v>
      </c>
      <c r="F94" s="23">
        <v>500</v>
      </c>
      <c r="G94" s="36">
        <v>1000</v>
      </c>
      <c r="H94" s="36">
        <v>5000</v>
      </c>
      <c r="I94" s="36">
        <v>10000</v>
      </c>
      <c r="J94" s="44">
        <f>$C$7</f>
        <v>1.0711056214113099</v>
      </c>
      <c r="K94" s="279">
        <f>IF(J94&lt;D94,15,IF(J94&gt;I94,I94,HLOOKUP(J94,D94:I94,1)))</f>
        <v>15</v>
      </c>
      <c r="L94" s="561">
        <f>IF(J94&lt;15,15,IF(J94&lt;50,50,IF(J94&gt;I94,I94,INDEX(D94:I94,MATCH(J94,D94:I94,1)+1))))</f>
        <v>15</v>
      </c>
      <c r="M94" s="33"/>
      <c r="N94" s="33"/>
      <c r="O94" s="33"/>
      <c r="P94" s="33"/>
      <c r="Q94" s="33"/>
      <c r="R94" s="33"/>
      <c r="S94" s="33"/>
      <c r="T94" s="33"/>
      <c r="U94" s="33"/>
      <c r="V94" s="33"/>
      <c r="W94" s="33"/>
    </row>
    <row r="95" spans="1:23" ht="15.4" customHeight="1" x14ac:dyDescent="0.25">
      <c r="A95" s="35">
        <v>1</v>
      </c>
      <c r="B95" s="317" t="str">
        <f t="shared" ref="B95:B97" si="9">B48</f>
        <v>Công trình dân dụng</v>
      </c>
      <c r="C95" s="129">
        <v>0.12278</v>
      </c>
      <c r="D95" s="129">
        <v>5.4239999999999997E-2</v>
      </c>
      <c r="E95" s="129">
        <v>3.7569999999999999E-2</v>
      </c>
      <c r="F95" s="129">
        <v>9.5999999999999992E-3</v>
      </c>
      <c r="G95" s="129">
        <v>5.9800000000000001E-3</v>
      </c>
      <c r="H95" s="129">
        <v>1.4400000000000001E-3</v>
      </c>
      <c r="I95" s="129">
        <v>7.6999999999999996E-4</v>
      </c>
      <c r="J95" s="122">
        <f t="shared" ref="J95:J98" si="10">IF(L$94=K$94,K95,ROUND(K95-((K95-L95)/(L$94-K$94))*(J$94-K$94),5))</f>
        <v>0.12278</v>
      </c>
      <c r="K95" s="362">
        <f>IF(K$94=15,C95,HLOOKUP($K$94,$D$94:$I$98,2,TRUE))</f>
        <v>0.12278</v>
      </c>
      <c r="L95" s="51">
        <f>IF(L$94=15,C95,HLOOKUP($L$94,$D$94:$I$98,2,TRUE))</f>
        <v>0.12278</v>
      </c>
      <c r="M95" s="33"/>
      <c r="N95" s="33"/>
      <c r="O95" s="33"/>
      <c r="P95" s="33"/>
      <c r="Q95" s="33"/>
      <c r="R95" s="33"/>
      <c r="S95" s="33"/>
      <c r="T95" s="33"/>
      <c r="U95" s="33"/>
      <c r="V95" s="33"/>
      <c r="W95" s="33"/>
    </row>
    <row r="96" spans="1:23" ht="15.4" customHeight="1" x14ac:dyDescent="0.25">
      <c r="A96" s="35">
        <v>2</v>
      </c>
      <c r="B96" s="317" t="str">
        <f t="shared" si="9"/>
        <v>Công trình công nghiệp</v>
      </c>
      <c r="C96" s="129">
        <v>0.11401</v>
      </c>
      <c r="D96" s="129">
        <v>5.0369999999999998E-2</v>
      </c>
      <c r="E96" s="129">
        <v>3.4889999999999997E-2</v>
      </c>
      <c r="F96" s="129">
        <v>8.9200000000000008E-3</v>
      </c>
      <c r="G96" s="129">
        <v>5.5500000000000002E-3</v>
      </c>
      <c r="H96" s="129">
        <v>1.34E-3</v>
      </c>
      <c r="I96" s="129">
        <v>7.2000000000000005E-4</v>
      </c>
      <c r="J96" s="122">
        <f t="shared" si="10"/>
        <v>0.11401</v>
      </c>
      <c r="K96" s="362">
        <f>IF(K$94=15,C96,HLOOKUP($K$94,$D$94:$I$98,3,TRUE))</f>
        <v>0.11401</v>
      </c>
      <c r="L96" s="51">
        <f>IF(L$94=15,C96,HLOOKUP($L$94,$D$94:$I$98,3,TRUE))</f>
        <v>0.11401</v>
      </c>
      <c r="M96" s="33"/>
      <c r="N96" s="33"/>
      <c r="O96" s="33"/>
      <c r="P96" s="33"/>
      <c r="Q96" s="33"/>
      <c r="R96" s="33"/>
      <c r="S96" s="33"/>
      <c r="T96" s="33"/>
      <c r="U96" s="33"/>
      <c r="V96" s="33"/>
      <c r="W96" s="33"/>
    </row>
    <row r="97" spans="1:23" ht="15.4" customHeight="1" x14ac:dyDescent="0.25">
      <c r="A97" s="35">
        <v>3</v>
      </c>
      <c r="B97" s="317" t="str">
        <f t="shared" si="9"/>
        <v>Công trình giao thông</v>
      </c>
      <c r="C97" s="129">
        <v>9.647E-2</v>
      </c>
      <c r="D97" s="129">
        <v>4.2619999999999998E-2</v>
      </c>
      <c r="E97" s="129">
        <v>2.9520000000000001E-2</v>
      </c>
      <c r="F97" s="129">
        <v>7.5500000000000003E-3</v>
      </c>
      <c r="G97" s="129">
        <v>4.7000000000000002E-3</v>
      </c>
      <c r="H97" s="129">
        <v>1.1299999999999999E-3</v>
      </c>
      <c r="I97" s="129">
        <v>6.0999999999999997E-4</v>
      </c>
      <c r="J97" s="122">
        <f t="shared" si="10"/>
        <v>9.647E-2</v>
      </c>
      <c r="K97" s="362">
        <f>IF(K$94=15,C97,HLOOKUP($K$94,$D$94:$I$98,4,TRUE))</f>
        <v>9.647E-2</v>
      </c>
      <c r="L97" s="51">
        <f>IF(L$94=15,C97,HLOOKUP($L$94,$D$94:$I$98,4,TRUE))</f>
        <v>9.647E-2</v>
      </c>
      <c r="M97" s="33"/>
      <c r="N97" s="33"/>
      <c r="O97" s="33"/>
      <c r="P97" s="33"/>
      <c r="Q97" s="33"/>
      <c r="R97" s="33"/>
      <c r="S97" s="33"/>
      <c r="T97" s="33"/>
      <c r="U97" s="33"/>
      <c r="V97" s="33"/>
      <c r="W97" s="33"/>
    </row>
    <row r="98" spans="1:23" ht="15.4" customHeight="1" x14ac:dyDescent="0.25">
      <c r="A98" s="35">
        <v>5</v>
      </c>
      <c r="B98" s="317" t="str">
        <f>B52</f>
        <v>Công trình hạ tầng kỹ thuật</v>
      </c>
      <c r="C98" s="129">
        <v>8.77E-2</v>
      </c>
      <c r="D98" s="129">
        <v>3.8739999999999997E-2</v>
      </c>
      <c r="E98" s="129">
        <v>2.6839999999999999E-2</v>
      </c>
      <c r="F98" s="129">
        <v>6.8599999999999998E-3</v>
      </c>
      <c r="G98" s="129">
        <v>4.2700000000000004E-3</v>
      </c>
      <c r="H98" s="129">
        <v>1.0300000000000001E-3</v>
      </c>
      <c r="I98" s="129">
        <v>5.5000000000000003E-4</v>
      </c>
      <c r="J98" s="122">
        <f t="shared" si="10"/>
        <v>8.77E-2</v>
      </c>
      <c r="K98" s="362">
        <f>IF(K$94=15,C98,HLOOKUP($K$94,$D$94:$I$98,5,TRUE))</f>
        <v>8.77E-2</v>
      </c>
      <c r="L98" s="51">
        <f>IF(L$94=15,C98,HLOOKUP($L$94,$D$94:$I$98,5,TRUE))</f>
        <v>8.77E-2</v>
      </c>
      <c r="M98" s="33"/>
      <c r="N98" s="33"/>
      <c r="O98" s="33"/>
      <c r="P98" s="33"/>
      <c r="Q98" s="33"/>
      <c r="R98" s="33"/>
      <c r="S98" s="33"/>
      <c r="T98" s="33"/>
      <c r="U98" s="33"/>
      <c r="V98" s="33"/>
      <c r="W98" s="33"/>
    </row>
    <row r="99" spans="1:23" ht="15" hidden="1" customHeight="1" x14ac:dyDescent="0.25">
      <c r="A99" s="33" t="s">
        <v>792</v>
      </c>
      <c r="B99" s="33"/>
      <c r="C99" s="33"/>
      <c r="D99" s="33"/>
      <c r="E99" s="33"/>
      <c r="F99" s="33"/>
      <c r="G99" s="33"/>
      <c r="H99" s="33"/>
      <c r="I99" s="33"/>
      <c r="J99" s="33"/>
      <c r="K99" s="33"/>
      <c r="L99" s="33"/>
      <c r="M99" s="33"/>
      <c r="N99" s="33"/>
      <c r="O99" s="33"/>
      <c r="P99" s="33"/>
      <c r="Q99" s="33"/>
      <c r="R99" s="33"/>
      <c r="S99" s="33"/>
      <c r="T99" s="33"/>
      <c r="U99" s="33"/>
      <c r="V99" s="33"/>
      <c r="W99" s="33"/>
    </row>
    <row r="100" spans="1:23" ht="15.4"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row>
    <row r="101" spans="1:23" ht="15.4" customHeight="1" x14ac:dyDescent="0.25">
      <c r="A101" s="606" t="s">
        <v>148</v>
      </c>
      <c r="B101" s="606"/>
      <c r="C101" s="606"/>
      <c r="D101" s="606"/>
      <c r="E101" s="606"/>
      <c r="F101" s="606"/>
      <c r="G101" s="606"/>
      <c r="H101" s="606"/>
      <c r="I101" s="606"/>
      <c r="J101" s="606"/>
      <c r="K101" s="606"/>
      <c r="L101" s="606"/>
      <c r="M101" s="606"/>
      <c r="N101" s="606"/>
      <c r="O101" s="33"/>
      <c r="P101" s="33"/>
      <c r="Q101" s="33"/>
      <c r="R101" s="33"/>
      <c r="S101" s="33"/>
      <c r="T101" s="33"/>
      <c r="U101" s="33"/>
      <c r="V101" s="33"/>
      <c r="W101" s="33"/>
    </row>
    <row r="102" spans="1:23" ht="15.4" customHeight="1" x14ac:dyDescent="0.25">
      <c r="A102" s="606" t="s">
        <v>839</v>
      </c>
      <c r="B102" s="606"/>
      <c r="C102" s="606"/>
      <c r="D102" s="606"/>
      <c r="E102" s="606"/>
      <c r="F102" s="606"/>
      <c r="G102" s="606"/>
      <c r="H102" s="606"/>
      <c r="I102" s="606"/>
      <c r="J102" s="606"/>
      <c r="K102" s="606"/>
      <c r="L102" s="606"/>
      <c r="M102" s="606"/>
      <c r="N102" s="606"/>
      <c r="O102" s="33"/>
      <c r="P102" s="33"/>
      <c r="Q102" s="33"/>
      <c r="R102" s="33"/>
      <c r="S102" s="33"/>
      <c r="T102" s="33"/>
      <c r="U102" s="33"/>
      <c r="V102" s="33"/>
      <c r="W102" s="33"/>
    </row>
    <row r="103" spans="1:23" ht="15.4" customHeight="1"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row>
    <row r="104" spans="1:23" ht="15.4" customHeight="1" x14ac:dyDescent="0.25">
      <c r="A104" s="707" t="s">
        <v>857</v>
      </c>
      <c r="B104" s="707"/>
      <c r="C104" s="707"/>
      <c r="D104" s="707"/>
      <c r="E104" s="707"/>
      <c r="F104" s="707"/>
      <c r="G104" s="707"/>
      <c r="H104" s="707"/>
      <c r="I104" s="707"/>
      <c r="J104" s="707"/>
      <c r="K104" s="707"/>
      <c r="L104" s="707"/>
      <c r="M104" s="707"/>
      <c r="N104" s="33"/>
      <c r="O104" s="33"/>
      <c r="P104" s="33"/>
      <c r="Q104" s="33"/>
      <c r="R104" s="33"/>
      <c r="S104" s="33"/>
      <c r="T104" s="33"/>
      <c r="U104" s="33"/>
      <c r="V104" s="33"/>
      <c r="W104" s="33"/>
    </row>
    <row r="105" spans="1:23" ht="15" hidden="1" customHeight="1" x14ac:dyDescent="0.25">
      <c r="A105" s="33" t="s">
        <v>516</v>
      </c>
      <c r="B105" s="33"/>
      <c r="C105" s="33"/>
      <c r="D105" s="33"/>
      <c r="E105" s="33"/>
      <c r="F105" s="33"/>
      <c r="G105" s="33"/>
      <c r="H105" s="33"/>
      <c r="I105" s="33" t="s">
        <v>300</v>
      </c>
      <c r="J105" s="33"/>
      <c r="K105" s="575"/>
      <c r="L105" s="33"/>
      <c r="M105" s="575"/>
      <c r="N105" s="33"/>
      <c r="O105" s="33"/>
      <c r="P105" s="33"/>
      <c r="Q105" s="33"/>
      <c r="R105" s="33"/>
      <c r="S105" s="33"/>
      <c r="T105" s="33"/>
      <c r="U105" s="33"/>
      <c r="V105" s="33"/>
      <c r="W105" s="33"/>
    </row>
    <row r="106" spans="1:23" ht="15.4" customHeight="1" x14ac:dyDescent="0.25">
      <c r="A106" s="33"/>
      <c r="B106" s="33"/>
      <c r="C106" s="33"/>
      <c r="D106" s="33"/>
      <c r="E106" s="33"/>
      <c r="F106" s="33"/>
      <c r="G106" s="33"/>
      <c r="H106" s="33"/>
      <c r="I106" s="33"/>
      <c r="J106" s="341" t="s">
        <v>378</v>
      </c>
      <c r="K106" s="562" t="s">
        <v>26</v>
      </c>
      <c r="L106" s="270" t="s">
        <v>510</v>
      </c>
      <c r="M106" s="33"/>
      <c r="N106" s="33"/>
      <c r="O106" s="33"/>
      <c r="P106" s="33"/>
      <c r="Q106" s="33"/>
      <c r="R106" s="33"/>
      <c r="S106" s="33"/>
      <c r="T106" s="33"/>
      <c r="U106" s="33"/>
      <c r="V106" s="33"/>
      <c r="W106" s="33"/>
    </row>
    <row r="107" spans="1:23" ht="30.75" customHeight="1" x14ac:dyDescent="0.25">
      <c r="A107" s="23" t="s">
        <v>695</v>
      </c>
      <c r="B107" s="220" t="s">
        <v>217</v>
      </c>
      <c r="C107" s="23" t="s">
        <v>499</v>
      </c>
      <c r="D107" s="23">
        <v>10</v>
      </c>
      <c r="E107" s="23">
        <v>50</v>
      </c>
      <c r="F107" s="23">
        <v>100</v>
      </c>
      <c r="G107" s="23">
        <v>500</v>
      </c>
      <c r="H107" s="23">
        <v>1000</v>
      </c>
      <c r="I107" s="36">
        <v>10000</v>
      </c>
      <c r="J107" s="44">
        <f>$C$6</f>
        <v>1.0711056214113099</v>
      </c>
      <c r="K107" s="279">
        <f>IF(J107&lt;D107,5,IF(J107&gt;I107,I107,HLOOKUP(J107,D107:I107,1)))</f>
        <v>5</v>
      </c>
      <c r="L107" s="561">
        <f>IF(J107&lt;5,5,IF(J107&lt;10,10,IF(J107&gt;I107,I107,INDEX(D107:I107,MATCH(J107,D107:I107,1)+1))))</f>
        <v>5</v>
      </c>
      <c r="M107" s="374"/>
      <c r="N107" s="199"/>
      <c r="O107" s="33"/>
      <c r="P107" s="33"/>
      <c r="Q107" s="33"/>
      <c r="R107" s="33"/>
      <c r="S107" s="33"/>
      <c r="T107" s="33"/>
      <c r="U107" s="33"/>
      <c r="V107" s="33"/>
      <c r="W107" s="33"/>
    </row>
    <row r="108" spans="1:23" ht="15.4" customHeight="1" x14ac:dyDescent="0.25">
      <c r="A108" s="35">
        <v>1</v>
      </c>
      <c r="B108" s="317" t="s">
        <v>167</v>
      </c>
      <c r="C108" s="15">
        <v>0.95</v>
      </c>
      <c r="D108" s="15">
        <v>0.65</v>
      </c>
      <c r="E108" s="15">
        <v>0.47499999999999998</v>
      </c>
      <c r="F108" s="15">
        <v>0.375</v>
      </c>
      <c r="G108" s="15">
        <v>0.22500000000000001</v>
      </c>
      <c r="H108" s="15">
        <v>0.15</v>
      </c>
      <c r="I108" s="15">
        <v>0.08</v>
      </c>
      <c r="J108" s="6">
        <f>IF(L$107=K$107,K108,ROUND(K108-((K108-L108)/(L$107-K$107))*(J$107-K$107),3))</f>
        <v>0.95</v>
      </c>
      <c r="K108" s="231">
        <f>IF(K$107=5,C108,HLOOKUP($K$107,$D$107:$I$108,2,TRUE))</f>
        <v>0.95</v>
      </c>
      <c r="L108" s="513">
        <f>IF(L$107=5,C108,HLOOKUP($L$107,$D$107:$I$108,2,TRUE))</f>
        <v>0.95</v>
      </c>
      <c r="M108" s="314"/>
      <c r="N108" s="314"/>
      <c r="O108" s="33"/>
      <c r="P108" s="33"/>
      <c r="Q108" s="33"/>
      <c r="R108" s="33"/>
      <c r="S108" s="33"/>
      <c r="T108" s="33"/>
      <c r="U108" s="33"/>
      <c r="V108" s="33"/>
      <c r="W108" s="33"/>
    </row>
    <row r="109" spans="1:23" ht="15" hidden="1" customHeight="1" x14ac:dyDescent="0.25">
      <c r="A109" s="197" t="s">
        <v>210</v>
      </c>
      <c r="B109" s="33"/>
      <c r="C109" s="33"/>
      <c r="D109" s="33"/>
      <c r="E109" s="33"/>
      <c r="F109" s="33"/>
      <c r="G109" s="33"/>
      <c r="H109" s="33"/>
      <c r="I109" s="33"/>
      <c r="J109" s="33"/>
      <c r="K109" s="33"/>
      <c r="L109" s="33"/>
      <c r="M109" s="33"/>
      <c r="N109" s="33"/>
      <c r="O109" s="33"/>
      <c r="P109" s="33"/>
      <c r="Q109" s="33"/>
      <c r="R109" s="33"/>
      <c r="S109" s="33"/>
      <c r="T109" s="33"/>
      <c r="U109" s="33"/>
      <c r="V109" s="33"/>
      <c r="W109" s="33"/>
    </row>
    <row r="110" spans="1:23" ht="15.4" customHeight="1"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row>
    <row r="111" spans="1:23" ht="15.4" customHeight="1" x14ac:dyDescent="0.25">
      <c r="A111" s="707" t="s">
        <v>509</v>
      </c>
      <c r="B111" s="707"/>
      <c r="C111" s="707"/>
      <c r="D111" s="707"/>
      <c r="E111" s="707"/>
      <c r="F111" s="707"/>
      <c r="G111" s="707"/>
      <c r="H111" s="707"/>
      <c r="I111" s="707"/>
      <c r="J111" s="707"/>
      <c r="K111" s="707"/>
      <c r="L111" s="707"/>
      <c r="M111" s="707"/>
      <c r="N111" s="33"/>
      <c r="O111" s="33"/>
      <c r="P111" s="33"/>
      <c r="Q111" s="33"/>
      <c r="R111" s="33"/>
      <c r="S111" s="33"/>
      <c r="T111" s="33"/>
      <c r="U111" s="33"/>
      <c r="V111" s="33"/>
      <c r="W111" s="33"/>
    </row>
    <row r="112" spans="1:23" ht="15" hidden="1" customHeight="1" x14ac:dyDescent="0.25">
      <c r="A112" s="33" t="s">
        <v>913</v>
      </c>
      <c r="B112" s="33"/>
      <c r="C112" s="33"/>
      <c r="D112" s="33"/>
      <c r="E112" s="33"/>
      <c r="F112" s="33"/>
      <c r="G112" s="33"/>
      <c r="H112" s="33"/>
      <c r="I112" s="33" t="s">
        <v>300</v>
      </c>
      <c r="J112" s="33"/>
      <c r="K112" s="575"/>
      <c r="L112" s="33"/>
      <c r="M112" s="575"/>
      <c r="N112" s="33"/>
      <c r="O112" s="33"/>
      <c r="P112" s="33"/>
      <c r="Q112" s="33"/>
      <c r="R112" s="33"/>
      <c r="S112" s="33"/>
      <c r="T112" s="33"/>
      <c r="U112" s="33"/>
      <c r="V112" s="33"/>
      <c r="W112" s="33"/>
    </row>
    <row r="113" spans="1:23" ht="15.4" customHeight="1" x14ac:dyDescent="0.25">
      <c r="A113" s="33"/>
      <c r="B113" s="33"/>
      <c r="C113" s="33"/>
      <c r="D113" s="33"/>
      <c r="E113" s="33"/>
      <c r="F113" s="33"/>
      <c r="G113" s="33"/>
      <c r="H113" s="33"/>
      <c r="I113" s="33"/>
      <c r="J113" s="341" t="s">
        <v>378</v>
      </c>
      <c r="K113" s="562" t="s">
        <v>26</v>
      </c>
      <c r="L113" s="270" t="s">
        <v>510</v>
      </c>
      <c r="M113" s="33"/>
      <c r="N113" s="33"/>
      <c r="O113" s="33"/>
      <c r="P113" s="33"/>
      <c r="Q113" s="33"/>
      <c r="R113" s="33"/>
      <c r="S113" s="33"/>
      <c r="T113" s="33"/>
      <c r="U113" s="33"/>
      <c r="V113" s="33"/>
      <c r="W113" s="33"/>
    </row>
    <row r="114" spans="1:23" ht="30.75" customHeight="1" x14ac:dyDescent="0.25">
      <c r="A114" s="23" t="s">
        <v>695</v>
      </c>
      <c r="B114" s="220" t="s">
        <v>217</v>
      </c>
      <c r="C114" s="23" t="s">
        <v>499</v>
      </c>
      <c r="D114" s="23">
        <v>10</v>
      </c>
      <c r="E114" s="23">
        <v>50</v>
      </c>
      <c r="F114" s="23">
        <v>100</v>
      </c>
      <c r="G114" s="23">
        <v>500</v>
      </c>
      <c r="H114" s="23">
        <v>1000</v>
      </c>
      <c r="I114" s="36">
        <v>10000</v>
      </c>
      <c r="J114" s="44">
        <f>$C$6</f>
        <v>1.0711056214113099</v>
      </c>
      <c r="K114" s="279">
        <f>IF(J114&lt;D114,5,IF(J114&gt;I114,I114,HLOOKUP(J114,D114:I114,1)))</f>
        <v>5</v>
      </c>
      <c r="L114" s="561">
        <f>IF(J114&lt;5,5,IF(J114&lt;10,10,IF(J114&gt;I114,I114,INDEX(D114:I114,MATCH(J114,D114:I114,1)+1))))</f>
        <v>5</v>
      </c>
      <c r="M114" s="374"/>
      <c r="N114" s="199"/>
      <c r="O114" s="33"/>
      <c r="P114" s="33"/>
      <c r="Q114" s="33"/>
      <c r="R114" s="33"/>
      <c r="S114" s="33"/>
      <c r="T114" s="33"/>
      <c r="U114" s="33"/>
      <c r="V114" s="33"/>
      <c r="W114" s="33"/>
    </row>
    <row r="115" spans="1:23" ht="15.4" customHeight="1" x14ac:dyDescent="0.25">
      <c r="A115" s="35">
        <v>1</v>
      </c>
      <c r="B115" s="317" t="s">
        <v>604</v>
      </c>
      <c r="C115" s="15">
        <v>1.6</v>
      </c>
      <c r="D115" s="15">
        <v>1.075</v>
      </c>
      <c r="E115" s="15">
        <v>0.75</v>
      </c>
      <c r="F115" s="15">
        <v>0.57499999999999996</v>
      </c>
      <c r="G115" s="15">
        <v>0.32500000000000001</v>
      </c>
      <c r="H115" s="15">
        <v>0.215</v>
      </c>
      <c r="I115" s="15">
        <v>0.115</v>
      </c>
      <c r="J115" s="6">
        <f>IF(L$114=K$114,K115,ROUND(K115-((K115-L115)/(L$114-K$114))*(J$114-K$114),3))</f>
        <v>1.6</v>
      </c>
      <c r="K115" s="231">
        <f>IF(K$114=5,C115,HLOOKUP($K$114,$D$114:$I$115,2,TRUE))</f>
        <v>1.6</v>
      </c>
      <c r="L115" s="513">
        <f>IF(L$114=5,C115,HLOOKUP($L$114,$D$114:$I$115,2,TRUE))</f>
        <v>1.6</v>
      </c>
      <c r="M115" s="33"/>
      <c r="N115" s="33"/>
      <c r="O115" s="33"/>
      <c r="P115" s="33"/>
      <c r="Q115" s="33"/>
      <c r="R115" s="33"/>
      <c r="S115" s="33"/>
      <c r="T115" s="33"/>
      <c r="U115" s="33"/>
      <c r="V115" s="33"/>
      <c r="W115" s="33"/>
    </row>
    <row r="116" spans="1:23" ht="15" hidden="1" customHeight="1" x14ac:dyDescent="0.25">
      <c r="A116" s="197" t="s">
        <v>588</v>
      </c>
      <c r="B116" s="33"/>
      <c r="C116" s="33"/>
      <c r="D116" s="33"/>
      <c r="E116" s="33"/>
      <c r="F116" s="33"/>
      <c r="G116" s="33"/>
      <c r="H116" s="33"/>
      <c r="I116" s="33"/>
      <c r="J116" s="33"/>
      <c r="K116" s="33"/>
      <c r="L116" s="33"/>
      <c r="M116" s="33"/>
      <c r="N116" s="33"/>
      <c r="O116" s="33"/>
      <c r="P116" s="33"/>
      <c r="Q116" s="33"/>
      <c r="R116" s="33"/>
      <c r="S116" s="33"/>
      <c r="T116" s="33"/>
      <c r="U116" s="33"/>
      <c r="V116" s="33"/>
      <c r="W116" s="33"/>
    </row>
    <row r="117" spans="1:23" ht="15.4"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row>
    <row r="118" spans="1:23" ht="34.9" customHeight="1" x14ac:dyDescent="0.25">
      <c r="A118" s="721" t="s">
        <v>615</v>
      </c>
      <c r="B118" s="722"/>
      <c r="C118" s="722"/>
      <c r="D118" s="722"/>
      <c r="E118" s="722"/>
      <c r="F118" s="722"/>
      <c r="G118" s="722"/>
      <c r="H118" s="722"/>
      <c r="I118" s="722"/>
      <c r="J118" s="722"/>
      <c r="K118" s="722"/>
      <c r="L118" s="722"/>
      <c r="M118" s="722"/>
      <c r="N118" s="722"/>
      <c r="O118" s="33"/>
      <c r="P118" s="33"/>
      <c r="Q118" s="33"/>
      <c r="R118" s="33"/>
      <c r="S118" s="33"/>
      <c r="T118" s="33"/>
      <c r="U118" s="33"/>
      <c r="V118" s="33"/>
      <c r="W118" s="33"/>
    </row>
    <row r="119" spans="1:23" ht="44.25" customHeight="1" x14ac:dyDescent="0.25">
      <c r="A119" s="711" t="s">
        <v>578</v>
      </c>
      <c r="B119" s="711"/>
      <c r="C119" s="711"/>
      <c r="D119" s="711"/>
      <c r="E119" s="711"/>
      <c r="F119" s="711"/>
      <c r="G119" s="711"/>
      <c r="H119" s="711"/>
      <c r="I119" s="711"/>
      <c r="J119" s="711"/>
      <c r="K119" s="711"/>
      <c r="L119" s="711"/>
      <c r="M119" s="711"/>
      <c r="N119" s="711"/>
      <c r="O119" s="33"/>
      <c r="P119" s="33"/>
      <c r="Q119" s="33"/>
      <c r="R119" s="33"/>
      <c r="S119" s="33"/>
      <c r="T119" s="33"/>
      <c r="U119" s="33"/>
      <c r="V119" s="33"/>
      <c r="W119" s="33"/>
    </row>
    <row r="120" spans="1:23" ht="15.4" customHeight="1" x14ac:dyDescent="0.25">
      <c r="A120" s="263"/>
      <c r="B120" s="263"/>
      <c r="C120" s="263"/>
      <c r="D120" s="263"/>
      <c r="E120" s="263"/>
      <c r="F120" s="263"/>
      <c r="G120" s="263"/>
      <c r="H120" s="263"/>
      <c r="I120" s="263"/>
      <c r="J120" s="263"/>
      <c r="K120" s="263"/>
      <c r="L120" s="263"/>
      <c r="M120" s="263"/>
      <c r="N120" s="263"/>
      <c r="O120" s="33"/>
      <c r="P120" s="33"/>
      <c r="Q120" s="33"/>
      <c r="R120" s="33"/>
      <c r="S120" s="33"/>
      <c r="T120" s="33"/>
      <c r="U120" s="33"/>
      <c r="V120" s="33"/>
      <c r="W120" s="33"/>
    </row>
    <row r="121" spans="1:23" ht="15.4" customHeight="1" x14ac:dyDescent="0.25">
      <c r="A121" s="707" t="s">
        <v>827</v>
      </c>
      <c r="B121" s="707"/>
      <c r="C121" s="707"/>
      <c r="D121" s="707"/>
      <c r="E121" s="707"/>
      <c r="F121" s="707"/>
      <c r="G121" s="707"/>
      <c r="H121" s="707"/>
      <c r="I121" s="707"/>
      <c r="J121" s="707"/>
      <c r="K121" s="707"/>
      <c r="L121" s="707"/>
      <c r="M121" s="707"/>
      <c r="N121" s="33"/>
      <c r="O121" s="33"/>
      <c r="P121" s="33"/>
      <c r="Q121" s="33"/>
      <c r="R121" s="33"/>
      <c r="S121" s="33"/>
      <c r="T121" s="33"/>
      <c r="U121" s="33"/>
      <c r="V121" s="33"/>
      <c r="W121" s="33"/>
    </row>
    <row r="122" spans="1:23" ht="15" hidden="1" customHeight="1" x14ac:dyDescent="0.25">
      <c r="A122" s="33" t="s">
        <v>843</v>
      </c>
      <c r="B122" s="33"/>
      <c r="C122" s="33"/>
      <c r="D122" s="33"/>
      <c r="E122" s="33"/>
      <c r="F122" s="33"/>
      <c r="G122" s="33"/>
      <c r="H122" s="33"/>
      <c r="I122" s="33"/>
      <c r="J122" s="33"/>
      <c r="K122" s="575"/>
      <c r="L122" s="33" t="s">
        <v>300</v>
      </c>
      <c r="M122" s="575"/>
      <c r="N122" s="33"/>
      <c r="O122" s="33"/>
      <c r="P122" s="33"/>
      <c r="Q122" s="33"/>
      <c r="R122" s="33"/>
      <c r="S122" s="33"/>
      <c r="T122" s="33"/>
      <c r="U122" s="33"/>
      <c r="V122" s="33"/>
      <c r="W122" s="33"/>
    </row>
    <row r="123" spans="1:23" ht="15.4" customHeight="1" x14ac:dyDescent="0.25">
      <c r="A123" s="33"/>
      <c r="B123" s="33"/>
      <c r="C123" s="33"/>
      <c r="D123" s="33"/>
      <c r="E123" s="33"/>
      <c r="F123" s="33"/>
      <c r="G123" s="33"/>
      <c r="H123" s="33"/>
      <c r="I123" s="33"/>
      <c r="J123" s="33"/>
      <c r="K123" s="33"/>
      <c r="L123" s="33"/>
      <c r="M123" s="341" t="s">
        <v>378</v>
      </c>
      <c r="N123" s="562" t="s">
        <v>26</v>
      </c>
      <c r="O123" s="270" t="s">
        <v>510</v>
      </c>
      <c r="P123" s="33"/>
      <c r="Q123" s="33"/>
      <c r="R123" s="33"/>
      <c r="S123" s="33"/>
      <c r="T123" s="33"/>
      <c r="U123" s="33"/>
      <c r="V123" s="33"/>
      <c r="W123" s="33"/>
    </row>
    <row r="124" spans="1:23" ht="30.6" customHeight="1" x14ac:dyDescent="0.25">
      <c r="A124" s="23" t="s">
        <v>695</v>
      </c>
      <c r="B124" s="220" t="s">
        <v>490</v>
      </c>
      <c r="C124" s="23" t="s">
        <v>231</v>
      </c>
      <c r="D124" s="23">
        <v>25</v>
      </c>
      <c r="E124" s="23">
        <v>50</v>
      </c>
      <c r="F124" s="23">
        <v>100</v>
      </c>
      <c r="G124" s="23">
        <v>200</v>
      </c>
      <c r="H124" s="23">
        <v>500</v>
      </c>
      <c r="I124" s="23">
        <v>1000</v>
      </c>
      <c r="J124" s="23">
        <v>2000</v>
      </c>
      <c r="K124" s="23">
        <v>5000</v>
      </c>
      <c r="L124" s="36">
        <v>10000</v>
      </c>
      <c r="M124" s="44">
        <f>$C$6</f>
        <v>1.0711056214113099</v>
      </c>
      <c r="N124" s="279">
        <f>IF(M124&lt;D124,15,IF(M124&gt;L124,L124,HLOOKUP(M124,D124:L124,1)))</f>
        <v>15</v>
      </c>
      <c r="O124" s="561">
        <f>IF(M124&lt;15,15,IF(M124&lt;25,25,IF(M124&gt;L124,L124,INDEX(D124:L124,MATCH(M124,D124:L124,1)+1))))</f>
        <v>15</v>
      </c>
      <c r="P124" s="33"/>
      <c r="Q124" s="33"/>
      <c r="R124" s="33"/>
      <c r="S124" s="33"/>
      <c r="T124" s="33"/>
      <c r="U124" s="33"/>
      <c r="V124" s="33"/>
      <c r="W124" s="33"/>
    </row>
    <row r="125" spans="1:23" ht="15.4" customHeight="1" x14ac:dyDescent="0.25">
      <c r="A125" s="35">
        <v>1</v>
      </c>
      <c r="B125" s="317" t="s">
        <v>128</v>
      </c>
      <c r="C125" s="80">
        <v>1.9E-2</v>
      </c>
      <c r="D125" s="80">
        <v>1.7000000000000001E-2</v>
      </c>
      <c r="E125" s="80">
        <v>1.4999999999999999E-2</v>
      </c>
      <c r="F125" s="80">
        <v>1.2500000000000001E-2</v>
      </c>
      <c r="G125" s="80">
        <v>0.01</v>
      </c>
      <c r="H125" s="80">
        <v>7.4999999999999997E-3</v>
      </c>
      <c r="I125" s="80">
        <v>4.7000000000000002E-3</v>
      </c>
      <c r="J125" s="80">
        <v>2.5000000000000001E-3</v>
      </c>
      <c r="K125" s="80">
        <v>2E-3</v>
      </c>
      <c r="L125" s="80">
        <v>1E-3</v>
      </c>
      <c r="M125" s="6">
        <f>IF(O$17=N$17,N125,ROUND(N125-((N125-O125)/(O$17-N$17))*(M$17-N$17),3))</f>
        <v>1.9E-2</v>
      </c>
      <c r="N125" s="231">
        <f>IF(N$17=15,C125,HLOOKUP($N$17,$D$17:$L$18,2,TRUE))</f>
        <v>1.9E-2</v>
      </c>
      <c r="O125" s="513">
        <f>IF(O$17=15,C125,HLOOKUP($O$17,$D$17:$L$18,2,TRUE))</f>
        <v>1.9E-2</v>
      </c>
      <c r="P125" s="33"/>
      <c r="Q125" s="33"/>
      <c r="R125" s="33"/>
      <c r="S125" s="33"/>
      <c r="T125" s="33"/>
      <c r="U125" s="33"/>
      <c r="V125" s="33"/>
      <c r="W125" s="33"/>
    </row>
    <row r="126" spans="1:23" ht="15" hidden="1" customHeight="1" x14ac:dyDescent="0.25">
      <c r="A126" s="33" t="s">
        <v>524</v>
      </c>
      <c r="B126" s="33"/>
      <c r="C126" s="33"/>
      <c r="D126" s="33"/>
      <c r="E126" s="33"/>
      <c r="F126" s="33"/>
      <c r="G126" s="33"/>
      <c r="H126" s="33"/>
      <c r="I126" s="33"/>
      <c r="J126" s="33"/>
      <c r="K126" s="33"/>
      <c r="L126" s="33"/>
      <c r="M126" s="33"/>
      <c r="N126" s="33"/>
      <c r="O126" s="33"/>
      <c r="P126" s="33"/>
      <c r="Q126" s="33"/>
      <c r="R126" s="33"/>
      <c r="S126" s="33"/>
      <c r="T126" s="33"/>
      <c r="U126" s="33"/>
      <c r="V126" s="33"/>
      <c r="W126" s="33"/>
    </row>
    <row r="127" spans="1:23" ht="15.4" customHeight="1"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row>
    <row r="128" spans="1:23" ht="34.9" customHeight="1" x14ac:dyDescent="0.25">
      <c r="A128" s="721" t="s">
        <v>544</v>
      </c>
      <c r="B128" s="722"/>
      <c r="C128" s="722"/>
      <c r="D128" s="722"/>
      <c r="E128" s="722"/>
      <c r="F128" s="722"/>
      <c r="G128" s="722"/>
      <c r="H128" s="722"/>
      <c r="I128" s="722"/>
      <c r="J128" s="722"/>
      <c r="K128" s="722"/>
      <c r="L128" s="722"/>
      <c r="M128" s="722"/>
      <c r="N128" s="722"/>
      <c r="O128" s="33"/>
      <c r="P128" s="33"/>
      <c r="Q128" s="33"/>
      <c r="R128" s="33"/>
      <c r="S128" s="33"/>
      <c r="T128" s="33"/>
      <c r="U128" s="33"/>
      <c r="V128" s="33"/>
      <c r="W128" s="33"/>
    </row>
    <row r="129" spans="1:23" ht="16.350000000000001" customHeight="1" x14ac:dyDescent="0.25">
      <c r="A129" s="711" t="s">
        <v>358</v>
      </c>
      <c r="B129" s="711"/>
      <c r="C129" s="711"/>
      <c r="D129" s="711"/>
      <c r="E129" s="711"/>
      <c r="F129" s="711"/>
      <c r="G129" s="711"/>
      <c r="H129" s="711"/>
      <c r="I129" s="711"/>
      <c r="J129" s="711"/>
      <c r="K129" s="711"/>
      <c r="L129" s="711"/>
      <c r="M129" s="711"/>
      <c r="N129" s="711"/>
      <c r="O129" s="33"/>
      <c r="P129" s="33"/>
      <c r="Q129" s="33"/>
      <c r="R129" s="33"/>
      <c r="S129" s="33"/>
      <c r="T129" s="33"/>
      <c r="U129" s="33"/>
      <c r="V129" s="33"/>
      <c r="W129" s="33"/>
    </row>
    <row r="130" spans="1:23" ht="15.4" customHeight="1"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row>
    <row r="131" spans="1:23" ht="15.4" customHeight="1" x14ac:dyDescent="0.25">
      <c r="A131" s="707"/>
      <c r="B131" s="707"/>
      <c r="C131" s="707"/>
      <c r="D131" s="707"/>
      <c r="E131" s="707"/>
      <c r="F131" s="707"/>
      <c r="G131" s="707"/>
      <c r="H131" s="707"/>
      <c r="I131" s="707"/>
      <c r="J131" s="707"/>
      <c r="K131" s="707"/>
      <c r="L131" s="707"/>
      <c r="M131" s="707"/>
      <c r="N131" s="707"/>
      <c r="O131" s="707"/>
      <c r="P131" s="33"/>
      <c r="Q131" s="33"/>
      <c r="R131" s="33"/>
      <c r="S131" s="33"/>
      <c r="T131" s="33"/>
      <c r="U131" s="33"/>
      <c r="V131" s="33"/>
      <c r="W131" s="33"/>
    </row>
    <row r="132" spans="1:23" ht="15.4" customHeight="1" x14ac:dyDescent="0.25">
      <c r="A132" s="707" t="s">
        <v>886</v>
      </c>
      <c r="B132" s="707"/>
      <c r="C132" s="290"/>
      <c r="D132" s="290"/>
      <c r="E132" s="290"/>
      <c r="F132" s="290"/>
      <c r="G132" s="290"/>
      <c r="H132" s="290"/>
      <c r="I132" s="290"/>
      <c r="J132" s="290"/>
      <c r="K132" s="290"/>
      <c r="L132" s="290"/>
      <c r="M132" s="290"/>
      <c r="N132" s="290"/>
      <c r="O132" s="290"/>
      <c r="P132" s="33"/>
      <c r="Q132" s="33"/>
      <c r="R132" s="33"/>
      <c r="S132" s="33"/>
      <c r="T132" s="33"/>
      <c r="U132" s="33"/>
      <c r="V132" s="33"/>
      <c r="W132" s="33"/>
    </row>
    <row r="133" spans="1:23" ht="15.4" customHeight="1" x14ac:dyDescent="0.25">
      <c r="A133" s="33"/>
      <c r="B133" s="33"/>
      <c r="C133" s="33"/>
      <c r="D133" s="33"/>
      <c r="E133" s="33"/>
      <c r="F133" s="33"/>
      <c r="G133" s="33"/>
      <c r="H133" s="33"/>
      <c r="I133" s="606" t="s">
        <v>754</v>
      </c>
      <c r="J133" s="606"/>
      <c r="K133" s="606"/>
      <c r="L133" s="606"/>
      <c r="M133" s="575"/>
      <c r="N133" s="575"/>
      <c r="O133" s="33"/>
      <c r="P133" s="33"/>
      <c r="Q133" s="33"/>
      <c r="R133" s="33"/>
      <c r="S133" s="33"/>
      <c r="T133" s="33"/>
      <c r="U133" s="33"/>
      <c r="V133" s="33"/>
      <c r="W133" s="33"/>
    </row>
    <row r="134" spans="1:23" ht="15" hidden="1" customHeight="1" x14ac:dyDescent="0.25">
      <c r="A134" s="33" t="s">
        <v>527</v>
      </c>
      <c r="B134" s="33"/>
      <c r="C134" s="33"/>
      <c r="D134" s="33"/>
      <c r="E134" s="33"/>
      <c r="F134" s="33"/>
      <c r="G134" s="33"/>
      <c r="H134" s="33"/>
      <c r="I134" s="33"/>
      <c r="J134" s="33"/>
      <c r="K134" s="33" t="s">
        <v>300</v>
      </c>
      <c r="L134" s="33"/>
      <c r="M134" s="33"/>
      <c r="N134" s="33"/>
      <c r="O134" s="33"/>
      <c r="P134" s="33"/>
      <c r="Q134" s="33"/>
      <c r="R134" s="33"/>
      <c r="S134" s="33"/>
      <c r="T134" s="33"/>
      <c r="U134" s="33"/>
      <c r="V134" s="33"/>
      <c r="W134" s="33"/>
    </row>
    <row r="135" spans="1:23" ht="33" customHeight="1" x14ac:dyDescent="0.25">
      <c r="A135" s="708" t="s">
        <v>695</v>
      </c>
      <c r="B135" s="708" t="s">
        <v>106</v>
      </c>
      <c r="C135" s="709" t="s">
        <v>561</v>
      </c>
      <c r="D135" s="710"/>
      <c r="E135" s="710"/>
      <c r="F135" s="710"/>
      <c r="G135" s="710"/>
      <c r="H135" s="710"/>
      <c r="I135" s="710"/>
      <c r="J135" s="710"/>
      <c r="K135" s="710"/>
      <c r="L135" s="341" t="s">
        <v>378</v>
      </c>
      <c r="M135" s="562" t="s">
        <v>26</v>
      </c>
      <c r="N135" s="270" t="s">
        <v>510</v>
      </c>
      <c r="O135" s="33"/>
      <c r="P135" s="33"/>
      <c r="Q135" s="33"/>
      <c r="R135" s="33"/>
      <c r="S135" s="33"/>
      <c r="T135" s="33"/>
      <c r="U135" s="33"/>
      <c r="V135" s="33"/>
      <c r="W135" s="33"/>
    </row>
    <row r="136" spans="1:23" ht="15.4" customHeight="1" x14ac:dyDescent="0.25">
      <c r="A136" s="708"/>
      <c r="B136" s="708"/>
      <c r="C136" s="23" t="s">
        <v>310</v>
      </c>
      <c r="D136" s="23">
        <v>50</v>
      </c>
      <c r="E136" s="23">
        <v>100</v>
      </c>
      <c r="F136" s="23">
        <v>200</v>
      </c>
      <c r="G136" s="23">
        <v>500</v>
      </c>
      <c r="H136" s="36">
        <v>1000</v>
      </c>
      <c r="I136" s="36">
        <v>2000</v>
      </c>
      <c r="J136" s="36">
        <v>5000</v>
      </c>
      <c r="K136" s="36">
        <v>8000</v>
      </c>
      <c r="L136" s="341">
        <f>$C$1</f>
        <v>1.0711056214113099</v>
      </c>
      <c r="M136" s="562">
        <f>IF(L136&lt;D136,15,IF(L136&gt;K136,K136,HLOOKUP(L136,D136:K136,1)))</f>
        <v>15</v>
      </c>
      <c r="N136" s="270">
        <f>IF(L136&lt;15,15,IF(L136&lt;50,50,IF(L136&gt;K136,K136,INDEX(D136:K136,MATCH(L136,D136:K136,1)+1))))</f>
        <v>15</v>
      </c>
      <c r="O136" s="33"/>
      <c r="P136" s="33"/>
      <c r="Q136" s="33"/>
      <c r="R136" s="33"/>
      <c r="S136" s="33"/>
      <c r="T136" s="33"/>
      <c r="U136" s="33"/>
      <c r="V136" s="33"/>
      <c r="W136" s="33"/>
    </row>
    <row r="137" spans="1:23" ht="16.350000000000001" customHeight="1" x14ac:dyDescent="0.25">
      <c r="A137" s="726" t="s">
        <v>684</v>
      </c>
      <c r="B137" s="727"/>
      <c r="C137" s="727"/>
      <c r="D137" s="727"/>
      <c r="E137" s="727"/>
      <c r="F137" s="727"/>
      <c r="G137" s="727"/>
      <c r="H137" s="727"/>
      <c r="I137" s="727"/>
      <c r="J137" s="727"/>
      <c r="K137" s="728"/>
      <c r="L137" s="317"/>
      <c r="M137" s="317"/>
      <c r="N137" s="317"/>
      <c r="O137" s="33"/>
      <c r="P137" s="33"/>
      <c r="Q137" s="33"/>
      <c r="R137" s="33"/>
      <c r="S137" s="33"/>
      <c r="T137" s="33"/>
      <c r="U137" s="33"/>
      <c r="V137" s="33"/>
      <c r="W137" s="33"/>
    </row>
    <row r="138" spans="1:23" ht="15.4" customHeight="1" x14ac:dyDescent="0.25">
      <c r="A138" s="35" t="s">
        <v>750</v>
      </c>
      <c r="B138" s="317" t="str">
        <f t="shared" ref="B138:B142" si="11">B48</f>
        <v>Công trình dân dụng</v>
      </c>
      <c r="C138" s="15">
        <v>0.16500000000000001</v>
      </c>
      <c r="D138" s="15">
        <v>0.11</v>
      </c>
      <c r="E138" s="15">
        <v>8.5000000000000006E-2</v>
      </c>
      <c r="F138" s="15">
        <v>6.5000000000000002E-2</v>
      </c>
      <c r="G138" s="15">
        <v>0.05</v>
      </c>
      <c r="H138" s="15">
        <v>4.1000000000000002E-2</v>
      </c>
      <c r="I138" s="15">
        <v>2.9000000000000001E-2</v>
      </c>
      <c r="J138" s="15">
        <v>2.1999999999999999E-2</v>
      </c>
      <c r="K138" s="15">
        <v>1.9E-2</v>
      </c>
      <c r="L138" s="6">
        <f t="shared" ref="L138:L142" si="12">IF(N$46=M$46,M138,ROUND(M138-((M138-N138)/(N$46-M$46))*(L$46-M$46),3))</f>
        <v>0.16500000000000001</v>
      </c>
      <c r="M138" s="231">
        <f>IF(M$46=15,C138,HLOOKUP($M$46,$D$46:$K$64,3,TRUE))</f>
        <v>0.16500000000000001</v>
      </c>
      <c r="N138" s="513">
        <f>IF(N$46=15,C138,HLOOKUP($N$46,$D$46:$K$64,3,TRUE))</f>
        <v>0.16500000000000001</v>
      </c>
      <c r="O138" s="33"/>
      <c r="P138" s="33"/>
      <c r="Q138" s="33"/>
      <c r="R138" s="33"/>
      <c r="S138" s="33"/>
      <c r="T138" s="33"/>
      <c r="U138" s="33"/>
      <c r="V138" s="33"/>
      <c r="W138" s="33"/>
    </row>
    <row r="139" spans="1:23" ht="15.4" customHeight="1" x14ac:dyDescent="0.25">
      <c r="A139" s="35" t="s">
        <v>37</v>
      </c>
      <c r="B139" s="317" t="str">
        <f t="shared" si="11"/>
        <v>Công trình công nghiệp</v>
      </c>
      <c r="C139" s="15">
        <v>0.19</v>
      </c>
      <c r="D139" s="15">
        <v>0.126</v>
      </c>
      <c r="E139" s="15">
        <v>9.7000000000000003E-2</v>
      </c>
      <c r="F139" s="15">
        <v>7.4999999999999997E-2</v>
      </c>
      <c r="G139" s="15">
        <v>5.8000000000000003E-2</v>
      </c>
      <c r="H139" s="15">
        <v>4.3999999999999997E-2</v>
      </c>
      <c r="I139" s="15">
        <v>3.5000000000000003E-2</v>
      </c>
      <c r="J139" s="15">
        <v>2.5999999999999999E-2</v>
      </c>
      <c r="K139" s="15">
        <v>2.1999999999999999E-2</v>
      </c>
      <c r="L139" s="6">
        <f t="shared" si="12"/>
        <v>0.19</v>
      </c>
      <c r="M139" s="231">
        <f>IF(M$46=15,C139,HLOOKUP($M$46,$D$46:$K$64,4,TRUE))</f>
        <v>0.19</v>
      </c>
      <c r="N139" s="513">
        <f>IF(N$46=15,C139,HLOOKUP($N$46,$D$46:$K$64,4,TRUE))</f>
        <v>0.19</v>
      </c>
      <c r="O139" s="33"/>
      <c r="P139" s="33"/>
      <c r="Q139" s="33"/>
      <c r="R139" s="33"/>
      <c r="S139" s="33"/>
      <c r="T139" s="33"/>
      <c r="U139" s="33"/>
      <c r="V139" s="33"/>
      <c r="W139" s="33"/>
    </row>
    <row r="140" spans="1:23" ht="15.4" customHeight="1" x14ac:dyDescent="0.25">
      <c r="A140" s="35" t="s">
        <v>323</v>
      </c>
      <c r="B140" s="317" t="str">
        <f t="shared" si="11"/>
        <v>Công trình giao thông</v>
      </c>
      <c r="C140" s="15">
        <v>0.109</v>
      </c>
      <c r="D140" s="15">
        <v>7.1999999999999995E-2</v>
      </c>
      <c r="E140" s="15">
        <v>5.5E-2</v>
      </c>
      <c r="F140" s="15">
        <v>4.2999999999999997E-2</v>
      </c>
      <c r="G140" s="15">
        <v>3.3000000000000002E-2</v>
      </c>
      <c r="H140" s="15">
        <v>2.5000000000000001E-2</v>
      </c>
      <c r="I140" s="15">
        <v>2.1000000000000001E-2</v>
      </c>
      <c r="J140" s="15">
        <v>1.6E-2</v>
      </c>
      <c r="K140" s="15">
        <v>1.4E-2</v>
      </c>
      <c r="L140" s="6">
        <f t="shared" si="12"/>
        <v>0.109</v>
      </c>
      <c r="M140" s="231">
        <f>IF(M$46=15,C140,HLOOKUP($M$46,$D$46:$K$64,5,TRUE))</f>
        <v>0.109</v>
      </c>
      <c r="N140" s="513">
        <f>IF(N$46=15,C140,HLOOKUP($N$46,$D$46:$K$64,5,TRUE))</f>
        <v>0.109</v>
      </c>
      <c r="O140" s="33"/>
      <c r="P140" s="33"/>
      <c r="Q140" s="33"/>
      <c r="R140" s="33"/>
      <c r="S140" s="33"/>
      <c r="T140" s="33"/>
      <c r="U140" s="33"/>
      <c r="V140" s="33"/>
      <c r="W140" s="33"/>
    </row>
    <row r="141" spans="1:23" ht="30.6" customHeight="1" x14ac:dyDescent="0.25">
      <c r="A141" s="35" t="s">
        <v>610</v>
      </c>
      <c r="B141" s="544" t="str">
        <f t="shared" si="11"/>
        <v>Công trình nông nghiệp và phát triển nông thôn</v>
      </c>
      <c r="C141" s="15">
        <v>0.121</v>
      </c>
      <c r="D141" s="15">
        <v>0.08</v>
      </c>
      <c r="E141" s="15">
        <v>6.0999999999999999E-2</v>
      </c>
      <c r="F141" s="15">
        <v>4.8000000000000001E-2</v>
      </c>
      <c r="G141" s="15">
        <v>3.6999999999999998E-2</v>
      </c>
      <c r="H141" s="15">
        <v>2.8000000000000001E-2</v>
      </c>
      <c r="I141" s="15">
        <v>2.3E-2</v>
      </c>
      <c r="J141" s="15">
        <v>1.7000000000000001E-2</v>
      </c>
      <c r="K141" s="15">
        <v>1.4E-2</v>
      </c>
      <c r="L141" s="6">
        <f t="shared" si="12"/>
        <v>0.121</v>
      </c>
      <c r="M141" s="231">
        <f>IF(M$46=15,C141,HLOOKUP($M$46,$D$46:$K$64,6,TRUE))</f>
        <v>0.121</v>
      </c>
      <c r="N141" s="513">
        <f>IF(N$46=15,C141,HLOOKUP($N$46,$D$46:$K$64,6,TRUE))</f>
        <v>0.121</v>
      </c>
      <c r="O141" s="33"/>
      <c r="P141" s="33"/>
      <c r="Q141" s="33"/>
      <c r="R141" s="33"/>
      <c r="S141" s="33"/>
      <c r="T141" s="33"/>
      <c r="U141" s="33"/>
      <c r="V141" s="33"/>
      <c r="W141" s="33"/>
    </row>
    <row r="142" spans="1:23" ht="15.4" customHeight="1" x14ac:dyDescent="0.25">
      <c r="A142" s="35" t="s">
        <v>472</v>
      </c>
      <c r="B142" s="317" t="str">
        <f t="shared" si="11"/>
        <v>Công trình hạ tầng kỹ thuật</v>
      </c>
      <c r="C142" s="15">
        <v>0.126</v>
      </c>
      <c r="D142" s="15">
        <v>8.5000000000000006E-2</v>
      </c>
      <c r="E142" s="15">
        <v>6.5000000000000002E-2</v>
      </c>
      <c r="F142" s="15">
        <v>0.05</v>
      </c>
      <c r="G142" s="15">
        <v>3.9E-2</v>
      </c>
      <c r="H142" s="15">
        <v>0.03</v>
      </c>
      <c r="I142" s="15">
        <v>2.5999999999999999E-2</v>
      </c>
      <c r="J142" s="15">
        <v>1.9E-2</v>
      </c>
      <c r="K142" s="15">
        <v>1.7000000000000001E-2</v>
      </c>
      <c r="L142" s="6">
        <f t="shared" si="12"/>
        <v>0.126</v>
      </c>
      <c r="M142" s="231">
        <f>IF(M$46=15,C142,HLOOKUP($M$46,$D$46:$K$64,7,TRUE))</f>
        <v>0.126</v>
      </c>
      <c r="N142" s="513">
        <f>IF(N$46=15,C142,HLOOKUP($N$46,$D$46:$K$64,7,TRUE))</f>
        <v>0.126</v>
      </c>
      <c r="O142" s="33"/>
      <c r="P142" s="33"/>
      <c r="Q142" s="33"/>
      <c r="R142" s="33"/>
      <c r="S142" s="33"/>
      <c r="T142" s="33"/>
      <c r="U142" s="33"/>
      <c r="V142" s="33"/>
      <c r="W142" s="33"/>
    </row>
    <row r="143" spans="1:23" ht="292.89999999999998" customHeight="1" x14ac:dyDescent="0.25">
      <c r="A143" s="723" t="s">
        <v>160</v>
      </c>
      <c r="B143" s="724"/>
      <c r="C143" s="724"/>
      <c r="D143" s="724"/>
      <c r="E143" s="724"/>
      <c r="F143" s="724"/>
      <c r="G143" s="724"/>
      <c r="H143" s="724"/>
      <c r="I143" s="724"/>
      <c r="J143" s="724"/>
      <c r="K143" s="725"/>
      <c r="L143" s="317"/>
      <c r="M143" s="317"/>
      <c r="N143" s="317"/>
      <c r="O143" s="33"/>
      <c r="P143" s="33"/>
      <c r="Q143" s="33"/>
      <c r="R143" s="33"/>
      <c r="S143" s="33"/>
      <c r="T143" s="33"/>
      <c r="U143" s="33"/>
      <c r="V143" s="33"/>
      <c r="W143" s="33"/>
    </row>
    <row r="144" spans="1:23" ht="15.4" customHeight="1" x14ac:dyDescent="0.25">
      <c r="A144" s="35" t="s">
        <v>998</v>
      </c>
      <c r="B144" s="317" t="str">
        <f t="shared" ref="B144:B148" si="13">B48</f>
        <v>Công trình dân dụng</v>
      </c>
      <c r="C144" s="80">
        <v>4.9500000000000002E-2</v>
      </c>
      <c r="D144" s="80">
        <v>3.3000000000000002E-2</v>
      </c>
      <c r="E144" s="80">
        <v>2.5499999999999998E-2</v>
      </c>
      <c r="F144" s="80">
        <v>1.95E-2</v>
      </c>
      <c r="G144" s="80">
        <v>1.4999999999999999E-2</v>
      </c>
      <c r="H144" s="80">
        <v>1.23E-2</v>
      </c>
      <c r="I144" s="80">
        <v>8.6999999999999994E-3</v>
      </c>
      <c r="J144" s="80">
        <v>6.6E-3</v>
      </c>
      <c r="K144" s="80">
        <v>5.7000000000000002E-3</v>
      </c>
      <c r="L144" s="531">
        <f t="shared" ref="L144:L148" si="14">IF(N$46=M$46,M144,ROUND(M144-((M144-N144)/(N$46-M$46))*(L$46-M$46),4))</f>
        <v>4.9500000000000002E-2</v>
      </c>
      <c r="M144" s="167">
        <f>IF(M$46=15,C144,HLOOKUP($M$46,$D$46:$K$64,9,TRUE))</f>
        <v>4.9500000000000002E-2</v>
      </c>
      <c r="N144" s="467">
        <f>IF(N$46=15,C144,HLOOKUP($N$46,$D$46:$K$64,9,TRUE))</f>
        <v>4.9500000000000002E-2</v>
      </c>
      <c r="O144" s="33"/>
      <c r="P144" s="33"/>
      <c r="Q144" s="33"/>
      <c r="R144" s="33"/>
      <c r="S144" s="33"/>
      <c r="T144" s="33"/>
      <c r="U144" s="33"/>
      <c r="V144" s="33"/>
      <c r="W144" s="33"/>
    </row>
    <row r="145" spans="1:23" ht="15.4" customHeight="1" x14ac:dyDescent="0.25">
      <c r="A145" s="35" t="s">
        <v>278</v>
      </c>
      <c r="B145" s="317" t="str">
        <f t="shared" si="13"/>
        <v>Công trình công nghiệp</v>
      </c>
      <c r="C145" s="80">
        <v>5.7000000000000002E-2</v>
      </c>
      <c r="D145" s="80">
        <v>3.78E-2</v>
      </c>
      <c r="E145" s="80">
        <v>2.9100000000000001E-2</v>
      </c>
      <c r="F145" s="80">
        <v>2.5499999999999998E-2</v>
      </c>
      <c r="G145" s="80">
        <v>1.7399999999999999E-2</v>
      </c>
      <c r="H145" s="80">
        <v>1.32E-2</v>
      </c>
      <c r="I145" s="80">
        <v>1.0500000000000001E-2</v>
      </c>
      <c r="J145" s="80">
        <v>7.7999999999999996E-3</v>
      </c>
      <c r="K145" s="80">
        <v>6.6E-3</v>
      </c>
      <c r="L145" s="531">
        <f t="shared" si="14"/>
        <v>5.7000000000000002E-2</v>
      </c>
      <c r="M145" s="167">
        <f>IF(M$46=15,C145,HLOOKUP($M$46,$D$46:$K$64,10,TRUE))</f>
        <v>5.7000000000000002E-2</v>
      </c>
      <c r="N145" s="467">
        <f>IF(N$46=15,C145,HLOOKUP($N$46,$D$46:$K$64,10,TRUE))</f>
        <v>5.7000000000000002E-2</v>
      </c>
      <c r="O145" s="33"/>
      <c r="P145" s="33"/>
      <c r="Q145" s="33"/>
      <c r="R145" s="33"/>
      <c r="S145" s="33"/>
      <c r="T145" s="33"/>
      <c r="U145" s="33"/>
      <c r="V145" s="33"/>
      <c r="W145" s="33"/>
    </row>
    <row r="146" spans="1:23" ht="15.4" customHeight="1" x14ac:dyDescent="0.25">
      <c r="A146" s="35" t="s">
        <v>150</v>
      </c>
      <c r="B146" s="317" t="str">
        <f t="shared" si="13"/>
        <v>Công trình giao thông</v>
      </c>
      <c r="C146" s="80">
        <v>3.27E-2</v>
      </c>
      <c r="D146" s="80">
        <v>2.1600000000000001E-2</v>
      </c>
      <c r="E146" s="80">
        <v>1.6500000000000001E-2</v>
      </c>
      <c r="F146" s="80">
        <v>1.29E-2</v>
      </c>
      <c r="G146" s="80">
        <v>9.9000000000000008E-3</v>
      </c>
      <c r="H146" s="80">
        <v>7.4999999999999997E-3</v>
      </c>
      <c r="I146" s="80">
        <v>6.3E-3</v>
      </c>
      <c r="J146" s="80">
        <v>4.7999999999999996E-3</v>
      </c>
      <c r="K146" s="80">
        <v>4.1999999999999997E-3</v>
      </c>
      <c r="L146" s="531">
        <f t="shared" si="14"/>
        <v>3.27E-2</v>
      </c>
      <c r="M146" s="167">
        <f>IF(M$46=15,C146,HLOOKUP($M$46,$D$46:$K$64,11,TRUE))</f>
        <v>3.27E-2</v>
      </c>
      <c r="N146" s="467">
        <f>IF(N$46=15,C146,HLOOKUP($N$46,$D$46:$K$64,11,TRUE))</f>
        <v>3.27E-2</v>
      </c>
      <c r="O146" s="33"/>
      <c r="P146" s="33"/>
      <c r="Q146" s="33"/>
      <c r="R146" s="33"/>
      <c r="S146" s="33"/>
      <c r="T146" s="33"/>
      <c r="U146" s="33"/>
      <c r="V146" s="33"/>
      <c r="W146" s="33"/>
    </row>
    <row r="147" spans="1:23" ht="30.6" customHeight="1" x14ac:dyDescent="0.25">
      <c r="A147" s="35" t="s">
        <v>436</v>
      </c>
      <c r="B147" s="544" t="str">
        <f t="shared" si="13"/>
        <v>Công trình nông nghiệp và phát triển nông thôn</v>
      </c>
      <c r="C147" s="80">
        <v>3.6299999999999999E-2</v>
      </c>
      <c r="D147" s="80">
        <v>2.4E-2</v>
      </c>
      <c r="E147" s="80">
        <v>1.83E-2</v>
      </c>
      <c r="F147" s="80">
        <v>1.44E-2</v>
      </c>
      <c r="G147" s="80">
        <v>1.11E-2</v>
      </c>
      <c r="H147" s="80">
        <v>8.3999999999999995E-3</v>
      </c>
      <c r="I147" s="80">
        <v>6.8999999999999999E-3</v>
      </c>
      <c r="J147" s="80">
        <v>5.1000000000000004E-3</v>
      </c>
      <c r="K147" s="80">
        <v>4.1999999999999997E-3</v>
      </c>
      <c r="L147" s="531">
        <f t="shared" si="14"/>
        <v>3.6299999999999999E-2</v>
      </c>
      <c r="M147" s="167">
        <f>IF(M$46=15,C147,HLOOKUP($M$46,$D$46:$K$64,12,TRUE))</f>
        <v>3.6299999999999999E-2</v>
      </c>
      <c r="N147" s="467">
        <f>IF(N$46=15,C147,HLOOKUP($N$46,$D$46:$K$64,12,TRUE))</f>
        <v>3.6299999999999999E-2</v>
      </c>
      <c r="O147" s="33"/>
      <c r="P147" s="33"/>
      <c r="Q147" s="33"/>
      <c r="R147" s="33"/>
      <c r="S147" s="33"/>
      <c r="T147" s="33"/>
      <c r="U147" s="33"/>
      <c r="V147" s="33"/>
      <c r="W147" s="33"/>
    </row>
    <row r="148" spans="1:23" ht="15.4" customHeight="1" x14ac:dyDescent="0.25">
      <c r="A148" s="35" t="s">
        <v>713</v>
      </c>
      <c r="B148" s="317" t="str">
        <f t="shared" si="13"/>
        <v>Công trình hạ tầng kỹ thuật</v>
      </c>
      <c r="C148" s="80">
        <v>3.78E-2</v>
      </c>
      <c r="D148" s="80">
        <v>2.5499999999999998E-2</v>
      </c>
      <c r="E148" s="80">
        <v>1.95E-2</v>
      </c>
      <c r="F148" s="80">
        <v>1.4999999999999999E-2</v>
      </c>
      <c r="G148" s="80">
        <v>1.17E-2</v>
      </c>
      <c r="H148" s="80">
        <v>8.9999999999999993E-3</v>
      </c>
      <c r="I148" s="80">
        <v>7.8E-2</v>
      </c>
      <c r="J148" s="80">
        <v>5.7000000000000002E-3</v>
      </c>
      <c r="K148" s="80">
        <v>5.1000000000000004E-3</v>
      </c>
      <c r="L148" s="531">
        <f t="shared" si="14"/>
        <v>3.78E-2</v>
      </c>
      <c r="M148" s="167">
        <f>IF(M$46=15,C148,HLOOKUP($M$46,$D$46:$K$64,13,TRUE))</f>
        <v>3.78E-2</v>
      </c>
      <c r="N148" s="467">
        <f>IF(N$46=15,C148,HLOOKUP($N$46,$D$46:$K$64,13,TRUE))</f>
        <v>3.78E-2</v>
      </c>
      <c r="O148" s="33"/>
      <c r="P148" s="33"/>
      <c r="Q148" s="33"/>
      <c r="R148" s="33"/>
      <c r="S148" s="33"/>
      <c r="T148" s="33"/>
      <c r="U148" s="33"/>
      <c r="V148" s="33"/>
      <c r="W148" s="33"/>
    </row>
    <row r="149" spans="1:23" ht="15" hidden="1" customHeight="1" x14ac:dyDescent="0.25">
      <c r="A149" s="33" t="s">
        <v>219</v>
      </c>
      <c r="B149" s="33"/>
      <c r="C149" s="33"/>
      <c r="D149" s="33"/>
      <c r="E149" s="33"/>
      <c r="F149" s="33"/>
      <c r="G149" s="33"/>
      <c r="H149" s="33"/>
      <c r="I149" s="33"/>
      <c r="J149" s="33"/>
      <c r="K149" s="33"/>
      <c r="L149" s="6">
        <f>IF(N$46=M$46,M149,ROUND(M149-((M149-N149)/(N$46-M$46))*(L$46-M$46),3))</f>
        <v>0</v>
      </c>
      <c r="M149" s="231">
        <f>IF(M$46=15,C149,HLOOKUP($M$46,$D$46:$K$52,6,TRUE))</f>
        <v>0</v>
      </c>
      <c r="N149" s="33"/>
      <c r="O149" s="33"/>
      <c r="P149" s="33"/>
      <c r="Q149" s="33"/>
      <c r="R149" s="33"/>
      <c r="S149" s="33"/>
      <c r="T149" s="33"/>
      <c r="U149" s="33"/>
      <c r="V149" s="33"/>
      <c r="W149" s="33"/>
    </row>
    <row r="150" spans="1:23" ht="15.4" customHeight="1"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row>
    <row r="151" spans="1:23" ht="15.4" customHeight="1" x14ac:dyDescent="0.25">
      <c r="A151" s="707" t="s">
        <v>866</v>
      </c>
      <c r="B151" s="707"/>
      <c r="C151" s="290"/>
      <c r="D151" s="290"/>
      <c r="E151" s="290"/>
      <c r="F151" s="290"/>
      <c r="G151" s="290"/>
      <c r="H151" s="290"/>
      <c r="I151" s="290"/>
      <c r="J151" s="290"/>
      <c r="K151" s="290"/>
      <c r="L151" s="290"/>
      <c r="M151" s="290"/>
      <c r="N151" s="290"/>
      <c r="O151" s="290"/>
      <c r="P151" s="33"/>
      <c r="Q151" s="33"/>
      <c r="R151" s="33"/>
      <c r="S151" s="33"/>
      <c r="T151" s="33"/>
      <c r="U151" s="33"/>
      <c r="V151" s="33"/>
      <c r="W151" s="33"/>
    </row>
    <row r="152" spans="1:23" ht="15.4" customHeight="1" x14ac:dyDescent="0.25">
      <c r="A152" s="33"/>
      <c r="B152" s="33"/>
      <c r="C152" s="33"/>
      <c r="D152" s="33"/>
      <c r="E152" s="33"/>
      <c r="F152" s="33"/>
      <c r="G152" s="33"/>
      <c r="H152" s="33"/>
      <c r="I152" s="606" t="s">
        <v>754</v>
      </c>
      <c r="J152" s="606"/>
      <c r="K152" s="606"/>
      <c r="L152" s="606"/>
      <c r="M152" s="575"/>
      <c r="N152" s="575"/>
      <c r="O152" s="33"/>
      <c r="P152" s="33"/>
      <c r="Q152" s="33"/>
      <c r="R152" s="33"/>
      <c r="S152" s="33"/>
      <c r="T152" s="33"/>
      <c r="U152" s="33"/>
      <c r="V152" s="33"/>
      <c r="W152" s="33"/>
    </row>
    <row r="153" spans="1:23" ht="15" hidden="1" customHeight="1" x14ac:dyDescent="0.25">
      <c r="A153" s="33" t="s">
        <v>714</v>
      </c>
      <c r="B153" s="33"/>
      <c r="C153" s="33"/>
      <c r="D153" s="33"/>
      <c r="E153" s="33"/>
      <c r="F153" s="33"/>
      <c r="G153" s="33"/>
      <c r="H153" s="33"/>
      <c r="I153" s="33"/>
      <c r="J153" s="33"/>
      <c r="K153" s="33" t="s">
        <v>300</v>
      </c>
      <c r="L153" s="33"/>
      <c r="M153" s="33"/>
      <c r="N153" s="33"/>
      <c r="O153" s="33"/>
      <c r="P153" s="33"/>
      <c r="Q153" s="33"/>
      <c r="R153" s="33"/>
      <c r="S153" s="33"/>
      <c r="T153" s="33"/>
      <c r="U153" s="33"/>
      <c r="V153" s="33"/>
      <c r="W153" s="33"/>
    </row>
    <row r="154" spans="1:23" ht="33" customHeight="1" x14ac:dyDescent="0.25">
      <c r="A154" s="708" t="s">
        <v>695</v>
      </c>
      <c r="B154" s="708" t="s">
        <v>106</v>
      </c>
      <c r="C154" s="709" t="s">
        <v>561</v>
      </c>
      <c r="D154" s="710"/>
      <c r="E154" s="710"/>
      <c r="F154" s="710"/>
      <c r="G154" s="710"/>
      <c r="H154" s="710"/>
      <c r="I154" s="710"/>
      <c r="J154" s="710"/>
      <c r="K154" s="710"/>
      <c r="L154" s="341" t="s">
        <v>378</v>
      </c>
      <c r="M154" s="562" t="s">
        <v>26</v>
      </c>
      <c r="N154" s="270" t="s">
        <v>510</v>
      </c>
      <c r="O154" s="33"/>
      <c r="P154" s="33"/>
      <c r="Q154" s="33"/>
      <c r="R154" s="33"/>
      <c r="S154" s="33"/>
      <c r="T154" s="33"/>
      <c r="U154" s="33"/>
      <c r="V154" s="33"/>
      <c r="W154" s="33"/>
    </row>
    <row r="155" spans="1:23" ht="15.4" customHeight="1" x14ac:dyDescent="0.25">
      <c r="A155" s="708"/>
      <c r="B155" s="708"/>
      <c r="C155" s="23" t="s">
        <v>310</v>
      </c>
      <c r="D155" s="23">
        <v>50</v>
      </c>
      <c r="E155" s="23">
        <v>100</v>
      </c>
      <c r="F155" s="23">
        <v>200</v>
      </c>
      <c r="G155" s="23">
        <v>500</v>
      </c>
      <c r="H155" s="36">
        <v>1000</v>
      </c>
      <c r="I155" s="36">
        <v>2000</v>
      </c>
      <c r="J155" s="36">
        <v>5000</v>
      </c>
      <c r="K155" s="36">
        <v>8000</v>
      </c>
      <c r="L155" s="341">
        <f>$C$1</f>
        <v>1.0711056214113099</v>
      </c>
      <c r="M155" s="562">
        <f>IF(L155&lt;D155,15,IF(L155&gt;K155,K155,HLOOKUP(L155,D155:K155,1)))</f>
        <v>15</v>
      </c>
      <c r="N155" s="270">
        <f>IF(L155&lt;15,15,IF(L155&lt;50,50,IF(L155&gt;K155,K155,INDEX(D155:K155,MATCH(L155,D155:K155,1)+1))))</f>
        <v>15</v>
      </c>
      <c r="O155" s="33"/>
      <c r="P155" s="33"/>
      <c r="Q155" s="33"/>
      <c r="R155" s="33"/>
      <c r="S155" s="33"/>
      <c r="T155" s="33"/>
      <c r="U155" s="33"/>
      <c r="V155" s="33"/>
      <c r="W155" s="33"/>
    </row>
    <row r="156" spans="1:23" ht="16.350000000000001" customHeight="1" x14ac:dyDescent="0.25">
      <c r="A156" s="723" t="s">
        <v>802</v>
      </c>
      <c r="B156" s="724"/>
      <c r="C156" s="724"/>
      <c r="D156" s="724"/>
      <c r="E156" s="724"/>
      <c r="F156" s="724"/>
      <c r="G156" s="724"/>
      <c r="H156" s="724"/>
      <c r="I156" s="724"/>
      <c r="J156" s="724"/>
      <c r="K156" s="725"/>
      <c r="L156" s="317"/>
      <c r="M156" s="317"/>
      <c r="N156" s="317"/>
      <c r="O156" s="33"/>
      <c r="P156" s="33"/>
      <c r="Q156" s="33"/>
      <c r="R156" s="33"/>
      <c r="S156" s="33"/>
      <c r="T156" s="33"/>
      <c r="U156" s="33"/>
      <c r="V156" s="33"/>
      <c r="W156" s="33"/>
    </row>
    <row r="157" spans="1:23" ht="15.4" customHeight="1" x14ac:dyDescent="0.25">
      <c r="A157" s="35" t="s">
        <v>750</v>
      </c>
      <c r="B157" s="317" t="str">
        <f t="shared" ref="B157:B161" si="15">B48</f>
        <v>Công trình dân dụng</v>
      </c>
      <c r="C157" s="15">
        <v>0.16</v>
      </c>
      <c r="D157" s="15">
        <v>0.106</v>
      </c>
      <c r="E157" s="15">
        <v>8.3000000000000004E-2</v>
      </c>
      <c r="F157" s="15">
        <v>6.2E-2</v>
      </c>
      <c r="G157" s="15">
        <v>4.5999999999999999E-2</v>
      </c>
      <c r="H157" s="15">
        <v>3.7999999999999999E-2</v>
      </c>
      <c r="I157" s="15">
        <v>2.8000000000000001E-2</v>
      </c>
      <c r="J157" s="15">
        <v>2.1000000000000001E-2</v>
      </c>
      <c r="K157" s="15">
        <v>1.7999999999999999E-2</v>
      </c>
      <c r="L157" s="6">
        <f t="shared" ref="L157:L161" si="16">IF(N$71=M$71,M157,ROUND(M157-((M157-N157)/(N$71-M$71))*(L$71-M$71),3))</f>
        <v>0.16</v>
      </c>
      <c r="M157" s="231">
        <f>IF(M$71=15,C157,HLOOKUP($M$71,$D$71:$K$83,3,TRUE))</f>
        <v>0.16</v>
      </c>
      <c r="N157" s="513">
        <f>IF(N$71=15,C157,HLOOKUP($N$71,$D$71:$K$83,3,TRUE))</f>
        <v>0.16</v>
      </c>
      <c r="O157" s="33"/>
      <c r="P157" s="33"/>
      <c r="Q157" s="33"/>
      <c r="R157" s="33"/>
      <c r="S157" s="33"/>
      <c r="T157" s="33"/>
      <c r="U157" s="33"/>
      <c r="V157" s="33"/>
      <c r="W157" s="33"/>
    </row>
    <row r="158" spans="1:23" ht="15.4" customHeight="1" x14ac:dyDescent="0.25">
      <c r="A158" s="35" t="s">
        <v>37</v>
      </c>
      <c r="B158" s="317" t="str">
        <f t="shared" si="15"/>
        <v>Công trình công nghiệp</v>
      </c>
      <c r="C158" s="15">
        <v>0.185</v>
      </c>
      <c r="D158" s="15">
        <v>0.121</v>
      </c>
      <c r="E158" s="15">
        <v>9.4E-2</v>
      </c>
      <c r="F158" s="15">
        <v>7.1999999999999995E-2</v>
      </c>
      <c r="G158" s="15">
        <v>5.5E-2</v>
      </c>
      <c r="H158" s="15">
        <v>4.1000000000000002E-2</v>
      </c>
      <c r="I158" s="15">
        <v>3.3000000000000002E-2</v>
      </c>
      <c r="J158" s="15">
        <v>2.3E-2</v>
      </c>
      <c r="K158" s="15">
        <v>0.02</v>
      </c>
      <c r="L158" s="6">
        <f t="shared" si="16"/>
        <v>0.185</v>
      </c>
      <c r="M158" s="231">
        <f>IF(M$71=15,C158,HLOOKUP($M$71,$D$71:$K$83,4,TRUE))</f>
        <v>0.185</v>
      </c>
      <c r="N158" s="513">
        <f>IF(N$71=15,C158,HLOOKUP($N$71,$D$71:$K$83,4,TRUE))</f>
        <v>0.185</v>
      </c>
      <c r="O158" s="33"/>
      <c r="P158" s="33"/>
      <c r="Q158" s="33"/>
      <c r="R158" s="33"/>
      <c r="S158" s="33"/>
      <c r="T158" s="33"/>
      <c r="U158" s="33"/>
      <c r="V158" s="33"/>
      <c r="W158" s="33"/>
    </row>
    <row r="159" spans="1:23" ht="15.4" customHeight="1" x14ac:dyDescent="0.25">
      <c r="A159" s="35" t="s">
        <v>323</v>
      </c>
      <c r="B159" s="317" t="str">
        <f t="shared" si="15"/>
        <v>Công trình giao thông</v>
      </c>
      <c r="C159" s="15">
        <v>0.106</v>
      </c>
      <c r="D159" s="15">
        <v>6.8000000000000005E-2</v>
      </c>
      <c r="E159" s="15">
        <v>5.3999999999999999E-2</v>
      </c>
      <c r="F159" s="15">
        <v>4.1000000000000002E-2</v>
      </c>
      <c r="G159" s="15">
        <v>3.1E-2</v>
      </c>
      <c r="H159" s="15">
        <v>2.4E-2</v>
      </c>
      <c r="I159" s="15">
        <v>0.02</v>
      </c>
      <c r="J159" s="15">
        <v>1.4E-2</v>
      </c>
      <c r="K159" s="15">
        <v>1.2E-2</v>
      </c>
      <c r="L159" s="6">
        <f t="shared" si="16"/>
        <v>0.106</v>
      </c>
      <c r="M159" s="231">
        <f>IF(M$71=15,C159,HLOOKUP($M$71,$D$71:$K$83,5,TRUE))</f>
        <v>0.106</v>
      </c>
      <c r="N159" s="513">
        <f>IF(N$71=15,C159,HLOOKUP($N$71,$D$71:$K$83,5,TRUE))</f>
        <v>0.106</v>
      </c>
      <c r="O159" s="33"/>
      <c r="P159" s="33"/>
      <c r="Q159" s="33"/>
      <c r="R159" s="33"/>
      <c r="S159" s="33"/>
      <c r="T159" s="33"/>
      <c r="U159" s="33"/>
      <c r="V159" s="33"/>
      <c r="W159" s="33"/>
    </row>
    <row r="160" spans="1:23" ht="30.6" customHeight="1" x14ac:dyDescent="0.25">
      <c r="A160" s="35" t="s">
        <v>610</v>
      </c>
      <c r="B160" s="544" t="str">
        <f t="shared" si="15"/>
        <v>Công trình nông nghiệp và phát triển nông thôn</v>
      </c>
      <c r="C160" s="15">
        <v>0.11700000000000001</v>
      </c>
      <c r="D160" s="15">
        <v>7.5999999999999998E-2</v>
      </c>
      <c r="E160" s="15">
        <v>0.06</v>
      </c>
      <c r="F160" s="15">
        <v>4.5999999999999999E-2</v>
      </c>
      <c r="G160" s="15">
        <v>3.5000000000000003E-2</v>
      </c>
      <c r="H160" s="15">
        <v>2.5999999999999999E-2</v>
      </c>
      <c r="I160" s="15">
        <v>2.1999999999999999E-2</v>
      </c>
      <c r="J160" s="15">
        <v>1.6E-2</v>
      </c>
      <c r="K160" s="15">
        <v>1.4E-2</v>
      </c>
      <c r="L160" s="172">
        <f t="shared" si="16"/>
        <v>0.11700000000000001</v>
      </c>
      <c r="M160" s="231">
        <f>IF(M$71=15,C160,HLOOKUP($M$71,$D$71:$K$83,6,TRUE))</f>
        <v>0.11700000000000001</v>
      </c>
      <c r="N160" s="513">
        <f>IF(N$71=15,C160,HLOOKUP($N$71,$D$71:$K$83,6,TRUE))</f>
        <v>0.11700000000000001</v>
      </c>
      <c r="O160" s="33"/>
      <c r="P160" s="33"/>
      <c r="Q160" s="33"/>
      <c r="R160" s="33"/>
      <c r="S160" s="33"/>
      <c r="T160" s="33"/>
      <c r="U160" s="33"/>
      <c r="V160" s="33"/>
      <c r="W160" s="33"/>
    </row>
    <row r="161" spans="1:23" ht="15.4" customHeight="1" x14ac:dyDescent="0.25">
      <c r="A161" s="35" t="s">
        <v>472</v>
      </c>
      <c r="B161" s="317" t="str">
        <f t="shared" si="15"/>
        <v>Công trình hạ tầng kỹ thuật</v>
      </c>
      <c r="C161" s="15">
        <v>0.122</v>
      </c>
      <c r="D161" s="15">
        <v>8.2000000000000003E-2</v>
      </c>
      <c r="E161" s="15">
        <v>6.2E-2</v>
      </c>
      <c r="F161" s="15">
        <v>4.7E-2</v>
      </c>
      <c r="G161" s="15">
        <v>3.6999999999999998E-2</v>
      </c>
      <c r="H161" s="15">
        <v>2.9000000000000001E-2</v>
      </c>
      <c r="I161" s="15">
        <v>2.4E-2</v>
      </c>
      <c r="J161" s="15">
        <v>1.7000000000000001E-2</v>
      </c>
      <c r="K161" s="15">
        <v>1.4E-2</v>
      </c>
      <c r="L161" s="6">
        <f t="shared" si="16"/>
        <v>0.122</v>
      </c>
      <c r="M161" s="231">
        <f>IF(M$71=15,C161,HLOOKUP($M$71,$D$71:$K$83,7,TRUE))</f>
        <v>0.122</v>
      </c>
      <c r="N161" s="513">
        <f>IF(N$71=15,C161,HLOOKUP($N$71,$D$71:$K$83,7,TRUE))</f>
        <v>0.122</v>
      </c>
      <c r="O161" s="33"/>
      <c r="P161" s="33"/>
      <c r="Q161" s="33"/>
      <c r="R161" s="33"/>
      <c r="S161" s="33"/>
      <c r="T161" s="33"/>
      <c r="U161" s="33"/>
      <c r="V161" s="33"/>
      <c r="W161" s="33"/>
    </row>
    <row r="162" spans="1:23" ht="292.89999999999998" customHeight="1" x14ac:dyDescent="0.25">
      <c r="A162" s="723" t="s">
        <v>674</v>
      </c>
      <c r="B162" s="724"/>
      <c r="C162" s="724"/>
      <c r="D162" s="724"/>
      <c r="E162" s="724"/>
      <c r="F162" s="724"/>
      <c r="G162" s="724"/>
      <c r="H162" s="724"/>
      <c r="I162" s="724"/>
      <c r="J162" s="724"/>
      <c r="K162" s="725"/>
      <c r="L162" s="317"/>
      <c r="M162" s="317"/>
      <c r="N162" s="317"/>
      <c r="O162" s="33"/>
      <c r="P162" s="33"/>
      <c r="Q162" s="33"/>
      <c r="R162" s="33"/>
      <c r="S162" s="33"/>
      <c r="T162" s="33"/>
      <c r="U162" s="33"/>
      <c r="V162" s="33"/>
      <c r="W162" s="33"/>
    </row>
    <row r="163" spans="1:23" ht="15.4" customHeight="1" x14ac:dyDescent="0.25">
      <c r="A163" s="35" t="s">
        <v>998</v>
      </c>
      <c r="B163" s="317" t="str">
        <f t="shared" ref="B163:B167" si="17">B48</f>
        <v>Công trình dân dụng</v>
      </c>
      <c r="C163" s="80">
        <v>4.8000000000000001E-2</v>
      </c>
      <c r="D163" s="80">
        <v>3.1800000000000002E-2</v>
      </c>
      <c r="E163" s="80">
        <v>2.4899999999999999E-2</v>
      </c>
      <c r="F163" s="80">
        <v>1.8599999999999998E-2</v>
      </c>
      <c r="G163" s="80">
        <v>1.38E-2</v>
      </c>
      <c r="H163" s="80">
        <v>1.14E-2</v>
      </c>
      <c r="I163" s="80">
        <v>8.3999999999999995E-3</v>
      </c>
      <c r="J163" s="80">
        <v>6.3E-3</v>
      </c>
      <c r="K163" s="80">
        <v>5.4000000000000003E-3</v>
      </c>
      <c r="L163" s="531">
        <f t="shared" ref="L163:L167" si="18">IF(N$71=M$71,M163,ROUND(M163-((M163-N163)/(N$71-M$71))*(L$71-M$71),4))</f>
        <v>4.8000000000000001E-2</v>
      </c>
      <c r="M163" s="167">
        <f>IF(M$71=15,C163,HLOOKUP($M$71,$D$71:$K$83,9,TRUE))</f>
        <v>4.8000000000000001E-2</v>
      </c>
      <c r="N163" s="467">
        <f>IF(N$71=15,C163,HLOOKUP($N$71,$D$71:$K$83,9,TRUE))</f>
        <v>4.8000000000000001E-2</v>
      </c>
      <c r="O163" s="33"/>
      <c r="P163" s="33"/>
      <c r="Q163" s="33"/>
      <c r="R163" s="33"/>
      <c r="S163" s="33"/>
      <c r="T163" s="33"/>
      <c r="U163" s="33"/>
      <c r="V163" s="33"/>
      <c r="W163" s="33"/>
    </row>
    <row r="164" spans="1:23" ht="15.4" customHeight="1" x14ac:dyDescent="0.25">
      <c r="A164" s="35" t="s">
        <v>278</v>
      </c>
      <c r="B164" s="317" t="str">
        <f t="shared" si="17"/>
        <v>Công trình công nghiệp</v>
      </c>
      <c r="C164" s="80">
        <v>5.5500000000000001E-2</v>
      </c>
      <c r="D164" s="80">
        <v>3.6299999999999999E-2</v>
      </c>
      <c r="E164" s="80">
        <v>2.8199999999999999E-2</v>
      </c>
      <c r="F164" s="80">
        <v>2.1600000000000001E-2</v>
      </c>
      <c r="G164" s="80">
        <v>1.6500000000000001E-2</v>
      </c>
      <c r="H164" s="80">
        <v>1.23E-2</v>
      </c>
      <c r="I164" s="80">
        <v>9.9000000000000008E-3</v>
      </c>
      <c r="J164" s="80">
        <v>6.8999999999999999E-3</v>
      </c>
      <c r="K164" s="80">
        <v>6.0000000000000001E-3</v>
      </c>
      <c r="L164" s="531">
        <f t="shared" si="18"/>
        <v>5.5500000000000001E-2</v>
      </c>
      <c r="M164" s="167">
        <f>IF(M$71=15,C164,HLOOKUP($M$71,$D$71:$K$83,10,TRUE))</f>
        <v>5.5500000000000001E-2</v>
      </c>
      <c r="N164" s="467">
        <f>IF(N$71=15,C164,HLOOKUP($N$71,$D$71:$K$83,10,TRUE))</f>
        <v>5.5500000000000001E-2</v>
      </c>
      <c r="O164" s="33"/>
      <c r="P164" s="33"/>
      <c r="Q164" s="33"/>
      <c r="R164" s="33"/>
      <c r="S164" s="33"/>
      <c r="T164" s="33"/>
      <c r="U164" s="33"/>
      <c r="V164" s="33"/>
      <c r="W164" s="33"/>
    </row>
    <row r="165" spans="1:23" ht="15.4" customHeight="1" x14ac:dyDescent="0.25">
      <c r="A165" s="35" t="s">
        <v>150</v>
      </c>
      <c r="B165" s="317" t="str">
        <f t="shared" si="17"/>
        <v>Công trình giao thông</v>
      </c>
      <c r="C165" s="80">
        <v>3.1800000000000002E-2</v>
      </c>
      <c r="D165" s="80">
        <v>2.0400000000000001E-2</v>
      </c>
      <c r="E165" s="80">
        <v>1.6199999999999999E-2</v>
      </c>
      <c r="F165" s="80">
        <v>1.23E-2</v>
      </c>
      <c r="G165" s="80">
        <v>9.2999999999999992E-3</v>
      </c>
      <c r="H165" s="80">
        <v>7.1999999999999998E-3</v>
      </c>
      <c r="I165" s="80">
        <v>6.0000000000000001E-3</v>
      </c>
      <c r="J165" s="80">
        <v>4.1999999999999997E-3</v>
      </c>
      <c r="K165" s="80">
        <v>3.5999999999999999E-3</v>
      </c>
      <c r="L165" s="531">
        <f t="shared" si="18"/>
        <v>3.1800000000000002E-2</v>
      </c>
      <c r="M165" s="167">
        <f>IF(M$71=15,C165,HLOOKUP($M$71,$D$71:$K$83,11,TRUE))</f>
        <v>3.1800000000000002E-2</v>
      </c>
      <c r="N165" s="467">
        <f>IF(N$71=15,C165,HLOOKUP($N$71,$D$71:$K$83,11,TRUE))</f>
        <v>3.1800000000000002E-2</v>
      </c>
      <c r="O165" s="33"/>
      <c r="P165" s="33"/>
      <c r="Q165" s="33"/>
      <c r="R165" s="33"/>
      <c r="S165" s="33"/>
      <c r="T165" s="33"/>
      <c r="U165" s="33"/>
      <c r="V165" s="33"/>
      <c r="W165" s="33"/>
    </row>
    <row r="166" spans="1:23" ht="30.6" customHeight="1" x14ac:dyDescent="0.25">
      <c r="A166" s="35" t="s">
        <v>436</v>
      </c>
      <c r="B166" s="544" t="str">
        <f t="shared" si="17"/>
        <v>Công trình nông nghiệp và phát triển nông thôn</v>
      </c>
      <c r="C166" s="80">
        <v>3.5099999999999999E-2</v>
      </c>
      <c r="D166" s="80">
        <v>2.2800000000000001E-2</v>
      </c>
      <c r="E166" s="80">
        <v>1.7999999999999999E-2</v>
      </c>
      <c r="F166" s="80">
        <v>1.38E-2</v>
      </c>
      <c r="G166" s="80">
        <v>1.0500000000000001E-2</v>
      </c>
      <c r="H166" s="80">
        <v>7.7999999999999996E-3</v>
      </c>
      <c r="I166" s="80">
        <v>6.6E-3</v>
      </c>
      <c r="J166" s="80">
        <v>4.7999999999999996E-3</v>
      </c>
      <c r="K166" s="80">
        <v>4.1999999999999997E-3</v>
      </c>
      <c r="L166" s="531">
        <f t="shared" si="18"/>
        <v>3.5099999999999999E-2</v>
      </c>
      <c r="M166" s="167">
        <f>IF(M$71=15,C166,HLOOKUP($M$71,$D$71:$K$83,12,TRUE))</f>
        <v>3.5099999999999999E-2</v>
      </c>
      <c r="N166" s="467">
        <f>IF(N$71=15,C166,HLOOKUP($N$71,$D$71:$K$83,12,TRUE))</f>
        <v>3.5099999999999999E-2</v>
      </c>
      <c r="O166" s="33"/>
      <c r="P166" s="33"/>
      <c r="Q166" s="33"/>
      <c r="R166" s="33"/>
      <c r="S166" s="33"/>
      <c r="T166" s="33"/>
      <c r="U166" s="33"/>
      <c r="V166" s="33"/>
      <c r="W166" s="33"/>
    </row>
    <row r="167" spans="1:23" ht="15.4" customHeight="1" x14ac:dyDescent="0.25">
      <c r="A167" s="35" t="s">
        <v>713</v>
      </c>
      <c r="B167" s="317" t="str">
        <f t="shared" si="17"/>
        <v>Công trình hạ tầng kỹ thuật</v>
      </c>
      <c r="C167" s="80">
        <v>3.6600000000000001E-2</v>
      </c>
      <c r="D167" s="80">
        <v>2.46E-2</v>
      </c>
      <c r="E167" s="80">
        <v>1.8599999999999998E-2</v>
      </c>
      <c r="F167" s="80">
        <v>1.41E-2</v>
      </c>
      <c r="G167" s="80">
        <v>1.11E-2</v>
      </c>
      <c r="H167" s="80">
        <v>8.6999999999999994E-3</v>
      </c>
      <c r="I167" s="80">
        <v>7.1999999999999998E-3</v>
      </c>
      <c r="J167" s="80">
        <v>5.1000000000000004E-3</v>
      </c>
      <c r="K167" s="80">
        <v>4.1999999999999997E-3</v>
      </c>
      <c r="L167" s="531">
        <f t="shared" si="18"/>
        <v>3.6600000000000001E-2</v>
      </c>
      <c r="M167" s="167">
        <f>IF(M$71=15,C167,HLOOKUP($M$71,$D$71:$K$83,13,TRUE))</f>
        <v>3.6600000000000001E-2</v>
      </c>
      <c r="N167" s="467">
        <f>IF(N$71=15,C167,HLOOKUP($N$71,$D$71:$K$83,13,TRUE))</f>
        <v>3.6600000000000001E-2</v>
      </c>
      <c r="O167" s="33"/>
      <c r="P167" s="33"/>
      <c r="Q167" s="33"/>
      <c r="R167" s="33"/>
      <c r="S167" s="33"/>
      <c r="T167" s="33"/>
      <c r="U167" s="33"/>
      <c r="V167" s="33"/>
      <c r="W167" s="33"/>
    </row>
    <row r="168" spans="1:23" ht="15" hidden="1" customHeight="1" x14ac:dyDescent="0.25">
      <c r="A168" s="33" t="s">
        <v>404</v>
      </c>
      <c r="B168" s="33"/>
      <c r="C168" s="33"/>
      <c r="D168" s="33"/>
      <c r="E168" s="33"/>
      <c r="F168" s="33"/>
      <c r="G168" s="33"/>
      <c r="H168" s="33"/>
      <c r="I168" s="33"/>
      <c r="J168" s="33"/>
      <c r="K168" s="33"/>
      <c r="L168" s="33"/>
      <c r="M168" s="231">
        <f>IF(M$71=15,C168,HLOOKUP($M$71,$D$71:$K$83,2,TRUE))</f>
        <v>0</v>
      </c>
      <c r="N168" s="33"/>
      <c r="O168" s="33"/>
      <c r="P168" s="33"/>
      <c r="Q168" s="33"/>
      <c r="R168" s="33"/>
      <c r="S168" s="33"/>
      <c r="T168" s="33"/>
      <c r="U168" s="33"/>
      <c r="V168" s="33"/>
      <c r="W168" s="33"/>
    </row>
    <row r="169" spans="1:23" ht="15.4" customHeight="1"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row>
    <row r="170" spans="1:23" ht="15.4" customHeight="1"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row>
    <row r="171" spans="1:23" ht="15.4" customHeight="1" x14ac:dyDescent="0.25">
      <c r="A171" s="606" t="s">
        <v>926</v>
      </c>
      <c r="B171" s="606"/>
      <c r="C171" s="606"/>
      <c r="D171" s="606"/>
      <c r="E171" s="606"/>
      <c r="F171" s="606"/>
      <c r="G171" s="606"/>
      <c r="H171" s="606"/>
      <c r="I171" s="606"/>
      <c r="J171" s="606"/>
      <c r="K171" s="606"/>
      <c r="L171" s="606"/>
      <c r="M171" s="606"/>
      <c r="N171" s="606"/>
      <c r="O171" s="33"/>
      <c r="P171" s="33"/>
      <c r="Q171" s="33"/>
      <c r="R171" s="33"/>
      <c r="S171" s="33"/>
      <c r="T171" s="33"/>
      <c r="U171" s="33"/>
      <c r="V171" s="33"/>
      <c r="W171" s="33"/>
    </row>
    <row r="172" spans="1:23" ht="15.4" customHeight="1" x14ac:dyDescent="0.25">
      <c r="A172" s="606" t="s">
        <v>860</v>
      </c>
      <c r="B172" s="606"/>
      <c r="C172" s="606"/>
      <c r="D172" s="606"/>
      <c r="E172" s="606"/>
      <c r="F172" s="606"/>
      <c r="G172" s="606"/>
      <c r="H172" s="606"/>
      <c r="I172" s="606"/>
      <c r="J172" s="606"/>
      <c r="K172" s="606"/>
      <c r="L172" s="606"/>
      <c r="M172" s="606"/>
      <c r="N172" s="606"/>
      <c r="O172" s="33"/>
      <c r="P172" s="33"/>
      <c r="Q172" s="33"/>
      <c r="R172" s="33"/>
      <c r="S172" s="33"/>
      <c r="T172" s="33"/>
      <c r="U172" s="33"/>
      <c r="V172" s="33"/>
      <c r="W172" s="33"/>
    </row>
    <row r="173" spans="1:23" ht="15.4" customHeight="1"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row>
    <row r="174" spans="1:23" ht="15.4" customHeight="1" x14ac:dyDescent="0.25">
      <c r="A174" s="707" t="s">
        <v>947</v>
      </c>
      <c r="B174" s="707"/>
      <c r="C174" s="707"/>
      <c r="D174" s="707"/>
      <c r="E174" s="707"/>
      <c r="F174" s="707"/>
      <c r="G174" s="707"/>
      <c r="H174" s="33"/>
      <c r="I174" s="33"/>
      <c r="J174" s="33"/>
      <c r="K174" s="33"/>
      <c r="L174" s="33"/>
      <c r="M174" s="33"/>
      <c r="N174" s="33"/>
      <c r="O174" s="33"/>
      <c r="P174" s="33"/>
      <c r="Q174" s="33"/>
      <c r="R174" s="33"/>
      <c r="S174" s="33"/>
      <c r="T174" s="33"/>
      <c r="U174" s="33"/>
      <c r="V174" s="33"/>
      <c r="W174" s="33"/>
    </row>
    <row r="175" spans="1:23" ht="15.4" customHeight="1" x14ac:dyDescent="0.25">
      <c r="A175" s="33"/>
      <c r="B175" s="33"/>
      <c r="C175" s="33"/>
      <c r="D175" s="33"/>
      <c r="E175" s="33"/>
      <c r="F175" s="33"/>
      <c r="G175" s="33"/>
      <c r="H175" s="33"/>
      <c r="I175" s="33"/>
      <c r="J175" s="33"/>
      <c r="K175" s="704" t="s">
        <v>754</v>
      </c>
      <c r="L175" s="704"/>
      <c r="M175" s="704"/>
      <c r="N175" s="704"/>
      <c r="O175" s="33"/>
      <c r="P175" s="33"/>
      <c r="Q175" s="33"/>
      <c r="R175" s="33"/>
      <c r="S175" s="33"/>
      <c r="T175" s="33"/>
      <c r="U175" s="33"/>
      <c r="V175" s="33"/>
      <c r="W175" s="33"/>
    </row>
    <row r="176" spans="1:23" ht="15" hidden="1" customHeight="1" x14ac:dyDescent="0.25">
      <c r="A176" s="33" t="s">
        <v>493</v>
      </c>
      <c r="B176" s="33"/>
      <c r="C176" s="33"/>
      <c r="D176" s="33"/>
      <c r="E176" s="33"/>
      <c r="F176" s="33"/>
      <c r="G176" s="33"/>
      <c r="H176" s="33"/>
      <c r="I176" s="33"/>
      <c r="J176" s="33"/>
      <c r="K176" s="33"/>
      <c r="L176" s="33"/>
      <c r="M176" s="33"/>
      <c r="N176" s="33" t="s">
        <v>300</v>
      </c>
      <c r="O176" s="33"/>
      <c r="P176" s="33"/>
      <c r="Q176" s="33"/>
      <c r="R176" s="33"/>
      <c r="S176" s="33"/>
      <c r="T176" s="33"/>
      <c r="U176" s="33"/>
      <c r="V176" s="33"/>
      <c r="W176" s="33"/>
    </row>
    <row r="177" spans="1:23" ht="15.4" customHeight="1" x14ac:dyDescent="0.25">
      <c r="A177" s="705" t="s">
        <v>695</v>
      </c>
      <c r="B177" s="705" t="s">
        <v>106</v>
      </c>
      <c r="C177" s="705" t="s">
        <v>991</v>
      </c>
      <c r="D177" s="705"/>
      <c r="E177" s="705"/>
      <c r="F177" s="705"/>
      <c r="G177" s="705"/>
      <c r="H177" s="705"/>
      <c r="I177" s="705"/>
      <c r="J177" s="705"/>
      <c r="K177" s="705"/>
      <c r="L177" s="705"/>
      <c r="M177" s="705"/>
      <c r="N177" s="705"/>
      <c r="O177" s="158" t="s">
        <v>378</v>
      </c>
      <c r="P177" s="404" t="s">
        <v>26</v>
      </c>
      <c r="Q177" s="95" t="s">
        <v>510</v>
      </c>
      <c r="R177" s="46"/>
      <c r="S177" s="46"/>
      <c r="T177" s="46"/>
      <c r="U177" s="46"/>
      <c r="V177" s="46"/>
      <c r="W177" s="46"/>
    </row>
    <row r="178" spans="1:23" ht="15.4" customHeight="1" x14ac:dyDescent="0.25">
      <c r="A178" s="705"/>
      <c r="B178" s="705"/>
      <c r="C178" s="169" t="s">
        <v>301</v>
      </c>
      <c r="D178" s="169">
        <v>20</v>
      </c>
      <c r="E178" s="169">
        <v>50</v>
      </c>
      <c r="F178" s="169">
        <v>100</v>
      </c>
      <c r="G178" s="169">
        <v>200</v>
      </c>
      <c r="H178" s="169">
        <v>500</v>
      </c>
      <c r="I178" s="332">
        <v>1000</v>
      </c>
      <c r="J178" s="332">
        <v>2000</v>
      </c>
      <c r="K178" s="332">
        <v>5000</v>
      </c>
      <c r="L178" s="332">
        <v>10000</v>
      </c>
      <c r="M178" s="332">
        <v>20000</v>
      </c>
      <c r="N178" s="332">
        <v>30000</v>
      </c>
      <c r="O178" s="158">
        <f>$C$1+$C$2</f>
        <v>1.0711056214113099</v>
      </c>
      <c r="P178" s="404">
        <f>IF(O178&lt;D178,10,IF(O178&gt;N178,N178,HLOOKUP(O178,D178:N178,1)))</f>
        <v>10</v>
      </c>
      <c r="Q178" s="95">
        <f>IF(O178&lt;10,10,IF(O178&lt;20,20,IF(O178&gt;N178,N178,INDEX(D178:N178,MATCH(O178,D178:N178,1)+1))))</f>
        <v>10</v>
      </c>
      <c r="R178" s="46"/>
      <c r="S178" s="46"/>
      <c r="T178" s="46"/>
      <c r="U178" s="46"/>
      <c r="V178" s="46"/>
      <c r="W178" s="46"/>
    </row>
    <row r="179" spans="1:23" ht="15.4" customHeight="1" x14ac:dyDescent="0.25">
      <c r="A179" s="284">
        <v>1</v>
      </c>
      <c r="B179" s="111" t="str">
        <f t="shared" ref="B179:B183" si="19">B48</f>
        <v>Công trình dân dụng</v>
      </c>
      <c r="C179" s="264">
        <v>3.4460000000000002</v>
      </c>
      <c r="D179" s="264">
        <v>2.923</v>
      </c>
      <c r="E179" s="264">
        <v>2.61</v>
      </c>
      <c r="F179" s="264">
        <v>2.0169999999999999</v>
      </c>
      <c r="G179" s="264">
        <v>1.8859999999999999</v>
      </c>
      <c r="H179" s="264">
        <v>1.514</v>
      </c>
      <c r="I179" s="264">
        <v>1.2390000000000001</v>
      </c>
      <c r="J179" s="264">
        <v>0.95799999999999996</v>
      </c>
      <c r="K179" s="264">
        <v>0.71099999999999997</v>
      </c>
      <c r="L179" s="264">
        <v>0.51</v>
      </c>
      <c r="M179" s="264">
        <v>0.38100000000000001</v>
      </c>
      <c r="N179" s="264">
        <v>0.30499999999999999</v>
      </c>
      <c r="O179" s="252">
        <f t="shared" ref="O179:O183" si="20">IF(Q$178=P$178,P179,ROUND(P179-((P179-Q179)/(Q$178-P$178))*(O$178-P$178),3))</f>
        <v>3.4460000000000002</v>
      </c>
      <c r="P179" s="477">
        <f>IF(P$178=10,C179,HLOOKUP($P$178,$D$178:$N$183,2,TRUE))</f>
        <v>3.4460000000000002</v>
      </c>
      <c r="Q179" s="170">
        <f>IF(Q$178=10,C179,HLOOKUP($Q$178,$D$178:$N$183,2,TRUE))</f>
        <v>3.4460000000000002</v>
      </c>
      <c r="R179" s="46"/>
      <c r="S179" s="46"/>
      <c r="T179" s="46"/>
      <c r="U179" s="46"/>
      <c r="V179" s="46"/>
      <c r="W179" s="46"/>
    </row>
    <row r="180" spans="1:23" ht="15.4" customHeight="1" x14ac:dyDescent="0.25">
      <c r="A180" s="284">
        <v>2</v>
      </c>
      <c r="B180" s="111" t="str">
        <f t="shared" si="19"/>
        <v>Công trình công nghiệp</v>
      </c>
      <c r="C180" s="264">
        <v>3.5569999999999999</v>
      </c>
      <c r="D180" s="264">
        <v>3.0179999999999998</v>
      </c>
      <c r="E180" s="264">
        <v>2.694</v>
      </c>
      <c r="F180" s="264">
        <v>2.0819999999999999</v>
      </c>
      <c r="G180" s="264">
        <v>1.9470000000000001</v>
      </c>
      <c r="H180" s="264">
        <v>1.5640000000000001</v>
      </c>
      <c r="I180" s="264">
        <v>1.2789999999999999</v>
      </c>
      <c r="J180" s="264">
        <v>1.103</v>
      </c>
      <c r="K180" s="264">
        <v>0.73399999999999999</v>
      </c>
      <c r="L180" s="264">
        <v>0.52700000000000002</v>
      </c>
      <c r="M180" s="264">
        <v>0.39300000000000002</v>
      </c>
      <c r="N180" s="264">
        <v>0.314</v>
      </c>
      <c r="O180" s="252">
        <f t="shared" si="20"/>
        <v>3.5569999999999999</v>
      </c>
      <c r="P180" s="477">
        <f>IF(P$178=10,C180,HLOOKUP($P$178,$D$178:$N$183,3,TRUE))</f>
        <v>3.5569999999999999</v>
      </c>
      <c r="Q180" s="170">
        <f>IF(Q$178=10,C180,HLOOKUP($Q$178,$D$178:$N$183,3,TRUE))</f>
        <v>3.5569999999999999</v>
      </c>
      <c r="R180" s="46"/>
      <c r="S180" s="46"/>
      <c r="T180" s="46"/>
      <c r="U180" s="46"/>
      <c r="V180" s="46"/>
      <c r="W180" s="46"/>
    </row>
    <row r="181" spans="1:23" ht="15.4" customHeight="1" x14ac:dyDescent="0.25">
      <c r="A181" s="284">
        <v>3</v>
      </c>
      <c r="B181" s="111" t="str">
        <f t="shared" si="19"/>
        <v>Công trình giao thông</v>
      </c>
      <c r="C181" s="264">
        <v>3.024</v>
      </c>
      <c r="D181" s="264">
        <v>2.5659999999999998</v>
      </c>
      <c r="E181" s="264">
        <v>2.2919999999999998</v>
      </c>
      <c r="F181" s="264">
        <v>1.7709999999999999</v>
      </c>
      <c r="G181" s="264">
        <v>1.655</v>
      </c>
      <c r="H181" s="264">
        <v>1.329</v>
      </c>
      <c r="I181" s="264">
        <v>1.0880000000000001</v>
      </c>
      <c r="J181" s="264">
        <v>0.93700000000000006</v>
      </c>
      <c r="K181" s="264">
        <v>0.624</v>
      </c>
      <c r="L181" s="264">
        <v>0.44800000000000001</v>
      </c>
      <c r="M181" s="264">
        <v>0.33500000000000002</v>
      </c>
      <c r="N181" s="264">
        <v>0.26800000000000002</v>
      </c>
      <c r="O181" s="252">
        <f t="shared" si="20"/>
        <v>3.024</v>
      </c>
      <c r="P181" s="477">
        <f>IF(P$178=10,C181,HLOOKUP($P$178,$D$178:$N$183,4,TRUE))</f>
        <v>3.024</v>
      </c>
      <c r="Q181" s="170">
        <f>IF(Q$178=10,C181,HLOOKUP($Q$178,$D$178:$N$183,4,TRUE))</f>
        <v>3.024</v>
      </c>
      <c r="R181" s="46"/>
      <c r="S181" s="46"/>
      <c r="T181" s="46"/>
      <c r="U181" s="46"/>
      <c r="V181" s="46"/>
      <c r="W181" s="46"/>
    </row>
    <row r="182" spans="1:23" ht="15.4" customHeight="1" x14ac:dyDescent="0.25">
      <c r="A182" s="284">
        <v>4</v>
      </c>
      <c r="B182" s="111" t="str">
        <f t="shared" si="19"/>
        <v>Công trình nông nghiệp và phát triển nông thôn</v>
      </c>
      <c r="C182" s="264">
        <v>3.2629999999999999</v>
      </c>
      <c r="D182" s="264">
        <v>2.7690000000000001</v>
      </c>
      <c r="E182" s="264">
        <v>2.4729999999999999</v>
      </c>
      <c r="F182" s="264">
        <v>1.91</v>
      </c>
      <c r="G182" s="264">
        <v>1.786</v>
      </c>
      <c r="H182" s="264">
        <v>1.4339999999999999</v>
      </c>
      <c r="I182" s="264">
        <v>1.1739999999999999</v>
      </c>
      <c r="J182" s="264">
        <v>1.012</v>
      </c>
      <c r="K182" s="264">
        <v>0.67400000000000004</v>
      </c>
      <c r="L182" s="264">
        <v>0.48399999999999999</v>
      </c>
      <c r="M182" s="264">
        <v>0.36099999999999999</v>
      </c>
      <c r="N182" s="264">
        <v>0.28899999999999998</v>
      </c>
      <c r="O182" s="252">
        <f t="shared" si="20"/>
        <v>3.2629999999999999</v>
      </c>
      <c r="P182" s="477">
        <f>IF(P$178=10,C182,HLOOKUP($P$178,$D$178:$N$183,5,TRUE))</f>
        <v>3.2629999999999999</v>
      </c>
      <c r="Q182" s="170">
        <f>IF(Q$178=10,C182,HLOOKUP($Q$178,$D$178:$N$183,5,TRUE))</f>
        <v>3.2629999999999999</v>
      </c>
      <c r="R182" s="46"/>
      <c r="S182" s="46"/>
      <c r="T182" s="46"/>
      <c r="U182" s="46"/>
      <c r="V182" s="46"/>
      <c r="W182" s="46"/>
    </row>
    <row r="183" spans="1:23" ht="15.4" customHeight="1" x14ac:dyDescent="0.25">
      <c r="A183" s="284">
        <v>5</v>
      </c>
      <c r="B183" s="111" t="str">
        <f t="shared" si="19"/>
        <v>Công trình hạ tầng kỹ thuật</v>
      </c>
      <c r="C183" s="264">
        <v>2.9009999999999998</v>
      </c>
      <c r="D183" s="264">
        <v>2.4609999999999999</v>
      </c>
      <c r="E183" s="264">
        <v>2.198</v>
      </c>
      <c r="F183" s="264">
        <v>1.593</v>
      </c>
      <c r="G183" s="264">
        <v>1.56</v>
      </c>
      <c r="H183" s="264">
        <v>1.2749999999999999</v>
      </c>
      <c r="I183" s="264">
        <v>1.071</v>
      </c>
      <c r="J183" s="264">
        <v>0.89900000000000002</v>
      </c>
      <c r="K183" s="264">
        <v>0.59899999999999998</v>
      </c>
      <c r="L183" s="264">
        <v>0.42899999999999999</v>
      </c>
      <c r="M183" s="264">
        <v>0.32100000000000001</v>
      </c>
      <c r="N183" s="264">
        <v>0.25700000000000001</v>
      </c>
      <c r="O183" s="252">
        <f t="shared" si="20"/>
        <v>2.9009999999999998</v>
      </c>
      <c r="P183" s="477">
        <f>IF(P$178=10,C183,HLOOKUP($P$178,$D$178:$N$183,6,TRUE))</f>
        <v>2.9009999999999998</v>
      </c>
      <c r="Q183" s="170">
        <f>IF(Q$178=10,C183,HLOOKUP($Q$178,$D$178:$N$183,6,TRUE))</f>
        <v>2.9009999999999998</v>
      </c>
      <c r="R183" s="46"/>
      <c r="S183" s="46"/>
      <c r="T183" s="46"/>
      <c r="U183" s="46"/>
      <c r="V183" s="46"/>
      <c r="W183" s="46"/>
    </row>
    <row r="184" spans="1:23" ht="15" hidden="1" customHeight="1" x14ac:dyDescent="0.25">
      <c r="A184" s="33" t="s">
        <v>173</v>
      </c>
      <c r="B184" s="33"/>
      <c r="C184" s="33"/>
      <c r="D184" s="33"/>
      <c r="E184" s="33"/>
      <c r="F184" s="33"/>
      <c r="G184" s="33"/>
      <c r="H184" s="33"/>
      <c r="I184" s="33"/>
      <c r="J184" s="33"/>
      <c r="K184" s="33"/>
      <c r="L184" s="33"/>
      <c r="M184" s="33"/>
      <c r="N184" s="33"/>
      <c r="O184" s="33"/>
      <c r="P184" s="33"/>
      <c r="Q184" s="424"/>
      <c r="R184" s="33"/>
      <c r="S184" s="33"/>
      <c r="T184" s="33"/>
      <c r="U184" s="33"/>
      <c r="V184" s="33"/>
      <c r="W184" s="33"/>
    </row>
    <row r="185" spans="1:23" ht="15.4" customHeight="1"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row>
    <row r="186" spans="1:23" ht="15.4" customHeight="1" x14ac:dyDescent="0.25">
      <c r="A186" s="703" t="s">
        <v>343</v>
      </c>
      <c r="B186" s="703"/>
      <c r="C186" s="703"/>
      <c r="D186" s="703"/>
      <c r="E186" s="703"/>
      <c r="F186" s="703"/>
      <c r="G186" s="703"/>
      <c r="H186" s="33"/>
      <c r="I186" s="33"/>
      <c r="J186" s="33"/>
      <c r="K186" s="33"/>
      <c r="L186" s="33"/>
      <c r="M186" s="33"/>
      <c r="N186" s="33"/>
      <c r="O186" s="33"/>
      <c r="P186" s="33"/>
      <c r="Q186" s="33"/>
      <c r="R186" s="33"/>
      <c r="S186" s="33"/>
      <c r="T186" s="33"/>
      <c r="U186" s="33"/>
      <c r="V186" s="33"/>
      <c r="W186" s="33"/>
    </row>
    <row r="187" spans="1:23" ht="15.4" customHeight="1" x14ac:dyDescent="0.25">
      <c r="A187" s="33"/>
      <c r="B187" s="33"/>
      <c r="C187" s="33"/>
      <c r="D187" s="33"/>
      <c r="E187" s="33"/>
      <c r="F187" s="33"/>
      <c r="G187" s="33"/>
      <c r="H187" s="33"/>
      <c r="I187" s="33"/>
      <c r="J187" s="33"/>
      <c r="K187" s="704" t="s">
        <v>754</v>
      </c>
      <c r="L187" s="704"/>
      <c r="M187" s="704"/>
      <c r="N187" s="704"/>
      <c r="O187" s="33"/>
      <c r="P187" s="33"/>
      <c r="Q187" s="33"/>
      <c r="R187" s="33"/>
      <c r="S187" s="33"/>
      <c r="T187" s="33"/>
      <c r="U187" s="33"/>
      <c r="V187" s="33"/>
      <c r="W187" s="33"/>
    </row>
    <row r="188" spans="1:23" ht="15" hidden="1" customHeight="1" x14ac:dyDescent="0.25">
      <c r="A188" s="33" t="s">
        <v>17</v>
      </c>
      <c r="B188" s="33"/>
      <c r="C188" s="33"/>
      <c r="D188" s="33"/>
      <c r="E188" s="33"/>
      <c r="F188" s="33"/>
      <c r="G188" s="33"/>
      <c r="H188" s="33"/>
      <c r="I188" s="33"/>
      <c r="J188" s="33"/>
      <c r="K188" s="33"/>
      <c r="L188" s="33"/>
      <c r="M188" s="33"/>
      <c r="N188" s="33" t="s">
        <v>300</v>
      </c>
      <c r="O188" s="33"/>
      <c r="P188" s="33"/>
      <c r="Q188" s="33"/>
      <c r="R188" s="33"/>
      <c r="S188" s="33"/>
      <c r="T188" s="33"/>
      <c r="U188" s="33"/>
      <c r="V188" s="33"/>
      <c r="W188" s="33"/>
    </row>
    <row r="189" spans="1:23" ht="15.4" customHeight="1" x14ac:dyDescent="0.25">
      <c r="A189" s="705" t="s">
        <v>695</v>
      </c>
      <c r="B189" s="705" t="s">
        <v>106</v>
      </c>
      <c r="C189" s="705" t="s">
        <v>991</v>
      </c>
      <c r="D189" s="705"/>
      <c r="E189" s="705"/>
      <c r="F189" s="705"/>
      <c r="G189" s="705"/>
      <c r="H189" s="705"/>
      <c r="I189" s="705"/>
      <c r="J189" s="705"/>
      <c r="K189" s="705"/>
      <c r="L189" s="705"/>
      <c r="M189" s="705"/>
      <c r="N189" s="705"/>
      <c r="O189" s="158" t="s">
        <v>378</v>
      </c>
      <c r="P189" s="404" t="s">
        <v>26</v>
      </c>
      <c r="Q189" s="95" t="s">
        <v>510</v>
      </c>
      <c r="R189" s="46"/>
      <c r="S189" s="46"/>
      <c r="T189" s="46"/>
      <c r="U189" s="46"/>
      <c r="V189" s="46"/>
      <c r="W189" s="46"/>
    </row>
    <row r="190" spans="1:23" ht="15.4" customHeight="1" x14ac:dyDescent="0.25">
      <c r="A190" s="705"/>
      <c r="B190" s="705"/>
      <c r="C190" s="169" t="s">
        <v>310</v>
      </c>
      <c r="D190" s="169">
        <v>20</v>
      </c>
      <c r="E190" s="169">
        <v>50</v>
      </c>
      <c r="F190" s="169">
        <v>100</v>
      </c>
      <c r="G190" s="169">
        <v>200</v>
      </c>
      <c r="H190" s="169">
        <v>500</v>
      </c>
      <c r="I190" s="332">
        <v>1000</v>
      </c>
      <c r="J190" s="332">
        <v>2000</v>
      </c>
      <c r="K190" s="332">
        <v>5000</v>
      </c>
      <c r="L190" s="332">
        <v>10000</v>
      </c>
      <c r="M190" s="332">
        <v>20000</v>
      </c>
      <c r="N190" s="332">
        <v>30000</v>
      </c>
      <c r="O190" s="158">
        <f>$C$1+$C$2</f>
        <v>1.0711056214113099</v>
      </c>
      <c r="P190" s="404">
        <f>IF(O190&lt;D190,15,IF(O190&gt;N190,N190,HLOOKUP(O190,D190:N190,1)))</f>
        <v>15</v>
      </c>
      <c r="Q190" s="95">
        <f>IF(O190&lt;15,15,IF(O190&lt;20,20,IF(O190&gt;N190,N190,INDEX(D190:N190,MATCH(O190,D190:N190,1)+1))))</f>
        <v>15</v>
      </c>
      <c r="R190" s="46"/>
      <c r="S190" s="46"/>
      <c r="T190" s="46"/>
      <c r="U190" s="46"/>
      <c r="V190" s="46"/>
      <c r="W190" s="46"/>
    </row>
    <row r="191" spans="1:23" ht="15.4" customHeight="1" x14ac:dyDescent="0.25">
      <c r="A191" s="284">
        <v>1</v>
      </c>
      <c r="B191" s="111" t="str">
        <f t="shared" ref="B191:B195" si="21">B48</f>
        <v>Công trình dân dụng</v>
      </c>
      <c r="C191" s="264">
        <v>0.66800000000000004</v>
      </c>
      <c r="D191" s="264">
        <v>0.503</v>
      </c>
      <c r="E191" s="264">
        <v>0.376</v>
      </c>
      <c r="F191" s="264">
        <v>0.24</v>
      </c>
      <c r="G191" s="264">
        <v>0.161</v>
      </c>
      <c r="H191" s="264">
        <v>0.1</v>
      </c>
      <c r="I191" s="264">
        <v>8.5999999999999993E-2</v>
      </c>
      <c r="J191" s="264">
        <v>7.2999999999999995E-2</v>
      </c>
      <c r="K191" s="264">
        <v>0.05</v>
      </c>
      <c r="L191" s="264">
        <v>0.04</v>
      </c>
      <c r="M191" s="264">
        <v>2.5999999999999999E-2</v>
      </c>
      <c r="N191" s="264">
        <v>2.1999999999999999E-2</v>
      </c>
      <c r="O191" s="84">
        <f t="shared" ref="O191:O195" si="22">IF(Q$190=P$190,P191,ROUND(P191-((P191-Q191)/(Q$190-P$190))*(O$190-P$190),3))</f>
        <v>0.66800000000000004</v>
      </c>
      <c r="P191" s="84">
        <f>IF(P$190=0,0,IF(P$190=15,C191,HLOOKUP($P$190,$D$190:$N$195,2,TRUE)))</f>
        <v>0.66800000000000004</v>
      </c>
      <c r="Q191" s="84">
        <f>IF(Q$190=0,0,IF(Q$190=15,C191,HLOOKUP($Q$190,$D$190:$N$195,2,TRUE)))</f>
        <v>0.66800000000000004</v>
      </c>
      <c r="R191" s="46"/>
      <c r="S191" s="46"/>
      <c r="T191" s="46"/>
      <c r="U191" s="46"/>
      <c r="V191" s="46"/>
      <c r="W191" s="46"/>
    </row>
    <row r="192" spans="1:23" ht="15.4" customHeight="1" x14ac:dyDescent="0.25">
      <c r="A192" s="284">
        <v>2</v>
      </c>
      <c r="B192" s="111" t="str">
        <f t="shared" si="21"/>
        <v>Công trình công nghiệp</v>
      </c>
      <c r="C192" s="264">
        <v>0.75700000000000001</v>
      </c>
      <c r="D192" s="264">
        <v>0.61199999999999999</v>
      </c>
      <c r="E192" s="264">
        <v>0.441</v>
      </c>
      <c r="F192" s="264">
        <v>0.29399999999999998</v>
      </c>
      <c r="G192" s="264">
        <v>0.20599999999999999</v>
      </c>
      <c r="H192" s="264">
        <v>0.16300000000000001</v>
      </c>
      <c r="I192" s="264">
        <v>0.14099999999999999</v>
      </c>
      <c r="J192" s="264">
        <v>0.11</v>
      </c>
      <c r="K192" s="264">
        <v>7.3999999999999996E-2</v>
      </c>
      <c r="L192" s="264">
        <v>5.7000000000000002E-2</v>
      </c>
      <c r="M192" s="264">
        <v>3.4000000000000002E-2</v>
      </c>
      <c r="N192" s="264">
        <v>2.7E-2</v>
      </c>
      <c r="O192" s="252">
        <f t="shared" si="22"/>
        <v>0.75700000000000001</v>
      </c>
      <c r="P192" s="477">
        <f>IF(P$190=0,0,IF(P$190=15,C192,HLOOKUP($P$190,$D$190:$N$195,3,TRUE)))</f>
        <v>0.75700000000000001</v>
      </c>
      <c r="Q192" s="170">
        <f>IF(Q$190=0,0,IF(Q$190=15,C192,HLOOKUP($Q$190,$D$190:$N$195,3,TRUE)))</f>
        <v>0.75700000000000001</v>
      </c>
      <c r="R192" s="46"/>
      <c r="S192" s="46"/>
      <c r="T192" s="46"/>
      <c r="U192" s="46"/>
      <c r="V192" s="46"/>
      <c r="W192" s="46"/>
    </row>
    <row r="193" spans="1:23" ht="15.4" customHeight="1" x14ac:dyDescent="0.25">
      <c r="A193" s="284">
        <v>3</v>
      </c>
      <c r="B193" s="111" t="str">
        <f t="shared" si="21"/>
        <v>Công trình giao thông</v>
      </c>
      <c r="C193" s="264">
        <v>0.41299999999999998</v>
      </c>
      <c r="D193" s="264">
        <v>0.34499999999999997</v>
      </c>
      <c r="E193" s="264">
        <v>0.251</v>
      </c>
      <c r="F193" s="264">
        <v>0.17699999999999999</v>
      </c>
      <c r="G193" s="264">
        <v>0.108</v>
      </c>
      <c r="H193" s="264">
        <v>7.0999999999999994E-2</v>
      </c>
      <c r="I193" s="264">
        <v>6.2E-2</v>
      </c>
      <c r="J193" s="264">
        <v>5.2999999999999999E-2</v>
      </c>
      <c r="K193" s="264">
        <v>3.5999999999999997E-2</v>
      </c>
      <c r="L193" s="264">
        <v>2.9000000000000001E-2</v>
      </c>
      <c r="M193" s="264">
        <v>1.9E-2</v>
      </c>
      <c r="N193" s="264">
        <v>1.6E-2</v>
      </c>
      <c r="O193" s="252">
        <f t="shared" si="22"/>
        <v>0.41299999999999998</v>
      </c>
      <c r="P193" s="477">
        <f>IF(P$190=0,0,IF(P$190=15,C193,HLOOKUP($P$190,$D$190:$N$195,4,TRUE)))</f>
        <v>0.41299999999999998</v>
      </c>
      <c r="Q193" s="170">
        <f>IF(Q$190=0,0,IF(Q$190=15,C193,HLOOKUP($Q$190,$D$190:$N$195,4,TRUE)))</f>
        <v>0.41299999999999998</v>
      </c>
      <c r="R193" s="46"/>
      <c r="S193" s="46"/>
      <c r="T193" s="46"/>
      <c r="U193" s="46"/>
      <c r="V193" s="46"/>
      <c r="W193" s="46"/>
    </row>
    <row r="194" spans="1:23" ht="15.4" customHeight="1" x14ac:dyDescent="0.25">
      <c r="A194" s="284">
        <v>4</v>
      </c>
      <c r="B194" s="111" t="str">
        <f t="shared" si="21"/>
        <v>Công trình nông nghiệp và phát triển nông thôn</v>
      </c>
      <c r="C194" s="264">
        <v>0.56599999999999995</v>
      </c>
      <c r="D194" s="264">
        <v>0.47199999999999998</v>
      </c>
      <c r="E194" s="264">
        <v>0.34300000000000003</v>
      </c>
      <c r="F194" s="264">
        <v>0.216</v>
      </c>
      <c r="G194" s="264">
        <v>0.14399999999999999</v>
      </c>
      <c r="H194" s="264">
        <v>9.6000000000000002E-2</v>
      </c>
      <c r="I194" s="264">
        <v>8.2000000000000003E-2</v>
      </c>
      <c r="J194" s="264">
        <v>7.0000000000000007E-2</v>
      </c>
      <c r="K194" s="264">
        <v>4.8000000000000001E-2</v>
      </c>
      <c r="L194" s="264">
        <v>3.9E-2</v>
      </c>
      <c r="M194" s="264">
        <v>2.5000000000000001E-2</v>
      </c>
      <c r="N194" s="264">
        <v>2.1000000000000001E-2</v>
      </c>
      <c r="O194" s="252">
        <f t="shared" si="22"/>
        <v>0.56599999999999995</v>
      </c>
      <c r="P194" s="477">
        <f>IF(P$190=0,0,IF(P$190=15,C194,HLOOKUP($P$190,$D$190:$N$195,5,TRUE)))</f>
        <v>0.56599999999999995</v>
      </c>
      <c r="Q194" s="170">
        <f>IF(Q$190=0,0,IF(Q$190=15,C194,HLOOKUP($Q$190,$D$190:$N$195,5,TRUE)))</f>
        <v>0.56599999999999995</v>
      </c>
      <c r="R194" s="46"/>
      <c r="S194" s="46"/>
      <c r="T194" s="46"/>
      <c r="U194" s="46"/>
      <c r="V194" s="46"/>
      <c r="W194" s="46"/>
    </row>
    <row r="195" spans="1:23" ht="15.4" customHeight="1" x14ac:dyDescent="0.25">
      <c r="A195" s="284">
        <v>5</v>
      </c>
      <c r="B195" s="111" t="str">
        <f t="shared" si="21"/>
        <v>Công trình hạ tầng kỹ thuật</v>
      </c>
      <c r="C195" s="264">
        <v>0.43099999999999999</v>
      </c>
      <c r="D195" s="264">
        <v>0.36</v>
      </c>
      <c r="E195" s="264">
        <v>0.26200000000000001</v>
      </c>
      <c r="F195" s="264">
        <v>0.183</v>
      </c>
      <c r="G195" s="264">
        <v>0.112</v>
      </c>
      <c r="H195" s="264">
        <v>7.3999999999999996E-2</v>
      </c>
      <c r="I195" s="264">
        <v>6.5000000000000002E-2</v>
      </c>
      <c r="J195" s="264">
        <v>5.5E-2</v>
      </c>
      <c r="K195" s="264">
        <v>3.7999999999999999E-2</v>
      </c>
      <c r="L195" s="264">
        <v>0.03</v>
      </c>
      <c r="M195" s="264">
        <v>0.02</v>
      </c>
      <c r="N195" s="264">
        <v>1.7000000000000001E-2</v>
      </c>
      <c r="O195" s="252">
        <f t="shared" si="22"/>
        <v>0.43099999999999999</v>
      </c>
      <c r="P195" s="477">
        <f>IF(P$190=0,0,IF(P$190=15,C195,HLOOKUP($P$190,$D$190:$N$195,6,TRUE)))</f>
        <v>0.43099999999999999</v>
      </c>
      <c r="Q195" s="170">
        <f>IF(Q$190=0,0,IF(Q$190=15,C195,HLOOKUP($Q$190,$D$190:$N$195,6,TRUE)))</f>
        <v>0.43099999999999999</v>
      </c>
      <c r="R195" s="46"/>
      <c r="S195" s="46"/>
      <c r="T195" s="46"/>
      <c r="U195" s="46"/>
      <c r="V195" s="46"/>
      <c r="W195" s="46"/>
    </row>
    <row r="196" spans="1:23" ht="15" hidden="1" customHeight="1" x14ac:dyDescent="0.25">
      <c r="A196" s="33" t="s">
        <v>700</v>
      </c>
      <c r="B196" s="33"/>
      <c r="C196" s="33"/>
      <c r="D196" s="33"/>
      <c r="E196" s="33"/>
      <c r="F196" s="33"/>
      <c r="G196" s="33"/>
      <c r="H196" s="33"/>
      <c r="I196" s="33"/>
      <c r="J196" s="33"/>
      <c r="K196" s="33"/>
      <c r="L196" s="33"/>
      <c r="M196" s="33"/>
      <c r="N196" s="33"/>
      <c r="O196" s="33"/>
      <c r="P196" s="33"/>
      <c r="Q196" s="513"/>
      <c r="R196" s="33"/>
      <c r="S196" s="33"/>
      <c r="T196" s="33"/>
      <c r="U196" s="33"/>
      <c r="V196" s="33"/>
      <c r="W196" s="33"/>
    </row>
    <row r="197" spans="1:23" ht="15.4" customHeight="1" x14ac:dyDescent="0.25">
      <c r="A197" s="33"/>
      <c r="B197" s="33"/>
      <c r="C197" s="33"/>
      <c r="D197" s="33"/>
      <c r="E197" s="33"/>
      <c r="F197" s="33"/>
      <c r="G197" s="33"/>
      <c r="H197" s="33"/>
      <c r="I197" s="33"/>
      <c r="J197" s="33"/>
      <c r="K197" s="33"/>
      <c r="L197" s="33"/>
      <c r="M197" s="33"/>
      <c r="N197" s="33"/>
      <c r="O197" s="33"/>
      <c r="P197" s="33"/>
      <c r="Q197" s="108"/>
      <c r="R197" s="33"/>
      <c r="S197" s="33"/>
      <c r="T197" s="33"/>
      <c r="U197" s="33"/>
      <c r="V197" s="33"/>
      <c r="W197" s="33"/>
    </row>
    <row r="198" spans="1:23" ht="15.4" customHeight="1" x14ac:dyDescent="0.25">
      <c r="A198" s="703" t="s">
        <v>413</v>
      </c>
      <c r="B198" s="703"/>
      <c r="C198" s="703"/>
      <c r="D198" s="703"/>
      <c r="E198" s="703"/>
      <c r="F198" s="703"/>
      <c r="G198" s="703"/>
      <c r="H198" s="33"/>
      <c r="I198" s="33"/>
      <c r="J198" s="33"/>
      <c r="K198" s="33"/>
      <c r="L198" s="33"/>
      <c r="M198" s="33"/>
      <c r="N198" s="33"/>
      <c r="O198" s="33"/>
      <c r="P198" s="33"/>
      <c r="Q198" s="33"/>
      <c r="R198" s="33"/>
      <c r="S198" s="33"/>
      <c r="T198" s="33"/>
      <c r="U198" s="33"/>
      <c r="V198" s="33"/>
      <c r="W198" s="33"/>
    </row>
    <row r="199" spans="1:23" ht="15.4" customHeight="1" x14ac:dyDescent="0.25">
      <c r="A199" s="33"/>
      <c r="B199" s="33"/>
      <c r="C199" s="33"/>
      <c r="D199" s="33"/>
      <c r="E199" s="33"/>
      <c r="F199" s="33"/>
      <c r="G199" s="33"/>
      <c r="H199" s="33"/>
      <c r="I199" s="33"/>
      <c r="J199" s="33"/>
      <c r="K199" s="704" t="s">
        <v>754</v>
      </c>
      <c r="L199" s="704"/>
      <c r="M199" s="704"/>
      <c r="N199" s="704"/>
      <c r="O199" s="33"/>
      <c r="P199" s="33"/>
      <c r="Q199" s="33"/>
      <c r="R199" s="33"/>
      <c r="S199" s="33"/>
      <c r="T199" s="33"/>
      <c r="U199" s="33"/>
      <c r="V199" s="33"/>
      <c r="W199" s="33"/>
    </row>
    <row r="200" spans="1:23" ht="15" hidden="1" customHeight="1" x14ac:dyDescent="0.25">
      <c r="A200" s="33" t="s">
        <v>20</v>
      </c>
      <c r="B200" s="33"/>
      <c r="C200" s="33"/>
      <c r="D200" s="33"/>
      <c r="E200" s="33"/>
      <c r="F200" s="33"/>
      <c r="G200" s="33"/>
      <c r="H200" s="33"/>
      <c r="I200" s="33"/>
      <c r="J200" s="33"/>
      <c r="K200" s="33"/>
      <c r="L200" s="33"/>
      <c r="M200" s="33"/>
      <c r="N200" s="33" t="s">
        <v>300</v>
      </c>
      <c r="O200" s="33"/>
      <c r="P200" s="33"/>
      <c r="Q200" s="33"/>
      <c r="R200" s="33"/>
      <c r="S200" s="33"/>
      <c r="T200" s="33"/>
      <c r="U200" s="33"/>
      <c r="V200" s="33"/>
      <c r="W200" s="33"/>
    </row>
    <row r="201" spans="1:23" ht="15.4" customHeight="1" x14ac:dyDescent="0.25">
      <c r="A201" s="705" t="s">
        <v>695</v>
      </c>
      <c r="B201" s="705" t="s">
        <v>106</v>
      </c>
      <c r="C201" s="705" t="s">
        <v>991</v>
      </c>
      <c r="D201" s="705"/>
      <c r="E201" s="705"/>
      <c r="F201" s="705"/>
      <c r="G201" s="705"/>
      <c r="H201" s="705"/>
      <c r="I201" s="705"/>
      <c r="J201" s="705"/>
      <c r="K201" s="705"/>
      <c r="L201" s="705"/>
      <c r="M201" s="705"/>
      <c r="N201" s="705"/>
      <c r="O201" s="158" t="s">
        <v>378</v>
      </c>
      <c r="P201" s="404" t="s">
        <v>26</v>
      </c>
      <c r="Q201" s="95" t="s">
        <v>510</v>
      </c>
      <c r="R201" s="46"/>
      <c r="S201" s="46"/>
      <c r="T201" s="46"/>
      <c r="U201" s="46"/>
      <c r="V201" s="46"/>
      <c r="W201" s="46"/>
    </row>
    <row r="202" spans="1:23" ht="15.4" customHeight="1" x14ac:dyDescent="0.25">
      <c r="A202" s="705"/>
      <c r="B202" s="705"/>
      <c r="C202" s="169" t="s">
        <v>310</v>
      </c>
      <c r="D202" s="169">
        <v>20</v>
      </c>
      <c r="E202" s="169">
        <v>50</v>
      </c>
      <c r="F202" s="169">
        <v>100</v>
      </c>
      <c r="G202" s="169">
        <v>200</v>
      </c>
      <c r="H202" s="169">
        <v>500</v>
      </c>
      <c r="I202" s="332">
        <v>1000</v>
      </c>
      <c r="J202" s="332">
        <v>2000</v>
      </c>
      <c r="K202" s="332">
        <v>5000</v>
      </c>
      <c r="L202" s="332">
        <v>10000</v>
      </c>
      <c r="M202" s="332">
        <v>20000</v>
      </c>
      <c r="N202" s="332">
        <v>30000</v>
      </c>
      <c r="O202" s="158">
        <f>$C$1+$C$2</f>
        <v>1.0711056214113099</v>
      </c>
      <c r="P202" s="404">
        <f>IF(O202&lt;D202,15,IF(O202&gt;N202,N202,HLOOKUP(O202,D202:N202,1)))</f>
        <v>15</v>
      </c>
      <c r="Q202" s="95">
        <f>IF(O202&lt;15,15,IF(O202&lt;20,20,IF(O202&gt;N202,N202,INDEX(D202:N202,MATCH(O202,D202:N202,1)+1))))</f>
        <v>15</v>
      </c>
      <c r="R202" s="46"/>
      <c r="S202" s="46"/>
      <c r="T202" s="46"/>
      <c r="U202" s="46"/>
      <c r="V202" s="46"/>
      <c r="W202" s="46"/>
    </row>
    <row r="203" spans="1:23" ht="15.4" customHeight="1" x14ac:dyDescent="0.25">
      <c r="A203" s="284">
        <v>1</v>
      </c>
      <c r="B203" s="111" t="str">
        <f t="shared" ref="B203:B207" si="23">B48</f>
        <v>Công trình dân dụng</v>
      </c>
      <c r="C203" s="264">
        <v>1.1140000000000001</v>
      </c>
      <c r="D203" s="264">
        <v>0.91400000000000003</v>
      </c>
      <c r="E203" s="264">
        <v>0.751</v>
      </c>
      <c r="F203" s="264">
        <v>0.53400000000000003</v>
      </c>
      <c r="G203" s="264">
        <v>0.40200000000000002</v>
      </c>
      <c r="H203" s="264">
        <v>0.28699999999999998</v>
      </c>
      <c r="I203" s="264">
        <v>0.246</v>
      </c>
      <c r="J203" s="264">
        <v>0.20899999999999999</v>
      </c>
      <c r="K203" s="264">
        <v>0.16700000000000001</v>
      </c>
      <c r="L203" s="264">
        <v>0.13400000000000001</v>
      </c>
      <c r="M203" s="264">
        <v>0.10199999999999999</v>
      </c>
      <c r="N203" s="264">
        <v>8.5999999999999993E-2</v>
      </c>
      <c r="O203" s="252">
        <f t="shared" ref="O203:O207" si="24">IF(Q$202=P$202,P203,ROUND(P203-((P203-Q203)/(Q$202-P$202))*(O$202-P$202),3))</f>
        <v>1.1140000000000001</v>
      </c>
      <c r="P203" s="477">
        <f>IF(P$202=0,0,IF(P$202=15,C203,HLOOKUP($P$202,$D$202:$N$207,2,TRUE)))</f>
        <v>1.1140000000000001</v>
      </c>
      <c r="Q203" s="170">
        <f>IF(Q$202=0,0,IF(Q$202=15,C203,HLOOKUP($Q$202,$D$202:$N$207,2,TRUE)))</f>
        <v>1.1140000000000001</v>
      </c>
      <c r="R203" s="46"/>
      <c r="S203" s="46"/>
      <c r="T203" s="46"/>
      <c r="U203" s="46"/>
      <c r="V203" s="46"/>
      <c r="W203" s="46"/>
    </row>
    <row r="204" spans="1:23" ht="15.4" customHeight="1" x14ac:dyDescent="0.25">
      <c r="A204" s="284">
        <v>2</v>
      </c>
      <c r="B204" s="111" t="str">
        <f t="shared" si="23"/>
        <v>Công trình công nghiệp</v>
      </c>
      <c r="C204" s="264">
        <v>1.2609999999999999</v>
      </c>
      <c r="D204" s="264">
        <v>1.1120000000000001</v>
      </c>
      <c r="E204" s="264">
        <v>0.88200000000000001</v>
      </c>
      <c r="F204" s="264">
        <v>0.65400000000000003</v>
      </c>
      <c r="G204" s="264">
        <v>0.51500000000000001</v>
      </c>
      <c r="H204" s="264">
        <v>0.46600000000000003</v>
      </c>
      <c r="I204" s="264">
        <v>0.40400000000000003</v>
      </c>
      <c r="J204" s="264">
        <v>0.315</v>
      </c>
      <c r="K204" s="264">
        <v>0.248</v>
      </c>
      <c r="L204" s="264">
        <v>0.189</v>
      </c>
      <c r="M204" s="264">
        <v>0.13500000000000001</v>
      </c>
      <c r="N204" s="264">
        <v>0.107</v>
      </c>
      <c r="O204" s="252">
        <f t="shared" si="24"/>
        <v>1.2609999999999999</v>
      </c>
      <c r="P204" s="477">
        <f>IF(P$202=0,0,IF(P$202=15,C204,HLOOKUP($P$202,$D$202:$N$207,3,TRUE)))</f>
        <v>1.2609999999999999</v>
      </c>
      <c r="Q204" s="170">
        <f>IF(Q$202=0,0,IF(Q$202=15,C204,HLOOKUP($Q$202,$D$202:$N$207,3,TRUE)))</f>
        <v>1.2609999999999999</v>
      </c>
      <c r="R204" s="46"/>
      <c r="S204" s="46"/>
      <c r="T204" s="46"/>
      <c r="U204" s="46"/>
      <c r="V204" s="46"/>
      <c r="W204" s="46"/>
    </row>
    <row r="205" spans="1:23" ht="15.4" customHeight="1" x14ac:dyDescent="0.25">
      <c r="A205" s="284">
        <v>3</v>
      </c>
      <c r="B205" s="111" t="str">
        <f t="shared" si="23"/>
        <v>Công trình giao thông</v>
      </c>
      <c r="C205" s="264">
        <v>0.68899999999999995</v>
      </c>
      <c r="D205" s="264">
        <v>0.628</v>
      </c>
      <c r="E205" s="264">
        <v>0.501</v>
      </c>
      <c r="F205" s="264">
        <v>0.39300000000000002</v>
      </c>
      <c r="G205" s="264">
        <v>0.27100000000000002</v>
      </c>
      <c r="H205" s="264">
        <v>0.20300000000000001</v>
      </c>
      <c r="I205" s="264">
        <v>0.17699999999999999</v>
      </c>
      <c r="J205" s="264">
        <v>0.151</v>
      </c>
      <c r="K205" s="264">
        <v>0.12</v>
      </c>
      <c r="L205" s="264">
        <v>9.7000000000000003E-2</v>
      </c>
      <c r="M205" s="264">
        <v>7.4999999999999997E-2</v>
      </c>
      <c r="N205" s="264">
        <v>6.3E-2</v>
      </c>
      <c r="O205" s="252">
        <f t="shared" si="24"/>
        <v>0.68899999999999995</v>
      </c>
      <c r="P205" s="477">
        <f>IF(P$202=0,0,IF(P$202=15,C205,HLOOKUP($P$202,$D$202:$N$207,4,TRUE)))</f>
        <v>0.68899999999999995</v>
      </c>
      <c r="Q205" s="170">
        <f>IF(Q$202=0,0,IF(Q$202=15,C205,HLOOKUP($Q$202,$D$202:$N$207,4,TRUE)))</f>
        <v>0.68899999999999995</v>
      </c>
      <c r="R205" s="46"/>
      <c r="S205" s="46"/>
      <c r="T205" s="46"/>
      <c r="U205" s="46"/>
      <c r="V205" s="46"/>
      <c r="W205" s="46"/>
    </row>
    <row r="206" spans="1:23" ht="15.4" customHeight="1" x14ac:dyDescent="0.25">
      <c r="A206" s="284">
        <v>4</v>
      </c>
      <c r="B206" s="111" t="str">
        <f t="shared" si="23"/>
        <v>Công trình nông nghiệp và phát triển nông thôn</v>
      </c>
      <c r="C206" s="264">
        <v>0.94299999999999995</v>
      </c>
      <c r="D206" s="264">
        <v>0.85799999999999998</v>
      </c>
      <c r="E206" s="264">
        <v>0.68500000000000005</v>
      </c>
      <c r="F206" s="264">
        <v>0.48</v>
      </c>
      <c r="G206" s="264">
        <v>0.36099999999999999</v>
      </c>
      <c r="H206" s="264">
        <v>0.27300000000000002</v>
      </c>
      <c r="I206" s="264">
        <v>0.23400000000000001</v>
      </c>
      <c r="J206" s="264">
        <v>0.20100000000000001</v>
      </c>
      <c r="K206" s="264">
        <v>0.161</v>
      </c>
      <c r="L206" s="264">
        <v>0.129</v>
      </c>
      <c r="M206" s="264">
        <v>0.1</v>
      </c>
      <c r="N206" s="264">
        <v>8.4000000000000005E-2</v>
      </c>
      <c r="O206" s="252">
        <f t="shared" si="24"/>
        <v>0.94299999999999995</v>
      </c>
      <c r="P206" s="477">
        <f>IF(P$202=0,0,IF(P$202=15,C206,HLOOKUP($P$202,$D$202:$N$207,5,TRUE)))</f>
        <v>0.94299999999999995</v>
      </c>
      <c r="Q206" s="170">
        <f>IF(Q$202=0,0,IF(Q$202=15,C206,HLOOKUP($Q$202,$D$202:$N$207,5,TRUE)))</f>
        <v>0.94299999999999995</v>
      </c>
      <c r="R206" s="46"/>
      <c r="S206" s="46"/>
      <c r="T206" s="46"/>
      <c r="U206" s="46"/>
      <c r="V206" s="46"/>
      <c r="W206" s="46"/>
    </row>
    <row r="207" spans="1:23" ht="15.4" customHeight="1" x14ac:dyDescent="0.25">
      <c r="A207" s="284">
        <v>5</v>
      </c>
      <c r="B207" s="111" t="str">
        <f t="shared" si="23"/>
        <v>Công trình hạ tầng kỹ thuật</v>
      </c>
      <c r="C207" s="264">
        <v>0.71899999999999997</v>
      </c>
      <c r="D207" s="264">
        <v>0.65400000000000003</v>
      </c>
      <c r="E207" s="264">
        <v>0.52400000000000002</v>
      </c>
      <c r="F207" s="264">
        <v>0.40699999999999997</v>
      </c>
      <c r="G207" s="264">
        <v>0.28000000000000003</v>
      </c>
      <c r="H207" s="264">
        <v>0.21099999999999999</v>
      </c>
      <c r="I207" s="264">
        <v>0.185</v>
      </c>
      <c r="J207" s="264">
        <v>0.158</v>
      </c>
      <c r="K207" s="264">
        <v>0.127</v>
      </c>
      <c r="L207" s="264">
        <v>0.10100000000000001</v>
      </c>
      <c r="M207" s="264">
        <v>7.8E-2</v>
      </c>
      <c r="N207" s="264">
        <v>6.5000000000000002E-2</v>
      </c>
      <c r="O207" s="252">
        <f t="shared" si="24"/>
        <v>0.71899999999999997</v>
      </c>
      <c r="P207" s="477">
        <f>IF(P$202=0,0,IF(P$202=15,C207,HLOOKUP($P$202,$D$202:$N$207,6,TRUE)))</f>
        <v>0.71899999999999997</v>
      </c>
      <c r="Q207" s="170">
        <f>IF(Q$202=0,0,IF(Q$202=15,C207,HLOOKUP($Q$202,$D$202:$N$207,6,TRUE)))</f>
        <v>0.71899999999999997</v>
      </c>
      <c r="R207" s="46"/>
      <c r="S207" s="46"/>
      <c r="T207" s="46"/>
      <c r="U207" s="46"/>
      <c r="V207" s="46"/>
      <c r="W207" s="46"/>
    </row>
    <row r="208" spans="1:23" ht="15" hidden="1" customHeight="1" x14ac:dyDescent="0.25">
      <c r="A208" s="33" t="s">
        <v>706</v>
      </c>
      <c r="B208" s="33"/>
      <c r="C208" s="33"/>
      <c r="D208" s="33"/>
      <c r="E208" s="33"/>
      <c r="F208" s="33"/>
      <c r="G208" s="33"/>
      <c r="H208" s="33"/>
      <c r="I208" s="33"/>
      <c r="J208" s="33"/>
      <c r="K208" s="33"/>
      <c r="L208" s="33"/>
      <c r="M208" s="33"/>
      <c r="N208" s="33"/>
      <c r="O208" s="33"/>
      <c r="P208" s="33"/>
      <c r="Q208" s="513"/>
      <c r="R208" s="33"/>
      <c r="S208" s="33"/>
      <c r="T208" s="33"/>
      <c r="U208" s="33"/>
      <c r="V208" s="33"/>
      <c r="W208" s="33"/>
    </row>
    <row r="209" spans="1:23" ht="15.4" customHeight="1" x14ac:dyDescent="0.25">
      <c r="A209" s="33"/>
      <c r="B209" s="33"/>
      <c r="C209" s="33"/>
      <c r="D209" s="33"/>
      <c r="E209" s="33"/>
      <c r="F209" s="33"/>
      <c r="G209" s="33"/>
      <c r="H209" s="33"/>
      <c r="I209" s="33"/>
      <c r="J209" s="33"/>
      <c r="K209" s="33"/>
      <c r="L209" s="33"/>
      <c r="M209" s="33"/>
      <c r="N209" s="33"/>
      <c r="O209" s="33"/>
      <c r="P209" s="33"/>
      <c r="Q209" s="33"/>
      <c r="R209" s="33"/>
      <c r="S209" s="33"/>
      <c r="T209" s="33"/>
      <c r="U209" s="33"/>
      <c r="V209" s="33"/>
      <c r="W209" s="33"/>
    </row>
    <row r="210" spans="1:23" ht="15.4" customHeight="1" x14ac:dyDescent="0.25">
      <c r="A210" s="703" t="s">
        <v>179</v>
      </c>
      <c r="B210" s="703"/>
      <c r="C210" s="703"/>
      <c r="D210" s="703"/>
      <c r="E210" s="703"/>
      <c r="F210" s="703"/>
      <c r="G210" s="703"/>
      <c r="H210" s="33"/>
      <c r="I210" s="33"/>
      <c r="J210" s="33"/>
      <c r="K210" s="33"/>
      <c r="L210" s="33"/>
      <c r="M210" s="33"/>
      <c r="N210" s="33"/>
      <c r="O210" s="33"/>
      <c r="P210" s="33"/>
      <c r="Q210" s="33"/>
      <c r="R210" s="33"/>
      <c r="S210" s="33"/>
      <c r="T210" s="33"/>
      <c r="U210" s="33"/>
      <c r="V210" s="33"/>
      <c r="W210" s="33"/>
    </row>
    <row r="211" spans="1:23" ht="15.4" customHeight="1" x14ac:dyDescent="0.25">
      <c r="A211" s="33"/>
      <c r="B211" s="33"/>
      <c r="C211" s="704" t="s">
        <v>754</v>
      </c>
      <c r="D211" s="704"/>
      <c r="E211" s="704"/>
      <c r="F211" s="704"/>
      <c r="G211" s="33"/>
      <c r="H211" s="33"/>
      <c r="I211" s="33"/>
      <c r="J211" s="33"/>
      <c r="K211" s="33"/>
      <c r="L211" s="33"/>
      <c r="M211" s="33"/>
      <c r="N211" s="33"/>
      <c r="O211" s="33"/>
      <c r="P211" s="33"/>
      <c r="Q211" s="33"/>
      <c r="R211" s="33"/>
      <c r="S211" s="33"/>
      <c r="T211" s="33"/>
      <c r="U211" s="33"/>
      <c r="V211" s="33"/>
      <c r="W211" s="33"/>
    </row>
    <row r="212" spans="1:23" ht="15" hidden="1" customHeight="1" x14ac:dyDescent="0.25">
      <c r="A212" s="33" t="s">
        <v>949</v>
      </c>
      <c r="B212" s="33"/>
      <c r="C212" s="33"/>
      <c r="D212" s="33"/>
      <c r="E212" s="33"/>
      <c r="F212" s="33" t="s">
        <v>300</v>
      </c>
      <c r="G212" s="33"/>
      <c r="H212" s="33"/>
      <c r="I212" s="33"/>
      <c r="J212" s="33"/>
      <c r="K212" s="33"/>
      <c r="L212" s="33"/>
      <c r="M212" s="33"/>
      <c r="N212" s="33"/>
      <c r="O212" s="33"/>
      <c r="P212" s="33"/>
      <c r="Q212" s="33"/>
      <c r="R212" s="33"/>
      <c r="S212" s="33"/>
      <c r="T212" s="33"/>
      <c r="U212" s="33"/>
      <c r="V212" s="33"/>
      <c r="W212" s="33"/>
    </row>
    <row r="213" spans="1:23" ht="45.75" customHeight="1" x14ac:dyDescent="0.25">
      <c r="A213" s="708" t="s">
        <v>695</v>
      </c>
      <c r="B213" s="708" t="s">
        <v>106</v>
      </c>
      <c r="C213" s="713" t="s">
        <v>991</v>
      </c>
      <c r="D213" s="713"/>
      <c r="E213" s="713"/>
      <c r="F213" s="713"/>
      <c r="G213" s="341" t="s">
        <v>378</v>
      </c>
      <c r="H213" s="562" t="s">
        <v>26</v>
      </c>
      <c r="I213" s="270" t="s">
        <v>510</v>
      </c>
      <c r="J213" s="519"/>
      <c r="K213" s="519"/>
      <c r="L213" s="519"/>
      <c r="M213" s="519"/>
      <c r="N213" s="519"/>
      <c r="O213" s="33"/>
      <c r="P213" s="33"/>
      <c r="Q213" s="33"/>
      <c r="R213" s="33"/>
      <c r="S213" s="33"/>
      <c r="T213" s="33"/>
      <c r="U213" s="33"/>
      <c r="V213" s="33"/>
      <c r="W213" s="33"/>
    </row>
    <row r="214" spans="1:23" ht="15.4" customHeight="1" x14ac:dyDescent="0.25">
      <c r="A214" s="708"/>
      <c r="B214" s="708"/>
      <c r="C214" s="23" t="s">
        <v>15</v>
      </c>
      <c r="D214" s="23">
        <v>3</v>
      </c>
      <c r="E214" s="23">
        <v>7</v>
      </c>
      <c r="F214" s="23" t="s">
        <v>945</v>
      </c>
      <c r="G214" s="341">
        <f>$C$1+$C$2</f>
        <v>1.0711056214113099</v>
      </c>
      <c r="H214" s="562">
        <f>IF(G214&lt;D214,1,IF(G214&gt;=15,0,HLOOKUP(G214,D214:E214,1)))</f>
        <v>1</v>
      </c>
      <c r="I214" s="270">
        <f>IF(G214&lt;1,1,IF(G214&lt;3,3,IF(G214&lt;7,7,IF(G214&gt;=15,0,IF(G214&gt;=7,15,0)))))</f>
        <v>3</v>
      </c>
      <c r="J214" s="33"/>
      <c r="K214" s="33"/>
      <c r="L214" s="33"/>
      <c r="M214" s="33"/>
      <c r="N214" s="33"/>
      <c r="O214" s="33"/>
      <c r="P214" s="33"/>
      <c r="Q214" s="33"/>
      <c r="R214" s="33"/>
      <c r="S214" s="33"/>
      <c r="T214" s="33"/>
      <c r="U214" s="33"/>
      <c r="V214" s="33"/>
      <c r="W214" s="33"/>
    </row>
    <row r="215" spans="1:23" ht="15.4" customHeight="1" x14ac:dyDescent="0.25">
      <c r="A215" s="284">
        <v>1</v>
      </c>
      <c r="B215" s="111" t="str">
        <f t="shared" ref="B215:B219" si="25">B48</f>
        <v>Công trình dân dụng</v>
      </c>
      <c r="C215" s="536">
        <v>6.5</v>
      </c>
      <c r="D215" s="536">
        <v>4.7</v>
      </c>
      <c r="E215" s="536">
        <v>4.2</v>
      </c>
      <c r="F215" s="246">
        <v>3.6</v>
      </c>
      <c r="G215" s="421">
        <f t="shared" ref="G215:G219" si="26">IF(I$214=H$214,H215,ROUND(H215-((H215-I215)/(I$214-H$214))*(G$214-H$214),3))</f>
        <v>6.4359999999999999</v>
      </c>
      <c r="H215" s="49">
        <f t="shared" ref="H215:H219" si="27">IF(H$214=1,C215,IF(H$214=3,D215,IF(H$214=7,E215,IF(H$214=15,F215,0))))</f>
        <v>6.5</v>
      </c>
      <c r="I215" s="343">
        <f t="shared" ref="I215:I219" si="28">IF(I$214=1,C215,IF(I$214=3,D215,IF(I$214=7,E215,IF(I$214=15,F215,0))))</f>
        <v>4.7</v>
      </c>
      <c r="J215" s="46"/>
      <c r="K215" s="46"/>
      <c r="L215" s="46"/>
      <c r="M215" s="46"/>
      <c r="N215" s="46"/>
      <c r="O215" s="46"/>
      <c r="P215" s="46"/>
      <c r="Q215" s="46"/>
      <c r="R215" s="46"/>
      <c r="S215" s="46"/>
      <c r="T215" s="46"/>
      <c r="U215" s="46"/>
      <c r="V215" s="46"/>
      <c r="W215" s="46"/>
    </row>
    <row r="216" spans="1:23" ht="15.4" customHeight="1" x14ac:dyDescent="0.25">
      <c r="A216" s="284">
        <v>2</v>
      </c>
      <c r="B216" s="111" t="str">
        <f t="shared" si="25"/>
        <v>Công trình công nghiệp</v>
      </c>
      <c r="C216" s="536">
        <v>6.7</v>
      </c>
      <c r="D216" s="536">
        <v>4.8</v>
      </c>
      <c r="E216" s="536">
        <v>4.3</v>
      </c>
      <c r="F216" s="246">
        <v>3.8</v>
      </c>
      <c r="G216" s="421">
        <f t="shared" si="26"/>
        <v>6.6319999999999997</v>
      </c>
      <c r="H216" s="49">
        <f t="shared" si="27"/>
        <v>6.7</v>
      </c>
      <c r="I216" s="343">
        <f t="shared" si="28"/>
        <v>4.8</v>
      </c>
      <c r="J216" s="46"/>
      <c r="K216" s="46"/>
      <c r="L216" s="46"/>
      <c r="M216" s="46"/>
      <c r="N216" s="46"/>
      <c r="O216" s="46"/>
      <c r="P216" s="46"/>
      <c r="Q216" s="46"/>
      <c r="R216" s="46"/>
      <c r="S216" s="46"/>
      <c r="T216" s="46"/>
      <c r="U216" s="46"/>
      <c r="V216" s="46"/>
      <c r="W216" s="46"/>
    </row>
    <row r="217" spans="1:23" ht="15.4" customHeight="1" x14ac:dyDescent="0.25">
      <c r="A217" s="284">
        <v>3</v>
      </c>
      <c r="B217" s="111" t="str">
        <f t="shared" si="25"/>
        <v>Công trình giao thông</v>
      </c>
      <c r="C217" s="536">
        <v>5.4</v>
      </c>
      <c r="D217" s="536">
        <v>3.6</v>
      </c>
      <c r="E217" s="536">
        <v>2.7</v>
      </c>
      <c r="F217" s="246">
        <v>2.5</v>
      </c>
      <c r="G217" s="421">
        <f t="shared" si="26"/>
        <v>5.3360000000000003</v>
      </c>
      <c r="H217" s="49">
        <f t="shared" si="27"/>
        <v>5.4</v>
      </c>
      <c r="I217" s="343">
        <f t="shared" si="28"/>
        <v>3.6</v>
      </c>
      <c r="J217" s="46"/>
      <c r="K217" s="46"/>
      <c r="L217" s="46"/>
      <c r="M217" s="46"/>
      <c r="N217" s="46"/>
      <c r="O217" s="46"/>
      <c r="P217" s="46"/>
      <c r="Q217" s="46"/>
      <c r="R217" s="46"/>
      <c r="S217" s="46"/>
      <c r="T217" s="46"/>
      <c r="U217" s="46"/>
      <c r="V217" s="46"/>
      <c r="W217" s="46"/>
    </row>
    <row r="218" spans="1:23" ht="15.4" customHeight="1" x14ac:dyDescent="0.25">
      <c r="A218" s="284">
        <v>4</v>
      </c>
      <c r="B218" s="111" t="str">
        <f t="shared" si="25"/>
        <v>Công trình nông nghiệp và phát triển nông thôn</v>
      </c>
      <c r="C218" s="536">
        <v>6.2</v>
      </c>
      <c r="D218" s="536">
        <v>4.4000000000000004</v>
      </c>
      <c r="E218" s="536">
        <v>3.9</v>
      </c>
      <c r="F218" s="246">
        <v>3.6</v>
      </c>
      <c r="G218" s="421">
        <f t="shared" si="26"/>
        <v>6.1360000000000001</v>
      </c>
      <c r="H218" s="49">
        <f t="shared" si="27"/>
        <v>6.2</v>
      </c>
      <c r="I218" s="343">
        <f t="shared" si="28"/>
        <v>4.4000000000000004</v>
      </c>
      <c r="J218" s="46"/>
      <c r="K218" s="46"/>
      <c r="L218" s="46"/>
      <c r="M218" s="46"/>
      <c r="N218" s="46"/>
      <c r="O218" s="46"/>
      <c r="P218" s="46"/>
      <c r="Q218" s="46"/>
      <c r="R218" s="46"/>
      <c r="S218" s="46"/>
      <c r="T218" s="46"/>
      <c r="U218" s="46"/>
      <c r="V218" s="46"/>
      <c r="W218" s="46"/>
    </row>
    <row r="219" spans="1:23" ht="15.4" customHeight="1" x14ac:dyDescent="0.25">
      <c r="A219" s="284">
        <v>5</v>
      </c>
      <c r="B219" s="111" t="str">
        <f t="shared" si="25"/>
        <v>Công trình hạ tầng kỹ thuật</v>
      </c>
      <c r="C219" s="536">
        <v>5.8</v>
      </c>
      <c r="D219" s="536">
        <v>4.2</v>
      </c>
      <c r="E219" s="536">
        <v>3.4</v>
      </c>
      <c r="F219" s="246">
        <v>3</v>
      </c>
      <c r="G219" s="421">
        <f t="shared" si="26"/>
        <v>5.7430000000000003</v>
      </c>
      <c r="H219" s="49">
        <f t="shared" si="27"/>
        <v>5.8</v>
      </c>
      <c r="I219" s="343">
        <f t="shared" si="28"/>
        <v>4.2</v>
      </c>
      <c r="J219" s="46"/>
      <c r="K219" s="46"/>
      <c r="L219" s="46"/>
      <c r="M219" s="46"/>
      <c r="N219" s="46"/>
      <c r="O219" s="46"/>
      <c r="P219" s="46"/>
      <c r="Q219" s="46"/>
      <c r="R219" s="46"/>
      <c r="S219" s="46"/>
      <c r="T219" s="46"/>
      <c r="U219" s="46"/>
      <c r="V219" s="46"/>
      <c r="W219" s="46"/>
    </row>
    <row r="220" spans="1:23" ht="15" hidden="1" customHeight="1" x14ac:dyDescent="0.25">
      <c r="A220" s="33" t="s">
        <v>639</v>
      </c>
      <c r="B220" s="33"/>
      <c r="C220" s="33"/>
      <c r="D220" s="33"/>
      <c r="E220" s="33"/>
      <c r="F220" s="33"/>
      <c r="G220" s="33"/>
      <c r="H220" s="33"/>
      <c r="I220" s="33"/>
      <c r="J220" s="33"/>
      <c r="K220" s="33"/>
      <c r="L220" s="33"/>
      <c r="M220" s="33"/>
      <c r="N220" s="33"/>
      <c r="O220" s="33"/>
      <c r="P220" s="33"/>
      <c r="Q220" s="33"/>
      <c r="R220" s="33"/>
      <c r="S220" s="33"/>
      <c r="T220" s="33"/>
      <c r="U220" s="33"/>
      <c r="V220" s="33"/>
      <c r="W220" s="33"/>
    </row>
    <row r="221" spans="1:23" ht="15.4" customHeight="1" x14ac:dyDescent="0.25">
      <c r="A221" s="33"/>
      <c r="B221" s="33"/>
      <c r="C221" s="33"/>
      <c r="D221" s="33"/>
      <c r="E221" s="33"/>
      <c r="F221" s="33"/>
      <c r="G221" s="33"/>
      <c r="H221" s="33"/>
      <c r="I221" s="33"/>
      <c r="J221" s="33"/>
      <c r="K221" s="33"/>
      <c r="L221" s="33"/>
      <c r="M221" s="33"/>
      <c r="N221" s="33"/>
      <c r="O221" s="33"/>
      <c r="P221" s="33"/>
      <c r="Q221" s="33"/>
      <c r="R221" s="33"/>
      <c r="S221" s="33"/>
      <c r="T221" s="33"/>
      <c r="U221" s="33"/>
      <c r="V221" s="33"/>
      <c r="W221" s="33"/>
    </row>
    <row r="222" spans="1:23" ht="15.4" customHeight="1" x14ac:dyDescent="0.25">
      <c r="A222" s="707" t="s">
        <v>762</v>
      </c>
      <c r="B222" s="707"/>
      <c r="C222" s="707"/>
      <c r="D222" s="707"/>
      <c r="E222" s="707"/>
      <c r="F222" s="707"/>
      <c r="G222" s="707"/>
      <c r="H222" s="33"/>
      <c r="I222" s="33"/>
      <c r="J222" s="33"/>
      <c r="K222" s="33"/>
      <c r="L222" s="33"/>
      <c r="M222" s="33"/>
      <c r="N222" s="33"/>
      <c r="O222" s="33"/>
      <c r="P222" s="33"/>
      <c r="Q222" s="33"/>
      <c r="R222" s="33"/>
      <c r="S222" s="33"/>
      <c r="T222" s="33"/>
      <c r="U222" s="33"/>
      <c r="V222" s="33"/>
      <c r="W222" s="33"/>
    </row>
    <row r="223" spans="1:23" ht="15.4" customHeight="1" x14ac:dyDescent="0.25">
      <c r="A223" s="33"/>
      <c r="B223" s="33"/>
      <c r="C223" s="33"/>
      <c r="D223" s="33"/>
      <c r="E223" s="33"/>
      <c r="F223" s="33"/>
      <c r="G223" s="33"/>
      <c r="H223" s="33"/>
      <c r="I223" s="33"/>
      <c r="J223" s="606" t="s">
        <v>754</v>
      </c>
      <c r="K223" s="606"/>
      <c r="L223" s="606"/>
      <c r="M223" s="606"/>
      <c r="N223" s="575"/>
      <c r="O223" s="33"/>
      <c r="P223" s="33"/>
      <c r="Q223" s="33"/>
      <c r="R223" s="33"/>
      <c r="S223" s="33"/>
      <c r="T223" s="33"/>
      <c r="U223" s="33"/>
      <c r="V223" s="33"/>
      <c r="W223" s="33"/>
    </row>
    <row r="224" spans="1:23" ht="15" hidden="1" customHeight="1" x14ac:dyDescent="0.25">
      <c r="A224" s="33" t="s">
        <v>120</v>
      </c>
      <c r="B224" s="33"/>
      <c r="C224" s="33"/>
      <c r="D224" s="33"/>
      <c r="E224" s="33"/>
      <c r="F224" s="33"/>
      <c r="G224" s="33"/>
      <c r="H224" s="33"/>
      <c r="I224" s="33"/>
      <c r="J224" s="33"/>
      <c r="K224" s="33"/>
      <c r="L224" s="33"/>
      <c r="M224" s="33" t="s">
        <v>300</v>
      </c>
      <c r="N224" s="33"/>
      <c r="O224" s="33"/>
      <c r="P224" s="33"/>
      <c r="Q224" s="33"/>
      <c r="R224" s="33"/>
      <c r="S224" s="33"/>
      <c r="T224" s="33"/>
      <c r="U224" s="33"/>
      <c r="V224" s="33"/>
      <c r="W224" s="33"/>
    </row>
    <row r="225" spans="1:23" ht="29.25" customHeight="1" x14ac:dyDescent="0.25">
      <c r="A225" s="708" t="s">
        <v>695</v>
      </c>
      <c r="B225" s="713" t="s">
        <v>478</v>
      </c>
      <c r="C225" s="708" t="s">
        <v>322</v>
      </c>
      <c r="D225" s="708"/>
      <c r="E225" s="708"/>
      <c r="F225" s="708"/>
      <c r="G225" s="708"/>
      <c r="H225" s="708"/>
      <c r="I225" s="708"/>
      <c r="J225" s="708"/>
      <c r="K225" s="708"/>
      <c r="L225" s="708"/>
      <c r="M225" s="708"/>
      <c r="N225" s="341" t="s">
        <v>378</v>
      </c>
      <c r="O225" s="562" t="s">
        <v>26</v>
      </c>
      <c r="P225" s="270" t="s">
        <v>510</v>
      </c>
      <c r="Q225" s="33"/>
      <c r="R225" s="33"/>
      <c r="S225" s="33"/>
      <c r="T225" s="33"/>
      <c r="U225" s="33"/>
      <c r="V225" s="33"/>
      <c r="W225" s="33"/>
    </row>
    <row r="226" spans="1:23" ht="15.4" customHeight="1" x14ac:dyDescent="0.25">
      <c r="A226" s="708"/>
      <c r="B226" s="713"/>
      <c r="C226" s="36" t="s">
        <v>301</v>
      </c>
      <c r="D226" s="36">
        <v>20</v>
      </c>
      <c r="E226" s="36">
        <v>50</v>
      </c>
      <c r="F226" s="36">
        <v>100</v>
      </c>
      <c r="G226" s="23">
        <v>200</v>
      </c>
      <c r="H226" s="23">
        <v>500</v>
      </c>
      <c r="I226" s="36">
        <v>1000</v>
      </c>
      <c r="J226" s="36">
        <v>2000</v>
      </c>
      <c r="K226" s="36">
        <v>5000</v>
      </c>
      <c r="L226" s="36">
        <v>8000</v>
      </c>
      <c r="M226" s="36">
        <v>10000</v>
      </c>
      <c r="N226" s="341">
        <f>$C$1</f>
        <v>1.0711056214113099</v>
      </c>
      <c r="O226" s="562">
        <f>IF(N226&lt;D226,10,IF(N226&gt;M226,M226,HLOOKUP(N226,D226:M226,1)))</f>
        <v>10</v>
      </c>
      <c r="P226" s="270">
        <f>IF(N226&lt;10,10,IF(N226&lt;20,20,IF(N226&gt;M226,M226,INDEX(D226:M226,MATCH(N226,D226:M226,1)+1))))</f>
        <v>10</v>
      </c>
      <c r="Q226" s="33"/>
      <c r="R226" s="33"/>
      <c r="S226" s="33"/>
      <c r="T226" s="33"/>
      <c r="U226" s="33"/>
      <c r="V226" s="33"/>
      <c r="W226" s="33"/>
    </row>
    <row r="227" spans="1:23" ht="15.4" customHeight="1" x14ac:dyDescent="0.25">
      <c r="A227" s="35">
        <v>1</v>
      </c>
      <c r="B227" s="191" t="str">
        <f>B48</f>
        <v>Công trình dân dụng</v>
      </c>
      <c r="C227" s="555"/>
      <c r="D227" s="555"/>
      <c r="E227" s="555"/>
      <c r="F227" s="555"/>
      <c r="G227" s="555"/>
      <c r="H227" s="555"/>
      <c r="I227" s="555"/>
      <c r="J227" s="555"/>
      <c r="K227" s="555"/>
      <c r="L227" s="555"/>
      <c r="M227" s="260"/>
      <c r="N227" s="317"/>
      <c r="O227" s="317"/>
      <c r="P227" s="317"/>
      <c r="Q227" s="33"/>
      <c r="R227" s="33"/>
      <c r="S227" s="33"/>
      <c r="T227" s="33"/>
      <c r="U227" s="33"/>
      <c r="V227" s="33"/>
      <c r="W227" s="33"/>
    </row>
    <row r="228" spans="1:23" ht="15.4" customHeight="1" x14ac:dyDescent="0.25">
      <c r="A228" s="284" t="s">
        <v>323</v>
      </c>
      <c r="B228" s="714" t="s">
        <v>396</v>
      </c>
      <c r="C228" s="715"/>
      <c r="D228" s="715"/>
      <c r="E228" s="715"/>
      <c r="F228" s="715"/>
      <c r="G228" s="715"/>
      <c r="H228" s="715"/>
      <c r="I228" s="715"/>
      <c r="J228" s="715"/>
      <c r="K228" s="715"/>
      <c r="L228" s="715"/>
      <c r="M228" s="716"/>
      <c r="N228" s="264"/>
      <c r="O228" s="111"/>
      <c r="P228" s="111"/>
      <c r="Q228" s="46"/>
      <c r="R228" s="46"/>
      <c r="S228" s="46"/>
      <c r="T228" s="46"/>
      <c r="U228" s="46"/>
      <c r="V228" s="46"/>
      <c r="W228" s="46" t="s">
        <v>840</v>
      </c>
    </row>
    <row r="229" spans="1:23" ht="15.4" customHeight="1" x14ac:dyDescent="0.25">
      <c r="A229" s="284" t="s">
        <v>331</v>
      </c>
      <c r="B229" s="111" t="s">
        <v>820</v>
      </c>
      <c r="C229" s="536">
        <v>3.22</v>
      </c>
      <c r="D229" s="536">
        <v>2.81</v>
      </c>
      <c r="E229" s="536">
        <v>2.36</v>
      </c>
      <c r="F229" s="536">
        <v>2.15</v>
      </c>
      <c r="G229" s="536">
        <v>1.96</v>
      </c>
      <c r="H229" s="536">
        <v>1.65</v>
      </c>
      <c r="I229" s="536">
        <v>1.36</v>
      </c>
      <c r="J229" s="536">
        <v>1.1599999999999999</v>
      </c>
      <c r="K229" s="536">
        <v>0.89</v>
      </c>
      <c r="L229" s="536">
        <v>0.68</v>
      </c>
      <c r="M229" s="536">
        <v>0.61</v>
      </c>
      <c r="N229" s="252">
        <f t="shared" ref="N229:N233" si="29">IF(P$226=O$226,O229,IF(O229="-",O229,ROUND(O229-((O229-P229)/(P$226-O$226))*(N$226-O$226),3)))</f>
        <v>3.22</v>
      </c>
      <c r="O229" s="49">
        <f>IF(O$226=10,C229,HLOOKUP($O$226,$D$226:$M$291,4,TRUE))</f>
        <v>3.22</v>
      </c>
      <c r="P229" s="343">
        <f>IF(P$226=10,C229,HLOOKUP($P$226,$D$226:$M$291,4,TRUE))</f>
        <v>3.22</v>
      </c>
      <c r="Q229" s="46"/>
      <c r="R229" s="46" t="str">
        <f t="shared" ref="R229:R233" si="30">$B$227</f>
        <v>Công trình dân dụng</v>
      </c>
      <c r="S229" s="46" t="str">
        <f t="shared" ref="S229:S233" si="31">$W$230</f>
        <v>Thiết kế 3 bước</v>
      </c>
      <c r="T229" s="46" t="str">
        <f t="shared" ref="T229:T233" si="32">R229&amp;S229&amp;B229</f>
        <v>Công trình dân dụngThiết kế 3 bướcCấp đặc biệt</v>
      </c>
      <c r="U229" s="259">
        <f t="shared" ref="U229:U233" si="33">N229</f>
        <v>3.22</v>
      </c>
      <c r="V229" s="46"/>
      <c r="W229" s="46" t="s">
        <v>679</v>
      </c>
    </row>
    <row r="230" spans="1:23" ht="15.4" customHeight="1" x14ac:dyDescent="0.25">
      <c r="A230" s="284" t="s">
        <v>199</v>
      </c>
      <c r="B230" s="111" t="s">
        <v>21</v>
      </c>
      <c r="C230" s="536">
        <v>2.93</v>
      </c>
      <c r="D230" s="536">
        <v>2.5499999999999998</v>
      </c>
      <c r="E230" s="536">
        <v>2.14</v>
      </c>
      <c r="F230" s="536">
        <v>1.94</v>
      </c>
      <c r="G230" s="536">
        <v>1.78</v>
      </c>
      <c r="H230" s="536">
        <v>1.5</v>
      </c>
      <c r="I230" s="536">
        <v>1.22</v>
      </c>
      <c r="J230" s="536">
        <v>1.05</v>
      </c>
      <c r="K230" s="536">
        <v>0.8</v>
      </c>
      <c r="L230" s="536">
        <v>0.61</v>
      </c>
      <c r="M230" s="536">
        <v>0.55000000000000004</v>
      </c>
      <c r="N230" s="252">
        <f t="shared" si="29"/>
        <v>2.93</v>
      </c>
      <c r="O230" s="49">
        <f>IF(O$226=10,C230,HLOOKUP($O$226,$D$226:$M$291,5,TRUE))</f>
        <v>2.93</v>
      </c>
      <c r="P230" s="343">
        <f>IF(P$226=10,C230,HLOOKUP($P$226,$D$226:$M$291,5,TRUE))</f>
        <v>2.93</v>
      </c>
      <c r="Q230" s="46"/>
      <c r="R230" s="46" t="str">
        <f t="shared" si="30"/>
        <v>Công trình dân dụng</v>
      </c>
      <c r="S230" s="46" t="str">
        <f t="shared" si="31"/>
        <v>Thiết kế 3 bước</v>
      </c>
      <c r="T230" s="46" t="str">
        <f t="shared" si="32"/>
        <v>Công trình dân dụngThiết kế 3 bướcCấp I</v>
      </c>
      <c r="U230" s="259">
        <f t="shared" si="33"/>
        <v>2.93</v>
      </c>
      <c r="V230" s="46"/>
      <c r="W230" s="46" t="s">
        <v>531</v>
      </c>
    </row>
    <row r="231" spans="1:23" ht="15.4" customHeight="1" x14ac:dyDescent="0.25">
      <c r="A231" s="284" t="s">
        <v>486</v>
      </c>
      <c r="B231" s="111" t="s">
        <v>889</v>
      </c>
      <c r="C231" s="536">
        <v>2.67</v>
      </c>
      <c r="D231" s="536">
        <v>2.33</v>
      </c>
      <c r="E231" s="536">
        <v>1.96</v>
      </c>
      <c r="F231" s="536">
        <v>1.77</v>
      </c>
      <c r="G231" s="536">
        <v>1.62</v>
      </c>
      <c r="H231" s="536">
        <v>1.37</v>
      </c>
      <c r="I231" s="536">
        <v>1.1100000000000001</v>
      </c>
      <c r="J231" s="536">
        <v>0.94</v>
      </c>
      <c r="K231" s="536">
        <v>0.73</v>
      </c>
      <c r="L231" s="536">
        <v>0.55000000000000004</v>
      </c>
      <c r="M231" s="536">
        <v>0.5</v>
      </c>
      <c r="N231" s="252">
        <f t="shared" si="29"/>
        <v>2.67</v>
      </c>
      <c r="O231" s="49">
        <f>IF(O$226=10,C231,HLOOKUP($O$226,$D$226:$M$291,6,TRUE))</f>
        <v>2.67</v>
      </c>
      <c r="P231" s="343">
        <f>IF(P$226=10,C231,HLOOKUP($P$226,$D$226:$M$291,6,TRUE))</f>
        <v>2.67</v>
      </c>
      <c r="Q231" s="46"/>
      <c r="R231" s="46" t="str">
        <f t="shared" si="30"/>
        <v>Công trình dân dụng</v>
      </c>
      <c r="S231" s="46" t="str">
        <f t="shared" si="31"/>
        <v>Thiết kế 3 bước</v>
      </c>
      <c r="T231" s="46" t="str">
        <f t="shared" si="32"/>
        <v>Công trình dân dụngThiết kế 3 bướcCấp II</v>
      </c>
      <c r="U231" s="259">
        <f t="shared" si="33"/>
        <v>2.67</v>
      </c>
      <c r="V231" s="46"/>
      <c r="W231" s="46"/>
    </row>
    <row r="232" spans="1:23" ht="15.4" customHeight="1" x14ac:dyDescent="0.25">
      <c r="A232" s="284" t="s">
        <v>770</v>
      </c>
      <c r="B232" s="111" t="s">
        <v>444</v>
      </c>
      <c r="C232" s="536">
        <v>2.36</v>
      </c>
      <c r="D232" s="536">
        <v>2.0699999999999998</v>
      </c>
      <c r="E232" s="536">
        <v>1.74</v>
      </c>
      <c r="F232" s="536">
        <v>1.57</v>
      </c>
      <c r="G232" s="536">
        <v>1.43</v>
      </c>
      <c r="H232" s="536">
        <v>1.21</v>
      </c>
      <c r="I232" s="536">
        <v>0.98</v>
      </c>
      <c r="J232" s="536">
        <v>0.83</v>
      </c>
      <c r="K232" s="536">
        <v>0.64</v>
      </c>
      <c r="L232" s="536">
        <v>0.48</v>
      </c>
      <c r="M232" s="536">
        <v>0.44</v>
      </c>
      <c r="N232" s="252">
        <f t="shared" si="29"/>
        <v>2.36</v>
      </c>
      <c r="O232" s="49">
        <f>IF(O$226=10,C232,HLOOKUP($O$226,$D$226:$M$291,7,TRUE))</f>
        <v>2.36</v>
      </c>
      <c r="P232" s="343">
        <f>IF(P$226=10,C232,HLOOKUP($P$226,$D$226:$M$291,7,TRUE))</f>
        <v>2.36</v>
      </c>
      <c r="Q232" s="46"/>
      <c r="R232" s="46" t="str">
        <f t="shared" si="30"/>
        <v>Công trình dân dụng</v>
      </c>
      <c r="S232" s="46" t="str">
        <f t="shared" si="31"/>
        <v>Thiết kế 3 bước</v>
      </c>
      <c r="T232" s="46" t="str">
        <f t="shared" si="32"/>
        <v>Công trình dân dụngThiết kế 3 bướcCấp III</v>
      </c>
      <c r="U232" s="259">
        <f t="shared" si="33"/>
        <v>2.36</v>
      </c>
      <c r="V232" s="46"/>
      <c r="W232" s="46"/>
    </row>
    <row r="233" spans="1:23" ht="15.4" customHeight="1" x14ac:dyDescent="0.25">
      <c r="A233" s="284" t="s">
        <v>61</v>
      </c>
      <c r="B233" s="111" t="s">
        <v>333</v>
      </c>
      <c r="C233" s="536">
        <v>2.0699999999999998</v>
      </c>
      <c r="D233" s="536">
        <v>1.81</v>
      </c>
      <c r="E233" s="536">
        <v>1.48</v>
      </c>
      <c r="F233" s="536">
        <v>1.3</v>
      </c>
      <c r="G233" s="536">
        <v>1.06</v>
      </c>
      <c r="H233" s="536">
        <v>0.89</v>
      </c>
      <c r="I233" s="536" t="s">
        <v>313</v>
      </c>
      <c r="J233" s="536" t="s">
        <v>313</v>
      </c>
      <c r="K233" s="536" t="s">
        <v>313</v>
      </c>
      <c r="L233" s="536" t="s">
        <v>313</v>
      </c>
      <c r="M233" s="536" t="s">
        <v>313</v>
      </c>
      <c r="N233" s="252">
        <f t="shared" si="29"/>
        <v>2.0699999999999998</v>
      </c>
      <c r="O233" s="49">
        <f>IF(O$226=10,C233,HLOOKUP($O$226,$D$226:$M$291,8,TRUE))</f>
        <v>2.0699999999999998</v>
      </c>
      <c r="P233" s="343">
        <f>IF(P$226=10,C233,HLOOKUP($P$226,$D$226:$M$291,8,TRUE))</f>
        <v>2.0699999999999998</v>
      </c>
      <c r="Q233" s="46"/>
      <c r="R233" s="46" t="str">
        <f t="shared" si="30"/>
        <v>Công trình dân dụng</v>
      </c>
      <c r="S233" s="46" t="str">
        <f t="shared" si="31"/>
        <v>Thiết kế 3 bước</v>
      </c>
      <c r="T233" s="46" t="str">
        <f t="shared" si="32"/>
        <v>Công trình dân dụngThiết kế 3 bướcCấp IV</v>
      </c>
      <c r="U233" s="259">
        <f t="shared" si="33"/>
        <v>2.0699999999999998</v>
      </c>
      <c r="V233" s="46"/>
      <c r="W233" s="46"/>
    </row>
    <row r="234" spans="1:23" ht="15.4" customHeight="1" x14ac:dyDescent="0.25">
      <c r="A234" s="284" t="s">
        <v>37</v>
      </c>
      <c r="B234" s="714" t="s">
        <v>523</v>
      </c>
      <c r="C234" s="715"/>
      <c r="D234" s="715"/>
      <c r="E234" s="715"/>
      <c r="F234" s="715"/>
      <c r="G234" s="715"/>
      <c r="H234" s="715"/>
      <c r="I234" s="715"/>
      <c r="J234" s="715"/>
      <c r="K234" s="715"/>
      <c r="L234" s="715"/>
      <c r="M234" s="716"/>
      <c r="N234" s="264"/>
      <c r="O234" s="536"/>
      <c r="P234" s="536"/>
      <c r="Q234" s="46"/>
      <c r="R234" s="46"/>
      <c r="S234" s="46"/>
      <c r="T234" s="46"/>
      <c r="U234" s="259"/>
      <c r="V234" s="46"/>
      <c r="W234" s="46"/>
    </row>
    <row r="235" spans="1:23" ht="15.4" customHeight="1" x14ac:dyDescent="0.25">
      <c r="A235" s="284" t="s">
        <v>84</v>
      </c>
      <c r="B235" s="111" t="s">
        <v>820</v>
      </c>
      <c r="C235" s="536">
        <v>4.66</v>
      </c>
      <c r="D235" s="536">
        <v>4.05</v>
      </c>
      <c r="E235" s="536">
        <v>3.41</v>
      </c>
      <c r="F235" s="536">
        <v>3.1</v>
      </c>
      <c r="G235" s="536">
        <v>2.83</v>
      </c>
      <c r="H235" s="536">
        <v>2.39</v>
      </c>
      <c r="I235" s="536">
        <v>1.93</v>
      </c>
      <c r="J235" s="536">
        <v>1.65</v>
      </c>
      <c r="K235" s="536">
        <v>1.28</v>
      </c>
      <c r="L235" s="536">
        <v>0.99</v>
      </c>
      <c r="M235" s="536">
        <v>0.91</v>
      </c>
      <c r="N235" s="252">
        <f t="shared" ref="N235:N239" si="34">IF(P$226=O$226,O235,IF(O235="-",O235,ROUND(O235-((O235-P235)/(P$226-O$226))*(N$226-O$226),3)))</f>
        <v>4.66</v>
      </c>
      <c r="O235" s="49">
        <f>IF(O$226=10,C235,HLOOKUP($O$226,$D$226:$M$291,10,TRUE))</f>
        <v>4.66</v>
      </c>
      <c r="P235" s="343">
        <f>IF(P$226=10,C235,HLOOKUP($P$226,$D$226:$M$291,10,TRUE))</f>
        <v>4.66</v>
      </c>
      <c r="Q235" s="46"/>
      <c r="R235" s="46" t="str">
        <f t="shared" ref="R235:R239" si="35">$B$227</f>
        <v>Công trình dân dụng</v>
      </c>
      <c r="S235" s="46" t="str">
        <f t="shared" ref="S235:S239" si="36">$W$229</f>
        <v>Thiết kế 2 bước</v>
      </c>
      <c r="T235" s="46" t="str">
        <f t="shared" ref="T235:T239" si="37">R235&amp;S235&amp;B235</f>
        <v>Công trình dân dụngThiết kế 2 bướcCấp đặc biệt</v>
      </c>
      <c r="U235" s="259">
        <f t="shared" ref="U235:U239" si="38">N235</f>
        <v>4.66</v>
      </c>
      <c r="V235" s="46"/>
      <c r="W235" s="46"/>
    </row>
    <row r="236" spans="1:23" ht="15.4" customHeight="1" x14ac:dyDescent="0.25">
      <c r="A236" s="284" t="s">
        <v>372</v>
      </c>
      <c r="B236" s="111" t="s">
        <v>21</v>
      </c>
      <c r="C236" s="536">
        <v>4.22</v>
      </c>
      <c r="D236" s="536">
        <v>3.66</v>
      </c>
      <c r="E236" s="536">
        <v>3.1</v>
      </c>
      <c r="F236" s="536">
        <v>2.82</v>
      </c>
      <c r="G236" s="536">
        <v>2.57</v>
      </c>
      <c r="H236" s="536">
        <v>2.17</v>
      </c>
      <c r="I236" s="536">
        <v>1.76</v>
      </c>
      <c r="J236" s="536">
        <v>1.51</v>
      </c>
      <c r="K236" s="536">
        <v>1.1599999999999999</v>
      </c>
      <c r="L236" s="536">
        <v>0.9</v>
      </c>
      <c r="M236" s="536">
        <v>0.8</v>
      </c>
      <c r="N236" s="252">
        <f t="shared" si="34"/>
        <v>4.22</v>
      </c>
      <c r="O236" s="49">
        <f>IF(O$226=10,C236,HLOOKUP($O$226,$D$226:$M$291,11,TRUE))</f>
        <v>4.22</v>
      </c>
      <c r="P236" s="343">
        <f>IF(P$226=10,C236,HLOOKUP($P$226,$D$226:$M$291,11,TRUE))</f>
        <v>4.22</v>
      </c>
      <c r="Q236" s="46"/>
      <c r="R236" s="46" t="str">
        <f t="shared" si="35"/>
        <v>Công trình dân dụng</v>
      </c>
      <c r="S236" s="46" t="str">
        <f t="shared" si="36"/>
        <v>Thiết kế 2 bước</v>
      </c>
      <c r="T236" s="46" t="str">
        <f t="shared" si="37"/>
        <v>Công trình dân dụngThiết kế 2 bướcCấp I</v>
      </c>
      <c r="U236" s="259">
        <f t="shared" si="38"/>
        <v>4.22</v>
      </c>
      <c r="V236" s="46"/>
      <c r="W236" s="46"/>
    </row>
    <row r="237" spans="1:23" ht="15.4" customHeight="1" x14ac:dyDescent="0.25">
      <c r="A237" s="284" t="s">
        <v>655</v>
      </c>
      <c r="B237" s="111" t="s">
        <v>889</v>
      </c>
      <c r="C237" s="536">
        <v>3.85</v>
      </c>
      <c r="D237" s="536">
        <v>3.33</v>
      </c>
      <c r="E237" s="536">
        <v>2.8</v>
      </c>
      <c r="F237" s="536">
        <v>2.54</v>
      </c>
      <c r="G237" s="536">
        <v>2.34</v>
      </c>
      <c r="H237" s="536">
        <v>1.98</v>
      </c>
      <c r="I237" s="536">
        <v>1.61</v>
      </c>
      <c r="J237" s="536">
        <v>1.36</v>
      </c>
      <c r="K237" s="536">
        <v>1.06</v>
      </c>
      <c r="L237" s="536">
        <v>0.82</v>
      </c>
      <c r="M237" s="536">
        <v>0.72</v>
      </c>
      <c r="N237" s="252">
        <f t="shared" si="34"/>
        <v>3.85</v>
      </c>
      <c r="O237" s="49">
        <f>IF(O$226=10,C237,HLOOKUP($O$226,$D$226:$M$291,12,TRUE))</f>
        <v>3.85</v>
      </c>
      <c r="P237" s="343">
        <f>IF(P$226=10,C237,HLOOKUP($P$226,$D$226:$M$291,12,TRUE))</f>
        <v>3.85</v>
      </c>
      <c r="Q237" s="46"/>
      <c r="R237" s="46" t="str">
        <f t="shared" si="35"/>
        <v>Công trình dân dụng</v>
      </c>
      <c r="S237" s="46" t="str">
        <f t="shared" si="36"/>
        <v>Thiết kế 2 bước</v>
      </c>
      <c r="T237" s="46" t="str">
        <f t="shared" si="37"/>
        <v>Công trình dân dụngThiết kế 2 bướcCấp II</v>
      </c>
      <c r="U237" s="259">
        <f t="shared" si="38"/>
        <v>3.85</v>
      </c>
      <c r="V237" s="46"/>
      <c r="W237" s="46"/>
    </row>
    <row r="238" spans="1:23" ht="15.4" customHeight="1" x14ac:dyDescent="0.25">
      <c r="A238" s="284" t="s">
        <v>526</v>
      </c>
      <c r="B238" s="111" t="s">
        <v>444</v>
      </c>
      <c r="C238" s="536">
        <v>3.41</v>
      </c>
      <c r="D238" s="536">
        <v>2.95</v>
      </c>
      <c r="E238" s="536">
        <v>2.48</v>
      </c>
      <c r="F238" s="536">
        <v>2.25</v>
      </c>
      <c r="G238" s="536">
        <v>2.0699999999999998</v>
      </c>
      <c r="H238" s="536">
        <v>1.75</v>
      </c>
      <c r="I238" s="536">
        <v>1.43</v>
      </c>
      <c r="J238" s="536">
        <v>1.2</v>
      </c>
      <c r="K238" s="536">
        <v>0.94</v>
      </c>
      <c r="L238" s="536">
        <v>0.72</v>
      </c>
      <c r="M238" s="536">
        <v>0.63</v>
      </c>
      <c r="N238" s="252">
        <f t="shared" si="34"/>
        <v>3.41</v>
      </c>
      <c r="O238" s="49">
        <f>IF(O$226=10,C238,HLOOKUP($O$226,$D$226:$M$291,13,TRUE))</f>
        <v>3.41</v>
      </c>
      <c r="P238" s="343">
        <f>IF(P$226=10,C238,HLOOKUP($P$226,$D$226:$M$291,13,TRUE))</f>
        <v>3.41</v>
      </c>
      <c r="Q238" s="46"/>
      <c r="R238" s="46" t="str">
        <f t="shared" si="35"/>
        <v>Công trình dân dụng</v>
      </c>
      <c r="S238" s="46" t="str">
        <f t="shared" si="36"/>
        <v>Thiết kế 2 bước</v>
      </c>
      <c r="T238" s="46" t="str">
        <f t="shared" si="37"/>
        <v>Công trình dân dụngThiết kế 2 bướcCấp III</v>
      </c>
      <c r="U238" s="259">
        <f t="shared" si="38"/>
        <v>3.41</v>
      </c>
      <c r="V238" s="46"/>
      <c r="W238" s="46"/>
    </row>
    <row r="239" spans="1:23" ht="15.4" customHeight="1" x14ac:dyDescent="0.25">
      <c r="A239" s="284" t="s">
        <v>814</v>
      </c>
      <c r="B239" s="111" t="s">
        <v>333</v>
      </c>
      <c r="C239" s="536">
        <v>2.92</v>
      </c>
      <c r="D239" s="536">
        <v>2.5499999999999998</v>
      </c>
      <c r="E239" s="536">
        <v>2.12</v>
      </c>
      <c r="F239" s="536">
        <v>1.86</v>
      </c>
      <c r="G239" s="536">
        <v>1.51</v>
      </c>
      <c r="H239" s="536">
        <v>1.3</v>
      </c>
      <c r="I239" s="536" t="s">
        <v>313</v>
      </c>
      <c r="J239" s="536" t="s">
        <v>313</v>
      </c>
      <c r="K239" s="536" t="s">
        <v>313</v>
      </c>
      <c r="L239" s="536" t="s">
        <v>313</v>
      </c>
      <c r="M239" s="536" t="s">
        <v>313</v>
      </c>
      <c r="N239" s="252">
        <f t="shared" si="34"/>
        <v>2.92</v>
      </c>
      <c r="O239" s="49">
        <f>IF(O$226=10,C239,HLOOKUP($O$226,$D$226:$M$291,14,TRUE))</f>
        <v>2.92</v>
      </c>
      <c r="P239" s="343">
        <f>IF(P$226=10,C239,HLOOKUP($P$226,$D$226:$M$291,14,TRUE))</f>
        <v>2.92</v>
      </c>
      <c r="Q239" s="46"/>
      <c r="R239" s="46" t="str">
        <f t="shared" si="35"/>
        <v>Công trình dân dụng</v>
      </c>
      <c r="S239" s="46" t="str">
        <f t="shared" si="36"/>
        <v>Thiết kế 2 bước</v>
      </c>
      <c r="T239" s="46" t="str">
        <f t="shared" si="37"/>
        <v>Công trình dân dụngThiết kế 2 bướcCấp IV</v>
      </c>
      <c r="U239" s="259">
        <f t="shared" si="38"/>
        <v>2.92</v>
      </c>
      <c r="V239" s="46"/>
      <c r="W239" s="46"/>
    </row>
    <row r="240" spans="1:23" ht="15.4" customHeight="1" x14ac:dyDescent="0.25">
      <c r="A240" s="35">
        <v>2</v>
      </c>
      <c r="B240" s="191" t="str">
        <f>B49</f>
        <v>Công trình công nghiệp</v>
      </c>
      <c r="C240" s="239"/>
      <c r="D240" s="239"/>
      <c r="E240" s="239"/>
      <c r="F240" s="239"/>
      <c r="G240" s="239"/>
      <c r="H240" s="239"/>
      <c r="I240" s="239"/>
      <c r="J240" s="239"/>
      <c r="K240" s="239"/>
      <c r="L240" s="239"/>
      <c r="M240" s="514"/>
      <c r="N240" s="15"/>
      <c r="O240" s="306"/>
      <c r="P240" s="306"/>
      <c r="Q240" s="33"/>
      <c r="R240" s="33"/>
      <c r="S240" s="33"/>
      <c r="T240" s="33"/>
      <c r="U240" s="13"/>
      <c r="V240" s="33"/>
      <c r="W240" s="33"/>
    </row>
    <row r="241" spans="1:23" ht="15.4" customHeight="1" x14ac:dyDescent="0.25">
      <c r="A241" s="284" t="s">
        <v>150</v>
      </c>
      <c r="B241" s="714" t="s">
        <v>396</v>
      </c>
      <c r="C241" s="715"/>
      <c r="D241" s="715"/>
      <c r="E241" s="715"/>
      <c r="F241" s="715"/>
      <c r="G241" s="715"/>
      <c r="H241" s="715"/>
      <c r="I241" s="715"/>
      <c r="J241" s="715"/>
      <c r="K241" s="715"/>
      <c r="L241" s="715"/>
      <c r="M241" s="716"/>
      <c r="N241" s="264"/>
      <c r="O241" s="536"/>
      <c r="P241" s="536"/>
      <c r="Q241" s="46"/>
      <c r="R241" s="46"/>
      <c r="S241" s="46"/>
      <c r="T241" s="46"/>
      <c r="U241" s="259"/>
      <c r="V241" s="46"/>
      <c r="W241" s="46"/>
    </row>
    <row r="242" spans="1:23" ht="15.4" customHeight="1" x14ac:dyDescent="0.25">
      <c r="A242" s="284" t="s">
        <v>67</v>
      </c>
      <c r="B242" s="111" t="s">
        <v>820</v>
      </c>
      <c r="C242" s="536">
        <v>2.96</v>
      </c>
      <c r="D242" s="536">
        <v>2.73</v>
      </c>
      <c r="E242" s="536">
        <v>2.34</v>
      </c>
      <c r="F242" s="536">
        <v>2.13</v>
      </c>
      <c r="G242" s="536">
        <v>1.92</v>
      </c>
      <c r="H242" s="536">
        <v>1.76</v>
      </c>
      <c r="I242" s="536">
        <v>1.54</v>
      </c>
      <c r="J242" s="536">
        <v>1.3</v>
      </c>
      <c r="K242" s="536">
        <v>0.97</v>
      </c>
      <c r="L242" s="536">
        <v>0.79</v>
      </c>
      <c r="M242" s="536">
        <v>0.7</v>
      </c>
      <c r="N242" s="252">
        <f t="shared" ref="N242:N246" si="39">IF(P$226=O$226,O242,IF(O242="-",O242,ROUND(O242-((O242-P242)/(P$226-O$226))*(N$226-O$226),3)))</f>
        <v>2.96</v>
      </c>
      <c r="O242" s="49">
        <f>IF(O$226=10,C242,HLOOKUP($O$226,$D$226:$M$291,17,TRUE))</f>
        <v>2.96</v>
      </c>
      <c r="P242" s="343">
        <f>IF(P$226=10,C242,HLOOKUP($P$226,$D$226:$M$291,17,TRUE))</f>
        <v>2.96</v>
      </c>
      <c r="Q242" s="46"/>
      <c r="R242" s="46" t="str">
        <f t="shared" ref="R242:R246" si="40">$B$240</f>
        <v>Công trình công nghiệp</v>
      </c>
      <c r="S242" s="46" t="str">
        <f t="shared" ref="S242:S246" si="41">$W$230</f>
        <v>Thiết kế 3 bước</v>
      </c>
      <c r="T242" s="46" t="str">
        <f t="shared" ref="T242:T246" si="42">R242&amp;S242&amp;B242</f>
        <v>Công trình công nghiệpThiết kế 3 bướcCấp đặc biệt</v>
      </c>
      <c r="U242" s="259">
        <f t="shared" ref="U242:U246" si="43">N242</f>
        <v>2.96</v>
      </c>
      <c r="V242" s="46"/>
      <c r="W242" s="46"/>
    </row>
    <row r="243" spans="1:23" ht="15.4" customHeight="1" x14ac:dyDescent="0.25">
      <c r="A243" s="284" t="s">
        <v>942</v>
      </c>
      <c r="B243" s="111" t="s">
        <v>21</v>
      </c>
      <c r="C243" s="536">
        <v>2.4700000000000002</v>
      </c>
      <c r="D243" s="536">
        <v>2.27</v>
      </c>
      <c r="E243" s="536">
        <v>1.93</v>
      </c>
      <c r="F243" s="536">
        <v>1.77</v>
      </c>
      <c r="G243" s="536">
        <v>1.6</v>
      </c>
      <c r="H243" s="536">
        <v>1.46</v>
      </c>
      <c r="I243" s="536">
        <v>1.28</v>
      </c>
      <c r="J243" s="536">
        <v>1.0900000000000001</v>
      </c>
      <c r="K243" s="536">
        <v>0.8</v>
      </c>
      <c r="L243" s="536">
        <v>0.65</v>
      </c>
      <c r="M243" s="536">
        <v>0.57999999999999996</v>
      </c>
      <c r="N243" s="252">
        <f t="shared" si="39"/>
        <v>2.4700000000000002</v>
      </c>
      <c r="O243" s="49">
        <f>IF(O$226=10,C243,HLOOKUP($O$226,$D$226:$M$291,18,TRUE))</f>
        <v>2.4700000000000002</v>
      </c>
      <c r="P243" s="343">
        <f>IF(P$226=10,C243,HLOOKUP($P$226,$D$226:$M$291,18,TRUE))</f>
        <v>2.4700000000000002</v>
      </c>
      <c r="Q243" s="46"/>
      <c r="R243" s="46" t="str">
        <f t="shared" si="40"/>
        <v>Công trình công nghiệp</v>
      </c>
      <c r="S243" s="46" t="str">
        <f t="shared" si="41"/>
        <v>Thiết kế 3 bước</v>
      </c>
      <c r="T243" s="46" t="str">
        <f t="shared" si="42"/>
        <v>Công trình công nghiệpThiết kế 3 bướcCấp I</v>
      </c>
      <c r="U243" s="259">
        <f t="shared" si="43"/>
        <v>2.4700000000000002</v>
      </c>
      <c r="V243" s="46"/>
      <c r="W243" s="46"/>
    </row>
    <row r="244" spans="1:23" ht="15.4" customHeight="1" x14ac:dyDescent="0.25">
      <c r="A244" s="284" t="s">
        <v>216</v>
      </c>
      <c r="B244" s="111" t="s">
        <v>889</v>
      </c>
      <c r="C244" s="536">
        <v>2.0299999999999998</v>
      </c>
      <c r="D244" s="536">
        <v>1.86</v>
      </c>
      <c r="E244" s="536">
        <v>1.59</v>
      </c>
      <c r="F244" s="536">
        <v>1.46</v>
      </c>
      <c r="G244" s="536">
        <v>1.32</v>
      </c>
      <c r="H244" s="536">
        <v>1.2</v>
      </c>
      <c r="I244" s="536">
        <v>1.05</v>
      </c>
      <c r="J244" s="536">
        <v>0.9</v>
      </c>
      <c r="K244" s="536">
        <v>0.66</v>
      </c>
      <c r="L244" s="536">
        <v>0.53</v>
      </c>
      <c r="M244" s="536">
        <v>0.48</v>
      </c>
      <c r="N244" s="252">
        <f t="shared" si="39"/>
        <v>2.0299999999999998</v>
      </c>
      <c r="O244" s="49">
        <f>IF(O$226=10,C244,HLOOKUP($O$226,$D$226:$M$291,19,TRUE))</f>
        <v>2.0299999999999998</v>
      </c>
      <c r="P244" s="343">
        <f>IF(P$226=10,C244,HLOOKUP($P$226,$D$226:$M$291,19,TRUE))</f>
        <v>2.0299999999999998</v>
      </c>
      <c r="Q244" s="46"/>
      <c r="R244" s="46" t="str">
        <f t="shared" si="40"/>
        <v>Công trình công nghiệp</v>
      </c>
      <c r="S244" s="46" t="str">
        <f t="shared" si="41"/>
        <v>Thiết kế 3 bước</v>
      </c>
      <c r="T244" s="46" t="str">
        <f t="shared" si="42"/>
        <v>Công trình công nghiệpThiết kế 3 bướcCấp II</v>
      </c>
      <c r="U244" s="259">
        <f t="shared" si="43"/>
        <v>2.0299999999999998</v>
      </c>
      <c r="V244" s="46"/>
      <c r="W244" s="46"/>
    </row>
    <row r="245" spans="1:23" ht="15.4" customHeight="1" x14ac:dyDescent="0.25">
      <c r="A245" s="284" t="s">
        <v>506</v>
      </c>
      <c r="B245" s="111" t="s">
        <v>444</v>
      </c>
      <c r="C245" s="536">
        <v>1.78</v>
      </c>
      <c r="D245" s="536">
        <v>1.65</v>
      </c>
      <c r="E245" s="536">
        <v>1.4</v>
      </c>
      <c r="F245" s="536">
        <v>1.27</v>
      </c>
      <c r="G245" s="536">
        <v>1.17</v>
      </c>
      <c r="H245" s="536">
        <v>1.06</v>
      </c>
      <c r="I245" s="536">
        <v>0.93</v>
      </c>
      <c r="J245" s="536">
        <v>0.79</v>
      </c>
      <c r="K245" s="536">
        <v>0.57999999999999996</v>
      </c>
      <c r="L245" s="536">
        <v>0.47</v>
      </c>
      <c r="M245" s="536">
        <v>0.42</v>
      </c>
      <c r="N245" s="252">
        <f t="shared" si="39"/>
        <v>1.78</v>
      </c>
      <c r="O245" s="49">
        <f>IF(O$226=10,C245,HLOOKUP($O$226,$D$226:$M$291,20,TRUE))</f>
        <v>1.78</v>
      </c>
      <c r="P245" s="343">
        <f>IF(P$226=10,C245,HLOOKUP($P$226,$D$226:$M$291,20,TRUE))</f>
        <v>1.78</v>
      </c>
      <c r="Q245" s="46"/>
      <c r="R245" s="46" t="str">
        <f t="shared" si="40"/>
        <v>Công trình công nghiệp</v>
      </c>
      <c r="S245" s="46" t="str">
        <f t="shared" si="41"/>
        <v>Thiết kế 3 bước</v>
      </c>
      <c r="T245" s="46" t="str">
        <f t="shared" si="42"/>
        <v>Công trình công nghiệpThiết kế 3 bướcCấp III</v>
      </c>
      <c r="U245" s="259">
        <f t="shared" si="43"/>
        <v>1.78</v>
      </c>
      <c r="V245" s="46"/>
      <c r="W245" s="46"/>
    </row>
    <row r="246" spans="1:23" ht="15.4" customHeight="1" x14ac:dyDescent="0.25">
      <c r="A246" s="284" t="s">
        <v>787</v>
      </c>
      <c r="B246" s="111" t="s">
        <v>333</v>
      </c>
      <c r="C246" s="536">
        <v>1.59</v>
      </c>
      <c r="D246" s="536">
        <v>1.47</v>
      </c>
      <c r="E246" s="536">
        <v>1.24</v>
      </c>
      <c r="F246" s="536">
        <v>1.1399999999999999</v>
      </c>
      <c r="G246" s="536">
        <v>0.98</v>
      </c>
      <c r="H246" s="536">
        <v>0.83</v>
      </c>
      <c r="I246" s="536" t="s">
        <v>313</v>
      </c>
      <c r="J246" s="536" t="s">
        <v>313</v>
      </c>
      <c r="K246" s="536" t="s">
        <v>313</v>
      </c>
      <c r="L246" s="536" t="s">
        <v>313</v>
      </c>
      <c r="M246" s="536" t="s">
        <v>313</v>
      </c>
      <c r="N246" s="252">
        <f t="shared" si="39"/>
        <v>1.59</v>
      </c>
      <c r="O246" s="49">
        <f>IF(O$226=10,C246,HLOOKUP($O$226,$D$226:$M$291,21,TRUE))</f>
        <v>1.59</v>
      </c>
      <c r="P246" s="343">
        <f>IF(P$226=10,C246,HLOOKUP($P$226,$D$226:$M$291,21,TRUE))</f>
        <v>1.59</v>
      </c>
      <c r="Q246" s="46"/>
      <c r="R246" s="46" t="str">
        <f t="shared" si="40"/>
        <v>Công trình công nghiệp</v>
      </c>
      <c r="S246" s="46" t="str">
        <f t="shared" si="41"/>
        <v>Thiết kế 3 bước</v>
      </c>
      <c r="T246" s="46" t="str">
        <f t="shared" si="42"/>
        <v>Công trình công nghiệpThiết kế 3 bướcCấp IV</v>
      </c>
      <c r="U246" s="259">
        <f t="shared" si="43"/>
        <v>1.59</v>
      </c>
      <c r="V246" s="46"/>
      <c r="W246" s="46"/>
    </row>
    <row r="247" spans="1:23" ht="15.4" customHeight="1" x14ac:dyDescent="0.25">
      <c r="A247" s="284" t="s">
        <v>278</v>
      </c>
      <c r="B247" s="714" t="s">
        <v>523</v>
      </c>
      <c r="C247" s="715"/>
      <c r="D247" s="715"/>
      <c r="E247" s="715"/>
      <c r="F247" s="715"/>
      <c r="G247" s="715"/>
      <c r="H247" s="715"/>
      <c r="I247" s="715"/>
      <c r="J247" s="715"/>
      <c r="K247" s="715"/>
      <c r="L247" s="715"/>
      <c r="M247" s="716"/>
      <c r="N247" s="264"/>
      <c r="O247" s="536"/>
      <c r="P247" s="536"/>
      <c r="Q247" s="46"/>
      <c r="R247" s="46"/>
      <c r="S247" s="46"/>
      <c r="T247" s="46"/>
      <c r="U247" s="259"/>
      <c r="V247" s="46"/>
      <c r="W247" s="46"/>
    </row>
    <row r="248" spans="1:23" ht="15.4" customHeight="1" x14ac:dyDescent="0.25">
      <c r="A248" s="284" t="s">
        <v>823</v>
      </c>
      <c r="B248" s="111" t="s">
        <v>820</v>
      </c>
      <c r="C248" s="536">
        <v>4.7</v>
      </c>
      <c r="D248" s="536">
        <v>4.2699999999999996</v>
      </c>
      <c r="E248" s="536">
        <v>3.66</v>
      </c>
      <c r="F248" s="536">
        <v>3.32</v>
      </c>
      <c r="G248" s="536">
        <v>3.01</v>
      </c>
      <c r="H248" s="536">
        <v>2.75</v>
      </c>
      <c r="I248" s="536">
        <v>2.4</v>
      </c>
      <c r="J248" s="536">
        <v>2.0299999999999998</v>
      </c>
      <c r="K248" s="536">
        <v>1.52</v>
      </c>
      <c r="L248" s="536">
        <v>1.21</v>
      </c>
      <c r="M248" s="536">
        <v>1.04</v>
      </c>
      <c r="N248" s="252">
        <f t="shared" ref="N248:N252" si="44">IF(P$226=O$226,O248,IF(O248="-",O248,ROUND(O248-((O248-P248)/(P$226-O$226))*(N$226-O$226),3)))</f>
        <v>4.7</v>
      </c>
      <c r="O248" s="49">
        <f>IF(O$226=10,C248,HLOOKUP($O$226,$D$226:$M$291,23,TRUE))</f>
        <v>4.7</v>
      </c>
      <c r="P248" s="343">
        <f>IF(P$226=10,C248,HLOOKUP($P$226,$D$226:$M$291,23,TRUE))</f>
        <v>4.7</v>
      </c>
      <c r="Q248" s="46"/>
      <c r="R248" s="46" t="str">
        <f t="shared" ref="R248:R252" si="45">$B$240</f>
        <v>Công trình công nghiệp</v>
      </c>
      <c r="S248" s="46" t="str">
        <f t="shared" ref="S248:S252" si="46">$W$229</f>
        <v>Thiết kế 2 bước</v>
      </c>
      <c r="T248" s="46" t="str">
        <f t="shared" ref="T248:T252" si="47">R248&amp;S248&amp;B248</f>
        <v>Công trình công nghiệpThiết kế 2 bướcCấp đặc biệt</v>
      </c>
      <c r="U248" s="259">
        <f t="shared" ref="U248:U252" si="48">N248</f>
        <v>4.7</v>
      </c>
      <c r="V248" s="46"/>
      <c r="W248" s="46"/>
    </row>
    <row r="249" spans="1:23" ht="15.4" customHeight="1" x14ac:dyDescent="0.25">
      <c r="A249" s="284" t="s">
        <v>103</v>
      </c>
      <c r="B249" s="111" t="s">
        <v>21</v>
      </c>
      <c r="C249" s="536">
        <v>3.87</v>
      </c>
      <c r="D249" s="536">
        <v>3.57</v>
      </c>
      <c r="E249" s="536">
        <v>3.02</v>
      </c>
      <c r="F249" s="536">
        <v>2.77</v>
      </c>
      <c r="G249" s="536">
        <v>2.5</v>
      </c>
      <c r="H249" s="536">
        <v>2.2799999999999998</v>
      </c>
      <c r="I249" s="536">
        <v>2.0099999999999998</v>
      </c>
      <c r="J249" s="536">
        <v>1.7</v>
      </c>
      <c r="K249" s="536">
        <v>1.26</v>
      </c>
      <c r="L249" s="536">
        <v>1.02</v>
      </c>
      <c r="M249" s="536">
        <v>0.88</v>
      </c>
      <c r="N249" s="252">
        <f t="shared" si="44"/>
        <v>3.87</v>
      </c>
      <c r="O249" s="49">
        <f>IF(O$226=10,C249,HLOOKUP($O$226,$D$226:$M$291,24,TRUE))</f>
        <v>3.87</v>
      </c>
      <c r="P249" s="343">
        <f>IF(P$226=10,C249,HLOOKUP($P$226,$D$226:$M$291,24,TRUE))</f>
        <v>3.87</v>
      </c>
      <c r="Q249" s="46"/>
      <c r="R249" s="46" t="str">
        <f t="shared" si="45"/>
        <v>Công trình công nghiệp</v>
      </c>
      <c r="S249" s="46" t="str">
        <f t="shared" si="46"/>
        <v>Thiết kế 2 bước</v>
      </c>
      <c r="T249" s="46" t="str">
        <f t="shared" si="47"/>
        <v>Công trình công nghiệpThiết kế 2 bướcCấp I</v>
      </c>
      <c r="U249" s="259">
        <f t="shared" si="48"/>
        <v>3.87</v>
      </c>
      <c r="V249" s="46"/>
      <c r="W249" s="46"/>
    </row>
    <row r="250" spans="1:23" ht="15.4" customHeight="1" x14ac:dyDescent="0.25">
      <c r="A250" s="284" t="s">
        <v>384</v>
      </c>
      <c r="B250" s="111" t="s">
        <v>889</v>
      </c>
      <c r="C250" s="536">
        <v>3.13</v>
      </c>
      <c r="D250" s="536">
        <v>2.9</v>
      </c>
      <c r="E250" s="536">
        <v>2.4300000000000002</v>
      </c>
      <c r="F250" s="536">
        <v>2.2400000000000002</v>
      </c>
      <c r="G250" s="536">
        <v>2.0299999999999998</v>
      </c>
      <c r="H250" s="536">
        <v>1.9</v>
      </c>
      <c r="I250" s="536">
        <v>1.66</v>
      </c>
      <c r="J250" s="536">
        <v>1.42</v>
      </c>
      <c r="K250" s="536">
        <v>1.04</v>
      </c>
      <c r="L250" s="536">
        <v>0.82</v>
      </c>
      <c r="M250" s="536">
        <v>0.72</v>
      </c>
      <c r="N250" s="252">
        <f t="shared" si="44"/>
        <v>3.13</v>
      </c>
      <c r="O250" s="49">
        <f>IF(O$226=10,C250,HLOOKUP($O$226,$D$226:$M$291,25,TRUE))</f>
        <v>3.13</v>
      </c>
      <c r="P250" s="343">
        <f>IF(P$226=10,C250,HLOOKUP($P$226,$D$226:$M$291,25,TRUE))</f>
        <v>3.13</v>
      </c>
      <c r="Q250" s="46"/>
      <c r="R250" s="46" t="str">
        <f t="shared" si="45"/>
        <v>Công trình công nghiệp</v>
      </c>
      <c r="S250" s="46" t="str">
        <f t="shared" si="46"/>
        <v>Thiết kế 2 bước</v>
      </c>
      <c r="T250" s="46" t="str">
        <f t="shared" si="47"/>
        <v>Công trình công nghiệpThiết kế 2 bướcCấp II</v>
      </c>
      <c r="U250" s="259">
        <f t="shared" si="48"/>
        <v>3.13</v>
      </c>
      <c r="V250" s="46"/>
      <c r="W250" s="46"/>
    </row>
    <row r="251" spans="1:23" ht="15.4" customHeight="1" x14ac:dyDescent="0.25">
      <c r="A251" s="284" t="s">
        <v>256</v>
      </c>
      <c r="B251" s="111" t="s">
        <v>444</v>
      </c>
      <c r="C251" s="536">
        <v>2.78</v>
      </c>
      <c r="D251" s="536">
        <v>2.57</v>
      </c>
      <c r="E251" s="536">
        <v>2.16</v>
      </c>
      <c r="F251" s="536">
        <v>1.99</v>
      </c>
      <c r="G251" s="536">
        <v>1.79</v>
      </c>
      <c r="H251" s="536">
        <v>1.68</v>
      </c>
      <c r="I251" s="536">
        <v>1.47</v>
      </c>
      <c r="J251" s="536">
        <v>1.25</v>
      </c>
      <c r="K251" s="536">
        <v>0.91</v>
      </c>
      <c r="L251" s="536">
        <v>0.72</v>
      </c>
      <c r="M251" s="536">
        <v>0.64</v>
      </c>
      <c r="N251" s="252">
        <f t="shared" si="44"/>
        <v>2.78</v>
      </c>
      <c r="O251" s="49">
        <f>IF(O$226=10,C251,HLOOKUP($O$226,$D$226:$M$291,26,TRUE))</f>
        <v>2.78</v>
      </c>
      <c r="P251" s="343">
        <f>IF(P$226=10,C251,HLOOKUP($P$226,$D$226:$M$291,26,TRUE))</f>
        <v>2.78</v>
      </c>
      <c r="Q251" s="46"/>
      <c r="R251" s="46" t="str">
        <f t="shared" si="45"/>
        <v>Công trình công nghiệp</v>
      </c>
      <c r="S251" s="46" t="str">
        <f t="shared" si="46"/>
        <v>Thiết kế 2 bước</v>
      </c>
      <c r="T251" s="46" t="str">
        <f t="shared" si="47"/>
        <v>Công trình công nghiệpThiết kế 2 bướcCấp III</v>
      </c>
      <c r="U251" s="259">
        <f t="shared" si="48"/>
        <v>2.78</v>
      </c>
      <c r="V251" s="46"/>
      <c r="W251" s="46"/>
    </row>
    <row r="252" spans="1:23" ht="15.4" customHeight="1" x14ac:dyDescent="0.25">
      <c r="A252" s="284" t="s">
        <v>543</v>
      </c>
      <c r="B252" s="111" t="s">
        <v>333</v>
      </c>
      <c r="C252" s="536">
        <v>2.46</v>
      </c>
      <c r="D252" s="536">
        <v>2.25</v>
      </c>
      <c r="E252" s="536">
        <v>1.89</v>
      </c>
      <c r="F252" s="536">
        <v>1.72</v>
      </c>
      <c r="G252" s="536">
        <v>1.47</v>
      </c>
      <c r="H252" s="536">
        <v>1.22</v>
      </c>
      <c r="I252" s="536" t="s">
        <v>313</v>
      </c>
      <c r="J252" s="536" t="s">
        <v>313</v>
      </c>
      <c r="K252" s="536" t="s">
        <v>313</v>
      </c>
      <c r="L252" s="536" t="s">
        <v>313</v>
      </c>
      <c r="M252" s="536" t="s">
        <v>313</v>
      </c>
      <c r="N252" s="252">
        <f t="shared" si="44"/>
        <v>2.46</v>
      </c>
      <c r="O252" s="49">
        <f>IF(O$226=10,C252,HLOOKUP($O$226,$D$226:$M$291,27,TRUE))</f>
        <v>2.46</v>
      </c>
      <c r="P252" s="343">
        <f>IF(P$226=10,C252,HLOOKUP($P$226,$D$226:$M$291,27,TRUE))</f>
        <v>2.46</v>
      </c>
      <c r="Q252" s="46"/>
      <c r="R252" s="46" t="str">
        <f t="shared" si="45"/>
        <v>Công trình công nghiệp</v>
      </c>
      <c r="S252" s="46" t="str">
        <f t="shared" si="46"/>
        <v>Thiết kế 2 bước</v>
      </c>
      <c r="T252" s="46" t="str">
        <f t="shared" si="47"/>
        <v>Công trình công nghiệpThiết kế 2 bướcCấp IV</v>
      </c>
      <c r="U252" s="259">
        <f t="shared" si="48"/>
        <v>2.46</v>
      </c>
      <c r="V252" s="46"/>
      <c r="W252" s="46"/>
    </row>
    <row r="253" spans="1:23" ht="15.4" customHeight="1" x14ac:dyDescent="0.25">
      <c r="A253" s="35">
        <v>3</v>
      </c>
      <c r="B253" s="191" t="str">
        <f>B50</f>
        <v>Công trình giao thông</v>
      </c>
      <c r="C253" s="239"/>
      <c r="D253" s="239"/>
      <c r="E253" s="239"/>
      <c r="F253" s="239"/>
      <c r="G253" s="239"/>
      <c r="H253" s="239"/>
      <c r="I253" s="239"/>
      <c r="J253" s="239"/>
      <c r="K253" s="239"/>
      <c r="L253" s="239"/>
      <c r="M253" s="514"/>
      <c r="N253" s="15"/>
      <c r="O253" s="306"/>
      <c r="P253" s="306"/>
      <c r="Q253" s="33"/>
      <c r="R253" s="33"/>
      <c r="S253" s="33"/>
      <c r="T253" s="33"/>
      <c r="U253" s="13"/>
      <c r="V253" s="33"/>
      <c r="W253" s="33"/>
    </row>
    <row r="254" spans="1:23" ht="15.4" customHeight="1" x14ac:dyDescent="0.25">
      <c r="A254" s="284" t="s">
        <v>391</v>
      </c>
      <c r="B254" s="714" t="s">
        <v>396</v>
      </c>
      <c r="C254" s="715"/>
      <c r="D254" s="715"/>
      <c r="E254" s="715"/>
      <c r="F254" s="715"/>
      <c r="G254" s="715"/>
      <c r="H254" s="715"/>
      <c r="I254" s="715"/>
      <c r="J254" s="715"/>
      <c r="K254" s="715"/>
      <c r="L254" s="715"/>
      <c r="M254" s="716"/>
      <c r="N254" s="264"/>
      <c r="O254" s="536"/>
      <c r="P254" s="536"/>
      <c r="Q254" s="46"/>
      <c r="R254" s="46"/>
      <c r="S254" s="46"/>
      <c r="T254" s="46"/>
      <c r="U254" s="259"/>
      <c r="V254" s="46"/>
      <c r="W254" s="46"/>
    </row>
    <row r="255" spans="1:23" ht="15.4" customHeight="1" x14ac:dyDescent="0.25">
      <c r="A255" s="284" t="s">
        <v>797</v>
      </c>
      <c r="B255" s="111" t="s">
        <v>820</v>
      </c>
      <c r="C255" s="536">
        <v>2.0499999999999998</v>
      </c>
      <c r="D255" s="536">
        <v>1.92</v>
      </c>
      <c r="E255" s="536">
        <v>1.68</v>
      </c>
      <c r="F255" s="536">
        <v>1.5</v>
      </c>
      <c r="G255" s="536">
        <v>1.36</v>
      </c>
      <c r="H255" s="536">
        <v>1.24</v>
      </c>
      <c r="I255" s="536">
        <v>1.08</v>
      </c>
      <c r="J255" s="536">
        <v>0.92</v>
      </c>
      <c r="K255" s="536">
        <v>0.68</v>
      </c>
      <c r="L255" s="536">
        <v>0.51</v>
      </c>
      <c r="M255" s="536">
        <v>0.45</v>
      </c>
      <c r="N255" s="252">
        <f t="shared" ref="N255:N259" si="49">IF(P$226=O$226,O255,IF(O255="-",O255,ROUND(O255-((O255-P255)/(P$226-O$226))*(N$226-O$226),3)))</f>
        <v>2.0499999999999998</v>
      </c>
      <c r="O255" s="49">
        <f>IF(O$226=10,C255,HLOOKUP($O$226,$D$226:$M$291,30,TRUE))</f>
        <v>2.0499999999999998</v>
      </c>
      <c r="P255" s="343">
        <f>IF(P$226=10,C255,HLOOKUP($P$226,$D$226:$M$291,30,TRUE))</f>
        <v>2.0499999999999998</v>
      </c>
      <c r="Q255" s="46"/>
      <c r="R255" s="46" t="str">
        <f t="shared" ref="R255:R259" si="50">$B$253</f>
        <v>Công trình giao thông</v>
      </c>
      <c r="S255" s="46" t="str">
        <f t="shared" ref="S255:S259" si="51">$W$230</f>
        <v>Thiết kế 3 bước</v>
      </c>
      <c r="T255" s="46" t="str">
        <f t="shared" ref="T255:T259" si="52">R255&amp;S255&amp;B255</f>
        <v>Công trình giao thôngThiết kế 3 bướcCấp đặc biệt</v>
      </c>
      <c r="U255" s="259">
        <f t="shared" ref="U255:U259" si="53">N255</f>
        <v>2.0499999999999998</v>
      </c>
      <c r="V255" s="46"/>
      <c r="W255" s="46"/>
    </row>
    <row r="256" spans="1:23" ht="15.4" customHeight="1" x14ac:dyDescent="0.25">
      <c r="A256" s="284" t="s">
        <v>666</v>
      </c>
      <c r="B256" s="111" t="s">
        <v>21</v>
      </c>
      <c r="C256" s="536">
        <v>1.44</v>
      </c>
      <c r="D256" s="536">
        <v>1.39</v>
      </c>
      <c r="E256" s="536">
        <v>1.1299999999999999</v>
      </c>
      <c r="F256" s="536">
        <v>1.05</v>
      </c>
      <c r="G256" s="536">
        <v>0.95</v>
      </c>
      <c r="H256" s="536">
        <v>0.81</v>
      </c>
      <c r="I256" s="536">
        <v>0.68</v>
      </c>
      <c r="J256" s="536">
        <v>0.57999999999999996</v>
      </c>
      <c r="K256" s="536">
        <v>0.44</v>
      </c>
      <c r="L256" s="536">
        <v>0.34</v>
      </c>
      <c r="M256" s="536">
        <v>0.28000000000000003</v>
      </c>
      <c r="N256" s="252">
        <f t="shared" si="49"/>
        <v>1.44</v>
      </c>
      <c r="O256" s="49">
        <f>IF(O$226=10,C256,HLOOKUP($O$226,$D$226:$M$291,31,TRUE))</f>
        <v>1.44</v>
      </c>
      <c r="P256" s="343">
        <f>IF(P$226=10,C256,HLOOKUP($P$226,$D$226:$M$291,31,TRUE))</f>
        <v>1.44</v>
      </c>
      <c r="Q256" s="46"/>
      <c r="R256" s="46" t="str">
        <f t="shared" si="50"/>
        <v>Công trình giao thông</v>
      </c>
      <c r="S256" s="46" t="str">
        <f t="shared" si="51"/>
        <v>Thiết kế 3 bước</v>
      </c>
      <c r="T256" s="46" t="str">
        <f t="shared" si="52"/>
        <v>Công trình giao thôngThiết kế 3 bướcCấp I</v>
      </c>
      <c r="U256" s="259">
        <f t="shared" si="53"/>
        <v>1.44</v>
      </c>
      <c r="V256" s="46"/>
      <c r="W256" s="46"/>
    </row>
    <row r="257" spans="1:23" ht="15.4" customHeight="1" x14ac:dyDescent="0.25">
      <c r="A257" s="284" t="s">
        <v>961</v>
      </c>
      <c r="B257" s="111" t="s">
        <v>889</v>
      </c>
      <c r="C257" s="536">
        <v>1.19</v>
      </c>
      <c r="D257" s="536">
        <v>1.08</v>
      </c>
      <c r="E257" s="536">
        <v>0.92</v>
      </c>
      <c r="F257" s="536">
        <v>0.84</v>
      </c>
      <c r="G257" s="536">
        <v>0.77</v>
      </c>
      <c r="H257" s="536">
        <v>0.7</v>
      </c>
      <c r="I257" s="536">
        <v>0.6</v>
      </c>
      <c r="J257" s="536">
        <v>0.51</v>
      </c>
      <c r="K257" s="536">
        <v>0.39</v>
      </c>
      <c r="L257" s="536">
        <v>0.28999999999999998</v>
      </c>
      <c r="M257" s="536">
        <v>0.25</v>
      </c>
      <c r="N257" s="252">
        <f t="shared" si="49"/>
        <v>1.19</v>
      </c>
      <c r="O257" s="49">
        <f>IF(O$226=10,C257,HLOOKUP($O$226,$D$226:$M$291,32,TRUE))</f>
        <v>1.19</v>
      </c>
      <c r="P257" s="343">
        <f>IF(P$226=10,C257,HLOOKUP($P$226,$D$226:$M$291,32,TRUE))</f>
        <v>1.19</v>
      </c>
      <c r="Q257" s="46"/>
      <c r="R257" s="46" t="str">
        <f t="shared" si="50"/>
        <v>Công trình giao thông</v>
      </c>
      <c r="S257" s="46" t="str">
        <f t="shared" si="51"/>
        <v>Thiết kế 3 bước</v>
      </c>
      <c r="T257" s="46" t="str">
        <f t="shared" si="52"/>
        <v>Công trình giao thôngThiết kế 3 bướcCấp II</v>
      </c>
      <c r="U257" s="259">
        <f t="shared" si="53"/>
        <v>1.19</v>
      </c>
      <c r="V257" s="46"/>
      <c r="W257" s="46"/>
    </row>
    <row r="258" spans="1:23" ht="15.4" customHeight="1" x14ac:dyDescent="0.25">
      <c r="A258" s="284" t="s">
        <v>230</v>
      </c>
      <c r="B258" s="111" t="s">
        <v>444</v>
      </c>
      <c r="C258" s="536">
        <v>1.05</v>
      </c>
      <c r="D258" s="536">
        <v>0.93</v>
      </c>
      <c r="E258" s="536">
        <v>0.81</v>
      </c>
      <c r="F258" s="536">
        <v>0.74</v>
      </c>
      <c r="G258" s="536">
        <v>0.68</v>
      </c>
      <c r="H258" s="536">
        <v>0.57999999999999996</v>
      </c>
      <c r="I258" s="536">
        <v>0.48</v>
      </c>
      <c r="J258" s="536">
        <v>0.43</v>
      </c>
      <c r="K258" s="536">
        <v>0.32</v>
      </c>
      <c r="L258" s="536">
        <v>0.25</v>
      </c>
      <c r="M258" s="536">
        <v>0.21</v>
      </c>
      <c r="N258" s="252">
        <f t="shared" si="49"/>
        <v>1.05</v>
      </c>
      <c r="O258" s="49">
        <f>IF(O$226=10,C258,HLOOKUP($O$226,$D$226:$M$291,33,TRUE))</f>
        <v>1.05</v>
      </c>
      <c r="P258" s="343">
        <f>IF(P$226=10,C258,HLOOKUP($P$226,$D$226:$M$291,33,TRUE))</f>
        <v>1.05</v>
      </c>
      <c r="Q258" s="46"/>
      <c r="R258" s="46" t="str">
        <f t="shared" si="50"/>
        <v>Công trình giao thông</v>
      </c>
      <c r="S258" s="46" t="str">
        <f t="shared" si="51"/>
        <v>Thiết kế 3 bước</v>
      </c>
      <c r="T258" s="46" t="str">
        <f t="shared" si="52"/>
        <v>Công trình giao thôngThiết kế 3 bướcCấp III</v>
      </c>
      <c r="U258" s="259">
        <f t="shared" si="53"/>
        <v>1.05</v>
      </c>
      <c r="V258" s="46"/>
      <c r="W258" s="46"/>
    </row>
    <row r="259" spans="1:23" ht="15.4" customHeight="1" x14ac:dyDescent="0.25">
      <c r="A259" s="284" t="s">
        <v>517</v>
      </c>
      <c r="B259" s="111" t="s">
        <v>333</v>
      </c>
      <c r="C259" s="536">
        <v>0.95</v>
      </c>
      <c r="D259" s="536">
        <v>0.87</v>
      </c>
      <c r="E259" s="536">
        <v>0.76</v>
      </c>
      <c r="F259" s="536">
        <v>0.69</v>
      </c>
      <c r="G259" s="536">
        <v>0.59</v>
      </c>
      <c r="H259" s="536">
        <v>0.49</v>
      </c>
      <c r="I259" s="536">
        <v>0.43</v>
      </c>
      <c r="J259" s="536" t="s">
        <v>313</v>
      </c>
      <c r="K259" s="536" t="s">
        <v>313</v>
      </c>
      <c r="L259" s="536" t="s">
        <v>313</v>
      </c>
      <c r="M259" s="536" t="s">
        <v>313</v>
      </c>
      <c r="N259" s="252">
        <f t="shared" si="49"/>
        <v>0.95</v>
      </c>
      <c r="O259" s="49">
        <f>IF(O$226=10,C259,HLOOKUP($O$226,$D$226:$M$291,34,TRUE))</f>
        <v>0.95</v>
      </c>
      <c r="P259" s="343">
        <f>IF(P$226=10,C259,HLOOKUP($P$226,$D$226:$M$291,34,TRUE))</f>
        <v>0.95</v>
      </c>
      <c r="Q259" s="46"/>
      <c r="R259" s="46" t="str">
        <f t="shared" si="50"/>
        <v>Công trình giao thông</v>
      </c>
      <c r="S259" s="46" t="str">
        <f t="shared" si="51"/>
        <v>Thiết kế 3 bước</v>
      </c>
      <c r="T259" s="46" t="str">
        <f t="shared" si="52"/>
        <v>Công trình giao thôngThiết kế 3 bướcCấp IV</v>
      </c>
      <c r="U259" s="259">
        <f t="shared" si="53"/>
        <v>0.95</v>
      </c>
      <c r="V259" s="46"/>
      <c r="W259" s="46"/>
    </row>
    <row r="260" spans="1:23" ht="15.4" customHeight="1" x14ac:dyDescent="0.25">
      <c r="A260" s="284" t="s">
        <v>110</v>
      </c>
      <c r="B260" s="714" t="s">
        <v>523</v>
      </c>
      <c r="C260" s="715"/>
      <c r="D260" s="715"/>
      <c r="E260" s="715"/>
      <c r="F260" s="715"/>
      <c r="G260" s="715"/>
      <c r="H260" s="715"/>
      <c r="I260" s="715"/>
      <c r="J260" s="715"/>
      <c r="K260" s="715"/>
      <c r="L260" s="715"/>
      <c r="M260" s="716"/>
      <c r="N260" s="264"/>
      <c r="O260" s="536"/>
      <c r="P260" s="536"/>
      <c r="Q260" s="46"/>
      <c r="R260" s="46"/>
      <c r="S260" s="46"/>
      <c r="T260" s="46"/>
      <c r="U260" s="259"/>
      <c r="V260" s="46"/>
      <c r="W260" s="46"/>
    </row>
    <row r="261" spans="1:23" ht="15.4" customHeight="1" x14ac:dyDescent="0.25">
      <c r="A261" s="284" t="s">
        <v>554</v>
      </c>
      <c r="B261" s="111" t="s">
        <v>820</v>
      </c>
      <c r="C261" s="536">
        <v>3.01</v>
      </c>
      <c r="D261" s="536">
        <v>2.76</v>
      </c>
      <c r="E261" s="536">
        <v>2.36</v>
      </c>
      <c r="F261" s="536">
        <v>2.15</v>
      </c>
      <c r="G261" s="536">
        <v>1.95</v>
      </c>
      <c r="H261" s="536">
        <v>1.78</v>
      </c>
      <c r="I261" s="536">
        <v>1.52</v>
      </c>
      <c r="J261" s="536">
        <v>1.32</v>
      </c>
      <c r="K261" s="536">
        <v>1.02</v>
      </c>
      <c r="L261" s="536">
        <v>0.75</v>
      </c>
      <c r="M261" s="536">
        <v>0.66</v>
      </c>
      <c r="N261" s="252">
        <f t="shared" ref="N261:N265" si="54">IF(P$226=O$226,O261,IF(O261="-",O261,ROUND(O261-((O261-P261)/(P$226-O$226))*(N$226-O$226),3)))</f>
        <v>3.01</v>
      </c>
      <c r="O261" s="49">
        <f>IF(O$226=10,C261,HLOOKUP($O$226,$D$226:$M$291,36,TRUE))</f>
        <v>3.01</v>
      </c>
      <c r="P261" s="343">
        <f>IF(P$226=10,C261,HLOOKUP($P$226,$D$226:$M$291,36,TRUE))</f>
        <v>3.01</v>
      </c>
      <c r="Q261" s="46"/>
      <c r="R261" s="46" t="str">
        <f t="shared" ref="R261:R265" si="55">$B$253</f>
        <v>Công trình giao thông</v>
      </c>
      <c r="S261" s="46" t="str">
        <f t="shared" ref="S261:S265" si="56">$W$229</f>
        <v>Thiết kế 2 bước</v>
      </c>
      <c r="T261" s="46" t="str">
        <f t="shared" ref="T261:T265" si="57">R261&amp;S261&amp;B261</f>
        <v>Công trình giao thôngThiết kế 2 bướcCấp đặc biệt</v>
      </c>
      <c r="U261" s="259">
        <f t="shared" ref="U261:U265" si="58">N261</f>
        <v>3.01</v>
      </c>
      <c r="V261" s="46"/>
      <c r="W261" s="46"/>
    </row>
    <row r="262" spans="1:23" ht="15.4" customHeight="1" x14ac:dyDescent="0.25">
      <c r="A262" s="284" t="s">
        <v>844</v>
      </c>
      <c r="B262" s="111" t="s">
        <v>21</v>
      </c>
      <c r="C262" s="536">
        <v>2.27</v>
      </c>
      <c r="D262" s="536">
        <v>2.15</v>
      </c>
      <c r="E262" s="536">
        <v>1.83</v>
      </c>
      <c r="F262" s="536">
        <v>1.67</v>
      </c>
      <c r="G262" s="536">
        <v>1.51</v>
      </c>
      <c r="H262" s="536">
        <v>1.38</v>
      </c>
      <c r="I262" s="536">
        <v>1.21</v>
      </c>
      <c r="J262" s="536">
        <v>1.03</v>
      </c>
      <c r="K262" s="536">
        <v>0.79</v>
      </c>
      <c r="L262" s="536">
        <v>0.61</v>
      </c>
      <c r="M262" s="536">
        <v>0.49</v>
      </c>
      <c r="N262" s="252">
        <f t="shared" si="54"/>
        <v>2.27</v>
      </c>
      <c r="O262" s="49">
        <f>IF(O$226=10,C262,HLOOKUP($O$226,$D$226:$M$291,37,TRUE))</f>
        <v>2.27</v>
      </c>
      <c r="P262" s="343">
        <f>IF(P$226=10,C262,HLOOKUP($P$226,$D$226:$M$291,37,TRUE))</f>
        <v>2.27</v>
      </c>
      <c r="Q262" s="46"/>
      <c r="R262" s="46" t="str">
        <f t="shared" si="55"/>
        <v>Công trình giao thông</v>
      </c>
      <c r="S262" s="46" t="str">
        <f t="shared" si="56"/>
        <v>Thiết kế 2 bước</v>
      </c>
      <c r="T262" s="46" t="str">
        <f t="shared" si="57"/>
        <v>Công trình giao thôngThiết kế 2 bướcCấp I</v>
      </c>
      <c r="U262" s="259">
        <f t="shared" si="58"/>
        <v>2.27</v>
      </c>
      <c r="V262" s="46"/>
      <c r="W262" s="46"/>
    </row>
    <row r="263" spans="1:23" ht="15.4" customHeight="1" x14ac:dyDescent="0.25">
      <c r="A263" s="284" t="s">
        <v>123</v>
      </c>
      <c r="B263" s="111" t="s">
        <v>889</v>
      </c>
      <c r="C263" s="536">
        <v>1.67</v>
      </c>
      <c r="D263" s="536">
        <v>1.55</v>
      </c>
      <c r="E263" s="536">
        <v>1.32</v>
      </c>
      <c r="F263" s="536">
        <v>1.2</v>
      </c>
      <c r="G263" s="536">
        <v>1.1000000000000001</v>
      </c>
      <c r="H263" s="536">
        <v>1.01</v>
      </c>
      <c r="I263" s="536">
        <v>0.85</v>
      </c>
      <c r="J263" s="536">
        <v>0.72</v>
      </c>
      <c r="K263" s="536">
        <v>0.56000000000000005</v>
      </c>
      <c r="L263" s="536">
        <v>0.42</v>
      </c>
      <c r="M263" s="536">
        <v>0.36</v>
      </c>
      <c r="N263" s="252">
        <f t="shared" si="54"/>
        <v>1.67</v>
      </c>
      <c r="O263" s="49">
        <f>IF(O$226=10,C263,HLOOKUP($O$226,$D$226:$M$291,38,TRUE))</f>
        <v>1.67</v>
      </c>
      <c r="P263" s="343">
        <f>IF(P$226=10,C263,HLOOKUP($P$226,$D$226:$M$291,38,TRUE))</f>
        <v>1.67</v>
      </c>
      <c r="Q263" s="46"/>
      <c r="R263" s="46" t="str">
        <f t="shared" si="55"/>
        <v>Công trình giao thông</v>
      </c>
      <c r="S263" s="46" t="str">
        <f t="shared" si="56"/>
        <v>Thiết kế 2 bước</v>
      </c>
      <c r="T263" s="46" t="str">
        <f t="shared" si="57"/>
        <v>Công trình giao thôngThiết kế 2 bướcCấp II</v>
      </c>
      <c r="U263" s="259">
        <f t="shared" si="58"/>
        <v>1.67</v>
      </c>
      <c r="V263" s="46"/>
      <c r="W263" s="46"/>
    </row>
    <row r="264" spans="1:23" ht="15.4" customHeight="1" x14ac:dyDescent="0.25">
      <c r="A264" s="284" t="s">
        <v>999</v>
      </c>
      <c r="B264" s="111" t="s">
        <v>444</v>
      </c>
      <c r="C264" s="536">
        <v>1.48</v>
      </c>
      <c r="D264" s="536">
        <v>1.37</v>
      </c>
      <c r="E264" s="536">
        <v>1.17</v>
      </c>
      <c r="F264" s="536">
        <v>1.06</v>
      </c>
      <c r="G264" s="536">
        <v>0.97</v>
      </c>
      <c r="H264" s="536">
        <v>0.82</v>
      </c>
      <c r="I264" s="536">
        <v>0.7</v>
      </c>
      <c r="J264" s="536">
        <v>0.59</v>
      </c>
      <c r="K264" s="536">
        <v>0.45</v>
      </c>
      <c r="L264" s="536">
        <v>0.33</v>
      </c>
      <c r="M264" s="536">
        <v>0.28999999999999998</v>
      </c>
      <c r="N264" s="252">
        <f t="shared" si="54"/>
        <v>1.48</v>
      </c>
      <c r="O264" s="49">
        <f>IF(O$226=10,C264,HLOOKUP($O$226,$D$226:$M$291,39,TRUE))</f>
        <v>1.48</v>
      </c>
      <c r="P264" s="343">
        <f>IF(P$226=10,C264,HLOOKUP($P$226,$D$226:$M$291,39,TRUE))</f>
        <v>1.48</v>
      </c>
      <c r="Q264" s="46"/>
      <c r="R264" s="46" t="str">
        <f t="shared" si="55"/>
        <v>Công trình giao thông</v>
      </c>
      <c r="S264" s="46" t="str">
        <f t="shared" si="56"/>
        <v>Thiết kế 2 bước</v>
      </c>
      <c r="T264" s="46" t="str">
        <f t="shared" si="57"/>
        <v>Công trình giao thôngThiết kế 2 bướcCấp III</v>
      </c>
      <c r="U264" s="259">
        <f t="shared" si="58"/>
        <v>1.48</v>
      </c>
      <c r="V264" s="46"/>
      <c r="W264" s="46"/>
    </row>
    <row r="265" spans="1:23" ht="15.4" customHeight="1" x14ac:dyDescent="0.25">
      <c r="A265" s="284" t="s">
        <v>279</v>
      </c>
      <c r="B265" s="111" t="s">
        <v>333</v>
      </c>
      <c r="C265" s="536">
        <v>1.37</v>
      </c>
      <c r="D265" s="536">
        <v>1.26</v>
      </c>
      <c r="E265" s="536">
        <v>1.08</v>
      </c>
      <c r="F265" s="536">
        <v>0.98</v>
      </c>
      <c r="G265" s="536">
        <v>0.83</v>
      </c>
      <c r="H265" s="536">
        <v>0.71</v>
      </c>
      <c r="I265" s="536" t="s">
        <v>313</v>
      </c>
      <c r="J265" s="536" t="s">
        <v>313</v>
      </c>
      <c r="K265" s="536" t="s">
        <v>313</v>
      </c>
      <c r="L265" s="536" t="s">
        <v>313</v>
      </c>
      <c r="M265" s="536" t="s">
        <v>313</v>
      </c>
      <c r="N265" s="252">
        <f t="shared" si="54"/>
        <v>1.37</v>
      </c>
      <c r="O265" s="49">
        <f>IF(O$226=10,C265,HLOOKUP($O$226,$D$226:$M$291,40,TRUE))</f>
        <v>1.37</v>
      </c>
      <c r="P265" s="343">
        <f>IF(P$226=10,C265,HLOOKUP($P$226,$D$226:$M$291,40,TRUE))</f>
        <v>1.37</v>
      </c>
      <c r="Q265" s="46"/>
      <c r="R265" s="46" t="str">
        <f t="shared" si="55"/>
        <v>Công trình giao thông</v>
      </c>
      <c r="S265" s="46" t="str">
        <f t="shared" si="56"/>
        <v>Thiết kế 2 bước</v>
      </c>
      <c r="T265" s="46" t="str">
        <f t="shared" si="57"/>
        <v>Công trình giao thôngThiết kế 2 bướcCấp IV</v>
      </c>
      <c r="U265" s="259">
        <f t="shared" si="58"/>
        <v>1.37</v>
      </c>
      <c r="V265" s="46"/>
      <c r="W265" s="46"/>
    </row>
    <row r="266" spans="1:23" ht="15.4" customHeight="1" x14ac:dyDescent="0.25">
      <c r="A266" s="35">
        <v>4</v>
      </c>
      <c r="B266" s="191" t="str">
        <f>B51</f>
        <v>Công trình nông nghiệp và phát triển nông thôn</v>
      </c>
      <c r="C266" s="239"/>
      <c r="D266" s="239"/>
      <c r="E266" s="239"/>
      <c r="F266" s="239"/>
      <c r="G266" s="239"/>
      <c r="H266" s="239"/>
      <c r="I266" s="239"/>
      <c r="J266" s="239"/>
      <c r="K266" s="239"/>
      <c r="L266" s="239"/>
      <c r="M266" s="514"/>
      <c r="N266" s="15"/>
      <c r="O266" s="306"/>
      <c r="P266" s="306"/>
      <c r="Q266" s="33"/>
      <c r="R266" s="33"/>
      <c r="S266" s="33"/>
      <c r="T266" s="33"/>
      <c r="U266" s="13"/>
      <c r="V266" s="33"/>
      <c r="W266" s="33"/>
    </row>
    <row r="267" spans="1:23" ht="15.4" customHeight="1" x14ac:dyDescent="0.25">
      <c r="A267" s="284" t="s">
        <v>221</v>
      </c>
      <c r="B267" s="714" t="s">
        <v>396</v>
      </c>
      <c r="C267" s="715"/>
      <c r="D267" s="715"/>
      <c r="E267" s="715"/>
      <c r="F267" s="715"/>
      <c r="G267" s="715"/>
      <c r="H267" s="715"/>
      <c r="I267" s="715"/>
      <c r="J267" s="715"/>
      <c r="K267" s="715"/>
      <c r="L267" s="715"/>
      <c r="M267" s="716"/>
      <c r="N267" s="264"/>
      <c r="O267" s="536"/>
      <c r="P267" s="536"/>
      <c r="Q267" s="46"/>
      <c r="R267" s="46"/>
      <c r="S267" s="46"/>
      <c r="T267" s="46"/>
      <c r="U267" s="259"/>
      <c r="V267" s="46"/>
      <c r="W267" s="46"/>
    </row>
    <row r="268" spans="1:23" ht="15.4" customHeight="1" x14ac:dyDescent="0.25">
      <c r="A268" s="284" t="s">
        <v>528</v>
      </c>
      <c r="B268" s="111" t="s">
        <v>820</v>
      </c>
      <c r="C268" s="536">
        <v>2.98</v>
      </c>
      <c r="D268" s="536">
        <v>2.6</v>
      </c>
      <c r="E268" s="536">
        <v>2.2000000000000002</v>
      </c>
      <c r="F268" s="536">
        <v>1.98</v>
      </c>
      <c r="G268" s="536">
        <v>1.83</v>
      </c>
      <c r="H268" s="536">
        <v>1.54</v>
      </c>
      <c r="I268" s="536">
        <v>1.3</v>
      </c>
      <c r="J268" s="536">
        <v>1.1299999999999999</v>
      </c>
      <c r="K268" s="536">
        <v>0.85</v>
      </c>
      <c r="L268" s="536">
        <v>0.66</v>
      </c>
      <c r="M268" s="536">
        <v>0.57999999999999996</v>
      </c>
      <c r="N268" s="252">
        <f t="shared" ref="N268:N272" si="59">IF(P$226=O$226,O268,IF(O268="-",O268,ROUND(O268-((O268-P268)/(P$226-O$226))*(N$226-O$226),3)))</f>
        <v>2.98</v>
      </c>
      <c r="O268" s="49">
        <f>IF(O$226=10,C268,HLOOKUP($O$226,$D$226:$M$291,43,TRUE))</f>
        <v>2.98</v>
      </c>
      <c r="P268" s="343">
        <f>IF(P$226=10,C268,HLOOKUP($P$226,$D$226:$M$291,43,TRUE))</f>
        <v>2.98</v>
      </c>
      <c r="Q268" s="46"/>
      <c r="R268" s="46" t="str">
        <f t="shared" ref="R268:R272" si="60">$B$266</f>
        <v>Công trình nông nghiệp và phát triển nông thôn</v>
      </c>
      <c r="S268" s="46" t="str">
        <f t="shared" ref="S268:S272" si="61">$W$230</f>
        <v>Thiết kế 3 bước</v>
      </c>
      <c r="T268" s="46" t="str">
        <f t="shared" ref="T268:T272" si="62">R268&amp;S268&amp;B268</f>
        <v>Công trình nông nghiệp và phát triển nông thônThiết kế 3 bướcCấp đặc biệt</v>
      </c>
      <c r="U268" s="259">
        <f t="shared" ref="U268:U272" si="63">N268</f>
        <v>2.98</v>
      </c>
      <c r="V268" s="46"/>
      <c r="W268" s="46"/>
    </row>
    <row r="269" spans="1:23" ht="15.4" customHeight="1" x14ac:dyDescent="0.25">
      <c r="A269" s="284" t="s">
        <v>818</v>
      </c>
      <c r="B269" s="111" t="s">
        <v>21</v>
      </c>
      <c r="C269" s="536">
        <v>2.7</v>
      </c>
      <c r="D269" s="536">
        <v>2.36</v>
      </c>
      <c r="E269" s="536">
        <v>1.99</v>
      </c>
      <c r="F269" s="536">
        <v>1.78</v>
      </c>
      <c r="G269" s="536">
        <v>1.66</v>
      </c>
      <c r="H269" s="536">
        <v>1.39</v>
      </c>
      <c r="I269" s="536">
        <v>1.17</v>
      </c>
      <c r="J269" s="536">
        <v>1.02</v>
      </c>
      <c r="K269" s="536">
        <v>0.77</v>
      </c>
      <c r="L269" s="536">
        <v>0.59</v>
      </c>
      <c r="M269" s="536">
        <v>0.52</v>
      </c>
      <c r="N269" s="252">
        <f t="shared" si="59"/>
        <v>2.7</v>
      </c>
      <c r="O269" s="49">
        <f>IF(O$226=10,C269,HLOOKUP($O$226,$D$226:$M$291,44,TRUE))</f>
        <v>2.7</v>
      </c>
      <c r="P269" s="343">
        <f>IF(P$226=10,C269,HLOOKUP($P$226,$D$226:$M$291,44,TRUE))</f>
        <v>2.7</v>
      </c>
      <c r="Q269" s="46"/>
      <c r="R269" s="46" t="str">
        <f t="shared" si="60"/>
        <v>Công trình nông nghiệp và phát triển nông thôn</v>
      </c>
      <c r="S269" s="46" t="str">
        <f t="shared" si="61"/>
        <v>Thiết kế 3 bước</v>
      </c>
      <c r="T269" s="46" t="str">
        <f t="shared" si="62"/>
        <v>Công trình nông nghiệp và phát triển nông thônThiết kế 3 bướcCấp I</v>
      </c>
      <c r="U269" s="259">
        <f t="shared" si="63"/>
        <v>2.7</v>
      </c>
      <c r="V269" s="46"/>
      <c r="W269" s="46"/>
    </row>
    <row r="270" spans="1:23" ht="15.4" customHeight="1" x14ac:dyDescent="0.25">
      <c r="A270" s="284" t="s">
        <v>686</v>
      </c>
      <c r="B270" s="111" t="s">
        <v>889</v>
      </c>
      <c r="C270" s="536">
        <v>2.48</v>
      </c>
      <c r="D270" s="536">
        <v>2.14</v>
      </c>
      <c r="E270" s="536">
        <v>1.8</v>
      </c>
      <c r="F270" s="536">
        <v>1.61</v>
      </c>
      <c r="G270" s="536">
        <v>1.51</v>
      </c>
      <c r="H270" s="536">
        <v>1.22</v>
      </c>
      <c r="I270" s="536">
        <v>1.05</v>
      </c>
      <c r="J270" s="536">
        <v>0.87</v>
      </c>
      <c r="K270" s="536">
        <v>0.67</v>
      </c>
      <c r="L270" s="536">
        <v>0.49</v>
      </c>
      <c r="M270" s="536">
        <v>0.42</v>
      </c>
      <c r="N270" s="252">
        <f t="shared" si="59"/>
        <v>2.48</v>
      </c>
      <c r="O270" s="49">
        <f>IF(O$226=10,C270,HLOOKUP($O$226,$D$226:$M$291,45,TRUE))</f>
        <v>2.48</v>
      </c>
      <c r="P270" s="343">
        <f>IF(P$226=10,C270,HLOOKUP($P$226,$D$226:$M$291,45,TRUE))</f>
        <v>2.48</v>
      </c>
      <c r="Q270" s="46"/>
      <c r="R270" s="46" t="str">
        <f t="shared" si="60"/>
        <v>Công trình nông nghiệp và phát triển nông thôn</v>
      </c>
      <c r="S270" s="46" t="str">
        <f t="shared" si="61"/>
        <v>Thiết kế 3 bước</v>
      </c>
      <c r="T270" s="46" t="str">
        <f t="shared" si="62"/>
        <v>Công trình nông nghiệp và phát triển nông thônThiết kế 3 bướcCấp II</v>
      </c>
      <c r="U270" s="259">
        <f t="shared" si="63"/>
        <v>2.48</v>
      </c>
      <c r="V270" s="46"/>
      <c r="W270" s="46"/>
    </row>
    <row r="271" spans="1:23" ht="15.4" customHeight="1" x14ac:dyDescent="0.25">
      <c r="A271" s="284" t="s">
        <v>985</v>
      </c>
      <c r="B271" s="111" t="s">
        <v>444</v>
      </c>
      <c r="C271" s="536">
        <v>2.2000000000000002</v>
      </c>
      <c r="D271" s="536">
        <v>1.9</v>
      </c>
      <c r="E271" s="536">
        <v>1.6</v>
      </c>
      <c r="F271" s="536">
        <v>1.43</v>
      </c>
      <c r="G271" s="536">
        <v>1.24</v>
      </c>
      <c r="H271" s="536">
        <v>1.06</v>
      </c>
      <c r="I271" s="536">
        <v>0.9</v>
      </c>
      <c r="J271" s="536">
        <v>0.77</v>
      </c>
      <c r="K271" s="536">
        <v>0.59</v>
      </c>
      <c r="L271" s="536">
        <v>0.43</v>
      </c>
      <c r="M271" s="536">
        <v>0.37</v>
      </c>
      <c r="N271" s="252">
        <f t="shared" si="59"/>
        <v>2.2000000000000002</v>
      </c>
      <c r="O271" s="49">
        <f>IF(O$226=10,C271,HLOOKUP($O$226,$D$226:$M$291,46,TRUE))</f>
        <v>2.2000000000000002</v>
      </c>
      <c r="P271" s="343">
        <f>IF(P$226=10,C271,HLOOKUP($P$226,$D$226:$M$291,46,TRUE))</f>
        <v>2.2000000000000002</v>
      </c>
      <c r="Q271" s="46"/>
      <c r="R271" s="46" t="str">
        <f t="shared" si="60"/>
        <v>Công trình nông nghiệp và phát triển nông thôn</v>
      </c>
      <c r="S271" s="46" t="str">
        <f t="shared" si="61"/>
        <v>Thiết kế 3 bước</v>
      </c>
      <c r="T271" s="46" t="str">
        <f t="shared" si="62"/>
        <v>Công trình nông nghiệp và phát triển nông thônThiết kế 3 bướcCấp III</v>
      </c>
      <c r="U271" s="259">
        <f t="shared" si="63"/>
        <v>2.2000000000000002</v>
      </c>
      <c r="V271" s="46"/>
      <c r="W271" s="46"/>
    </row>
    <row r="272" spans="1:23" ht="15.4" customHeight="1" x14ac:dyDescent="0.25">
      <c r="A272" s="284" t="s">
        <v>249</v>
      </c>
      <c r="B272" s="111" t="s">
        <v>333</v>
      </c>
      <c r="C272" s="536">
        <v>1.74</v>
      </c>
      <c r="D272" s="536">
        <v>1.52</v>
      </c>
      <c r="E272" s="536">
        <v>1.27</v>
      </c>
      <c r="F272" s="536">
        <v>1.1200000000000001</v>
      </c>
      <c r="G272" s="536">
        <v>1.01</v>
      </c>
      <c r="H272" s="536">
        <v>0.8</v>
      </c>
      <c r="I272" s="536">
        <v>0.64</v>
      </c>
      <c r="J272" s="536" t="s">
        <v>313</v>
      </c>
      <c r="K272" s="536" t="s">
        <v>313</v>
      </c>
      <c r="L272" s="536" t="s">
        <v>313</v>
      </c>
      <c r="M272" s="536" t="s">
        <v>313</v>
      </c>
      <c r="N272" s="252">
        <f t="shared" si="59"/>
        <v>1.74</v>
      </c>
      <c r="O272" s="49">
        <f>IF(O$226=10,C272,HLOOKUP($O$226,$D$226:$M$291,47,TRUE))</f>
        <v>1.74</v>
      </c>
      <c r="P272" s="343">
        <f>IF(P$226=10,C272,HLOOKUP($P$226,$D$226:$M$291,47,TRUE))</f>
        <v>1.74</v>
      </c>
      <c r="Q272" s="46"/>
      <c r="R272" s="46" t="str">
        <f t="shared" si="60"/>
        <v>Công trình nông nghiệp và phát triển nông thôn</v>
      </c>
      <c r="S272" s="46" t="str">
        <f t="shared" si="61"/>
        <v>Thiết kế 3 bước</v>
      </c>
      <c r="T272" s="46" t="str">
        <f t="shared" si="62"/>
        <v>Công trình nông nghiệp và phát triển nông thônThiết kế 3 bướcCấp IV</v>
      </c>
      <c r="U272" s="259">
        <f t="shared" si="63"/>
        <v>1.74</v>
      </c>
      <c r="V272" s="46"/>
      <c r="W272" s="46"/>
    </row>
    <row r="273" spans="1:23" ht="15.4" customHeight="1" x14ac:dyDescent="0.25">
      <c r="A273" s="284" t="s">
        <v>355</v>
      </c>
      <c r="B273" s="714" t="s">
        <v>523</v>
      </c>
      <c r="C273" s="715"/>
      <c r="D273" s="715"/>
      <c r="E273" s="715"/>
      <c r="F273" s="715"/>
      <c r="G273" s="715"/>
      <c r="H273" s="715"/>
      <c r="I273" s="715"/>
      <c r="J273" s="715"/>
      <c r="K273" s="715"/>
      <c r="L273" s="715"/>
      <c r="M273" s="716"/>
      <c r="N273" s="264"/>
      <c r="O273" s="536"/>
      <c r="P273" s="536"/>
      <c r="Q273" s="46"/>
      <c r="R273" s="46"/>
      <c r="S273" s="46"/>
      <c r="T273" s="46"/>
      <c r="U273" s="259"/>
      <c r="V273" s="46"/>
      <c r="W273" s="46"/>
    </row>
    <row r="274" spans="1:23" ht="15.4" customHeight="1" x14ac:dyDescent="0.25">
      <c r="A274" s="284" t="s">
        <v>290</v>
      </c>
      <c r="B274" s="111" t="s">
        <v>820</v>
      </c>
      <c r="C274" s="536">
        <v>4.29</v>
      </c>
      <c r="D274" s="536">
        <v>3.75</v>
      </c>
      <c r="E274" s="536">
        <v>3.17</v>
      </c>
      <c r="F274" s="536">
        <v>2.85</v>
      </c>
      <c r="G274" s="536">
        <v>2.6</v>
      </c>
      <c r="H274" s="536">
        <v>2.21</v>
      </c>
      <c r="I274" s="536">
        <v>1.87</v>
      </c>
      <c r="J274" s="536">
        <v>1.58</v>
      </c>
      <c r="K274" s="536">
        <v>1.22</v>
      </c>
      <c r="L274" s="536">
        <v>0.95</v>
      </c>
      <c r="M274" s="536">
        <v>0.83</v>
      </c>
      <c r="N274" s="252">
        <f t="shared" ref="N274:N278" si="64">IF(P$226=O$226,O274,IF(O274="-",O274,ROUND(O274-((O274-P274)/(P$226-O$226))*(N$226-O$226),3)))</f>
        <v>4.29</v>
      </c>
      <c r="O274" s="49">
        <f>IF(O$226=10,C274,HLOOKUP($O$226,$D$226:$M$291,49,TRUE))</f>
        <v>4.29</v>
      </c>
      <c r="P274" s="343">
        <f>IF(P$226=10,C274,HLOOKUP($P$226,$D$226:$M$291,49,TRUE))</f>
        <v>4.29</v>
      </c>
      <c r="Q274" s="46"/>
      <c r="R274" s="46" t="str">
        <f t="shared" ref="R274:R278" si="65">$B$266</f>
        <v>Công trình nông nghiệp và phát triển nông thôn</v>
      </c>
      <c r="S274" s="46" t="str">
        <f t="shared" ref="S274:S278" si="66">$W$229</f>
        <v>Thiết kế 2 bước</v>
      </c>
      <c r="T274" s="46" t="str">
        <f t="shared" ref="T274:T278" si="67">R274&amp;S274&amp;B274</f>
        <v>Công trình nông nghiệp và phát triển nông thônThiết kế 2 bướcCấp đặc biệt</v>
      </c>
      <c r="U274" s="259">
        <f t="shared" ref="U274:U278" si="68">N274</f>
        <v>4.29</v>
      </c>
      <c r="V274" s="46"/>
      <c r="W274" s="46"/>
    </row>
    <row r="275" spans="1:23" ht="15.4" customHeight="1" x14ac:dyDescent="0.25">
      <c r="A275" s="284" t="s">
        <v>576</v>
      </c>
      <c r="B275" s="111" t="s">
        <v>21</v>
      </c>
      <c r="C275" s="536">
        <v>3.89</v>
      </c>
      <c r="D275" s="536">
        <v>3.4</v>
      </c>
      <c r="E275" s="536">
        <v>2.87</v>
      </c>
      <c r="F275" s="536">
        <v>2.57</v>
      </c>
      <c r="G275" s="536">
        <v>2.36</v>
      </c>
      <c r="H275" s="536">
        <v>2</v>
      </c>
      <c r="I275" s="536">
        <v>1.69</v>
      </c>
      <c r="J275" s="536">
        <v>1.43</v>
      </c>
      <c r="K275" s="536">
        <v>1.1000000000000001</v>
      </c>
      <c r="L275" s="536">
        <v>0.85</v>
      </c>
      <c r="M275" s="536">
        <v>0.74</v>
      </c>
      <c r="N275" s="252">
        <f t="shared" si="64"/>
        <v>3.89</v>
      </c>
      <c r="O275" s="49">
        <f>IF(O$226=10,C275,HLOOKUP($O$226,$D$226:$M$291,50,TRUE))</f>
        <v>3.89</v>
      </c>
      <c r="P275" s="343">
        <f>IF(P$226=10,C275,HLOOKUP($P$226,$D$226:$M$291,50,TRUE))</f>
        <v>3.89</v>
      </c>
      <c r="Q275" s="46"/>
      <c r="R275" s="46" t="str">
        <f t="shared" si="65"/>
        <v>Công trình nông nghiệp và phát triển nông thôn</v>
      </c>
      <c r="S275" s="46" t="str">
        <f t="shared" si="66"/>
        <v>Thiết kế 2 bước</v>
      </c>
      <c r="T275" s="46" t="str">
        <f t="shared" si="67"/>
        <v>Công trình nông nghiệp và phát triển nông thônThiết kế 2 bướcCấp I</v>
      </c>
      <c r="U275" s="259">
        <f t="shared" si="68"/>
        <v>3.89</v>
      </c>
      <c r="V275" s="46"/>
      <c r="W275" s="46"/>
    </row>
    <row r="276" spans="1:23" ht="15.4" customHeight="1" x14ac:dyDescent="0.25">
      <c r="A276" s="284" t="s">
        <v>870</v>
      </c>
      <c r="B276" s="111" t="s">
        <v>889</v>
      </c>
      <c r="C276" s="536">
        <v>3.53</v>
      </c>
      <c r="D276" s="536">
        <v>3.11</v>
      </c>
      <c r="E276" s="536">
        <v>2.62</v>
      </c>
      <c r="F276" s="536">
        <v>2.34</v>
      </c>
      <c r="G276" s="536">
        <v>2.15</v>
      </c>
      <c r="H276" s="536">
        <v>1.73</v>
      </c>
      <c r="I276" s="536">
        <v>1.48</v>
      </c>
      <c r="J276" s="536">
        <v>1.25</v>
      </c>
      <c r="K276" s="536">
        <v>0.96</v>
      </c>
      <c r="L276" s="536">
        <v>0.69</v>
      </c>
      <c r="M276" s="536">
        <v>0.57999999999999996</v>
      </c>
      <c r="N276" s="252">
        <f t="shared" si="64"/>
        <v>3.53</v>
      </c>
      <c r="O276" s="49">
        <f>IF(O$226=10,C276,HLOOKUP($O$226,$D$226:$M$291,51,TRUE))</f>
        <v>3.53</v>
      </c>
      <c r="P276" s="343">
        <f>IF(P$226=10,C276,HLOOKUP($P$226,$D$226:$M$291,51,TRUE))</f>
        <v>3.53</v>
      </c>
      <c r="Q276" s="46"/>
      <c r="R276" s="46" t="str">
        <f t="shared" si="65"/>
        <v>Công trình nông nghiệp và phát triển nông thôn</v>
      </c>
      <c r="S276" s="46" t="str">
        <f t="shared" si="66"/>
        <v>Thiết kế 2 bước</v>
      </c>
      <c r="T276" s="46" t="str">
        <f t="shared" si="67"/>
        <v>Công trình nông nghiệp và phát triển nông thônThiết kế 2 bướcCấp II</v>
      </c>
      <c r="U276" s="259">
        <f t="shared" si="68"/>
        <v>3.53</v>
      </c>
      <c r="V276" s="46"/>
      <c r="W276" s="46"/>
    </row>
    <row r="277" spans="1:23" ht="15.4" customHeight="1" x14ac:dyDescent="0.25">
      <c r="A277" s="284" t="s">
        <v>146</v>
      </c>
      <c r="B277" s="111" t="s">
        <v>444</v>
      </c>
      <c r="C277" s="536">
        <v>3.13</v>
      </c>
      <c r="D277" s="536">
        <v>2.76</v>
      </c>
      <c r="E277" s="536">
        <v>2.31</v>
      </c>
      <c r="F277" s="536">
        <v>2.0699999999999998</v>
      </c>
      <c r="G277" s="536">
        <v>1.79</v>
      </c>
      <c r="H277" s="536">
        <v>1.52</v>
      </c>
      <c r="I277" s="536">
        <v>1.29</v>
      </c>
      <c r="J277" s="536">
        <v>1.1000000000000001</v>
      </c>
      <c r="K277" s="536">
        <v>0.83</v>
      </c>
      <c r="L277" s="536">
        <v>0.6</v>
      </c>
      <c r="M277" s="536">
        <v>0.51</v>
      </c>
      <c r="N277" s="252">
        <f t="shared" si="64"/>
        <v>3.13</v>
      </c>
      <c r="O277" s="49">
        <f>IF(O$226=10,C277,HLOOKUP($O$226,$D$226:$M$291,52,TRUE))</f>
        <v>3.13</v>
      </c>
      <c r="P277" s="343">
        <f>IF(P$226=10,C277,HLOOKUP($P$226,$D$226:$M$291,52,TRUE))</f>
        <v>3.13</v>
      </c>
      <c r="Q277" s="46"/>
      <c r="R277" s="46" t="str">
        <f t="shared" si="65"/>
        <v>Công trình nông nghiệp và phát triển nông thôn</v>
      </c>
      <c r="S277" s="46" t="str">
        <f t="shared" si="66"/>
        <v>Thiết kế 2 bước</v>
      </c>
      <c r="T277" s="46" t="str">
        <f t="shared" si="67"/>
        <v>Công trình nông nghiệp và phát triển nông thônThiết kế 2 bướcCấp III</v>
      </c>
      <c r="U277" s="259">
        <f t="shared" si="68"/>
        <v>3.13</v>
      </c>
      <c r="V277" s="46"/>
      <c r="W277" s="46"/>
    </row>
    <row r="278" spans="1:23" ht="15.4" customHeight="1" x14ac:dyDescent="0.25">
      <c r="A278" s="284" t="s">
        <v>16</v>
      </c>
      <c r="B278" s="111" t="s">
        <v>333</v>
      </c>
      <c r="C278" s="536">
        <v>2.48</v>
      </c>
      <c r="D278" s="536">
        <v>2.19</v>
      </c>
      <c r="E278" s="536">
        <v>1.82</v>
      </c>
      <c r="F278" s="536">
        <v>1.61</v>
      </c>
      <c r="G278" s="536">
        <v>1.41</v>
      </c>
      <c r="H278" s="536">
        <v>1.1399999999999999</v>
      </c>
      <c r="I278" s="536" t="s">
        <v>313</v>
      </c>
      <c r="J278" s="536" t="s">
        <v>313</v>
      </c>
      <c r="K278" s="536" t="s">
        <v>313</v>
      </c>
      <c r="L278" s="536" t="s">
        <v>313</v>
      </c>
      <c r="M278" s="536" t="s">
        <v>313</v>
      </c>
      <c r="N278" s="252">
        <f t="shared" si="64"/>
        <v>2.48</v>
      </c>
      <c r="O278" s="49">
        <f>IF(O$226=10,C278,HLOOKUP($O$226,$D$226:$M$291,53,TRUE))</f>
        <v>2.48</v>
      </c>
      <c r="P278" s="343">
        <f>IF(P$226=10,C278,HLOOKUP($P$226,$D$226:$M$291,53,TRUE))</f>
        <v>2.48</v>
      </c>
      <c r="Q278" s="46"/>
      <c r="R278" s="46" t="str">
        <f t="shared" si="65"/>
        <v>Công trình nông nghiệp và phát triển nông thôn</v>
      </c>
      <c r="S278" s="46" t="str">
        <f t="shared" si="66"/>
        <v>Thiết kế 2 bước</v>
      </c>
      <c r="T278" s="46" t="str">
        <f t="shared" si="67"/>
        <v>Công trình nông nghiệp và phát triển nông thônThiết kế 2 bướcCấp IV</v>
      </c>
      <c r="U278" s="259">
        <f t="shared" si="68"/>
        <v>2.48</v>
      </c>
      <c r="V278" s="46"/>
      <c r="W278" s="46"/>
    </row>
    <row r="279" spans="1:23" ht="15.4" customHeight="1" x14ac:dyDescent="0.25">
      <c r="A279" s="35">
        <v>5</v>
      </c>
      <c r="B279" s="191" t="str">
        <f>B52</f>
        <v>Công trình hạ tầng kỹ thuật</v>
      </c>
      <c r="C279" s="239"/>
      <c r="D279" s="239"/>
      <c r="E279" s="239"/>
      <c r="F279" s="239"/>
      <c r="G279" s="239"/>
      <c r="H279" s="239"/>
      <c r="I279" s="239"/>
      <c r="J279" s="239"/>
      <c r="K279" s="239"/>
      <c r="L279" s="239"/>
      <c r="M279" s="514"/>
      <c r="N279" s="15"/>
      <c r="O279" s="306"/>
      <c r="P279" s="306"/>
      <c r="Q279" s="33"/>
      <c r="R279" s="33"/>
      <c r="S279" s="33"/>
      <c r="T279" s="33"/>
      <c r="U279" s="13"/>
      <c r="V279" s="33"/>
      <c r="W279" s="33"/>
    </row>
    <row r="280" spans="1:23" ht="15.4" customHeight="1" x14ac:dyDescent="0.25">
      <c r="A280" s="35" t="s">
        <v>467</v>
      </c>
      <c r="B280" s="717" t="s">
        <v>396</v>
      </c>
      <c r="C280" s="718"/>
      <c r="D280" s="718"/>
      <c r="E280" s="718"/>
      <c r="F280" s="718"/>
      <c r="G280" s="718"/>
      <c r="H280" s="718"/>
      <c r="I280" s="718"/>
      <c r="J280" s="718"/>
      <c r="K280" s="718"/>
      <c r="L280" s="718"/>
      <c r="M280" s="719"/>
      <c r="N280" s="15"/>
      <c r="O280" s="306"/>
      <c r="P280" s="306"/>
      <c r="Q280" s="33"/>
      <c r="R280" s="33"/>
      <c r="S280" s="33"/>
      <c r="T280" s="33"/>
      <c r="U280" s="13"/>
      <c r="V280" s="33"/>
      <c r="W280" s="33"/>
    </row>
    <row r="281" spans="1:23" ht="15.4" customHeight="1" x14ac:dyDescent="0.25">
      <c r="A281" s="284" t="s">
        <v>262</v>
      </c>
      <c r="B281" s="111" t="s">
        <v>820</v>
      </c>
      <c r="C281" s="536">
        <v>2.2200000000000002</v>
      </c>
      <c r="D281" s="536">
        <v>1.94</v>
      </c>
      <c r="E281" s="536">
        <v>1.63</v>
      </c>
      <c r="F281" s="536">
        <v>1.48</v>
      </c>
      <c r="G281" s="536">
        <v>1.36</v>
      </c>
      <c r="H281" s="536">
        <v>1.1399999999999999</v>
      </c>
      <c r="I281" s="536">
        <v>0.97</v>
      </c>
      <c r="J281" s="536">
        <v>0.83</v>
      </c>
      <c r="K281" s="536">
        <v>0.61</v>
      </c>
      <c r="L281" s="536">
        <v>0.48</v>
      </c>
      <c r="M281" s="536">
        <v>0.43</v>
      </c>
      <c r="N281" s="252">
        <f t="shared" ref="N281:N285" si="69">IF(P$226=O$226,O281,IF(O281="-",O281,ROUND(O281-((O281-P281)/(P$226-O$226))*(N$226-O$226),3)))</f>
        <v>2.2200000000000002</v>
      </c>
      <c r="O281" s="49">
        <f>IF(O$226=10,C281,HLOOKUP($O$226,$D$226:$M$291,56,TRUE))</f>
        <v>2.2200000000000002</v>
      </c>
      <c r="P281" s="343">
        <f>IF(P$226=10,C281,HLOOKUP($P$226,$D$226:$M$291,56,TRUE))</f>
        <v>2.2200000000000002</v>
      </c>
      <c r="Q281" s="46"/>
      <c r="R281" s="46" t="str">
        <f t="shared" ref="R281:R285" si="70">$B$279</f>
        <v>Công trình hạ tầng kỹ thuật</v>
      </c>
      <c r="S281" s="46" t="str">
        <f t="shared" ref="S281:S285" si="71">$W$230</f>
        <v>Thiết kế 3 bước</v>
      </c>
      <c r="T281" s="46" t="str">
        <f t="shared" ref="T281:T285" si="72">R281&amp;S281&amp;B281</f>
        <v>Công trình hạ tầng kỹ thuậtThiết kế 3 bướcCấp đặc biệt</v>
      </c>
      <c r="U281" s="259">
        <f t="shared" ref="U281:U285" si="73">N281</f>
        <v>2.2200000000000002</v>
      </c>
      <c r="V281" s="46"/>
      <c r="W281" s="46"/>
    </row>
    <row r="282" spans="1:23" ht="15.4" customHeight="1" x14ac:dyDescent="0.25">
      <c r="A282" s="284" t="s">
        <v>547</v>
      </c>
      <c r="B282" s="111" t="s">
        <v>21</v>
      </c>
      <c r="C282" s="536">
        <v>2.09</v>
      </c>
      <c r="D282" s="536">
        <v>1.83</v>
      </c>
      <c r="E282" s="536">
        <v>1.53</v>
      </c>
      <c r="F282" s="536">
        <v>1.38</v>
      </c>
      <c r="G282" s="536">
        <v>1.28</v>
      </c>
      <c r="H282" s="536">
        <v>1.04</v>
      </c>
      <c r="I282" s="536">
        <v>0.9</v>
      </c>
      <c r="J282" s="536">
        <v>0.75</v>
      </c>
      <c r="K282" s="536">
        <v>0.53</v>
      </c>
      <c r="L282" s="536">
        <v>0.39</v>
      </c>
      <c r="M282" s="536">
        <v>0.33</v>
      </c>
      <c r="N282" s="252">
        <f t="shared" si="69"/>
        <v>2.09</v>
      </c>
      <c r="O282" s="49">
        <f>IF(O$226=10,C282,HLOOKUP($O$226,$D$226:$M$291,57,TRUE))</f>
        <v>2.09</v>
      </c>
      <c r="P282" s="343">
        <f>IF(P$226=10,C282,HLOOKUP($P$226,$D$226:$M$291,57,TRUE))</f>
        <v>2.09</v>
      </c>
      <c r="Q282" s="46"/>
      <c r="R282" s="46" t="str">
        <f t="shared" si="70"/>
        <v>Công trình hạ tầng kỹ thuật</v>
      </c>
      <c r="S282" s="46" t="str">
        <f t="shared" si="71"/>
        <v>Thiết kế 3 bước</v>
      </c>
      <c r="T282" s="46" t="str">
        <f t="shared" si="72"/>
        <v>Công trình hạ tầng kỹ thuậtThiết kế 3 bướcCấp I</v>
      </c>
      <c r="U282" s="259">
        <f t="shared" si="73"/>
        <v>2.09</v>
      </c>
      <c r="V282" s="46"/>
      <c r="W282" s="46"/>
    </row>
    <row r="283" spans="1:23" ht="15.4" customHeight="1" x14ac:dyDescent="0.25">
      <c r="A283" s="284" t="s">
        <v>419</v>
      </c>
      <c r="B283" s="111" t="s">
        <v>889</v>
      </c>
      <c r="C283" s="536">
        <v>1.86</v>
      </c>
      <c r="D283" s="536">
        <v>1.62</v>
      </c>
      <c r="E283" s="536">
        <v>1.36</v>
      </c>
      <c r="F283" s="536">
        <v>1.22</v>
      </c>
      <c r="G283" s="536">
        <v>1.1299999999999999</v>
      </c>
      <c r="H283" s="536">
        <v>0.91</v>
      </c>
      <c r="I283" s="536">
        <v>0.78</v>
      </c>
      <c r="J283" s="536">
        <v>0.66</v>
      </c>
      <c r="K283" s="536">
        <v>0.47</v>
      </c>
      <c r="L283" s="536">
        <v>0.34</v>
      </c>
      <c r="M283" s="536">
        <v>0.28999999999999998</v>
      </c>
      <c r="N283" s="252">
        <f t="shared" si="69"/>
        <v>1.86</v>
      </c>
      <c r="O283" s="49">
        <f>IF(O$226=10,C283,HLOOKUP($O$226,$D$226:$M$291,58,TRUE))</f>
        <v>1.86</v>
      </c>
      <c r="P283" s="343">
        <f>IF(P$226=10,C283,HLOOKUP($P$226,$D$226:$M$291,58,TRUE))</f>
        <v>1.86</v>
      </c>
      <c r="Q283" s="46"/>
      <c r="R283" s="46" t="str">
        <f t="shared" si="70"/>
        <v>Công trình hạ tầng kỹ thuật</v>
      </c>
      <c r="S283" s="46" t="str">
        <f t="shared" si="71"/>
        <v>Thiết kế 3 bước</v>
      </c>
      <c r="T283" s="46" t="str">
        <f t="shared" si="72"/>
        <v>Công trình hạ tầng kỹ thuậtThiết kế 3 bướcCấp II</v>
      </c>
      <c r="U283" s="259">
        <f t="shared" si="73"/>
        <v>1.86</v>
      </c>
      <c r="V283" s="46"/>
      <c r="W283" s="46"/>
    </row>
    <row r="284" spans="1:23" ht="15.4" customHeight="1" x14ac:dyDescent="0.25">
      <c r="A284" s="284" t="s">
        <v>704</v>
      </c>
      <c r="B284" s="111" t="s">
        <v>444</v>
      </c>
      <c r="C284" s="536">
        <v>1.62</v>
      </c>
      <c r="D284" s="536">
        <v>1.39</v>
      </c>
      <c r="E284" s="536">
        <v>1.19</v>
      </c>
      <c r="F284" s="536">
        <v>1.07</v>
      </c>
      <c r="G284" s="536">
        <v>0.97</v>
      </c>
      <c r="H284" s="536">
        <v>0.8</v>
      </c>
      <c r="I284" s="536">
        <v>0.7</v>
      </c>
      <c r="J284" s="536">
        <v>0.56000000000000005</v>
      </c>
      <c r="K284" s="536">
        <v>0.41</v>
      </c>
      <c r="L284" s="536">
        <v>0.28999999999999998</v>
      </c>
      <c r="M284" s="536">
        <v>0.25</v>
      </c>
      <c r="N284" s="252">
        <f t="shared" si="69"/>
        <v>1.62</v>
      </c>
      <c r="O284" s="49">
        <f>IF(O$226=10,C284,HLOOKUP($O$226,$D$226:$M$291,59,TRUE))</f>
        <v>1.62</v>
      </c>
      <c r="P284" s="343">
        <f>IF(P$226=10,C284,HLOOKUP($P$226,$D$226:$M$291,59,TRUE))</f>
        <v>1.62</v>
      </c>
      <c r="Q284" s="46"/>
      <c r="R284" s="46" t="str">
        <f t="shared" si="70"/>
        <v>Công trình hạ tầng kỹ thuật</v>
      </c>
      <c r="S284" s="46" t="str">
        <f t="shared" si="71"/>
        <v>Thiết kế 3 bước</v>
      </c>
      <c r="T284" s="46" t="str">
        <f t="shared" si="72"/>
        <v>Công trình hạ tầng kỹ thuậtThiết kế 3 bướcCấp III</v>
      </c>
      <c r="U284" s="259">
        <f t="shared" si="73"/>
        <v>1.62</v>
      </c>
      <c r="V284" s="46"/>
      <c r="W284" s="46"/>
    </row>
    <row r="285" spans="1:23" ht="15.4" customHeight="1" x14ac:dyDescent="0.25">
      <c r="A285" s="284" t="s">
        <v>995</v>
      </c>
      <c r="B285" s="111" t="s">
        <v>333</v>
      </c>
      <c r="C285" s="536">
        <v>1.45</v>
      </c>
      <c r="D285" s="536">
        <v>1.23</v>
      </c>
      <c r="E285" s="536">
        <v>1.01</v>
      </c>
      <c r="F285" s="536">
        <v>0.92</v>
      </c>
      <c r="G285" s="536">
        <v>0.8</v>
      </c>
      <c r="H285" s="536">
        <v>0.7</v>
      </c>
      <c r="I285" s="536">
        <v>0.57999999999999996</v>
      </c>
      <c r="J285" s="536" t="s">
        <v>313</v>
      </c>
      <c r="K285" s="536" t="s">
        <v>313</v>
      </c>
      <c r="L285" s="536" t="s">
        <v>313</v>
      </c>
      <c r="M285" s="536" t="s">
        <v>313</v>
      </c>
      <c r="N285" s="252">
        <f t="shared" si="69"/>
        <v>1.45</v>
      </c>
      <c r="O285" s="49">
        <f>IF(O$226=10,C285,HLOOKUP($O$226,$D$226:$M$291,60,TRUE))</f>
        <v>1.45</v>
      </c>
      <c r="P285" s="343">
        <f>IF(P$226=10,C285,HLOOKUP($P$226,$D$226:$M$291,60,TRUE))</f>
        <v>1.45</v>
      </c>
      <c r="Q285" s="46"/>
      <c r="R285" s="46" t="str">
        <f t="shared" si="70"/>
        <v>Công trình hạ tầng kỹ thuật</v>
      </c>
      <c r="S285" s="46" t="str">
        <f t="shared" si="71"/>
        <v>Thiết kế 3 bước</v>
      </c>
      <c r="T285" s="46" t="str">
        <f t="shared" si="72"/>
        <v>Công trình hạ tầng kỹ thuậtThiết kế 3 bướcCấp IV</v>
      </c>
      <c r="U285" s="259">
        <f t="shared" si="73"/>
        <v>1.45</v>
      </c>
      <c r="V285" s="46"/>
      <c r="W285" s="46"/>
    </row>
    <row r="286" spans="1:23" ht="15.4" customHeight="1" x14ac:dyDescent="0.25">
      <c r="A286" s="284" t="s">
        <v>181</v>
      </c>
      <c r="B286" s="714" t="s">
        <v>523</v>
      </c>
      <c r="C286" s="715"/>
      <c r="D286" s="715"/>
      <c r="E286" s="715"/>
      <c r="F286" s="715"/>
      <c r="G286" s="715"/>
      <c r="H286" s="715"/>
      <c r="I286" s="715"/>
      <c r="J286" s="715"/>
      <c r="K286" s="715"/>
      <c r="L286" s="715"/>
      <c r="M286" s="716"/>
      <c r="N286" s="264"/>
      <c r="O286" s="536"/>
      <c r="P286" s="536"/>
      <c r="Q286" s="46"/>
      <c r="R286" s="46"/>
      <c r="S286" s="46"/>
      <c r="T286" s="46"/>
      <c r="U286" s="259"/>
      <c r="V286" s="46"/>
      <c r="W286" s="46"/>
    </row>
    <row r="287" spans="1:23" ht="15.4" customHeight="1" x14ac:dyDescent="0.25">
      <c r="A287" s="284" t="s">
        <v>24</v>
      </c>
      <c r="B287" s="111" t="s">
        <v>820</v>
      </c>
      <c r="C287" s="536">
        <v>3.23</v>
      </c>
      <c r="D287" s="536">
        <v>2.79</v>
      </c>
      <c r="E287" s="536">
        <v>2.35</v>
      </c>
      <c r="F287" s="536">
        <v>2.13</v>
      </c>
      <c r="G287" s="536">
        <v>1.95</v>
      </c>
      <c r="H287" s="536">
        <v>1.64</v>
      </c>
      <c r="I287" s="536">
        <v>1.39</v>
      </c>
      <c r="J287" s="536">
        <v>1.19</v>
      </c>
      <c r="K287" s="536">
        <v>0.9</v>
      </c>
      <c r="L287" s="536">
        <v>0.7</v>
      </c>
      <c r="M287" s="536">
        <v>0.63</v>
      </c>
      <c r="N287" s="252">
        <f t="shared" ref="N287:N291" si="74">IF(P$226=O$226,O287,IF(O287="-",O287,ROUND(O287-((O287-P287)/(P$226-O$226))*(N$226-O$226),3)))</f>
        <v>3.23</v>
      </c>
      <c r="O287" s="49">
        <f>IF(O$226=10,C287,HLOOKUP($O$226,$D$226:$M$291,62,TRUE))</f>
        <v>3.23</v>
      </c>
      <c r="P287" s="343">
        <f>IF(P$226=10,C287,HLOOKUP($P$226,$D$226:$M$291,62,TRUE))</f>
        <v>3.23</v>
      </c>
      <c r="Q287" s="46"/>
      <c r="R287" s="46" t="str">
        <f t="shared" ref="R287:R291" si="75">$B$279</f>
        <v>Công trình hạ tầng kỹ thuật</v>
      </c>
      <c r="S287" s="46" t="str">
        <f t="shared" ref="S287:S291" si="76">$W$229</f>
        <v>Thiết kế 2 bước</v>
      </c>
      <c r="T287" s="46" t="str">
        <f t="shared" ref="T287:T291" si="77">R287&amp;S287&amp;B287</f>
        <v>Công trình hạ tầng kỹ thuậtThiết kế 2 bướcCấp đặc biệt</v>
      </c>
      <c r="U287" s="259">
        <f t="shared" ref="U287:U291" si="78">N287</f>
        <v>3.23</v>
      </c>
      <c r="V287" s="46"/>
      <c r="W287" s="46"/>
    </row>
    <row r="288" spans="1:23" ht="15.4" customHeight="1" x14ac:dyDescent="0.25">
      <c r="A288" s="284" t="s">
        <v>307</v>
      </c>
      <c r="B288" s="111" t="s">
        <v>21</v>
      </c>
      <c r="C288" s="536">
        <v>3.01</v>
      </c>
      <c r="D288" s="536">
        <v>2.63</v>
      </c>
      <c r="E288" s="536">
        <v>2.21</v>
      </c>
      <c r="F288" s="536">
        <v>1.99</v>
      </c>
      <c r="G288" s="536">
        <v>1.82</v>
      </c>
      <c r="H288" s="536">
        <v>1.49</v>
      </c>
      <c r="I288" s="536">
        <v>1.28</v>
      </c>
      <c r="J288" s="536">
        <v>1.07</v>
      </c>
      <c r="K288" s="536">
        <v>0.79</v>
      </c>
      <c r="L288" s="536">
        <v>0.57999999999999996</v>
      </c>
      <c r="M288" s="536">
        <v>0.49</v>
      </c>
      <c r="N288" s="252">
        <f t="shared" si="74"/>
        <v>3.01</v>
      </c>
      <c r="O288" s="49">
        <f>IF(O$226=10,C288,HLOOKUP($O$226,$D$226:$M$291,63,TRUE))</f>
        <v>3.01</v>
      </c>
      <c r="P288" s="343">
        <f>IF(P$226=10,C288,HLOOKUP($P$226,$D$226:$M$291,63,TRUE))</f>
        <v>3.01</v>
      </c>
      <c r="Q288" s="46"/>
      <c r="R288" s="46" t="str">
        <f t="shared" si="75"/>
        <v>Công trình hạ tầng kỹ thuật</v>
      </c>
      <c r="S288" s="46" t="str">
        <f t="shared" si="76"/>
        <v>Thiết kế 2 bước</v>
      </c>
      <c r="T288" s="46" t="str">
        <f t="shared" si="77"/>
        <v>Công trình hạ tầng kỹ thuậtThiết kế 2 bướcCấp I</v>
      </c>
      <c r="U288" s="259">
        <f t="shared" si="78"/>
        <v>3.01</v>
      </c>
      <c r="V288" s="46"/>
      <c r="W288" s="46"/>
    </row>
    <row r="289" spans="1:23" ht="15.4" customHeight="1" x14ac:dyDescent="0.25">
      <c r="A289" s="284" t="s">
        <v>593</v>
      </c>
      <c r="B289" s="111" t="s">
        <v>889</v>
      </c>
      <c r="C289" s="536">
        <v>2.68</v>
      </c>
      <c r="D289" s="536">
        <v>2.33</v>
      </c>
      <c r="E289" s="536">
        <v>1.97</v>
      </c>
      <c r="F289" s="536">
        <v>1.77</v>
      </c>
      <c r="G289" s="536">
        <v>1.58</v>
      </c>
      <c r="H289" s="536">
        <v>1.32</v>
      </c>
      <c r="I289" s="536">
        <v>1.1399999999999999</v>
      </c>
      <c r="J289" s="536">
        <v>0.92</v>
      </c>
      <c r="K289" s="536">
        <v>0.7</v>
      </c>
      <c r="L289" s="536">
        <v>0.51</v>
      </c>
      <c r="M289" s="536">
        <v>0.43</v>
      </c>
      <c r="N289" s="252">
        <f t="shared" si="74"/>
        <v>2.68</v>
      </c>
      <c r="O289" s="49">
        <f>IF(O$226=10,C289,HLOOKUP($O$226,$D$226:$M$291,64,TRUE))</f>
        <v>2.68</v>
      </c>
      <c r="P289" s="343">
        <f>IF(P$226=10,C289,HLOOKUP($P$226,$D$226:$M$291,64,TRUE))</f>
        <v>2.68</v>
      </c>
      <c r="Q289" s="46"/>
      <c r="R289" s="46" t="str">
        <f t="shared" si="75"/>
        <v>Công trình hạ tầng kỹ thuật</v>
      </c>
      <c r="S289" s="46" t="str">
        <f t="shared" si="76"/>
        <v>Thiết kế 2 bước</v>
      </c>
      <c r="T289" s="46" t="str">
        <f t="shared" si="77"/>
        <v>Công trình hạ tầng kỹ thuậtThiết kế 2 bướcCấp II</v>
      </c>
      <c r="U289" s="259">
        <f t="shared" si="78"/>
        <v>2.68</v>
      </c>
      <c r="V289" s="46"/>
      <c r="W289" s="46"/>
    </row>
    <row r="290" spans="1:23" ht="15.4" customHeight="1" x14ac:dyDescent="0.25">
      <c r="A290" s="284" t="s">
        <v>893</v>
      </c>
      <c r="B290" s="111" t="s">
        <v>444</v>
      </c>
      <c r="C290" s="536">
        <v>2.36</v>
      </c>
      <c r="D290" s="536">
        <v>2.0099999999999998</v>
      </c>
      <c r="E290" s="536">
        <v>1.72</v>
      </c>
      <c r="F290" s="536">
        <v>1.55</v>
      </c>
      <c r="G290" s="536">
        <v>1.39</v>
      </c>
      <c r="H290" s="536">
        <v>1.1599999999999999</v>
      </c>
      <c r="I290" s="536">
        <v>1.02</v>
      </c>
      <c r="J290" s="536">
        <v>0.81</v>
      </c>
      <c r="K290" s="536">
        <v>0.61</v>
      </c>
      <c r="L290" s="536">
        <v>0.44</v>
      </c>
      <c r="M290" s="536">
        <v>0.36</v>
      </c>
      <c r="N290" s="252">
        <f t="shared" si="74"/>
        <v>2.36</v>
      </c>
      <c r="O290" s="49">
        <f>IF(O$226=10,C290,HLOOKUP($O$226,$D$226:$M$291,65,TRUE))</f>
        <v>2.36</v>
      </c>
      <c r="P290" s="343">
        <f>IF(P$226=10,C290,HLOOKUP($P$226,$D$226:$M$291,65,TRUE))</f>
        <v>2.36</v>
      </c>
      <c r="Q290" s="46"/>
      <c r="R290" s="46" t="str">
        <f t="shared" si="75"/>
        <v>Công trình hạ tầng kỹ thuật</v>
      </c>
      <c r="S290" s="46" t="str">
        <f t="shared" si="76"/>
        <v>Thiết kế 2 bước</v>
      </c>
      <c r="T290" s="46" t="str">
        <f t="shared" si="77"/>
        <v>Công trình hạ tầng kỹ thuậtThiết kế 2 bướcCấp III</v>
      </c>
      <c r="U290" s="259">
        <f t="shared" si="78"/>
        <v>2.36</v>
      </c>
      <c r="V290" s="46"/>
      <c r="W290" s="46"/>
    </row>
    <row r="291" spans="1:23" ht="15.4" customHeight="1" x14ac:dyDescent="0.25">
      <c r="A291" s="284" t="s">
        <v>746</v>
      </c>
      <c r="B291" s="111" t="s">
        <v>333</v>
      </c>
      <c r="C291" s="536">
        <v>2.0699999999999998</v>
      </c>
      <c r="D291" s="536">
        <v>1.76</v>
      </c>
      <c r="E291" s="536">
        <v>1.49</v>
      </c>
      <c r="F291" s="536">
        <v>1.35</v>
      </c>
      <c r="G291" s="536">
        <v>1.1499999999999999</v>
      </c>
      <c r="H291" s="536">
        <v>0.98</v>
      </c>
      <c r="I291" s="536" t="s">
        <v>313</v>
      </c>
      <c r="J291" s="536" t="s">
        <v>313</v>
      </c>
      <c r="K291" s="536" t="s">
        <v>313</v>
      </c>
      <c r="L291" s="536" t="s">
        <v>313</v>
      </c>
      <c r="M291" s="536" t="s">
        <v>313</v>
      </c>
      <c r="N291" s="252">
        <f t="shared" si="74"/>
        <v>2.0699999999999998</v>
      </c>
      <c r="O291" s="49">
        <f>IF(O$226=10,C291,HLOOKUP($O$226,$D$226:$M$291,66,TRUE))</f>
        <v>2.0699999999999998</v>
      </c>
      <c r="P291" s="343">
        <f>IF(P$226=10,C291,HLOOKUP($P$226,$D$226:$M$291,66,TRUE))</f>
        <v>2.0699999999999998</v>
      </c>
      <c r="Q291" s="46"/>
      <c r="R291" s="46" t="str">
        <f t="shared" si="75"/>
        <v>Công trình hạ tầng kỹ thuật</v>
      </c>
      <c r="S291" s="46" t="str">
        <f t="shared" si="76"/>
        <v>Thiết kế 2 bước</v>
      </c>
      <c r="T291" s="46" t="str">
        <f t="shared" si="77"/>
        <v>Công trình hạ tầng kỹ thuậtThiết kế 2 bướcCấp IV</v>
      </c>
      <c r="U291" s="259">
        <f t="shared" si="78"/>
        <v>2.0699999999999998</v>
      </c>
      <c r="V291" s="46"/>
      <c r="W291" s="46"/>
    </row>
    <row r="292" spans="1:23" ht="15" hidden="1" customHeight="1" x14ac:dyDescent="0.25">
      <c r="A292" s="33" t="s">
        <v>810</v>
      </c>
      <c r="B292" s="33"/>
      <c r="C292" s="33"/>
      <c r="D292" s="33"/>
      <c r="E292" s="33"/>
      <c r="F292" s="33"/>
      <c r="G292" s="33"/>
      <c r="H292" s="33"/>
      <c r="I292" s="33"/>
      <c r="J292" s="33"/>
      <c r="K292" s="33"/>
      <c r="L292" s="33"/>
      <c r="M292" s="33"/>
      <c r="N292" s="6"/>
      <c r="O292" s="231"/>
      <c r="P292" s="513"/>
      <c r="Q292" s="33"/>
      <c r="R292" s="33"/>
      <c r="S292" s="33"/>
      <c r="T292" s="33"/>
      <c r="U292" s="33"/>
      <c r="V292" s="33"/>
      <c r="W292" s="33"/>
    </row>
    <row r="293" spans="1:23" ht="15.4" customHeight="1" x14ac:dyDescent="0.25">
      <c r="A293" s="33"/>
      <c r="B293" s="33"/>
      <c r="C293" s="33"/>
      <c r="D293" s="33"/>
      <c r="E293" s="33"/>
      <c r="F293" s="33"/>
      <c r="G293" s="33"/>
      <c r="H293" s="33"/>
      <c r="I293" s="33"/>
      <c r="J293" s="33"/>
      <c r="K293" s="33"/>
      <c r="L293" s="33"/>
      <c r="M293" s="33"/>
      <c r="N293" s="33"/>
      <c r="O293" s="33"/>
      <c r="P293" s="33"/>
      <c r="Q293" s="33"/>
      <c r="R293" s="33"/>
      <c r="S293" s="33"/>
      <c r="T293" s="33"/>
      <c r="U293" s="33"/>
      <c r="V293" s="33"/>
      <c r="W293" s="33"/>
    </row>
    <row r="294" spans="1:23" ht="15.4" customHeight="1" x14ac:dyDescent="0.25">
      <c r="A294" s="703" t="s">
        <v>826</v>
      </c>
      <c r="B294" s="703"/>
      <c r="C294" s="703"/>
      <c r="D294" s="703"/>
      <c r="E294" s="703"/>
      <c r="F294" s="703"/>
      <c r="G294" s="703"/>
      <c r="H294" s="703"/>
      <c r="I294" s="703"/>
      <c r="J294" s="703"/>
      <c r="K294" s="703"/>
      <c r="L294" s="703"/>
      <c r="M294" s="703"/>
      <c r="N294" s="33"/>
      <c r="O294" s="33"/>
      <c r="P294" s="33"/>
      <c r="Q294" s="33"/>
      <c r="R294" s="33"/>
      <c r="S294" s="33"/>
      <c r="T294" s="33"/>
      <c r="U294" s="33"/>
      <c r="V294" s="33"/>
      <c r="W294" s="33"/>
    </row>
    <row r="295" spans="1:23" ht="15.4" customHeight="1" x14ac:dyDescent="0.25">
      <c r="A295" s="33"/>
      <c r="B295" s="33"/>
      <c r="C295" s="33"/>
      <c r="D295" s="33"/>
      <c r="E295" s="33"/>
      <c r="F295" s="33"/>
      <c r="G295" s="33"/>
      <c r="H295" s="33"/>
      <c r="I295" s="33"/>
      <c r="J295" s="33"/>
      <c r="K295" s="606" t="s">
        <v>754</v>
      </c>
      <c r="L295" s="606"/>
      <c r="M295" s="606"/>
      <c r="N295" s="606"/>
      <c r="O295" s="33"/>
      <c r="P295" s="33"/>
      <c r="Q295" s="33"/>
      <c r="R295" s="33"/>
      <c r="S295" s="33"/>
      <c r="T295" s="33"/>
      <c r="U295" s="33"/>
      <c r="V295" s="33"/>
      <c r="W295" s="33"/>
    </row>
    <row r="296" spans="1:23" ht="15" hidden="1" customHeight="1" x14ac:dyDescent="0.25">
      <c r="A296" s="33" t="s">
        <v>759</v>
      </c>
      <c r="B296" s="33"/>
      <c r="C296" s="33"/>
      <c r="D296" s="33"/>
      <c r="E296" s="33"/>
      <c r="F296" s="33"/>
      <c r="G296" s="33"/>
      <c r="H296" s="33"/>
      <c r="I296" s="33"/>
      <c r="J296" s="33"/>
      <c r="K296" s="33"/>
      <c r="L296" s="33"/>
      <c r="M296" s="33"/>
      <c r="N296" s="33" t="s">
        <v>300</v>
      </c>
      <c r="O296" s="33"/>
      <c r="P296" s="33"/>
      <c r="Q296" s="33"/>
      <c r="R296" s="33"/>
      <c r="S296" s="33"/>
      <c r="T296" s="33"/>
      <c r="U296" s="33"/>
      <c r="V296" s="33"/>
      <c r="W296" s="33"/>
    </row>
    <row r="297" spans="1:23" ht="15.4" customHeight="1" x14ac:dyDescent="0.25">
      <c r="A297" s="705" t="s">
        <v>695</v>
      </c>
      <c r="B297" s="705" t="s">
        <v>106</v>
      </c>
      <c r="C297" s="705" t="s">
        <v>266</v>
      </c>
      <c r="D297" s="705"/>
      <c r="E297" s="705"/>
      <c r="F297" s="705"/>
      <c r="G297" s="705"/>
      <c r="H297" s="705"/>
      <c r="I297" s="705"/>
      <c r="J297" s="705"/>
      <c r="K297" s="705"/>
      <c r="L297" s="705"/>
      <c r="M297" s="705"/>
      <c r="N297" s="705"/>
      <c r="O297" s="158" t="s">
        <v>378</v>
      </c>
      <c r="P297" s="404" t="s">
        <v>26</v>
      </c>
      <c r="Q297" s="95" t="s">
        <v>510</v>
      </c>
      <c r="R297" s="46"/>
      <c r="S297" s="46"/>
      <c r="T297" s="46"/>
      <c r="U297" s="46"/>
      <c r="V297" s="46"/>
      <c r="W297" s="46"/>
    </row>
    <row r="298" spans="1:23" ht="15.4" customHeight="1" x14ac:dyDescent="0.25">
      <c r="A298" s="705"/>
      <c r="B298" s="705"/>
      <c r="C298" s="169" t="s">
        <v>310</v>
      </c>
      <c r="D298" s="169">
        <v>20</v>
      </c>
      <c r="E298" s="169">
        <v>50</v>
      </c>
      <c r="F298" s="169">
        <v>100</v>
      </c>
      <c r="G298" s="169">
        <v>200</v>
      </c>
      <c r="H298" s="169">
        <v>500</v>
      </c>
      <c r="I298" s="332">
        <v>1000</v>
      </c>
      <c r="J298" s="332">
        <v>2000</v>
      </c>
      <c r="K298" s="332">
        <v>5000</v>
      </c>
      <c r="L298" s="332">
        <v>10000</v>
      </c>
      <c r="M298" s="332">
        <v>20000</v>
      </c>
      <c r="N298" s="332">
        <v>30000</v>
      </c>
      <c r="O298" s="158">
        <f>$C$1+$C$2</f>
        <v>1.0711056214113099</v>
      </c>
      <c r="P298" s="404">
        <f>IF(O298&lt;D298,15,IF(O298&gt;N298,N298,HLOOKUP(O298,D298:N298,1)))</f>
        <v>15</v>
      </c>
      <c r="Q298" s="95">
        <f>IF(O298&lt;15,15,IF(O298&lt;20,20,IF(O298&gt;N298,N298,INDEX(D298:N298,MATCH(O298,D298:N298,1)+1))))</f>
        <v>15</v>
      </c>
      <c r="R298" s="46"/>
      <c r="S298" s="46"/>
      <c r="T298" s="46"/>
      <c r="U298" s="46"/>
      <c r="V298" s="46"/>
      <c r="W298" s="46"/>
    </row>
    <row r="299" spans="1:23" ht="15.4" customHeight="1" x14ac:dyDescent="0.25">
      <c r="A299" s="284">
        <v>1</v>
      </c>
      <c r="B299" s="111" t="str">
        <f t="shared" ref="B299:B303" si="79">B48</f>
        <v>Công trình dân dụng</v>
      </c>
      <c r="C299" s="264">
        <v>7.0999999999999994E-2</v>
      </c>
      <c r="D299" s="264">
        <v>5.8999999999999997E-2</v>
      </c>
      <c r="E299" s="264">
        <v>4.8000000000000001E-2</v>
      </c>
      <c r="F299" s="264">
        <v>3.4000000000000002E-2</v>
      </c>
      <c r="G299" s="264">
        <v>2.5000000000000001E-2</v>
      </c>
      <c r="H299" s="264">
        <v>1.6E-2</v>
      </c>
      <c r="I299" s="264">
        <v>1.4E-2</v>
      </c>
      <c r="J299" s="264">
        <v>1.2E-2</v>
      </c>
      <c r="K299" s="264">
        <v>8.9999999999999993E-3</v>
      </c>
      <c r="L299" s="264">
        <v>7.0000000000000001E-3</v>
      </c>
      <c r="M299" s="264">
        <v>5.0000000000000001E-3</v>
      </c>
      <c r="N299" s="264">
        <v>4.0000000000000001E-3</v>
      </c>
      <c r="O299" s="252">
        <f t="shared" ref="O299:O303" si="80">IF(Q$298=P$298,P299,ROUND(P299-((P299-Q299)/(Q$298-P$298))*(O$298-P$298),3))</f>
        <v>7.0999999999999994E-2</v>
      </c>
      <c r="P299" s="477">
        <f>IF(P$298=0,0,IF(P$298=15,C299,HLOOKUP($P$298,$D$298:$N$303,2,TRUE)))</f>
        <v>7.0999999999999994E-2</v>
      </c>
      <c r="Q299" s="170">
        <f>IF(Q$298=0,0,IF(Q$298=15,C299,HLOOKUP($Q$298,$D$298:$N$303,2,TRUE)))</f>
        <v>7.0999999999999994E-2</v>
      </c>
      <c r="R299" s="46"/>
      <c r="S299" s="46"/>
      <c r="T299" s="46"/>
      <c r="U299" s="46"/>
      <c r="V299" s="46"/>
      <c r="W299" s="46"/>
    </row>
    <row r="300" spans="1:23" ht="15.4" customHeight="1" x14ac:dyDescent="0.25">
      <c r="A300" s="284">
        <v>2</v>
      </c>
      <c r="B300" s="111" t="str">
        <f t="shared" si="79"/>
        <v>Công trình công nghiệp</v>
      </c>
      <c r="C300" s="264">
        <v>9.8000000000000004E-2</v>
      </c>
      <c r="D300" s="264">
        <v>8.3000000000000004E-2</v>
      </c>
      <c r="E300" s="264">
        <v>6.7000000000000004E-2</v>
      </c>
      <c r="F300" s="264">
        <v>4.9000000000000002E-2</v>
      </c>
      <c r="G300" s="264">
        <v>3.6999999999999998E-2</v>
      </c>
      <c r="H300" s="264">
        <v>2.8000000000000001E-2</v>
      </c>
      <c r="I300" s="264">
        <v>2.5000000000000001E-2</v>
      </c>
      <c r="J300" s="264">
        <v>0.02</v>
      </c>
      <c r="K300" s="264">
        <v>1.4999999999999999E-2</v>
      </c>
      <c r="L300" s="264">
        <v>0.01</v>
      </c>
      <c r="M300" s="264">
        <v>7.0000000000000001E-3</v>
      </c>
      <c r="N300" s="264">
        <v>5.0000000000000001E-3</v>
      </c>
      <c r="O300" s="252">
        <f t="shared" si="80"/>
        <v>9.8000000000000004E-2</v>
      </c>
      <c r="P300" s="477">
        <f>IF(P$298=0,0,IF(P$298=15,C300,HLOOKUP($P$298,$D$298:$N$303,3,TRUE)))</f>
        <v>9.8000000000000004E-2</v>
      </c>
      <c r="Q300" s="170">
        <f>IF(Q$298=0,0,IF(Q$298=15,C300,HLOOKUP($Q$298,$D$298:$N$303,3,TRUE)))</f>
        <v>9.8000000000000004E-2</v>
      </c>
      <c r="R300" s="46"/>
      <c r="S300" s="46"/>
      <c r="T300" s="46"/>
      <c r="U300" s="46"/>
      <c r="V300" s="46"/>
      <c r="W300" s="46"/>
    </row>
    <row r="301" spans="1:23" ht="15.4" customHeight="1" x14ac:dyDescent="0.25">
      <c r="A301" s="284">
        <v>3</v>
      </c>
      <c r="B301" s="111" t="str">
        <f t="shared" si="79"/>
        <v>Công trình giao thông</v>
      </c>
      <c r="C301" s="264">
        <v>5.3999999999999999E-2</v>
      </c>
      <c r="D301" s="264">
        <v>4.9000000000000002E-2</v>
      </c>
      <c r="E301" s="264">
        <v>3.9E-2</v>
      </c>
      <c r="F301" s="264">
        <v>0.03</v>
      </c>
      <c r="G301" s="264">
        <v>0.02</v>
      </c>
      <c r="H301" s="264">
        <v>1.2999999999999999E-2</v>
      </c>
      <c r="I301" s="264">
        <v>1.0999999999999999E-2</v>
      </c>
      <c r="J301" s="264">
        <v>8.9999999999999993E-3</v>
      </c>
      <c r="K301" s="264">
        <v>7.0000000000000001E-3</v>
      </c>
      <c r="L301" s="264">
        <v>5.0000000000000001E-3</v>
      </c>
      <c r="M301" s="264">
        <v>4.0000000000000001E-3</v>
      </c>
      <c r="N301" s="264">
        <v>3.0000000000000001E-3</v>
      </c>
      <c r="O301" s="252">
        <f t="shared" si="80"/>
        <v>5.3999999999999999E-2</v>
      </c>
      <c r="P301" s="477">
        <f>IF(P$298=0,0,IF(P$298=15,C301,HLOOKUP($P$298,$D$298:$N$303,4,TRUE)))</f>
        <v>5.3999999999999999E-2</v>
      </c>
      <c r="Q301" s="170">
        <f>IF(Q$298=0,0,IF(Q$298=15,C301,HLOOKUP($Q$298,$D$298:$N$303,4,TRUE)))</f>
        <v>5.3999999999999999E-2</v>
      </c>
      <c r="R301" s="46"/>
      <c r="S301" s="46"/>
      <c r="T301" s="46"/>
      <c r="U301" s="46"/>
      <c r="V301" s="46"/>
      <c r="W301" s="46"/>
    </row>
    <row r="302" spans="1:23" ht="15.4" customHeight="1" x14ac:dyDescent="0.25">
      <c r="A302" s="284">
        <v>4</v>
      </c>
      <c r="B302" s="111" t="str">
        <f t="shared" si="79"/>
        <v>Công trình nông nghiệp và phát triển nông thôn</v>
      </c>
      <c r="C302" s="264">
        <v>6.4000000000000001E-2</v>
      </c>
      <c r="D302" s="264">
        <v>5.8000000000000003E-2</v>
      </c>
      <c r="E302" s="264">
        <v>4.7E-2</v>
      </c>
      <c r="F302" s="264">
        <v>3.3000000000000002E-2</v>
      </c>
      <c r="G302" s="264">
        <v>2.4E-2</v>
      </c>
      <c r="H302" s="264">
        <v>1.4999999999999999E-2</v>
      </c>
      <c r="I302" s="264">
        <v>1.2999999999999999E-2</v>
      </c>
      <c r="J302" s="264">
        <v>1.0999999999999999E-2</v>
      </c>
      <c r="K302" s="264">
        <v>8.9999999999999993E-3</v>
      </c>
      <c r="L302" s="264">
        <v>6.0000000000000001E-3</v>
      </c>
      <c r="M302" s="264">
        <v>5.0000000000000001E-3</v>
      </c>
      <c r="N302" s="264">
        <v>4.0000000000000001E-3</v>
      </c>
      <c r="O302" s="252">
        <f t="shared" si="80"/>
        <v>6.4000000000000001E-2</v>
      </c>
      <c r="P302" s="477">
        <f>IF(P$298=0,0,IF(P$298=15,C302,HLOOKUP($P$298,$D$298:$N$303,5,TRUE)))</f>
        <v>6.4000000000000001E-2</v>
      </c>
      <c r="Q302" s="170">
        <f>IF(Q$298=0,0,IF(Q$298=15,C302,HLOOKUP($Q$298,$D$298:$N$303,5,TRUE)))</f>
        <v>6.4000000000000001E-2</v>
      </c>
      <c r="R302" s="46"/>
      <c r="S302" s="46"/>
      <c r="T302" s="46"/>
      <c r="U302" s="46"/>
      <c r="V302" s="46"/>
      <c r="W302" s="46"/>
    </row>
    <row r="303" spans="1:23" ht="15.4" customHeight="1" x14ac:dyDescent="0.25">
      <c r="A303" s="284">
        <v>5</v>
      </c>
      <c r="B303" s="111" t="str">
        <f t="shared" si="79"/>
        <v>Công trình hạ tầng kỹ thuật</v>
      </c>
      <c r="C303" s="264">
        <v>5.6000000000000001E-2</v>
      </c>
      <c r="D303" s="264">
        <v>5.0999999999999997E-2</v>
      </c>
      <c r="E303" s="264">
        <v>4.1000000000000002E-2</v>
      </c>
      <c r="F303" s="264">
        <v>3.2000000000000001E-2</v>
      </c>
      <c r="G303" s="264">
        <v>2.1000000000000001E-2</v>
      </c>
      <c r="H303" s="264">
        <v>1.2999999999999999E-2</v>
      </c>
      <c r="I303" s="264">
        <v>1.2E-2</v>
      </c>
      <c r="J303" s="264">
        <v>0.01</v>
      </c>
      <c r="K303" s="264">
        <v>8.0000000000000002E-3</v>
      </c>
      <c r="L303" s="264">
        <v>5.0000000000000001E-3</v>
      </c>
      <c r="M303" s="264">
        <v>4.0000000000000001E-3</v>
      </c>
      <c r="N303" s="264">
        <v>3.0000000000000001E-3</v>
      </c>
      <c r="O303" s="252">
        <f t="shared" si="80"/>
        <v>5.6000000000000001E-2</v>
      </c>
      <c r="P303" s="477">
        <f>IF(P$298=0,0,IF(P$298=15,C303,HLOOKUP($P$298,$D$298:$N$303,6,TRUE)))</f>
        <v>5.6000000000000001E-2</v>
      </c>
      <c r="Q303" s="170">
        <f>IF(Q$298=0,0,IF(Q$298=15,C303,HLOOKUP($Q$298,$D$298:$N$303,6,TRUE)))</f>
        <v>5.6000000000000001E-2</v>
      </c>
      <c r="R303" s="46"/>
      <c r="S303" s="46"/>
      <c r="T303" s="46"/>
      <c r="U303" s="46"/>
      <c r="V303" s="46"/>
      <c r="W303" s="46"/>
    </row>
    <row r="304" spans="1:23" ht="15" hidden="1" customHeight="1" x14ac:dyDescent="0.25">
      <c r="A304" s="33" t="s">
        <v>452</v>
      </c>
      <c r="B304" s="33"/>
      <c r="C304" s="33"/>
      <c r="D304" s="33"/>
      <c r="E304" s="33"/>
      <c r="F304" s="33"/>
      <c r="G304" s="33"/>
      <c r="H304" s="33"/>
      <c r="I304" s="33"/>
      <c r="J304" s="33"/>
      <c r="K304" s="33"/>
      <c r="L304" s="33"/>
      <c r="M304" s="33"/>
      <c r="N304" s="33"/>
      <c r="O304" s="33"/>
      <c r="P304" s="33"/>
      <c r="Q304" s="33"/>
      <c r="R304" s="33"/>
      <c r="S304" s="33"/>
      <c r="T304" s="33"/>
      <c r="U304" s="33"/>
      <c r="V304" s="33"/>
      <c r="W304" s="33"/>
    </row>
    <row r="305" spans="1:23" ht="15.4" customHeight="1" x14ac:dyDescent="0.25">
      <c r="A305" s="33"/>
      <c r="B305" s="33"/>
      <c r="C305" s="33"/>
      <c r="D305" s="33"/>
      <c r="E305" s="33"/>
      <c r="F305" s="33"/>
      <c r="G305" s="33"/>
      <c r="H305" s="33"/>
      <c r="I305" s="33"/>
      <c r="J305" s="33"/>
      <c r="K305" s="33"/>
      <c r="L305" s="33"/>
      <c r="M305" s="33"/>
      <c r="N305" s="33"/>
      <c r="O305" s="33"/>
      <c r="P305" s="33"/>
      <c r="Q305" s="33"/>
      <c r="R305" s="33"/>
      <c r="S305" s="33"/>
      <c r="T305" s="33"/>
      <c r="U305" s="33"/>
      <c r="V305" s="33"/>
      <c r="W305" s="33"/>
    </row>
    <row r="306" spans="1:23" ht="15.4" customHeight="1" x14ac:dyDescent="0.25">
      <c r="A306" s="703" t="s">
        <v>401</v>
      </c>
      <c r="B306" s="703"/>
      <c r="C306" s="703"/>
      <c r="D306" s="703"/>
      <c r="E306" s="703"/>
      <c r="F306" s="703"/>
      <c r="G306" s="703"/>
      <c r="H306" s="703"/>
      <c r="I306" s="703"/>
      <c r="J306" s="703"/>
      <c r="K306" s="703"/>
      <c r="L306" s="703"/>
      <c r="M306" s="703"/>
      <c r="N306" s="33"/>
      <c r="O306" s="33"/>
      <c r="P306" s="33"/>
      <c r="Q306" s="33"/>
      <c r="R306" s="33"/>
      <c r="S306" s="33"/>
      <c r="T306" s="33"/>
      <c r="U306" s="33"/>
      <c r="V306" s="33"/>
      <c r="W306" s="33"/>
    </row>
    <row r="307" spans="1:23" ht="15.4" customHeight="1" x14ac:dyDescent="0.25">
      <c r="A307" s="33"/>
      <c r="B307" s="33"/>
      <c r="C307" s="33"/>
      <c r="D307" s="33"/>
      <c r="E307" s="33"/>
      <c r="F307" s="33"/>
      <c r="G307" s="33"/>
      <c r="H307" s="33"/>
      <c r="I307" s="33"/>
      <c r="J307" s="33"/>
      <c r="K307" s="606" t="s">
        <v>754</v>
      </c>
      <c r="L307" s="606"/>
      <c r="M307" s="606"/>
      <c r="N307" s="606"/>
      <c r="O307" s="33"/>
      <c r="P307" s="33"/>
      <c r="Q307" s="33"/>
      <c r="R307" s="33"/>
      <c r="S307" s="33"/>
      <c r="T307" s="33"/>
      <c r="U307" s="33"/>
      <c r="V307" s="33"/>
      <c r="W307" s="33"/>
    </row>
    <row r="308" spans="1:23" ht="15" hidden="1" customHeight="1" x14ac:dyDescent="0.25">
      <c r="A308" s="33" t="s">
        <v>169</v>
      </c>
      <c r="B308" s="33"/>
      <c r="C308" s="33"/>
      <c r="D308" s="33"/>
      <c r="E308" s="33"/>
      <c r="F308" s="33"/>
      <c r="G308" s="33"/>
      <c r="H308" s="33"/>
      <c r="I308" s="33"/>
      <c r="J308" s="33"/>
      <c r="K308" s="33"/>
      <c r="L308" s="33"/>
      <c r="M308" s="33"/>
      <c r="N308" s="33" t="s">
        <v>300</v>
      </c>
      <c r="O308" s="33"/>
      <c r="P308" s="33"/>
      <c r="Q308" s="33"/>
      <c r="R308" s="33"/>
      <c r="S308" s="33"/>
      <c r="T308" s="33"/>
      <c r="U308" s="33"/>
      <c r="V308" s="33"/>
      <c r="W308" s="33"/>
    </row>
    <row r="309" spans="1:23" ht="15.4" customHeight="1" x14ac:dyDescent="0.25">
      <c r="A309" s="705" t="s">
        <v>695</v>
      </c>
      <c r="B309" s="705" t="s">
        <v>106</v>
      </c>
      <c r="C309" s="705" t="s">
        <v>266</v>
      </c>
      <c r="D309" s="705"/>
      <c r="E309" s="705"/>
      <c r="F309" s="705"/>
      <c r="G309" s="705"/>
      <c r="H309" s="705"/>
      <c r="I309" s="705"/>
      <c r="J309" s="705"/>
      <c r="K309" s="705"/>
      <c r="L309" s="705"/>
      <c r="M309" s="705"/>
      <c r="N309" s="705"/>
      <c r="O309" s="158" t="s">
        <v>378</v>
      </c>
      <c r="P309" s="404" t="s">
        <v>26</v>
      </c>
      <c r="Q309" s="95" t="s">
        <v>510</v>
      </c>
      <c r="R309" s="46"/>
      <c r="S309" s="46"/>
      <c r="T309" s="46"/>
      <c r="U309" s="46"/>
      <c r="V309" s="46"/>
      <c r="W309" s="46"/>
    </row>
    <row r="310" spans="1:23" ht="15.4" customHeight="1" x14ac:dyDescent="0.25">
      <c r="A310" s="705"/>
      <c r="B310" s="705"/>
      <c r="C310" s="169" t="s">
        <v>310</v>
      </c>
      <c r="D310" s="169">
        <v>20</v>
      </c>
      <c r="E310" s="169">
        <v>50</v>
      </c>
      <c r="F310" s="169">
        <v>100</v>
      </c>
      <c r="G310" s="169">
        <v>200</v>
      </c>
      <c r="H310" s="169">
        <v>500</v>
      </c>
      <c r="I310" s="332">
        <v>1000</v>
      </c>
      <c r="J310" s="332">
        <v>2000</v>
      </c>
      <c r="K310" s="332">
        <v>5000</v>
      </c>
      <c r="L310" s="332">
        <v>10000</v>
      </c>
      <c r="M310" s="332">
        <v>20000</v>
      </c>
      <c r="N310" s="332">
        <v>30000</v>
      </c>
      <c r="O310" s="158">
        <f>$C$1+$C$2</f>
        <v>1.0711056214113099</v>
      </c>
      <c r="P310" s="404">
        <f>IF(O310&lt;D310,15,IF(O310&gt;N310,N310,HLOOKUP(O310,D310:N310,1)))</f>
        <v>15</v>
      </c>
      <c r="Q310" s="95">
        <f>IF(O310&lt;15,15,IF(O310&lt;20,20,IF(O310&gt;N310,N310,INDEX(D310:N310,MATCH(O310,D310:N310,1)+1))))</f>
        <v>15</v>
      </c>
      <c r="R310" s="46"/>
      <c r="S310" s="46"/>
      <c r="T310" s="46"/>
      <c r="U310" s="46"/>
      <c r="V310" s="46"/>
      <c r="W310" s="46"/>
    </row>
    <row r="311" spans="1:23" ht="15.4" customHeight="1" x14ac:dyDescent="0.25">
      <c r="A311" s="284">
        <v>1</v>
      </c>
      <c r="B311" s="111" t="str">
        <f t="shared" ref="B311:B315" si="81">B48</f>
        <v>Công trình dân dụng</v>
      </c>
      <c r="C311" s="264">
        <v>0.20399999999999999</v>
      </c>
      <c r="D311" s="264">
        <v>0.16800000000000001</v>
      </c>
      <c r="E311" s="264">
        <v>0.13800000000000001</v>
      </c>
      <c r="F311" s="264">
        <v>9.7000000000000003E-2</v>
      </c>
      <c r="G311" s="264">
        <v>7.0000000000000007E-2</v>
      </c>
      <c r="H311" s="264">
        <v>4.5999999999999999E-2</v>
      </c>
      <c r="I311" s="264">
        <v>4.1000000000000002E-2</v>
      </c>
      <c r="J311" s="264">
        <v>3.4000000000000002E-2</v>
      </c>
      <c r="K311" s="264">
        <v>2.5999999999999999E-2</v>
      </c>
      <c r="L311" s="264">
        <v>1.9E-2</v>
      </c>
      <c r="M311" s="264">
        <v>1.4999999999999999E-2</v>
      </c>
      <c r="N311" s="264">
        <v>1.2E-2</v>
      </c>
      <c r="O311" s="252">
        <f t="shared" ref="O311:O315" si="82">IF(Q$310=P$310,P311,ROUND(P311-((P311-Q311)/(Q$310-P$310))*(O$310-P$310),3))</f>
        <v>0.20399999999999999</v>
      </c>
      <c r="P311" s="477">
        <f>IF(P$310=0,0,IF(P$310=15,C311,HLOOKUP($P$310,$D$310:$N$315,2,TRUE)))</f>
        <v>0.20399999999999999</v>
      </c>
      <c r="Q311" s="170">
        <f>IF(Q$310=0,0,IF(Q$310=15,C311,HLOOKUP($Q$310,$D$310:$N$315,2,TRUE)))</f>
        <v>0.20399999999999999</v>
      </c>
      <c r="R311" s="46"/>
      <c r="S311" s="46"/>
      <c r="T311" s="46"/>
      <c r="U311" s="46"/>
      <c r="V311" s="46"/>
      <c r="W311" s="46"/>
    </row>
    <row r="312" spans="1:23" ht="15.4" customHeight="1" x14ac:dyDescent="0.25">
      <c r="A312" s="284">
        <v>2</v>
      </c>
      <c r="B312" s="111" t="str">
        <f t="shared" si="81"/>
        <v>Công trình công nghiệp</v>
      </c>
      <c r="C312" s="264">
        <v>0.28100000000000003</v>
      </c>
      <c r="D312" s="264">
        <v>0.23799999999999999</v>
      </c>
      <c r="E312" s="264">
        <v>0.19</v>
      </c>
      <c r="F312" s="264">
        <v>0.14099999999999999</v>
      </c>
      <c r="G312" s="264">
        <v>0.107</v>
      </c>
      <c r="H312" s="264">
        <v>0.08</v>
      </c>
      <c r="I312" s="264">
        <v>7.0000000000000007E-2</v>
      </c>
      <c r="J312" s="264">
        <v>5.6000000000000001E-2</v>
      </c>
      <c r="K312" s="264">
        <v>4.3999999999999997E-2</v>
      </c>
      <c r="L312" s="264">
        <v>2.9000000000000001E-2</v>
      </c>
      <c r="M312" s="264">
        <v>0.02</v>
      </c>
      <c r="N312" s="264">
        <v>1.4999999999999999E-2</v>
      </c>
      <c r="O312" s="252">
        <f t="shared" si="82"/>
        <v>0.28100000000000003</v>
      </c>
      <c r="P312" s="477">
        <f>IF(P$310=0,0,IF(P$310=15,C312,HLOOKUP($P$310,$D$310:$N$315,3,TRUE)))</f>
        <v>0.28100000000000003</v>
      </c>
      <c r="Q312" s="170">
        <f>IF(Q$310=0,0,IF(Q$310=15,C312,HLOOKUP($Q$310,$D$310:$N$315,3,TRUE)))</f>
        <v>0.28100000000000003</v>
      </c>
      <c r="R312" s="46"/>
      <c r="S312" s="46"/>
      <c r="T312" s="46"/>
      <c r="U312" s="46"/>
      <c r="V312" s="46"/>
      <c r="W312" s="46"/>
    </row>
    <row r="313" spans="1:23" ht="15.4" customHeight="1" x14ac:dyDescent="0.25">
      <c r="A313" s="284">
        <v>3</v>
      </c>
      <c r="B313" s="111" t="str">
        <f t="shared" si="81"/>
        <v>Công trình giao thông</v>
      </c>
      <c r="C313" s="264">
        <v>0.153</v>
      </c>
      <c r="D313" s="264">
        <v>0.13900000000000001</v>
      </c>
      <c r="E313" s="264">
        <v>0.112</v>
      </c>
      <c r="F313" s="264">
        <v>8.6999999999999994E-2</v>
      </c>
      <c r="G313" s="264">
        <v>5.8000000000000003E-2</v>
      </c>
      <c r="H313" s="264">
        <v>3.5999999999999997E-2</v>
      </c>
      <c r="I313" s="264">
        <v>3.2000000000000001E-2</v>
      </c>
      <c r="J313" s="264">
        <v>2.5999999999999999E-2</v>
      </c>
      <c r="K313" s="264">
        <v>0.02</v>
      </c>
      <c r="L313" s="264">
        <v>1.4E-2</v>
      </c>
      <c r="M313" s="264">
        <v>0.01</v>
      </c>
      <c r="N313" s="264">
        <v>8.9999999999999993E-3</v>
      </c>
      <c r="O313" s="252">
        <f t="shared" si="82"/>
        <v>0.153</v>
      </c>
      <c r="P313" s="477">
        <f>IF(P$310=0,0,IF(P$310=15,C313,HLOOKUP($P$310,$D$310:$N$315,4,TRUE)))</f>
        <v>0.153</v>
      </c>
      <c r="Q313" s="170">
        <f>IF(Q$310=0,0,IF(Q$310=15,C313,HLOOKUP($Q$310,$D$310:$N$315,4,TRUE)))</f>
        <v>0.153</v>
      </c>
      <c r="R313" s="46"/>
      <c r="S313" s="46"/>
      <c r="T313" s="46"/>
      <c r="U313" s="46"/>
      <c r="V313" s="46"/>
      <c r="W313" s="46"/>
    </row>
    <row r="314" spans="1:23" ht="15.4" customHeight="1" x14ac:dyDescent="0.25">
      <c r="A314" s="284">
        <v>4</v>
      </c>
      <c r="B314" s="111" t="str">
        <f t="shared" si="81"/>
        <v>Công trình nông nghiệp và phát triển nông thôn</v>
      </c>
      <c r="C314" s="264">
        <v>0.182</v>
      </c>
      <c r="D314" s="264">
        <v>0.16700000000000001</v>
      </c>
      <c r="E314" s="264">
        <v>0.13300000000000001</v>
      </c>
      <c r="F314" s="264">
        <v>9.4E-2</v>
      </c>
      <c r="G314" s="264">
        <v>6.8000000000000005E-2</v>
      </c>
      <c r="H314" s="264">
        <v>4.3999999999999997E-2</v>
      </c>
      <c r="I314" s="264">
        <v>3.6999999999999998E-2</v>
      </c>
      <c r="J314" s="264">
        <v>3.2000000000000001E-2</v>
      </c>
      <c r="K314" s="264">
        <v>2.5999999999999999E-2</v>
      </c>
      <c r="L314" s="264">
        <v>1.7000000000000001E-2</v>
      </c>
      <c r="M314" s="264">
        <v>1.4E-2</v>
      </c>
      <c r="N314" s="264">
        <v>0.01</v>
      </c>
      <c r="O314" s="252">
        <f t="shared" si="82"/>
        <v>0.182</v>
      </c>
      <c r="P314" s="477">
        <f>IF(P$310=0,0,IF(P$310=15,C314,HLOOKUP($P$310,$D$310:$N$315,5,TRUE)))</f>
        <v>0.182</v>
      </c>
      <c r="Q314" s="170">
        <f>IF(Q$310=0,0,IF(Q$310=15,C314,HLOOKUP($Q$310,$D$310:$N$315,5,TRUE)))</f>
        <v>0.182</v>
      </c>
      <c r="R314" s="46"/>
      <c r="S314" s="46"/>
      <c r="T314" s="46"/>
      <c r="U314" s="46"/>
      <c r="V314" s="46"/>
      <c r="W314" s="46"/>
    </row>
    <row r="315" spans="1:23" ht="15.4" customHeight="1" x14ac:dyDescent="0.25">
      <c r="A315" s="284">
        <v>5</v>
      </c>
      <c r="B315" s="111" t="str">
        <f t="shared" si="81"/>
        <v>Công trình hạ tầng kỹ thuật</v>
      </c>
      <c r="C315" s="264">
        <v>0.16</v>
      </c>
      <c r="D315" s="264">
        <v>0.14499999999999999</v>
      </c>
      <c r="E315" s="264">
        <v>0.11600000000000001</v>
      </c>
      <c r="F315" s="264">
        <v>9.1999999999999998E-2</v>
      </c>
      <c r="G315" s="264">
        <v>0.06</v>
      </c>
      <c r="H315" s="264">
        <v>3.6999999999999998E-2</v>
      </c>
      <c r="I315" s="264">
        <v>3.4000000000000002E-2</v>
      </c>
      <c r="J315" s="264">
        <v>2.9000000000000001E-2</v>
      </c>
      <c r="K315" s="264">
        <v>2.1999999999999999E-2</v>
      </c>
      <c r="L315" s="264">
        <v>1.4999999999999999E-2</v>
      </c>
      <c r="M315" s="264">
        <v>0.01</v>
      </c>
      <c r="N315" s="264">
        <v>8.9999999999999993E-3</v>
      </c>
      <c r="O315" s="252">
        <f t="shared" si="82"/>
        <v>0.16</v>
      </c>
      <c r="P315" s="477">
        <f>IF(P$310=0,0,IF(P$310=15,C315,HLOOKUP($P$310,$D$310:$N$315,6,TRUE)))</f>
        <v>0.16</v>
      </c>
      <c r="Q315" s="170">
        <f>IF(Q$310=0,0,IF(Q$310=15,C315,HLOOKUP($Q$310,$D$310:$N$315,6,TRUE)))</f>
        <v>0.16</v>
      </c>
      <c r="R315" s="46"/>
      <c r="S315" s="46"/>
      <c r="T315" s="46"/>
      <c r="U315" s="46"/>
      <c r="V315" s="46"/>
      <c r="W315" s="46"/>
    </row>
    <row r="316" spans="1:23" ht="15" hidden="1" customHeight="1" x14ac:dyDescent="0.25">
      <c r="A316" s="33" t="s">
        <v>880</v>
      </c>
      <c r="B316" s="33"/>
      <c r="C316" s="33"/>
      <c r="D316" s="33"/>
      <c r="E316" s="33"/>
      <c r="F316" s="33"/>
      <c r="G316" s="33"/>
      <c r="H316" s="33"/>
      <c r="I316" s="33"/>
      <c r="J316" s="33"/>
      <c r="K316" s="33"/>
      <c r="L316" s="33"/>
      <c r="M316" s="33"/>
      <c r="N316" s="33"/>
      <c r="O316" s="33"/>
      <c r="P316" s="33"/>
      <c r="Q316" s="33"/>
      <c r="R316" s="33"/>
      <c r="S316" s="33"/>
      <c r="T316" s="33"/>
      <c r="U316" s="33"/>
      <c r="V316" s="33"/>
      <c r="W316" s="33"/>
    </row>
    <row r="317" spans="1:23" ht="15.4" customHeight="1" x14ac:dyDescent="0.25">
      <c r="A317" s="33"/>
      <c r="B317" s="33"/>
      <c r="C317" s="33"/>
      <c r="D317" s="33"/>
      <c r="E317" s="33"/>
      <c r="F317" s="33"/>
      <c r="G317" s="33"/>
      <c r="H317" s="33"/>
      <c r="I317" s="33"/>
      <c r="J317" s="33"/>
      <c r="K317" s="33"/>
      <c r="L317" s="33"/>
      <c r="M317" s="33"/>
      <c r="N317" s="33"/>
      <c r="O317" s="33"/>
      <c r="P317" s="33"/>
      <c r="Q317" s="33"/>
      <c r="R317" s="33"/>
      <c r="S317" s="33"/>
      <c r="T317" s="33"/>
      <c r="U317" s="33"/>
      <c r="V317" s="33"/>
      <c r="W317" s="33"/>
    </row>
    <row r="318" spans="1:23" ht="16.350000000000001" customHeight="1" x14ac:dyDescent="0.25">
      <c r="A318" s="720" t="s">
        <v>134</v>
      </c>
      <c r="B318" s="720"/>
      <c r="C318" s="720"/>
      <c r="D318" s="720"/>
      <c r="E318" s="720"/>
      <c r="F318" s="720"/>
      <c r="G318" s="720"/>
      <c r="H318" s="720"/>
      <c r="I318" s="720"/>
      <c r="J318" s="720"/>
      <c r="K318" s="720"/>
      <c r="L318" s="720"/>
      <c r="M318" s="720"/>
      <c r="N318" s="720"/>
      <c r="O318" s="33"/>
      <c r="P318" s="33"/>
      <c r="Q318" s="33"/>
      <c r="R318" s="33"/>
      <c r="S318" s="33"/>
      <c r="T318" s="33"/>
      <c r="U318" s="33"/>
      <c r="V318" s="33"/>
      <c r="W318" s="33"/>
    </row>
    <row r="319" spans="1:23" ht="15.4" customHeight="1" x14ac:dyDescent="0.25">
      <c r="A319" s="33"/>
      <c r="B319" s="33"/>
      <c r="C319" s="33"/>
      <c r="D319" s="33"/>
      <c r="E319" s="33"/>
      <c r="F319" s="33"/>
      <c r="G319" s="33"/>
      <c r="H319" s="33"/>
      <c r="I319" s="704" t="s">
        <v>754</v>
      </c>
      <c r="J319" s="704"/>
      <c r="K319" s="704"/>
      <c r="L319" s="704"/>
      <c r="M319" s="704"/>
      <c r="N319" s="575"/>
      <c r="O319" s="33"/>
      <c r="P319" s="33"/>
      <c r="Q319" s="33"/>
      <c r="R319" s="33"/>
      <c r="S319" s="33"/>
      <c r="T319" s="33"/>
      <c r="U319" s="33"/>
      <c r="V319" s="33"/>
      <c r="W319" s="33"/>
    </row>
    <row r="320" spans="1:23" ht="15" hidden="1" customHeight="1" x14ac:dyDescent="0.25">
      <c r="A320" s="33" t="s">
        <v>86</v>
      </c>
      <c r="B320" s="33"/>
      <c r="C320" s="33"/>
      <c r="D320" s="33"/>
      <c r="E320" s="33"/>
      <c r="F320" s="33"/>
      <c r="G320" s="33"/>
      <c r="H320" s="33"/>
      <c r="I320" s="33"/>
      <c r="J320" s="33"/>
      <c r="K320" s="33"/>
      <c r="L320" s="33"/>
      <c r="M320" s="33" t="s">
        <v>300</v>
      </c>
      <c r="N320" s="33"/>
      <c r="O320" s="33"/>
      <c r="P320" s="33"/>
      <c r="Q320" s="33"/>
      <c r="R320" s="33"/>
      <c r="S320" s="33"/>
      <c r="T320" s="33"/>
      <c r="U320" s="33"/>
      <c r="V320" s="33"/>
      <c r="W320" s="33"/>
    </row>
    <row r="321" spans="1:23" ht="223.9" customHeight="1" x14ac:dyDescent="0.25">
      <c r="A321" s="705" t="s">
        <v>695</v>
      </c>
      <c r="B321" s="705" t="s">
        <v>106</v>
      </c>
      <c r="C321" s="706" t="s">
        <v>539</v>
      </c>
      <c r="D321" s="706"/>
      <c r="E321" s="706"/>
      <c r="F321" s="706"/>
      <c r="G321" s="706"/>
      <c r="H321" s="706"/>
      <c r="I321" s="706"/>
      <c r="J321" s="706"/>
      <c r="K321" s="706"/>
      <c r="L321" s="706"/>
      <c r="M321" s="706"/>
      <c r="N321" s="158" t="s">
        <v>378</v>
      </c>
      <c r="O321" s="404" t="s">
        <v>26</v>
      </c>
      <c r="P321" s="95" t="s">
        <v>510</v>
      </c>
      <c r="Q321" s="46"/>
      <c r="R321" s="46"/>
      <c r="S321" s="46"/>
      <c r="T321" s="46"/>
      <c r="U321" s="46"/>
      <c r="V321" s="46"/>
      <c r="W321" s="46"/>
    </row>
    <row r="322" spans="1:23" ht="15.4" customHeight="1" x14ac:dyDescent="0.25">
      <c r="A322" s="705"/>
      <c r="B322" s="705"/>
      <c r="C322" s="169" t="s">
        <v>301</v>
      </c>
      <c r="D322" s="169">
        <v>20</v>
      </c>
      <c r="E322" s="169">
        <v>50</v>
      </c>
      <c r="F322" s="169">
        <v>100</v>
      </c>
      <c r="G322" s="169">
        <v>200</v>
      </c>
      <c r="H322" s="169">
        <v>500</v>
      </c>
      <c r="I322" s="332">
        <v>1000</v>
      </c>
      <c r="J322" s="332">
        <v>2000</v>
      </c>
      <c r="K322" s="332">
        <v>5000</v>
      </c>
      <c r="L322" s="332">
        <v>8000</v>
      </c>
      <c r="M322" s="332">
        <v>10000</v>
      </c>
      <c r="N322" s="158">
        <f>$C$1</f>
        <v>1.0711056214113099</v>
      </c>
      <c r="O322" s="404">
        <f>IF(N322&lt;D322,10,IF(N322&gt;M322,M322,HLOOKUP(N322,D322:M322,1)))</f>
        <v>10</v>
      </c>
      <c r="P322" s="95">
        <f>IF(N322&lt;10,10,IF(N322&lt;20,20,IF(N322&gt;M322,M322,INDEX(D322:M322,MATCH(N322,D322:M322,1)+1))))</f>
        <v>10</v>
      </c>
      <c r="Q322" s="46"/>
      <c r="R322" s="46"/>
      <c r="S322" s="46"/>
      <c r="T322" s="46"/>
      <c r="U322" s="46"/>
      <c r="V322" s="46"/>
      <c r="W322" s="46"/>
    </row>
    <row r="323" spans="1:23" ht="15.4" customHeight="1" x14ac:dyDescent="0.25">
      <c r="A323" s="284">
        <v>1</v>
      </c>
      <c r="B323" s="111" t="str">
        <f t="shared" ref="B323:B327" si="83">B48</f>
        <v>Công trình dân dụng</v>
      </c>
      <c r="C323" s="264">
        <v>0.25800000000000001</v>
      </c>
      <c r="D323" s="264">
        <v>0.223</v>
      </c>
      <c r="E323" s="264">
        <v>0.17199999999999999</v>
      </c>
      <c r="F323" s="264">
        <v>0.14299999999999999</v>
      </c>
      <c r="G323" s="264">
        <v>0.108</v>
      </c>
      <c r="H323" s="264">
        <v>8.3000000000000004E-2</v>
      </c>
      <c r="I323" s="264">
        <v>6.8000000000000005E-2</v>
      </c>
      <c r="J323" s="264">
        <v>4.3999999999999997E-2</v>
      </c>
      <c r="K323" s="264">
        <v>3.3000000000000002E-2</v>
      </c>
      <c r="L323" s="264">
        <v>2.8000000000000001E-2</v>
      </c>
      <c r="M323" s="84">
        <v>2.5999999999999999E-2</v>
      </c>
      <c r="N323" s="252">
        <f t="shared" ref="N323:N327" si="84">IF(P$322=O$322,O323,ROUND(O323-((O323-P323)/(P$322-O$322))*(N$322-O$322),3))</f>
        <v>0.25800000000000001</v>
      </c>
      <c r="O323" s="477">
        <f>IF(O$322=10,C323,HLOOKUP($O$322,$D$322:$M$327,2,TRUE))</f>
        <v>0.25800000000000001</v>
      </c>
      <c r="P323" s="170">
        <f>IF(P$322=10,C323,HLOOKUP($P$322,$D$322:$M$327,2,TRUE))</f>
        <v>0.25800000000000001</v>
      </c>
      <c r="Q323" s="46"/>
      <c r="R323" s="46"/>
      <c r="S323" s="46"/>
      <c r="T323" s="46"/>
      <c r="U323" s="46"/>
      <c r="V323" s="46"/>
      <c r="W323" s="46"/>
    </row>
    <row r="324" spans="1:23" ht="15.4" customHeight="1" x14ac:dyDescent="0.25">
      <c r="A324" s="284">
        <v>2</v>
      </c>
      <c r="B324" s="111" t="str">
        <f t="shared" si="83"/>
        <v>Công trình công nghiệp</v>
      </c>
      <c r="C324" s="264">
        <v>0.28999999999999998</v>
      </c>
      <c r="D324" s="264">
        <v>0.252</v>
      </c>
      <c r="E324" s="264">
        <v>0.192</v>
      </c>
      <c r="F324" s="264">
        <v>0.14599999999999999</v>
      </c>
      <c r="G324" s="264">
        <v>0.113</v>
      </c>
      <c r="H324" s="264">
        <v>8.6999999999999994E-2</v>
      </c>
      <c r="I324" s="264">
        <v>6.6000000000000003E-2</v>
      </c>
      <c r="J324" s="264">
        <v>5.2999999999999999E-2</v>
      </c>
      <c r="K324" s="264">
        <v>3.7999999999999999E-2</v>
      </c>
      <c r="L324" s="264">
        <v>3.1E-2</v>
      </c>
      <c r="M324" s="84">
        <v>2.8000000000000001E-2</v>
      </c>
      <c r="N324" s="252">
        <f t="shared" si="84"/>
        <v>0.28999999999999998</v>
      </c>
      <c r="O324" s="477">
        <f>IF(O$322=10,C324,HLOOKUP($O$322,$D$322:$M$327,3,TRUE))</f>
        <v>0.28999999999999998</v>
      </c>
      <c r="P324" s="170">
        <f>IF(P$322=10,C324,HLOOKUP($P$322,$D$322:$M$327,3,TRUE))</f>
        <v>0.28999999999999998</v>
      </c>
      <c r="Q324" s="46"/>
      <c r="R324" s="46"/>
      <c r="S324" s="46"/>
      <c r="T324" s="46"/>
      <c r="U324" s="46"/>
      <c r="V324" s="46"/>
      <c r="W324" s="46"/>
    </row>
    <row r="325" spans="1:23" ht="15.4" customHeight="1" x14ac:dyDescent="0.25">
      <c r="A325" s="284">
        <v>3</v>
      </c>
      <c r="B325" s="111" t="str">
        <f t="shared" si="83"/>
        <v>Công trình giao thông</v>
      </c>
      <c r="C325" s="264">
        <v>0.17</v>
      </c>
      <c r="D325" s="264">
        <v>0.14699999999999999</v>
      </c>
      <c r="E325" s="264">
        <v>0.113</v>
      </c>
      <c r="F325" s="264">
        <v>8.4000000000000005E-2</v>
      </c>
      <c r="G325" s="264">
        <v>7.2999999999999995E-2</v>
      </c>
      <c r="H325" s="264">
        <v>5.5E-2</v>
      </c>
      <c r="I325" s="264">
        <v>4.2000000000000003E-2</v>
      </c>
      <c r="J325" s="264">
        <v>3.5000000000000003E-2</v>
      </c>
      <c r="K325" s="264">
        <v>2.4E-2</v>
      </c>
      <c r="L325" s="264">
        <v>0.02</v>
      </c>
      <c r="M325" s="84">
        <v>1.7000000000000001E-2</v>
      </c>
      <c r="N325" s="252">
        <f t="shared" si="84"/>
        <v>0.17</v>
      </c>
      <c r="O325" s="477">
        <f>IF(O$322=10,C325,HLOOKUP($O$322,$D$322:$M$327,4,TRUE))</f>
        <v>0.17</v>
      </c>
      <c r="P325" s="170">
        <f>IF(P$322=10,C325,HLOOKUP($P$322,$D$322:$M$327,4,TRUE))</f>
        <v>0.17</v>
      </c>
      <c r="Q325" s="46"/>
      <c r="R325" s="46"/>
      <c r="S325" s="46"/>
      <c r="T325" s="46"/>
      <c r="U325" s="46"/>
      <c r="V325" s="46"/>
      <c r="W325" s="46"/>
    </row>
    <row r="326" spans="1:23" ht="15.4" customHeight="1" x14ac:dyDescent="0.25">
      <c r="A326" s="284">
        <v>4</v>
      </c>
      <c r="B326" s="111" t="str">
        <f t="shared" si="83"/>
        <v>Công trình nông nghiệp và phát triển nông thôn</v>
      </c>
      <c r="C326" s="264">
        <v>0.189</v>
      </c>
      <c r="D326" s="264">
        <v>0.16300000000000001</v>
      </c>
      <c r="E326" s="264">
        <v>0.125</v>
      </c>
      <c r="F326" s="264">
        <v>9.2999999999999999E-2</v>
      </c>
      <c r="G326" s="264">
        <v>7.2999999999999995E-2</v>
      </c>
      <c r="H326" s="264">
        <v>5.6000000000000001E-2</v>
      </c>
      <c r="I326" s="264">
        <v>4.2999999999999997E-2</v>
      </c>
      <c r="J326" s="264">
        <v>3.5000000000000003E-2</v>
      </c>
      <c r="K326" s="264">
        <v>2.5999999999999999E-2</v>
      </c>
      <c r="L326" s="264">
        <v>2.1999999999999999E-2</v>
      </c>
      <c r="M326" s="84">
        <v>1.9E-2</v>
      </c>
      <c r="N326" s="252">
        <f t="shared" si="84"/>
        <v>0.189</v>
      </c>
      <c r="O326" s="477">
        <f>IF(O$322=10,C326,HLOOKUP($O$322,$D$322:$M$327,5,TRUE))</f>
        <v>0.189</v>
      </c>
      <c r="P326" s="170">
        <f>IF(P$322=10,C326,HLOOKUP($P$322,$D$322:$M$327,5,TRUE))</f>
        <v>0.189</v>
      </c>
      <c r="Q326" s="46"/>
      <c r="R326" s="46"/>
      <c r="S326" s="46"/>
      <c r="T326" s="46"/>
      <c r="U326" s="46"/>
      <c r="V326" s="46"/>
      <c r="W326" s="46"/>
    </row>
    <row r="327" spans="1:23" ht="15.4" customHeight="1" x14ac:dyDescent="0.25">
      <c r="A327" s="284">
        <v>5</v>
      </c>
      <c r="B327" s="111" t="str">
        <f t="shared" si="83"/>
        <v>Công trình hạ tầng kỹ thuật</v>
      </c>
      <c r="C327" s="264">
        <v>0.19700000000000001</v>
      </c>
      <c r="D327" s="264">
        <v>0.17199999999999999</v>
      </c>
      <c r="E327" s="264">
        <v>0.13300000000000001</v>
      </c>
      <c r="F327" s="264">
        <v>9.9000000000000005E-2</v>
      </c>
      <c r="G327" s="264">
        <v>7.5999999999999998E-2</v>
      </c>
      <c r="H327" s="264">
        <v>5.8999999999999997E-2</v>
      </c>
      <c r="I327" s="264">
        <v>4.5999999999999999E-2</v>
      </c>
      <c r="J327" s="264">
        <v>0.04</v>
      </c>
      <c r="K327" s="264">
        <v>2.9000000000000001E-2</v>
      </c>
      <c r="L327" s="264">
        <v>2.4E-2</v>
      </c>
      <c r="M327" s="84">
        <v>2.1000000000000001E-2</v>
      </c>
      <c r="N327" s="252">
        <f t="shared" si="84"/>
        <v>0.19700000000000001</v>
      </c>
      <c r="O327" s="477">
        <f>IF(O$322=10,C327,HLOOKUP($O$322,$D$322:$M$327,6,TRUE))</f>
        <v>0.19700000000000001</v>
      </c>
      <c r="P327" s="170">
        <f>IF(P$322=10,C327,HLOOKUP($P$322,$D$322:$M$327,6,TRUE))</f>
        <v>0.19700000000000001</v>
      </c>
      <c r="Q327" s="46"/>
      <c r="R327" s="46"/>
      <c r="S327" s="46"/>
      <c r="T327" s="46"/>
      <c r="U327" s="46"/>
      <c r="V327" s="46"/>
      <c r="W327" s="46"/>
    </row>
    <row r="328" spans="1:23" ht="15" hidden="1" customHeight="1" x14ac:dyDescent="0.25">
      <c r="A328" s="33" t="s">
        <v>361</v>
      </c>
      <c r="B328" s="33"/>
      <c r="C328" s="33"/>
      <c r="D328" s="33"/>
      <c r="E328" s="33"/>
      <c r="F328" s="33"/>
      <c r="G328" s="33"/>
      <c r="H328" s="33"/>
      <c r="I328" s="33"/>
      <c r="J328" s="33"/>
      <c r="K328" s="33"/>
      <c r="L328" s="33"/>
      <c r="M328" s="33"/>
      <c r="N328" s="33"/>
      <c r="O328" s="33"/>
      <c r="P328" s="33"/>
      <c r="Q328" s="33"/>
      <c r="R328" s="33"/>
      <c r="S328" s="33"/>
      <c r="T328" s="33"/>
      <c r="U328" s="33"/>
      <c r="V328" s="33"/>
      <c r="W328" s="33"/>
    </row>
    <row r="329" spans="1:23" ht="15.4" customHeight="1" x14ac:dyDescent="0.25">
      <c r="A329" s="33"/>
      <c r="B329" s="33"/>
      <c r="C329" s="33"/>
      <c r="D329" s="33"/>
      <c r="E329" s="33"/>
      <c r="F329" s="33"/>
      <c r="G329" s="33"/>
      <c r="H329" s="33"/>
      <c r="I329" s="33"/>
      <c r="J329" s="33"/>
      <c r="K329" s="33"/>
      <c r="L329" s="33"/>
      <c r="M329" s="33"/>
      <c r="N329" s="33"/>
      <c r="O329" s="33"/>
      <c r="P329" s="33"/>
      <c r="Q329" s="33"/>
      <c r="R329" s="33"/>
      <c r="S329" s="33"/>
      <c r="T329" s="33"/>
      <c r="U329" s="33"/>
      <c r="V329" s="33"/>
      <c r="W329" s="33"/>
    </row>
    <row r="330" spans="1:23" ht="15.4" customHeight="1" x14ac:dyDescent="0.25">
      <c r="A330" s="703" t="s">
        <v>245</v>
      </c>
      <c r="B330" s="703"/>
      <c r="C330" s="703"/>
      <c r="D330" s="703"/>
      <c r="E330" s="703"/>
      <c r="F330" s="703"/>
      <c r="G330" s="703"/>
      <c r="H330" s="703"/>
      <c r="I330" s="703"/>
      <c r="J330" s="703"/>
      <c r="K330" s="703"/>
      <c r="L330" s="703"/>
      <c r="M330" s="703"/>
      <c r="N330" s="33"/>
      <c r="O330" s="33"/>
      <c r="P330" s="33"/>
      <c r="Q330" s="33"/>
      <c r="R330" s="33"/>
      <c r="S330" s="33"/>
      <c r="T330" s="33"/>
      <c r="U330" s="33"/>
      <c r="V330" s="33"/>
      <c r="W330" s="33"/>
    </row>
    <row r="331" spans="1:23" ht="15.4" customHeight="1" x14ac:dyDescent="0.25">
      <c r="A331" s="33"/>
      <c r="B331" s="33"/>
      <c r="C331" s="33"/>
      <c r="D331" s="33"/>
      <c r="E331" s="33"/>
      <c r="F331" s="33"/>
      <c r="G331" s="33"/>
      <c r="H331" s="33"/>
      <c r="I331" s="704" t="s">
        <v>754</v>
      </c>
      <c r="J331" s="704"/>
      <c r="K331" s="704"/>
      <c r="L331" s="704"/>
      <c r="M331" s="704"/>
      <c r="N331" s="575"/>
      <c r="O331" s="33"/>
      <c r="P331" s="33"/>
      <c r="Q331" s="33"/>
      <c r="R331" s="33"/>
      <c r="S331" s="33"/>
      <c r="T331" s="33"/>
      <c r="U331" s="33"/>
      <c r="V331" s="33"/>
      <c r="W331" s="33"/>
    </row>
    <row r="332" spans="1:23" ht="15" hidden="1" customHeight="1" x14ac:dyDescent="0.25">
      <c r="A332" s="33" t="s">
        <v>41</v>
      </c>
      <c r="B332" s="33"/>
      <c r="C332" s="33"/>
      <c r="D332" s="33"/>
      <c r="E332" s="33"/>
      <c r="F332" s="33"/>
      <c r="G332" s="33"/>
      <c r="H332" s="33"/>
      <c r="I332" s="33"/>
      <c r="J332" s="33"/>
      <c r="K332" s="33"/>
      <c r="L332" s="33"/>
      <c r="M332" s="33" t="s">
        <v>300</v>
      </c>
      <c r="N332" s="33"/>
      <c r="O332" s="33"/>
      <c r="P332" s="33"/>
      <c r="Q332" s="33"/>
      <c r="R332" s="33"/>
      <c r="S332" s="33"/>
      <c r="T332" s="33"/>
      <c r="U332" s="33"/>
      <c r="V332" s="33"/>
      <c r="W332" s="33"/>
    </row>
    <row r="333" spans="1:23" ht="15" customHeight="1" x14ac:dyDescent="0.25">
      <c r="A333" s="705" t="s">
        <v>695</v>
      </c>
      <c r="B333" s="705" t="s">
        <v>106</v>
      </c>
      <c r="C333" s="706" t="s">
        <v>539</v>
      </c>
      <c r="D333" s="706"/>
      <c r="E333" s="706"/>
      <c r="F333" s="706"/>
      <c r="G333" s="706"/>
      <c r="H333" s="706"/>
      <c r="I333" s="706"/>
      <c r="J333" s="706"/>
      <c r="K333" s="706"/>
      <c r="L333" s="706"/>
      <c r="M333" s="706"/>
      <c r="N333" s="158" t="s">
        <v>378</v>
      </c>
      <c r="O333" s="404" t="s">
        <v>26</v>
      </c>
      <c r="P333" s="95" t="s">
        <v>510</v>
      </c>
      <c r="Q333" s="46"/>
      <c r="R333" s="46"/>
      <c r="S333" s="46"/>
      <c r="T333" s="46"/>
      <c r="U333" s="46"/>
      <c r="V333" s="46"/>
      <c r="W333" s="46"/>
    </row>
    <row r="334" spans="1:23" ht="15.4" customHeight="1" x14ac:dyDescent="0.25">
      <c r="A334" s="705"/>
      <c r="B334" s="705"/>
      <c r="C334" s="169" t="s">
        <v>301</v>
      </c>
      <c r="D334" s="169">
        <v>20</v>
      </c>
      <c r="E334" s="169">
        <v>50</v>
      </c>
      <c r="F334" s="169">
        <v>100</v>
      </c>
      <c r="G334" s="169">
        <v>200</v>
      </c>
      <c r="H334" s="169">
        <v>500</v>
      </c>
      <c r="I334" s="332">
        <v>1000</v>
      </c>
      <c r="J334" s="332">
        <v>2000</v>
      </c>
      <c r="K334" s="332">
        <v>5000</v>
      </c>
      <c r="L334" s="332">
        <v>8000</v>
      </c>
      <c r="M334" s="332">
        <v>10000</v>
      </c>
      <c r="N334" s="158">
        <f>$C$1</f>
        <v>1.0711056214113099</v>
      </c>
      <c r="O334" s="404">
        <f>IF(N334&lt;D334,10,IF(N334&gt;M334,M334,HLOOKUP(N334,D334:M334,1)))</f>
        <v>10</v>
      </c>
      <c r="P334" s="95">
        <f>IF(N334&lt;10,10,IF(N334&lt;20,20,IF(N334&gt;M334,M334,INDEX(D334:M334,MATCH(N334,D334:M334,1)+1))))</f>
        <v>10</v>
      </c>
      <c r="Q334" s="46"/>
      <c r="R334" s="46"/>
      <c r="S334" s="46"/>
      <c r="T334" s="46"/>
      <c r="U334" s="46"/>
      <c r="V334" s="46"/>
      <c r="W334" s="46"/>
    </row>
    <row r="335" spans="1:23" ht="15.4" customHeight="1" x14ac:dyDescent="0.25">
      <c r="A335" s="284">
        <v>1</v>
      </c>
      <c r="B335" s="111" t="str">
        <f t="shared" ref="B335:B339" si="85">B48</f>
        <v>Công trình dân dụng</v>
      </c>
      <c r="C335" s="264">
        <v>0.25</v>
      </c>
      <c r="D335" s="264">
        <v>0.219</v>
      </c>
      <c r="E335" s="264">
        <v>0.16600000000000001</v>
      </c>
      <c r="F335" s="264">
        <v>0.14000000000000001</v>
      </c>
      <c r="G335" s="264">
        <v>0.105</v>
      </c>
      <c r="H335" s="264">
        <v>7.6999999999999999E-2</v>
      </c>
      <c r="I335" s="264">
        <v>6.4000000000000001E-2</v>
      </c>
      <c r="J335" s="264">
        <v>4.2999999999999997E-2</v>
      </c>
      <c r="K335" s="264">
        <v>3.2000000000000001E-2</v>
      </c>
      <c r="L335" s="264">
        <v>2.7E-2</v>
      </c>
      <c r="M335" s="84">
        <v>2.5000000000000001E-2</v>
      </c>
      <c r="N335" s="252">
        <f t="shared" ref="N335:N339" si="86">IF(P$334=O$334,O335,ROUND(O335-((O335-P335)/(P$334-O$334))*(N$334-O$334),3))</f>
        <v>0.25</v>
      </c>
      <c r="O335" s="477">
        <f>IF(O$334=10,C335,HLOOKUP($O$334,$D$334:$M$339,2,TRUE))</f>
        <v>0.25</v>
      </c>
      <c r="P335" s="170">
        <f>IF(P$334=10,C335,HLOOKUP($P$334,$D$334:$M$339,2,TRUE))</f>
        <v>0.25</v>
      </c>
      <c r="Q335" s="46"/>
      <c r="R335" s="46"/>
      <c r="S335" s="46"/>
      <c r="T335" s="46"/>
      <c r="U335" s="46"/>
      <c r="V335" s="46"/>
      <c r="W335" s="46"/>
    </row>
    <row r="336" spans="1:23" ht="15.4" customHeight="1" x14ac:dyDescent="0.25">
      <c r="A336" s="284">
        <v>2</v>
      </c>
      <c r="B336" s="111" t="str">
        <f t="shared" si="85"/>
        <v>Công trình công nghiệp</v>
      </c>
      <c r="C336" s="264">
        <v>0.28199999999999997</v>
      </c>
      <c r="D336" s="264">
        <v>0.24399999999999999</v>
      </c>
      <c r="E336" s="264">
        <v>0.185</v>
      </c>
      <c r="F336" s="264">
        <v>0.14099999999999999</v>
      </c>
      <c r="G336" s="264">
        <v>0.108</v>
      </c>
      <c r="H336" s="264">
        <v>8.3000000000000004E-2</v>
      </c>
      <c r="I336" s="264">
        <v>6.2E-2</v>
      </c>
      <c r="J336" s="264">
        <v>0.05</v>
      </c>
      <c r="K336" s="264">
        <v>3.4000000000000002E-2</v>
      </c>
      <c r="L336" s="264">
        <v>0.03</v>
      </c>
      <c r="M336" s="84">
        <v>2.7E-2</v>
      </c>
      <c r="N336" s="252">
        <f t="shared" si="86"/>
        <v>0.28199999999999997</v>
      </c>
      <c r="O336" s="477">
        <f>IF(O$334=10,C336,HLOOKUP($O$334,$D$334:$M$339,3,TRUE))</f>
        <v>0.28199999999999997</v>
      </c>
      <c r="P336" s="170">
        <f>IF(P$334=10,C336,HLOOKUP($P$334,$D$334:$M$339,3,TRUE))</f>
        <v>0.28199999999999997</v>
      </c>
      <c r="Q336" s="46"/>
      <c r="R336" s="46"/>
      <c r="S336" s="46"/>
      <c r="T336" s="46"/>
      <c r="U336" s="46"/>
      <c r="V336" s="46"/>
      <c r="W336" s="46"/>
    </row>
    <row r="337" spans="1:23" ht="15.4" customHeight="1" x14ac:dyDescent="0.25">
      <c r="A337" s="284">
        <v>3</v>
      </c>
      <c r="B337" s="111" t="str">
        <f t="shared" si="85"/>
        <v>Công trình giao thông</v>
      </c>
      <c r="C337" s="264">
        <v>0.16600000000000001</v>
      </c>
      <c r="D337" s="264">
        <v>0.14199999999999999</v>
      </c>
      <c r="E337" s="264">
        <v>0.106</v>
      </c>
      <c r="F337" s="264">
        <v>8.2000000000000003E-2</v>
      </c>
      <c r="G337" s="264">
        <v>6.9000000000000006E-2</v>
      </c>
      <c r="H337" s="264">
        <v>5.1999999999999998E-2</v>
      </c>
      <c r="I337" s="264">
        <v>4.1000000000000002E-2</v>
      </c>
      <c r="J337" s="264">
        <v>3.4000000000000002E-2</v>
      </c>
      <c r="K337" s="264">
        <v>2.1000000000000001E-2</v>
      </c>
      <c r="L337" s="264">
        <v>1.7999999999999999E-2</v>
      </c>
      <c r="M337" s="84">
        <v>1.6E-2</v>
      </c>
      <c r="N337" s="252">
        <f t="shared" si="86"/>
        <v>0.16600000000000001</v>
      </c>
      <c r="O337" s="477">
        <f>IF(O$334=10,C337,HLOOKUP($O$334,$D$334:$M$339,4,TRUE))</f>
        <v>0.16600000000000001</v>
      </c>
      <c r="P337" s="170">
        <f>IF(P$334=10,C337,HLOOKUP($P$334,$D$334:$M$339,4,TRUE))</f>
        <v>0.16600000000000001</v>
      </c>
      <c r="Q337" s="46"/>
      <c r="R337" s="46"/>
      <c r="S337" s="46"/>
      <c r="T337" s="46"/>
      <c r="U337" s="46"/>
      <c r="V337" s="46"/>
      <c r="W337" s="46"/>
    </row>
    <row r="338" spans="1:23" ht="15.4" customHeight="1" x14ac:dyDescent="0.25">
      <c r="A338" s="284">
        <v>4</v>
      </c>
      <c r="B338" s="111" t="str">
        <f t="shared" si="85"/>
        <v>Công trình nông nghiệp và phát triển nông thôn</v>
      </c>
      <c r="C338" s="264">
        <v>0.183</v>
      </c>
      <c r="D338" s="264">
        <v>0.158</v>
      </c>
      <c r="E338" s="264">
        <v>0.11899999999999999</v>
      </c>
      <c r="F338" s="264">
        <v>9.1999999999999998E-2</v>
      </c>
      <c r="G338" s="264">
        <v>7.0000000000000007E-2</v>
      </c>
      <c r="H338" s="264">
        <v>5.2999999999999999E-2</v>
      </c>
      <c r="I338" s="264">
        <v>0.04</v>
      </c>
      <c r="J338" s="264">
        <v>3.4000000000000002E-2</v>
      </c>
      <c r="K338" s="264">
        <v>2.4E-2</v>
      </c>
      <c r="L338" s="264">
        <v>2.1000000000000001E-2</v>
      </c>
      <c r="M338" s="84">
        <v>1.7999999999999999E-2</v>
      </c>
      <c r="N338" s="252">
        <f t="shared" si="86"/>
        <v>0.183</v>
      </c>
      <c r="O338" s="477">
        <f>IF(O$334=10,C338,HLOOKUP($O$334,$D$334:$M$339,5,TRUE))</f>
        <v>0.183</v>
      </c>
      <c r="P338" s="170">
        <f>IF(P$334=10,C338,HLOOKUP($P$334,$D$334:$M$339,5,TRUE))</f>
        <v>0.183</v>
      </c>
      <c r="Q338" s="46"/>
      <c r="R338" s="46"/>
      <c r="S338" s="46"/>
      <c r="T338" s="46"/>
      <c r="U338" s="46"/>
      <c r="V338" s="46"/>
      <c r="W338" s="46"/>
    </row>
    <row r="339" spans="1:23" ht="15.4" customHeight="1" x14ac:dyDescent="0.25">
      <c r="A339" s="284">
        <v>5</v>
      </c>
      <c r="B339" s="111" t="str">
        <f t="shared" si="85"/>
        <v>Công trình hạ tầng kỹ thuật</v>
      </c>
      <c r="C339" s="264">
        <v>0.191</v>
      </c>
      <c r="D339" s="264">
        <v>0.16600000000000001</v>
      </c>
      <c r="E339" s="264">
        <v>0.128</v>
      </c>
      <c r="F339" s="264">
        <v>9.5000000000000001E-2</v>
      </c>
      <c r="G339" s="264">
        <v>7.1999999999999995E-2</v>
      </c>
      <c r="H339" s="264">
        <v>5.6000000000000001E-2</v>
      </c>
      <c r="I339" s="264">
        <v>4.3999999999999997E-2</v>
      </c>
      <c r="J339" s="264">
        <v>3.6999999999999998E-2</v>
      </c>
      <c r="K339" s="264">
        <v>2.5999999999999999E-2</v>
      </c>
      <c r="L339" s="264">
        <v>2.1999999999999999E-2</v>
      </c>
      <c r="M339" s="84">
        <v>0.02</v>
      </c>
      <c r="N339" s="252">
        <f t="shared" si="86"/>
        <v>0.191</v>
      </c>
      <c r="O339" s="477">
        <f>IF(O$334=10,C339,HLOOKUP($O$334,$D$334:$M$339,6,TRUE))</f>
        <v>0.191</v>
      </c>
      <c r="P339" s="170">
        <f>IF(P$334=10,C339,HLOOKUP($P$334,$D$334:$M$339,6,TRUE))</f>
        <v>0.191</v>
      </c>
      <c r="Q339" s="46"/>
      <c r="R339" s="46"/>
      <c r="S339" s="46"/>
      <c r="T339" s="46"/>
      <c r="U339" s="46"/>
      <c r="V339" s="46"/>
      <c r="W339" s="46"/>
    </row>
    <row r="340" spans="1:23" ht="15" hidden="1" customHeight="1" x14ac:dyDescent="0.25">
      <c r="A340" s="33" t="s">
        <v>721</v>
      </c>
      <c r="B340" s="33"/>
      <c r="C340" s="33"/>
      <c r="D340" s="33"/>
      <c r="E340" s="33"/>
      <c r="F340" s="33"/>
      <c r="G340" s="33"/>
      <c r="H340" s="33"/>
      <c r="I340" s="33"/>
      <c r="J340" s="33"/>
      <c r="K340" s="33"/>
      <c r="L340" s="33"/>
      <c r="M340" s="33"/>
      <c r="N340" s="33"/>
      <c r="O340" s="33"/>
      <c r="P340" s="33"/>
      <c r="Q340" s="33"/>
      <c r="R340" s="33"/>
      <c r="S340" s="33"/>
      <c r="T340" s="33"/>
      <c r="U340" s="33"/>
      <c r="V340" s="33"/>
      <c r="W340" s="33"/>
    </row>
    <row r="341" spans="1:23" ht="15.4" customHeight="1" x14ac:dyDescent="0.25">
      <c r="A341" s="33"/>
      <c r="B341" s="33"/>
      <c r="C341" s="33"/>
      <c r="D341" s="33"/>
      <c r="E341" s="33"/>
      <c r="F341" s="33"/>
      <c r="G341" s="33"/>
      <c r="H341" s="33"/>
      <c r="I341" s="33"/>
      <c r="J341" s="33"/>
      <c r="K341" s="33"/>
      <c r="L341" s="33"/>
      <c r="M341" s="33"/>
      <c r="N341" s="33"/>
      <c r="O341" s="33"/>
      <c r="P341" s="33"/>
      <c r="Q341" s="33"/>
      <c r="R341" s="33"/>
      <c r="S341" s="33"/>
      <c r="T341" s="33"/>
      <c r="U341" s="33"/>
      <c r="V341" s="33"/>
      <c r="W341" s="33"/>
    </row>
    <row r="342" spans="1:23" ht="15.4" customHeight="1" x14ac:dyDescent="0.25">
      <c r="A342" s="707" t="s">
        <v>390</v>
      </c>
      <c r="B342" s="707"/>
      <c r="C342" s="707"/>
      <c r="D342" s="707"/>
      <c r="E342" s="707"/>
      <c r="F342" s="707"/>
      <c r="G342" s="707"/>
      <c r="H342" s="707"/>
      <c r="I342" s="707"/>
      <c r="J342" s="707"/>
      <c r="K342" s="707"/>
      <c r="L342" s="707"/>
      <c r="M342" s="707"/>
      <c r="N342" s="33"/>
      <c r="O342" s="33"/>
      <c r="P342" s="33"/>
      <c r="Q342" s="33"/>
      <c r="R342" s="33"/>
      <c r="S342" s="33"/>
      <c r="T342" s="33"/>
      <c r="U342" s="33"/>
      <c r="V342" s="33"/>
      <c r="W342" s="33"/>
    </row>
    <row r="343" spans="1:23" ht="15.4" customHeight="1" x14ac:dyDescent="0.25">
      <c r="A343" s="33"/>
      <c r="B343" s="33"/>
      <c r="C343" s="33"/>
      <c r="D343" s="33"/>
      <c r="E343" s="33"/>
      <c r="F343" s="33"/>
      <c r="G343" s="33"/>
      <c r="H343" s="704" t="s">
        <v>754</v>
      </c>
      <c r="I343" s="704"/>
      <c r="J343" s="575"/>
      <c r="K343" s="575"/>
      <c r="L343" s="575"/>
      <c r="M343" s="575"/>
      <c r="N343" s="575"/>
      <c r="O343" s="33"/>
      <c r="P343" s="33"/>
      <c r="Q343" s="33"/>
      <c r="R343" s="33"/>
      <c r="S343" s="33"/>
      <c r="T343" s="33"/>
      <c r="U343" s="33"/>
      <c r="V343" s="33"/>
      <c r="W343" s="33"/>
    </row>
    <row r="344" spans="1:23" ht="15" hidden="1" customHeight="1" x14ac:dyDescent="0.25">
      <c r="A344" s="33" t="s">
        <v>876</v>
      </c>
      <c r="B344" s="33"/>
      <c r="C344" s="33"/>
      <c r="D344" s="33"/>
      <c r="E344" s="33"/>
      <c r="F344" s="33"/>
      <c r="G344" s="33"/>
      <c r="H344" s="33"/>
      <c r="I344" s="33" t="s">
        <v>300</v>
      </c>
      <c r="J344" s="33"/>
      <c r="K344" s="33"/>
      <c r="L344" s="33"/>
      <c r="M344" s="33"/>
      <c r="N344" s="33"/>
      <c r="O344" s="33"/>
      <c r="P344" s="33"/>
      <c r="Q344" s="33"/>
      <c r="R344" s="33"/>
      <c r="S344" s="33"/>
      <c r="T344" s="33"/>
      <c r="U344" s="33"/>
      <c r="V344" s="33"/>
      <c r="W344" s="33"/>
    </row>
    <row r="345" spans="1:23" ht="15" customHeight="1" x14ac:dyDescent="0.25">
      <c r="A345" s="705" t="s">
        <v>695</v>
      </c>
      <c r="B345" s="705" t="s">
        <v>106</v>
      </c>
      <c r="C345" s="701" t="s">
        <v>283</v>
      </c>
      <c r="D345" s="702"/>
      <c r="E345" s="702"/>
      <c r="F345" s="702"/>
      <c r="G345" s="702"/>
      <c r="H345" s="702"/>
      <c r="I345" s="702"/>
      <c r="J345" s="158" t="s">
        <v>378</v>
      </c>
      <c r="K345" s="404" t="s">
        <v>26</v>
      </c>
      <c r="L345" s="95" t="s">
        <v>510</v>
      </c>
      <c r="M345" s="110"/>
      <c r="N345" s="46"/>
      <c r="O345" s="46"/>
      <c r="P345" s="46"/>
      <c r="Q345" s="46"/>
      <c r="R345" s="46"/>
      <c r="S345" s="46"/>
      <c r="T345" s="46"/>
      <c r="U345" s="46"/>
      <c r="V345" s="46"/>
      <c r="W345" s="46"/>
    </row>
    <row r="346" spans="1:23" ht="15.4" customHeight="1" x14ac:dyDescent="0.25">
      <c r="A346" s="705"/>
      <c r="B346" s="705"/>
      <c r="C346" s="169" t="s">
        <v>15</v>
      </c>
      <c r="D346" s="169">
        <v>3</v>
      </c>
      <c r="E346" s="169">
        <v>5</v>
      </c>
      <c r="F346" s="169">
        <v>10</v>
      </c>
      <c r="G346" s="169">
        <v>20</v>
      </c>
      <c r="H346" s="169">
        <v>50</v>
      </c>
      <c r="I346" s="332">
        <v>100</v>
      </c>
      <c r="J346" s="158">
        <f>$C$5</f>
        <v>0</v>
      </c>
      <c r="K346" s="404">
        <f>IF(J346&lt;D346,1,IF(J346&gt;I346,I346,HLOOKUP(J346,D346:I346,1)))</f>
        <v>1</v>
      </c>
      <c r="L346" s="95">
        <f>IF(J346&lt;1,1,IF(J346&lt;3,3,IF(J346&gt;I346,I346,INDEX(D346:I346,MATCH(J346,D346:I346,1)+1))))</f>
        <v>1</v>
      </c>
      <c r="M346" s="497"/>
      <c r="N346" s="46"/>
      <c r="O346" s="46"/>
      <c r="P346" s="46"/>
      <c r="Q346" s="46"/>
      <c r="R346" s="46"/>
      <c r="S346" s="46"/>
      <c r="T346" s="46"/>
      <c r="U346" s="46"/>
      <c r="V346" s="46"/>
      <c r="W346" s="46"/>
    </row>
    <row r="347" spans="1:23" ht="15.4" customHeight="1" x14ac:dyDescent="0.25">
      <c r="A347" s="284">
        <v>1</v>
      </c>
      <c r="B347" s="111" t="s">
        <v>128</v>
      </c>
      <c r="C347" s="264">
        <v>0.81599999999999995</v>
      </c>
      <c r="D347" s="264">
        <v>0.58299999999999996</v>
      </c>
      <c r="E347" s="264">
        <v>0.505</v>
      </c>
      <c r="F347" s="264">
        <v>0.38900000000000001</v>
      </c>
      <c r="G347" s="264">
        <v>0.311</v>
      </c>
      <c r="H347" s="264">
        <v>0.17599999999999999</v>
      </c>
      <c r="I347" s="264">
        <v>0.114</v>
      </c>
      <c r="J347" s="252">
        <f>IF(L$346=K$346,K347,ROUND(K347-((K347-L347)/(L$346-K$346))*(J$346-K$346),3))</f>
        <v>0.81599999999999995</v>
      </c>
      <c r="K347" s="477">
        <f>IF(K$346=1,C347,HLOOKUP($K$346,$D$346:$I$347,2,TRUE))</f>
        <v>0.81599999999999995</v>
      </c>
      <c r="L347" s="170">
        <f>IF(L$346=1,C347,HLOOKUP($L$346,$D$346:$I$347,2,TRUE))</f>
        <v>0.81599999999999995</v>
      </c>
      <c r="M347" s="537"/>
      <c r="N347" s="46"/>
      <c r="O347" s="46"/>
      <c r="P347" s="46"/>
      <c r="Q347" s="46"/>
      <c r="R347" s="46"/>
      <c r="S347" s="46"/>
      <c r="T347" s="46"/>
      <c r="U347" s="46"/>
      <c r="V347" s="46"/>
      <c r="W347" s="46"/>
    </row>
    <row r="348" spans="1:23" ht="15" hidden="1" customHeight="1" x14ac:dyDescent="0.25">
      <c r="A348" s="33" t="s">
        <v>551</v>
      </c>
      <c r="B348" s="33"/>
      <c r="C348" s="33"/>
      <c r="D348" s="33"/>
      <c r="E348" s="33"/>
      <c r="F348" s="33"/>
      <c r="G348" s="33"/>
      <c r="H348" s="33"/>
      <c r="I348" s="33"/>
      <c r="J348" s="33"/>
      <c r="K348" s="33"/>
      <c r="L348" s="33"/>
      <c r="M348" s="33"/>
      <c r="N348" s="33"/>
      <c r="O348" s="33"/>
      <c r="P348" s="33"/>
      <c r="Q348" s="33"/>
      <c r="R348" s="33"/>
      <c r="S348" s="33"/>
      <c r="T348" s="33"/>
      <c r="U348" s="33"/>
      <c r="V348" s="33"/>
      <c r="W348" s="33"/>
    </row>
    <row r="349" spans="1:23" ht="15.4" customHeight="1" x14ac:dyDescent="0.25">
      <c r="A349" s="33"/>
      <c r="B349" s="33"/>
      <c r="C349" s="33"/>
      <c r="D349" s="33"/>
      <c r="E349" s="33"/>
      <c r="F349" s="33"/>
      <c r="G349" s="33"/>
      <c r="H349" s="33"/>
      <c r="I349" s="33"/>
      <c r="J349" s="33"/>
      <c r="K349" s="33"/>
      <c r="L349" s="33"/>
      <c r="M349" s="33"/>
      <c r="N349" s="33"/>
      <c r="O349" s="33"/>
      <c r="P349" s="33"/>
      <c r="Q349" s="33"/>
      <c r="R349" s="33"/>
      <c r="S349" s="33"/>
      <c r="T349" s="33"/>
      <c r="U349" s="33"/>
      <c r="V349" s="33"/>
      <c r="W349" s="33"/>
    </row>
    <row r="350" spans="1:23" ht="15.4" customHeight="1" x14ac:dyDescent="0.25">
      <c r="A350" s="703" t="s">
        <v>359</v>
      </c>
      <c r="B350" s="703"/>
      <c r="C350" s="703"/>
      <c r="D350" s="703"/>
      <c r="E350" s="703"/>
      <c r="F350" s="703"/>
      <c r="G350" s="703"/>
      <c r="H350" s="703"/>
      <c r="I350" s="703"/>
      <c r="J350" s="703"/>
      <c r="K350" s="703"/>
      <c r="L350" s="703"/>
      <c r="M350" s="703"/>
      <c r="N350" s="33"/>
      <c r="O350" s="33"/>
      <c r="P350" s="33"/>
      <c r="Q350" s="33"/>
      <c r="R350" s="33"/>
      <c r="S350" s="33"/>
      <c r="T350" s="33"/>
      <c r="U350" s="33"/>
      <c r="V350" s="33"/>
      <c r="W350" s="33"/>
    </row>
    <row r="351" spans="1:23" ht="15.4" customHeight="1" x14ac:dyDescent="0.25">
      <c r="A351" s="33"/>
      <c r="B351" s="33"/>
      <c r="C351" s="33"/>
      <c r="D351" s="33"/>
      <c r="E351" s="33"/>
      <c r="F351" s="33"/>
      <c r="G351" s="33"/>
      <c r="H351" s="33"/>
      <c r="I351" s="704" t="s">
        <v>754</v>
      </c>
      <c r="J351" s="704"/>
      <c r="K351" s="575"/>
      <c r="L351" s="575"/>
      <c r="M351" s="575"/>
      <c r="N351" s="575"/>
      <c r="O351" s="33"/>
      <c r="P351" s="33"/>
      <c r="Q351" s="33"/>
      <c r="R351" s="33"/>
      <c r="S351" s="33"/>
      <c r="T351" s="33"/>
      <c r="U351" s="33"/>
      <c r="V351" s="33"/>
      <c r="W351" s="33"/>
    </row>
    <row r="352" spans="1:23" ht="15" hidden="1" customHeight="1" x14ac:dyDescent="0.25">
      <c r="A352" s="33" t="s">
        <v>538</v>
      </c>
      <c r="B352" s="33"/>
      <c r="C352" s="33"/>
      <c r="D352" s="33"/>
      <c r="E352" s="33"/>
      <c r="F352" s="33"/>
      <c r="G352" s="33"/>
      <c r="H352" s="33"/>
      <c r="I352" s="33"/>
      <c r="J352" s="33" t="s">
        <v>300</v>
      </c>
      <c r="K352" s="33"/>
      <c r="L352" s="33"/>
      <c r="M352" s="33"/>
      <c r="N352" s="33"/>
      <c r="O352" s="33"/>
      <c r="P352" s="33"/>
      <c r="Q352" s="33"/>
      <c r="R352" s="33"/>
      <c r="S352" s="33"/>
      <c r="T352" s="33"/>
      <c r="U352" s="33"/>
      <c r="V352" s="33"/>
      <c r="W352" s="33"/>
    </row>
    <row r="353" spans="1:23" ht="16.5" customHeight="1" x14ac:dyDescent="0.25">
      <c r="A353" s="708" t="s">
        <v>695</v>
      </c>
      <c r="B353" s="708" t="s">
        <v>106</v>
      </c>
      <c r="C353" s="709" t="s">
        <v>22</v>
      </c>
      <c r="D353" s="710"/>
      <c r="E353" s="710"/>
      <c r="F353" s="710"/>
      <c r="G353" s="710"/>
      <c r="H353" s="710"/>
      <c r="I353" s="710"/>
      <c r="J353" s="710"/>
      <c r="K353" s="341" t="s">
        <v>378</v>
      </c>
      <c r="L353" s="562" t="s">
        <v>26</v>
      </c>
      <c r="M353" s="270" t="s">
        <v>510</v>
      </c>
      <c r="N353" s="33"/>
      <c r="O353" s="33"/>
      <c r="P353" s="33"/>
      <c r="Q353" s="33"/>
      <c r="R353" s="33"/>
      <c r="S353" s="33"/>
      <c r="T353" s="33"/>
      <c r="U353" s="33"/>
      <c r="V353" s="33"/>
      <c r="W353" s="33"/>
    </row>
    <row r="354" spans="1:23" ht="15.4" customHeight="1" x14ac:dyDescent="0.25">
      <c r="A354" s="708"/>
      <c r="B354" s="708"/>
      <c r="C354" s="23" t="s">
        <v>301</v>
      </c>
      <c r="D354" s="23">
        <v>20</v>
      </c>
      <c r="E354" s="23">
        <v>50</v>
      </c>
      <c r="F354" s="23">
        <v>100</v>
      </c>
      <c r="G354" s="23">
        <v>200</v>
      </c>
      <c r="H354" s="23">
        <v>500</v>
      </c>
      <c r="I354" s="36">
        <v>1000</v>
      </c>
      <c r="J354" s="36">
        <v>2000</v>
      </c>
      <c r="K354" s="341">
        <f>$C$1</f>
        <v>1.0711056214113099</v>
      </c>
      <c r="L354" s="562">
        <f>IF(K354&lt;D354,10,IF(K354&gt;J354,J354,HLOOKUP(K354,D354:J354,1)))</f>
        <v>10</v>
      </c>
      <c r="M354" s="270">
        <f>IF(K354&lt;10,10,IF(K354&lt;20,20,IF(K354&gt;J354,J354,INDEX(D354:J354,MATCH(K354,D354:J354,1)+1))))</f>
        <v>10</v>
      </c>
      <c r="N354" s="33"/>
      <c r="O354" s="33"/>
      <c r="P354" s="33"/>
      <c r="Q354" s="33"/>
      <c r="R354" s="33"/>
      <c r="S354" s="33"/>
      <c r="T354" s="33"/>
      <c r="U354" s="33"/>
      <c r="V354" s="33"/>
      <c r="W354" s="33"/>
    </row>
    <row r="355" spans="1:23" ht="15.4" customHeight="1" x14ac:dyDescent="0.25">
      <c r="A355" s="35">
        <v>1</v>
      </c>
      <c r="B355" s="317" t="str">
        <f t="shared" ref="B355:B359" si="87">B48</f>
        <v>Công trình dân dụng</v>
      </c>
      <c r="C355" s="15">
        <v>0.432</v>
      </c>
      <c r="D355" s="15">
        <v>0.34599999999999997</v>
      </c>
      <c r="E355" s="15">
        <v>0.19500000000000001</v>
      </c>
      <c r="F355" s="15">
        <v>0.127</v>
      </c>
      <c r="G355" s="15">
        <v>7.8E-2</v>
      </c>
      <c r="H355" s="15">
        <v>5.7000000000000002E-2</v>
      </c>
      <c r="I355" s="15">
        <v>0.04</v>
      </c>
      <c r="J355" s="15">
        <v>3.2000000000000001E-2</v>
      </c>
      <c r="K355" s="6">
        <f t="shared" ref="K355:K359" si="88">IF(M$354=L$354,L355,ROUND(L355-((L355-M355)/(M$354-L$354))*(K$354-L$354),3))</f>
        <v>0.432</v>
      </c>
      <c r="L355" s="231">
        <f>IF(L$354=10,C355,HLOOKUP($L$354,$D$354:$J$359,2,TRUE))</f>
        <v>0.432</v>
      </c>
      <c r="M355" s="513">
        <f>IF(M$354=10,C355,HLOOKUP($M$354,$D$354:$J$359,2,TRUE))</f>
        <v>0.432</v>
      </c>
      <c r="N355" s="33"/>
      <c r="O355" s="33"/>
      <c r="P355" s="33"/>
      <c r="Q355" s="33"/>
      <c r="R355" s="33"/>
      <c r="S355" s="33"/>
      <c r="T355" s="33"/>
      <c r="U355" s="33"/>
      <c r="V355" s="33"/>
      <c r="W355" s="33"/>
    </row>
    <row r="356" spans="1:23" ht="15.4" customHeight="1" x14ac:dyDescent="0.25">
      <c r="A356" s="35">
        <v>2</v>
      </c>
      <c r="B356" s="317" t="str">
        <f t="shared" si="87"/>
        <v>Công trình công nghiệp</v>
      </c>
      <c r="C356" s="15">
        <v>0.54900000000000004</v>
      </c>
      <c r="D356" s="15">
        <v>0.379</v>
      </c>
      <c r="E356" s="15">
        <v>0.21099999999999999</v>
      </c>
      <c r="F356" s="15">
        <v>0.14399999999999999</v>
      </c>
      <c r="G356" s="15">
        <v>9.6000000000000002E-2</v>
      </c>
      <c r="H356" s="15">
        <v>6.7000000000000004E-2</v>
      </c>
      <c r="I356" s="15">
        <v>5.1999999999999998E-2</v>
      </c>
      <c r="J356" s="15">
        <v>4.1000000000000002E-2</v>
      </c>
      <c r="K356" s="6">
        <f t="shared" si="88"/>
        <v>0.54900000000000004</v>
      </c>
      <c r="L356" s="231">
        <f>IF(L$354=10,C356,HLOOKUP($L$354,$D$354:$J$359,3,TRUE))</f>
        <v>0.54900000000000004</v>
      </c>
      <c r="M356" s="513">
        <f>IF(M$354=10,C356,HLOOKUP($M$354,$D$354:$J$359,3,TRUE))</f>
        <v>0.54900000000000004</v>
      </c>
      <c r="N356" s="33"/>
      <c r="O356" s="33"/>
      <c r="P356" s="33"/>
      <c r="Q356" s="33"/>
      <c r="R356" s="33"/>
      <c r="S356" s="33"/>
      <c r="T356" s="33"/>
      <c r="U356" s="33"/>
      <c r="V356" s="33"/>
      <c r="W356" s="33"/>
    </row>
    <row r="357" spans="1:23" ht="15.4" customHeight="1" x14ac:dyDescent="0.25">
      <c r="A357" s="35">
        <v>3</v>
      </c>
      <c r="B357" s="317" t="str">
        <f t="shared" si="87"/>
        <v>Công trình giao thông</v>
      </c>
      <c r="C357" s="15">
        <v>0.34599999999999997</v>
      </c>
      <c r="D357" s="15">
        <v>0.23699999999999999</v>
      </c>
      <c r="E357" s="15">
        <v>0.151</v>
      </c>
      <c r="F357" s="15">
        <v>0.09</v>
      </c>
      <c r="G357" s="15">
        <v>5.7000000000000002E-2</v>
      </c>
      <c r="H357" s="15">
        <v>4.2999999999999997E-2</v>
      </c>
      <c r="I357" s="15">
        <v>2.9000000000000001E-2</v>
      </c>
      <c r="J357" s="15">
        <v>2.3E-2</v>
      </c>
      <c r="K357" s="6">
        <f t="shared" si="88"/>
        <v>0.34599999999999997</v>
      </c>
      <c r="L357" s="231">
        <f>IF(L$354=10,C357,HLOOKUP($L$354,$D$354:$J$359,4,TRUE))</f>
        <v>0.34599999999999997</v>
      </c>
      <c r="M357" s="513">
        <f>IF(M$354=10,C357,HLOOKUP($M$354,$D$354:$J$359,4,TRUE))</f>
        <v>0.34599999999999997</v>
      </c>
      <c r="N357" s="33"/>
      <c r="O357" s="33"/>
      <c r="P357" s="33"/>
      <c r="Q357" s="33"/>
      <c r="R357" s="33"/>
      <c r="S357" s="33"/>
      <c r="T357" s="33"/>
      <c r="U357" s="33"/>
      <c r="V357" s="33"/>
      <c r="W357" s="33"/>
    </row>
    <row r="358" spans="1:23" ht="15.4" customHeight="1" x14ac:dyDescent="0.25">
      <c r="A358" s="35">
        <v>4</v>
      </c>
      <c r="B358" s="317" t="str">
        <f t="shared" si="87"/>
        <v>Công trình nông nghiệp và phát triển nông thôn</v>
      </c>
      <c r="C358" s="15">
        <v>0.36099999999999999</v>
      </c>
      <c r="D358" s="15">
        <v>0.30199999999999999</v>
      </c>
      <c r="E358" s="15">
        <v>0.16600000000000001</v>
      </c>
      <c r="F358" s="15">
        <v>9.4E-2</v>
      </c>
      <c r="G358" s="15">
        <v>6.6000000000000003E-2</v>
      </c>
      <c r="H358" s="15">
        <v>4.5999999999999999E-2</v>
      </c>
      <c r="I358" s="15">
        <v>3.1E-2</v>
      </c>
      <c r="J358" s="15">
        <v>2.5999999999999999E-2</v>
      </c>
      <c r="K358" s="6">
        <f t="shared" si="88"/>
        <v>0.36099999999999999</v>
      </c>
      <c r="L358" s="231">
        <f>IF(L$354=10,C358,HLOOKUP($L$354,$D$354:$J$359,5,TRUE))</f>
        <v>0.36099999999999999</v>
      </c>
      <c r="M358" s="513">
        <f>IF(M$354=10,C358,HLOOKUP($M$354,$D$354:$J$359,5,TRUE))</f>
        <v>0.36099999999999999</v>
      </c>
      <c r="N358" s="33"/>
      <c r="O358" s="33"/>
      <c r="P358" s="33"/>
      <c r="Q358" s="33"/>
      <c r="R358" s="33"/>
      <c r="S358" s="33"/>
      <c r="T358" s="33"/>
      <c r="U358" s="33"/>
      <c r="V358" s="33"/>
      <c r="W358" s="33"/>
    </row>
    <row r="359" spans="1:23" ht="15.4" customHeight="1" x14ac:dyDescent="0.25">
      <c r="A359" s="35">
        <v>5</v>
      </c>
      <c r="B359" s="317" t="str">
        <f t="shared" si="87"/>
        <v>Công trình hạ tầng kỹ thuật</v>
      </c>
      <c r="C359" s="15">
        <v>0.38800000000000001</v>
      </c>
      <c r="D359" s="15">
        <v>0.32500000000000001</v>
      </c>
      <c r="E359" s="15">
        <v>0.17199999999999999</v>
      </c>
      <c r="F359" s="15">
        <v>0.106</v>
      </c>
      <c r="G359" s="15">
        <v>6.9000000000000006E-2</v>
      </c>
      <c r="H359" s="15">
        <v>5.1999999999999998E-2</v>
      </c>
      <c r="I359" s="15">
        <v>3.7999999999999999E-2</v>
      </c>
      <c r="J359" s="15">
        <v>2.8000000000000001E-2</v>
      </c>
      <c r="K359" s="6">
        <f t="shared" si="88"/>
        <v>0.38800000000000001</v>
      </c>
      <c r="L359" s="231">
        <f>IF(L$354=10,C359,HLOOKUP($L$354,$D$354:$J$359,6,TRUE))</f>
        <v>0.38800000000000001</v>
      </c>
      <c r="M359" s="513">
        <f>IF(M$354=10,C359,HLOOKUP($M$354,$D$354:$J$359,6,TRUE))</f>
        <v>0.38800000000000001</v>
      </c>
      <c r="N359" s="33"/>
      <c r="O359" s="33"/>
      <c r="P359" s="33"/>
      <c r="Q359" s="33"/>
      <c r="R359" s="33"/>
      <c r="S359" s="33"/>
      <c r="T359" s="33"/>
      <c r="U359" s="33"/>
      <c r="V359" s="33"/>
      <c r="W359" s="33"/>
    </row>
    <row r="360" spans="1:23" ht="15" hidden="1" customHeight="1" x14ac:dyDescent="0.25">
      <c r="A360" s="33" t="s">
        <v>224</v>
      </c>
      <c r="B360" s="33"/>
      <c r="C360" s="33"/>
      <c r="D360" s="33"/>
      <c r="E360" s="33"/>
      <c r="F360" s="33"/>
      <c r="G360" s="33"/>
      <c r="H360" s="33"/>
      <c r="I360" s="33"/>
      <c r="J360" s="33"/>
      <c r="K360" s="33"/>
      <c r="L360" s="33"/>
      <c r="M360" s="33"/>
      <c r="N360" s="33"/>
      <c r="O360" s="33"/>
      <c r="P360" s="33"/>
      <c r="Q360" s="33"/>
      <c r="R360" s="33"/>
      <c r="S360" s="33"/>
      <c r="T360" s="33"/>
      <c r="U360" s="33"/>
      <c r="V360" s="33"/>
      <c r="W360" s="33"/>
    </row>
    <row r="361" spans="1:23" ht="15.4" customHeight="1" x14ac:dyDescent="0.25">
      <c r="A361" s="33"/>
      <c r="B361" s="33"/>
      <c r="C361" s="33"/>
      <c r="D361" s="33"/>
      <c r="E361" s="33"/>
      <c r="F361" s="33"/>
      <c r="G361" s="33"/>
      <c r="H361" s="33"/>
      <c r="I361" s="33"/>
      <c r="J361" s="33"/>
      <c r="K361" s="33"/>
      <c r="L361" s="33"/>
      <c r="M361" s="33"/>
      <c r="N361" s="33"/>
      <c r="O361" s="33"/>
      <c r="P361" s="33"/>
      <c r="Q361" s="33"/>
      <c r="R361" s="33"/>
      <c r="S361" s="33"/>
      <c r="T361" s="33"/>
      <c r="U361" s="33"/>
      <c r="V361" s="33"/>
      <c r="W361" s="33"/>
    </row>
    <row r="362" spans="1:23" ht="15.4" customHeight="1" x14ac:dyDescent="0.25">
      <c r="A362" s="707" t="s">
        <v>205</v>
      </c>
      <c r="B362" s="707"/>
      <c r="C362" s="707"/>
      <c r="D362" s="707"/>
      <c r="E362" s="707"/>
      <c r="F362" s="707"/>
      <c r="G362" s="707"/>
      <c r="H362" s="707"/>
      <c r="I362" s="707"/>
      <c r="J362" s="707"/>
      <c r="K362" s="707"/>
      <c r="L362" s="707"/>
      <c r="M362" s="707"/>
      <c r="N362" s="33"/>
      <c r="O362" s="33"/>
      <c r="P362" s="33"/>
      <c r="Q362" s="33"/>
      <c r="R362" s="33"/>
      <c r="S362" s="33"/>
      <c r="T362" s="33"/>
      <c r="U362" s="33"/>
      <c r="V362" s="33"/>
      <c r="W362" s="33"/>
    </row>
    <row r="363" spans="1:23" ht="15.4" customHeight="1" x14ac:dyDescent="0.25">
      <c r="A363" s="33"/>
      <c r="B363" s="33"/>
      <c r="C363" s="33"/>
      <c r="D363" s="33"/>
      <c r="E363" s="33"/>
      <c r="F363" s="33"/>
      <c r="G363" s="33"/>
      <c r="H363" s="33"/>
      <c r="I363" s="704" t="s">
        <v>754</v>
      </c>
      <c r="J363" s="704"/>
      <c r="K363" s="575"/>
      <c r="L363" s="575"/>
      <c r="M363" s="575"/>
      <c r="N363" s="575"/>
      <c r="O363" s="33"/>
      <c r="P363" s="33"/>
      <c r="Q363" s="33"/>
      <c r="R363" s="33"/>
      <c r="S363" s="33"/>
      <c r="T363" s="33"/>
      <c r="U363" s="33"/>
      <c r="V363" s="33"/>
      <c r="W363" s="33"/>
    </row>
    <row r="364" spans="1:23" ht="15" hidden="1" customHeight="1" x14ac:dyDescent="0.25">
      <c r="A364" s="33" t="s">
        <v>53</v>
      </c>
      <c r="B364" s="33"/>
      <c r="C364" s="33"/>
      <c r="D364" s="33"/>
      <c r="E364" s="33"/>
      <c r="F364" s="33"/>
      <c r="G364" s="33"/>
      <c r="H364" s="33"/>
      <c r="I364" s="33"/>
      <c r="J364" s="33" t="s">
        <v>300</v>
      </c>
      <c r="K364" s="33"/>
      <c r="L364" s="33"/>
      <c r="M364" s="33"/>
      <c r="N364" s="33"/>
      <c r="O364" s="33"/>
      <c r="P364" s="33"/>
      <c r="Q364" s="33"/>
      <c r="R364" s="33"/>
      <c r="S364" s="33"/>
      <c r="T364" s="33"/>
      <c r="U364" s="33"/>
      <c r="V364" s="33"/>
      <c r="W364" s="33"/>
    </row>
    <row r="365" spans="1:23" ht="16.5" customHeight="1" x14ac:dyDescent="0.25">
      <c r="A365" s="705" t="s">
        <v>695</v>
      </c>
      <c r="B365" s="705" t="s">
        <v>106</v>
      </c>
      <c r="C365" s="701" t="s">
        <v>317</v>
      </c>
      <c r="D365" s="702"/>
      <c r="E365" s="702"/>
      <c r="F365" s="702"/>
      <c r="G365" s="702"/>
      <c r="H365" s="702"/>
      <c r="I365" s="702"/>
      <c r="J365" s="702"/>
      <c r="K365" s="158" t="s">
        <v>378</v>
      </c>
      <c r="L365" s="404" t="s">
        <v>26</v>
      </c>
      <c r="M365" s="95" t="s">
        <v>510</v>
      </c>
      <c r="N365" s="46"/>
      <c r="O365" s="46"/>
      <c r="P365" s="46"/>
      <c r="Q365" s="46"/>
      <c r="R365" s="46"/>
      <c r="S365" s="46"/>
      <c r="T365" s="46"/>
      <c r="U365" s="46"/>
      <c r="V365" s="46"/>
      <c r="W365" s="46"/>
    </row>
    <row r="366" spans="1:23" ht="15.4" customHeight="1" x14ac:dyDescent="0.25">
      <c r="A366" s="705"/>
      <c r="B366" s="705"/>
      <c r="C366" s="169" t="s">
        <v>301</v>
      </c>
      <c r="D366" s="169">
        <v>20</v>
      </c>
      <c r="E366" s="169">
        <v>50</v>
      </c>
      <c r="F366" s="169">
        <v>100</v>
      </c>
      <c r="G366" s="169">
        <v>200</v>
      </c>
      <c r="H366" s="169">
        <v>500</v>
      </c>
      <c r="I366" s="332">
        <v>1000</v>
      </c>
      <c r="J366" s="332">
        <v>2000</v>
      </c>
      <c r="K366" s="158">
        <f>$C$2</f>
        <v>0</v>
      </c>
      <c r="L366" s="404">
        <f>IF(K366&lt;D366,10,IF(K366&gt;J366,J366,HLOOKUP(K366,D366:J366,1)))</f>
        <v>10</v>
      </c>
      <c r="M366" s="95">
        <f>IF(K366&lt;10,10,IF(K366&lt;20,20,IF(K366&gt;J366,J366,INDEX(D366:J366,MATCH(K366,D366:J366,1)+1))))</f>
        <v>10</v>
      </c>
      <c r="N366" s="46"/>
      <c r="O366" s="46"/>
      <c r="P366" s="46"/>
      <c r="Q366" s="46"/>
      <c r="R366" s="46"/>
      <c r="S366" s="46"/>
      <c r="T366" s="46"/>
      <c r="U366" s="46"/>
      <c r="V366" s="46"/>
      <c r="W366" s="46"/>
    </row>
    <row r="367" spans="1:23" ht="15.4" customHeight="1" x14ac:dyDescent="0.25">
      <c r="A367" s="284">
        <v>1</v>
      </c>
      <c r="B367" s="111" t="str">
        <f t="shared" ref="B367:B371" si="89">B48</f>
        <v>Công trình dân dụng</v>
      </c>
      <c r="C367" s="264">
        <v>0.36699999999999999</v>
      </c>
      <c r="D367" s="264">
        <v>0.34599999999999997</v>
      </c>
      <c r="E367" s="264">
        <v>0.18099999999999999</v>
      </c>
      <c r="F367" s="264">
        <v>0.113</v>
      </c>
      <c r="G367" s="264">
        <v>0.10199999999999999</v>
      </c>
      <c r="H367" s="264">
        <v>8.1000000000000003E-2</v>
      </c>
      <c r="I367" s="264">
        <v>5.5E-2</v>
      </c>
      <c r="J367" s="264">
        <v>4.2999999999999997E-2</v>
      </c>
      <c r="K367" s="252">
        <f t="shared" ref="K367:K371" si="90">IF(M$366=L$366,L367,ROUND(L367-((L367-M367)/(M$366-L$366))*(K$366-L$366),3))</f>
        <v>0.36699999999999999</v>
      </c>
      <c r="L367" s="477">
        <f>IF(L$366=10,C367,HLOOKUP($L$366,$D$366:$J$371,2,TRUE))</f>
        <v>0.36699999999999999</v>
      </c>
      <c r="M367" s="170">
        <f>IF(M$366=10,C367,HLOOKUP($M$366,$D$366:$J$371,2,TRUE))</f>
        <v>0.36699999999999999</v>
      </c>
      <c r="N367" s="46"/>
      <c r="O367" s="46"/>
      <c r="P367" s="46"/>
      <c r="Q367" s="46"/>
      <c r="R367" s="46"/>
      <c r="S367" s="46"/>
      <c r="T367" s="46"/>
      <c r="U367" s="46"/>
      <c r="V367" s="46"/>
      <c r="W367" s="46"/>
    </row>
    <row r="368" spans="1:23" ht="15.4" customHeight="1" x14ac:dyDescent="0.25">
      <c r="A368" s="284">
        <v>2</v>
      </c>
      <c r="B368" s="111" t="str">
        <f t="shared" si="89"/>
        <v>Công trình công nghiệp</v>
      </c>
      <c r="C368" s="264">
        <v>0.54900000000000004</v>
      </c>
      <c r="D368" s="264">
        <v>0.49399999999999999</v>
      </c>
      <c r="E368" s="264">
        <v>0.28000000000000003</v>
      </c>
      <c r="F368" s="264">
        <v>0.17699999999999999</v>
      </c>
      <c r="G368" s="264">
        <v>0.152</v>
      </c>
      <c r="H368" s="264">
        <v>0.123</v>
      </c>
      <c r="I368" s="264">
        <v>8.4000000000000005E-2</v>
      </c>
      <c r="J368" s="264">
        <v>6.6000000000000003E-2</v>
      </c>
      <c r="K368" s="252">
        <f t="shared" si="90"/>
        <v>0.54900000000000004</v>
      </c>
      <c r="L368" s="477">
        <f>IF(L$366=10,C368,HLOOKUP($L$366,$D$366:$J$371,3,TRUE))</f>
        <v>0.54900000000000004</v>
      </c>
      <c r="M368" s="170">
        <f>IF(M$366=10,C368,HLOOKUP($M$366,$D$366:$J$371,3,TRUE))</f>
        <v>0.54900000000000004</v>
      </c>
      <c r="N368" s="46"/>
      <c r="O368" s="46"/>
      <c r="P368" s="46"/>
      <c r="Q368" s="46"/>
      <c r="R368" s="46"/>
      <c r="S368" s="46"/>
      <c r="T368" s="46"/>
      <c r="U368" s="46"/>
      <c r="V368" s="46"/>
      <c r="W368" s="46"/>
    </row>
    <row r="369" spans="1:23" ht="15.4" customHeight="1" x14ac:dyDescent="0.25">
      <c r="A369" s="284">
        <v>3</v>
      </c>
      <c r="B369" s="111" t="str">
        <f t="shared" si="89"/>
        <v>Công trình giao thông</v>
      </c>
      <c r="C369" s="264">
        <v>0.26100000000000001</v>
      </c>
      <c r="D369" s="264">
        <v>0.23</v>
      </c>
      <c r="E369" s="264">
        <v>0.13100000000000001</v>
      </c>
      <c r="F369" s="264">
        <v>8.4000000000000005E-2</v>
      </c>
      <c r="G369" s="264">
        <v>7.3999999999999996E-2</v>
      </c>
      <c r="H369" s="264">
        <v>5.6000000000000001E-2</v>
      </c>
      <c r="I369" s="264">
        <v>0.04</v>
      </c>
      <c r="J369" s="264">
        <v>3.2000000000000001E-2</v>
      </c>
      <c r="K369" s="252">
        <f t="shared" si="90"/>
        <v>0.26100000000000001</v>
      </c>
      <c r="L369" s="477">
        <f>IF(L$366=10,C369,HLOOKUP($L$366,$D$366:$J$371,4,TRUE))</f>
        <v>0.26100000000000001</v>
      </c>
      <c r="M369" s="170">
        <f>IF(M$366=10,C369,HLOOKUP($M$366,$D$366:$J$371,4,TRUE))</f>
        <v>0.26100000000000001</v>
      </c>
      <c r="N369" s="46"/>
      <c r="O369" s="46"/>
      <c r="P369" s="46"/>
      <c r="Q369" s="46"/>
      <c r="R369" s="46"/>
      <c r="S369" s="46"/>
      <c r="T369" s="46"/>
      <c r="U369" s="46"/>
      <c r="V369" s="46"/>
      <c r="W369" s="46"/>
    </row>
    <row r="370" spans="1:23" ht="15.4" customHeight="1" x14ac:dyDescent="0.25">
      <c r="A370" s="284">
        <v>4</v>
      </c>
      <c r="B370" s="111" t="str">
        <f t="shared" si="89"/>
        <v>Công trình nông nghiệp và phát triển nông thôn</v>
      </c>
      <c r="C370" s="264">
        <v>0.28100000000000003</v>
      </c>
      <c r="D370" s="264">
        <v>0.245</v>
      </c>
      <c r="E370" s="264">
        <v>0.14000000000000001</v>
      </c>
      <c r="F370" s="264">
        <v>0.09</v>
      </c>
      <c r="G370" s="264">
        <v>7.8E-2</v>
      </c>
      <c r="H370" s="264">
        <v>6.0999999999999999E-2</v>
      </c>
      <c r="I370" s="264">
        <v>0.05</v>
      </c>
      <c r="J370" s="264">
        <v>3.6999999999999998E-2</v>
      </c>
      <c r="K370" s="252">
        <f t="shared" si="90"/>
        <v>0.28100000000000003</v>
      </c>
      <c r="L370" s="477">
        <f>IF(L$366=10,C370,HLOOKUP($L$366,$D$366:$J$371,5,TRUE))</f>
        <v>0.28100000000000003</v>
      </c>
      <c r="M370" s="170">
        <f>IF(M$366=10,C370,HLOOKUP($M$366,$D$366:$J$371,5,TRUE))</f>
        <v>0.28100000000000003</v>
      </c>
      <c r="N370" s="46"/>
      <c r="O370" s="46"/>
      <c r="P370" s="46"/>
      <c r="Q370" s="46"/>
      <c r="R370" s="46"/>
      <c r="S370" s="46"/>
      <c r="T370" s="46"/>
      <c r="U370" s="46"/>
      <c r="V370" s="46"/>
      <c r="W370" s="46"/>
    </row>
    <row r="371" spans="1:23" ht="15.4" customHeight="1" x14ac:dyDescent="0.25">
      <c r="A371" s="284">
        <v>5</v>
      </c>
      <c r="B371" s="111" t="str">
        <f t="shared" si="89"/>
        <v>Công trình hạ tầng kỹ thuật</v>
      </c>
      <c r="C371" s="264">
        <v>0.30199999999999999</v>
      </c>
      <c r="D371" s="264">
        <v>0.26</v>
      </c>
      <c r="E371" s="264">
        <v>0.156</v>
      </c>
      <c r="F371" s="264">
        <v>0.10199999999999999</v>
      </c>
      <c r="G371" s="264">
        <v>8.6999999999999994E-2</v>
      </c>
      <c r="H371" s="264">
        <v>6.9000000000000006E-2</v>
      </c>
      <c r="I371" s="264">
        <v>5.3999999999999999E-2</v>
      </c>
      <c r="J371" s="264">
        <v>4.1000000000000002E-2</v>
      </c>
      <c r="K371" s="252">
        <f t="shared" si="90"/>
        <v>0.30199999999999999</v>
      </c>
      <c r="L371" s="477">
        <f>IF(L$366=10,C371,HLOOKUP($L$366,$D$366:$J$371,6,TRUE))</f>
        <v>0.30199999999999999</v>
      </c>
      <c r="M371" s="170">
        <f>IF(M$366=10,C371,HLOOKUP($M$366,$D$366:$J$371,6,TRUE))</f>
        <v>0.30199999999999999</v>
      </c>
      <c r="N371" s="46"/>
      <c r="O371" s="46"/>
      <c r="P371" s="46"/>
      <c r="Q371" s="46"/>
      <c r="R371" s="46"/>
      <c r="S371" s="46"/>
      <c r="T371" s="46"/>
      <c r="U371" s="46"/>
      <c r="V371" s="46"/>
      <c r="W371" s="46"/>
    </row>
    <row r="372" spans="1:23" ht="15" hidden="1" customHeight="1" x14ac:dyDescent="0.25">
      <c r="A372" s="33" t="s">
        <v>735</v>
      </c>
      <c r="B372" s="33"/>
      <c r="C372" s="33"/>
      <c r="D372" s="33"/>
      <c r="E372" s="33"/>
      <c r="F372" s="33"/>
      <c r="G372" s="33"/>
      <c r="H372" s="33"/>
      <c r="I372" s="33"/>
      <c r="J372" s="33"/>
      <c r="K372" s="33"/>
      <c r="L372" s="33"/>
      <c r="M372" s="33"/>
      <c r="N372" s="33"/>
      <c r="O372" s="33"/>
      <c r="P372" s="33"/>
      <c r="Q372" s="33"/>
      <c r="R372" s="33"/>
      <c r="S372" s="33"/>
      <c r="T372" s="33"/>
      <c r="U372" s="33"/>
      <c r="V372" s="33"/>
      <c r="W372" s="33"/>
    </row>
    <row r="373" spans="1:23" ht="15.4" customHeight="1" x14ac:dyDescent="0.25">
      <c r="A373" s="33"/>
      <c r="B373" s="33"/>
      <c r="C373" s="33"/>
      <c r="D373" s="33"/>
      <c r="E373" s="33"/>
      <c r="F373" s="33"/>
      <c r="G373" s="33"/>
      <c r="H373" s="33"/>
      <c r="I373" s="33"/>
      <c r="J373" s="33"/>
      <c r="K373" s="33"/>
      <c r="L373" s="33"/>
      <c r="M373" s="33"/>
      <c r="N373" s="33"/>
      <c r="O373" s="33"/>
      <c r="P373" s="33"/>
      <c r="Q373" s="33"/>
      <c r="R373" s="33"/>
      <c r="S373" s="33"/>
      <c r="T373" s="33"/>
      <c r="U373" s="33"/>
      <c r="V373" s="33"/>
      <c r="W373" s="33"/>
    </row>
    <row r="374" spans="1:23" ht="15.4" customHeight="1" x14ac:dyDescent="0.25">
      <c r="A374" s="703" t="s">
        <v>609</v>
      </c>
      <c r="B374" s="703"/>
      <c r="C374" s="703"/>
      <c r="D374" s="703"/>
      <c r="E374" s="703"/>
      <c r="F374" s="703"/>
      <c r="G374" s="703"/>
      <c r="H374" s="703"/>
      <c r="I374" s="703"/>
      <c r="J374" s="703"/>
      <c r="K374" s="703"/>
      <c r="L374" s="703"/>
      <c r="M374" s="703"/>
      <c r="N374" s="33"/>
      <c r="O374" s="33"/>
      <c r="P374" s="33"/>
      <c r="Q374" s="33"/>
      <c r="R374" s="33"/>
      <c r="S374" s="33"/>
      <c r="T374" s="33"/>
      <c r="U374" s="33"/>
      <c r="V374" s="33"/>
      <c r="W374" s="33"/>
    </row>
    <row r="375" spans="1:23" ht="15.4" customHeight="1" x14ac:dyDescent="0.25">
      <c r="A375" s="33"/>
      <c r="B375" s="33"/>
      <c r="C375" s="33"/>
      <c r="D375" s="33"/>
      <c r="E375" s="33"/>
      <c r="F375" s="33"/>
      <c r="G375" s="33"/>
      <c r="H375" s="33"/>
      <c r="I375" s="704" t="s">
        <v>754</v>
      </c>
      <c r="J375" s="704"/>
      <c r="K375" s="704"/>
      <c r="L375" s="704"/>
      <c r="M375" s="704"/>
      <c r="N375" s="575"/>
      <c r="O375" s="33"/>
      <c r="P375" s="33"/>
      <c r="Q375" s="33"/>
      <c r="R375" s="33"/>
      <c r="S375" s="33"/>
      <c r="T375" s="33"/>
      <c r="U375" s="33"/>
      <c r="V375" s="33"/>
      <c r="W375" s="33"/>
    </row>
    <row r="376" spans="1:23" ht="15" hidden="1" customHeight="1" x14ac:dyDescent="0.25">
      <c r="A376" s="33" t="s">
        <v>964</v>
      </c>
      <c r="B376" s="33"/>
      <c r="C376" s="33"/>
      <c r="D376" s="33"/>
      <c r="E376" s="33"/>
      <c r="F376" s="33"/>
      <c r="G376" s="33"/>
      <c r="H376" s="33"/>
      <c r="I376" s="33"/>
      <c r="J376" s="33"/>
      <c r="K376" s="33"/>
      <c r="L376" s="33"/>
      <c r="M376" s="33" t="s">
        <v>300</v>
      </c>
      <c r="N376" s="33"/>
      <c r="O376" s="33"/>
      <c r="P376" s="33"/>
      <c r="Q376" s="33"/>
      <c r="R376" s="33"/>
      <c r="S376" s="33"/>
      <c r="T376" s="33"/>
      <c r="U376" s="33"/>
      <c r="V376" s="33"/>
      <c r="W376" s="33"/>
    </row>
    <row r="377" spans="1:23" ht="16.5" customHeight="1" x14ac:dyDescent="0.25">
      <c r="A377" s="705" t="s">
        <v>695</v>
      </c>
      <c r="B377" s="705" t="s">
        <v>106</v>
      </c>
      <c r="C377" s="706" t="s">
        <v>858</v>
      </c>
      <c r="D377" s="706"/>
      <c r="E377" s="706"/>
      <c r="F377" s="706"/>
      <c r="G377" s="706"/>
      <c r="H377" s="706"/>
      <c r="I377" s="706"/>
      <c r="J377" s="706"/>
      <c r="K377" s="706"/>
      <c r="L377" s="706"/>
      <c r="M377" s="706"/>
      <c r="N377" s="158" t="s">
        <v>378</v>
      </c>
      <c r="O377" s="404" t="s">
        <v>26</v>
      </c>
      <c r="P377" s="95" t="s">
        <v>510</v>
      </c>
      <c r="Q377" s="46"/>
      <c r="R377" s="46"/>
      <c r="S377" s="46"/>
      <c r="T377" s="46"/>
      <c r="U377" s="46"/>
      <c r="V377" s="46"/>
      <c r="W377" s="46"/>
    </row>
    <row r="378" spans="1:23" ht="15.4" customHeight="1" x14ac:dyDescent="0.25">
      <c r="A378" s="705"/>
      <c r="B378" s="705"/>
      <c r="C378" s="169" t="s">
        <v>301</v>
      </c>
      <c r="D378" s="169">
        <v>20</v>
      </c>
      <c r="E378" s="169">
        <v>50</v>
      </c>
      <c r="F378" s="169">
        <v>100</v>
      </c>
      <c r="G378" s="169">
        <v>200</v>
      </c>
      <c r="H378" s="169">
        <v>500</v>
      </c>
      <c r="I378" s="332">
        <v>1000</v>
      </c>
      <c r="J378" s="332">
        <v>2000</v>
      </c>
      <c r="K378" s="332">
        <v>5000</v>
      </c>
      <c r="L378" s="332">
        <v>8000</v>
      </c>
      <c r="M378" s="332">
        <v>10000</v>
      </c>
      <c r="N378" s="158">
        <f>$C$1</f>
        <v>1.0711056214113099</v>
      </c>
      <c r="O378" s="404">
        <f>IF(N378&lt;D378,10,IF(N378&gt;M378,M378,HLOOKUP(N378,D378:M378,1)))</f>
        <v>10</v>
      </c>
      <c r="P378" s="95">
        <f>IF(N378&lt;10,10,IF(N378&lt;20,20,IF(N378&gt;M378,M378,INDEX(D378:M378,MATCH(N378,D378:M378,1)+1))))</f>
        <v>10</v>
      </c>
      <c r="Q378" s="46"/>
      <c r="R378" s="46"/>
      <c r="S378" s="46"/>
      <c r="T378" s="46"/>
      <c r="U378" s="46"/>
      <c r="V378" s="46"/>
      <c r="W378" s="46"/>
    </row>
    <row r="379" spans="1:23" ht="15.4" customHeight="1" x14ac:dyDescent="0.25">
      <c r="A379" s="284">
        <v>1</v>
      </c>
      <c r="B379" s="111" t="str">
        <f t="shared" ref="B379:B383" si="91">B48</f>
        <v>Công trình dân dụng</v>
      </c>
      <c r="C379" s="264">
        <v>3.2850000000000001</v>
      </c>
      <c r="D379" s="264">
        <v>2.8530000000000002</v>
      </c>
      <c r="E379" s="264">
        <v>2.4350000000000001</v>
      </c>
      <c r="F379" s="264">
        <v>1.845</v>
      </c>
      <c r="G379" s="264">
        <v>1.546</v>
      </c>
      <c r="H379" s="264">
        <v>1.1879999999999999</v>
      </c>
      <c r="I379" s="264">
        <v>0.79700000000000004</v>
      </c>
      <c r="J379" s="264">
        <v>0.69399999999999995</v>
      </c>
      <c r="K379" s="264">
        <v>0.62</v>
      </c>
      <c r="L379" s="264">
        <v>0.53</v>
      </c>
      <c r="M379" s="264">
        <v>0.47799999999999998</v>
      </c>
      <c r="N379" s="252">
        <f t="shared" ref="N379:N383" si="92">IF(P$378=O$378,O379,ROUND(O379-((O379-P379)/(P$378-O$378))*(N$378-O$378),3))</f>
        <v>3.2850000000000001</v>
      </c>
      <c r="O379" s="477">
        <f>IF(O$378=10,C379,HLOOKUP($O$378,$D$378:$M$383,2,TRUE))</f>
        <v>3.2850000000000001</v>
      </c>
      <c r="P379" s="170">
        <f>IF(P$378=10,C379,HLOOKUP($P$378,$D$378:$M$383,2,TRUE))</f>
        <v>3.2850000000000001</v>
      </c>
      <c r="Q379" s="46"/>
      <c r="R379" s="46"/>
      <c r="S379" s="46"/>
      <c r="T379" s="46"/>
      <c r="U379" s="46"/>
      <c r="V379" s="46"/>
      <c r="W379" s="46"/>
    </row>
    <row r="380" spans="1:23" ht="15.4" customHeight="1" x14ac:dyDescent="0.25">
      <c r="A380" s="284">
        <v>2</v>
      </c>
      <c r="B380" s="111" t="str">
        <f t="shared" si="91"/>
        <v>Công trình công nghiệp</v>
      </c>
      <c r="C380" s="264">
        <v>3.508</v>
      </c>
      <c r="D380" s="264">
        <v>3.137</v>
      </c>
      <c r="E380" s="264">
        <v>2.5590000000000002</v>
      </c>
      <c r="F380" s="264">
        <v>2.0739999999999998</v>
      </c>
      <c r="G380" s="264">
        <v>1.6040000000000001</v>
      </c>
      <c r="H380" s="264">
        <v>1.3009999999999999</v>
      </c>
      <c r="I380" s="264">
        <v>0.82299999999999995</v>
      </c>
      <c r="J380" s="264">
        <v>0.71599999999999997</v>
      </c>
      <c r="K380" s="264">
        <v>0.64</v>
      </c>
      <c r="L380" s="264">
        <v>0.55000000000000004</v>
      </c>
      <c r="M380" s="264">
        <v>0.49299999999999999</v>
      </c>
      <c r="N380" s="252">
        <f t="shared" si="92"/>
        <v>3.508</v>
      </c>
      <c r="O380" s="477">
        <f>IF(O$378=10,C380,HLOOKUP($O$378,$D$378:$M$383,3,TRUE))</f>
        <v>3.508</v>
      </c>
      <c r="P380" s="170">
        <f>IF(P$378=10,C380,HLOOKUP($P$378,$D$378:$M$383,3,TRUE))</f>
        <v>3.508</v>
      </c>
      <c r="Q380" s="46"/>
      <c r="R380" s="46"/>
      <c r="S380" s="46"/>
      <c r="T380" s="46"/>
      <c r="U380" s="46"/>
      <c r="V380" s="46"/>
      <c r="W380" s="46"/>
    </row>
    <row r="381" spans="1:23" ht="15.4" customHeight="1" x14ac:dyDescent="0.25">
      <c r="A381" s="284">
        <v>3</v>
      </c>
      <c r="B381" s="111" t="str">
        <f t="shared" si="91"/>
        <v>Công trình giao thông</v>
      </c>
      <c r="C381" s="264">
        <v>3.2029999999999998</v>
      </c>
      <c r="D381" s="264">
        <v>2.7</v>
      </c>
      <c r="E381" s="264">
        <v>2.3559999999999999</v>
      </c>
      <c r="F381" s="264">
        <v>1.714</v>
      </c>
      <c r="G381" s="264">
        <v>1.272</v>
      </c>
      <c r="H381" s="264">
        <v>1.0029999999999999</v>
      </c>
      <c r="I381" s="264">
        <v>0.73099999999999998</v>
      </c>
      <c r="J381" s="264">
        <v>0.63600000000000001</v>
      </c>
      <c r="K381" s="264">
        <v>0.55000000000000004</v>
      </c>
      <c r="L381" s="264">
        <v>0.48</v>
      </c>
      <c r="M381" s="264">
        <v>0.438</v>
      </c>
      <c r="N381" s="252">
        <f t="shared" si="92"/>
        <v>3.2029999999999998</v>
      </c>
      <c r="O381" s="477">
        <f>IF(O$378=10,C381,HLOOKUP($O$378,$D$378:$M$383,4,TRUE))</f>
        <v>3.2029999999999998</v>
      </c>
      <c r="P381" s="170">
        <f>IF(P$378=10,C381,HLOOKUP($P$378,$D$378:$M$383,4,TRUE))</f>
        <v>3.2029999999999998</v>
      </c>
      <c r="Q381" s="46"/>
      <c r="R381" s="46"/>
      <c r="S381" s="46"/>
      <c r="T381" s="46"/>
      <c r="U381" s="46"/>
      <c r="V381" s="46"/>
      <c r="W381" s="46"/>
    </row>
    <row r="382" spans="1:23" ht="15.4" customHeight="1" x14ac:dyDescent="0.25">
      <c r="A382" s="284">
        <v>4</v>
      </c>
      <c r="B382" s="111" t="str">
        <f t="shared" si="91"/>
        <v>Công trình nông nghiệp và phát triển nông thôn</v>
      </c>
      <c r="C382" s="264">
        <v>2.5979999999999999</v>
      </c>
      <c r="D382" s="264">
        <v>2.2919999999999998</v>
      </c>
      <c r="E382" s="264">
        <v>2.0750000000000002</v>
      </c>
      <c r="F382" s="264">
        <v>1.5449999999999999</v>
      </c>
      <c r="G382" s="264">
        <v>1.1890000000000001</v>
      </c>
      <c r="H382" s="264">
        <v>0.95</v>
      </c>
      <c r="I382" s="264">
        <v>0.63100000000000001</v>
      </c>
      <c r="J382" s="264">
        <v>0.55000000000000004</v>
      </c>
      <c r="K382" s="264">
        <v>0.49</v>
      </c>
      <c r="L382" s="264">
        <v>0.42</v>
      </c>
      <c r="M382" s="264">
        <v>0.378</v>
      </c>
      <c r="N382" s="252">
        <f t="shared" si="92"/>
        <v>2.5979999999999999</v>
      </c>
      <c r="O382" s="477">
        <f>IF(O$378=10,C382,HLOOKUP($O$378,$D$378:$M$383,5,TRUE))</f>
        <v>2.5979999999999999</v>
      </c>
      <c r="P382" s="170">
        <f>IF(P$378=10,C382,HLOOKUP($P$378,$D$378:$M$383,5,TRUE))</f>
        <v>2.5979999999999999</v>
      </c>
      <c r="Q382" s="46"/>
      <c r="R382" s="46"/>
      <c r="S382" s="46"/>
      <c r="T382" s="46"/>
      <c r="U382" s="46"/>
      <c r="V382" s="46"/>
      <c r="W382" s="46"/>
    </row>
    <row r="383" spans="1:23" ht="15.4" customHeight="1" x14ac:dyDescent="0.25">
      <c r="A383" s="284">
        <v>5</v>
      </c>
      <c r="B383" s="111" t="str">
        <f t="shared" si="91"/>
        <v>Công trình hạ tầng kỹ thuật</v>
      </c>
      <c r="C383" s="264">
        <v>2.5659999999999998</v>
      </c>
      <c r="D383" s="264">
        <v>2.2559999999999998</v>
      </c>
      <c r="E383" s="264">
        <v>1.984</v>
      </c>
      <c r="F383" s="264">
        <v>1.4610000000000001</v>
      </c>
      <c r="G383" s="264">
        <v>1.1419999999999999</v>
      </c>
      <c r="H383" s="264">
        <v>0.91200000000000003</v>
      </c>
      <c r="I383" s="264">
        <v>0.58399999999999996</v>
      </c>
      <c r="J383" s="264">
        <v>0.50900000000000001</v>
      </c>
      <c r="K383" s="264">
        <v>0.45200000000000001</v>
      </c>
      <c r="L383" s="264">
        <v>0.39</v>
      </c>
      <c r="M383" s="264">
        <v>0.35</v>
      </c>
      <c r="N383" s="252">
        <f t="shared" si="92"/>
        <v>2.5659999999999998</v>
      </c>
      <c r="O383" s="477">
        <f>IF(O$378=10,C383,HLOOKUP($O$378,$D$378:$M$383,6,TRUE))</f>
        <v>2.5659999999999998</v>
      </c>
      <c r="P383" s="170">
        <f>IF(P$378=10,C383,HLOOKUP($P$378,$D$378:$M$383,6,TRUE))</f>
        <v>2.5659999999999998</v>
      </c>
      <c r="Q383" s="46"/>
      <c r="R383" s="46"/>
      <c r="S383" s="46"/>
      <c r="T383" s="46"/>
      <c r="U383" s="46"/>
      <c r="V383" s="46"/>
      <c r="W383" s="46"/>
    </row>
    <row r="384" spans="1:23" ht="15" hidden="1" customHeight="1" x14ac:dyDescent="0.25">
      <c r="A384" s="33" t="s">
        <v>645</v>
      </c>
      <c r="B384" s="33"/>
      <c r="C384" s="33"/>
      <c r="D384" s="33"/>
      <c r="E384" s="33"/>
      <c r="F384" s="33"/>
      <c r="G384" s="33"/>
      <c r="H384" s="33"/>
      <c r="I384" s="33"/>
      <c r="J384" s="33"/>
      <c r="K384" s="33"/>
      <c r="L384" s="33"/>
      <c r="M384" s="33"/>
      <c r="N384" s="33"/>
      <c r="O384" s="33"/>
      <c r="P384" s="33"/>
      <c r="Q384" s="33"/>
      <c r="R384" s="33"/>
      <c r="S384" s="33"/>
      <c r="T384" s="33"/>
      <c r="U384" s="33"/>
      <c r="V384" s="33"/>
      <c r="W384" s="33"/>
    </row>
    <row r="385" spans="1:23" ht="15.4" customHeight="1" x14ac:dyDescent="0.25">
      <c r="A385" s="33"/>
      <c r="B385" s="33"/>
      <c r="C385" s="33"/>
      <c r="D385" s="33"/>
      <c r="E385" s="33"/>
      <c r="F385" s="33"/>
      <c r="G385" s="33"/>
      <c r="H385" s="33"/>
      <c r="I385" s="33"/>
      <c r="J385" s="33"/>
      <c r="K385" s="33"/>
      <c r="L385" s="33"/>
      <c r="M385" s="33"/>
      <c r="N385" s="33"/>
      <c r="O385" s="33"/>
      <c r="P385" s="33"/>
      <c r="Q385" s="33"/>
      <c r="R385" s="33"/>
      <c r="S385" s="33"/>
      <c r="T385" s="33"/>
      <c r="U385" s="33"/>
      <c r="V385" s="33"/>
      <c r="W385" s="33"/>
    </row>
    <row r="386" spans="1:23" ht="15.4" customHeight="1" x14ac:dyDescent="0.25">
      <c r="A386" s="707" t="s">
        <v>342</v>
      </c>
      <c r="B386" s="707"/>
      <c r="C386" s="707"/>
      <c r="D386" s="707"/>
      <c r="E386" s="707"/>
      <c r="F386" s="707"/>
      <c r="G386" s="707"/>
      <c r="H386" s="707"/>
      <c r="I386" s="707"/>
      <c r="J386" s="707"/>
      <c r="K386" s="707"/>
      <c r="L386" s="707"/>
      <c r="M386" s="707"/>
      <c r="N386" s="33"/>
      <c r="O386" s="33"/>
      <c r="P386" s="33"/>
      <c r="Q386" s="33"/>
      <c r="R386" s="33"/>
      <c r="S386" s="33"/>
      <c r="T386" s="33"/>
      <c r="U386" s="33"/>
      <c r="V386" s="33"/>
      <c r="W386" s="33"/>
    </row>
    <row r="387" spans="1:23" ht="15.4" customHeight="1" x14ac:dyDescent="0.25">
      <c r="A387" s="33"/>
      <c r="B387" s="33"/>
      <c r="C387" s="33"/>
      <c r="D387" s="33"/>
      <c r="E387" s="33"/>
      <c r="F387" s="33"/>
      <c r="G387" s="33"/>
      <c r="H387" s="33"/>
      <c r="I387" s="704" t="s">
        <v>754</v>
      </c>
      <c r="J387" s="704"/>
      <c r="K387" s="704"/>
      <c r="L387" s="704"/>
      <c r="M387" s="704"/>
      <c r="N387" s="575"/>
      <c r="O387" s="33"/>
      <c r="P387" s="33"/>
      <c r="Q387" s="33"/>
      <c r="R387" s="33"/>
      <c r="S387" s="33"/>
      <c r="T387" s="33"/>
      <c r="U387" s="33"/>
      <c r="V387" s="33"/>
      <c r="W387" s="33"/>
    </row>
    <row r="388" spans="1:23" ht="15" hidden="1" customHeight="1" x14ac:dyDescent="0.25">
      <c r="A388" s="33" t="s">
        <v>606</v>
      </c>
      <c r="B388" s="33"/>
      <c r="C388" s="33"/>
      <c r="D388" s="33"/>
      <c r="E388" s="33"/>
      <c r="F388" s="33"/>
      <c r="G388" s="33"/>
      <c r="H388" s="33"/>
      <c r="I388" s="33"/>
      <c r="J388" s="33"/>
      <c r="K388" s="33"/>
      <c r="L388" s="33"/>
      <c r="M388" s="33" t="s">
        <v>300</v>
      </c>
      <c r="N388" s="33"/>
      <c r="O388" s="33"/>
      <c r="P388" s="33"/>
      <c r="Q388" s="33"/>
      <c r="R388" s="33"/>
      <c r="S388" s="33"/>
      <c r="T388" s="33"/>
      <c r="U388" s="33"/>
      <c r="V388" s="33"/>
      <c r="W388" s="33"/>
    </row>
    <row r="389" spans="1:23" ht="16.5" customHeight="1" x14ac:dyDescent="0.25">
      <c r="A389" s="708" t="s">
        <v>695</v>
      </c>
      <c r="B389" s="708" t="s">
        <v>106</v>
      </c>
      <c r="C389" s="713" t="s">
        <v>862</v>
      </c>
      <c r="D389" s="713"/>
      <c r="E389" s="713"/>
      <c r="F389" s="713"/>
      <c r="G389" s="713"/>
      <c r="H389" s="713"/>
      <c r="I389" s="713"/>
      <c r="J389" s="713"/>
      <c r="K389" s="713"/>
      <c r="L389" s="713"/>
      <c r="M389" s="713"/>
      <c r="N389" s="341" t="s">
        <v>378</v>
      </c>
      <c r="O389" s="562" t="s">
        <v>26</v>
      </c>
      <c r="P389" s="270" t="s">
        <v>510</v>
      </c>
      <c r="Q389" s="33"/>
      <c r="R389" s="33"/>
      <c r="S389" s="33"/>
      <c r="T389" s="33"/>
      <c r="U389" s="33"/>
      <c r="V389" s="33"/>
      <c r="W389" s="33"/>
    </row>
    <row r="390" spans="1:23" ht="15.4" customHeight="1" x14ac:dyDescent="0.25">
      <c r="A390" s="708"/>
      <c r="B390" s="708"/>
      <c r="C390" s="23" t="s">
        <v>301</v>
      </c>
      <c r="D390" s="23">
        <v>20</v>
      </c>
      <c r="E390" s="23">
        <v>50</v>
      </c>
      <c r="F390" s="23">
        <v>100</v>
      </c>
      <c r="G390" s="23">
        <v>200</v>
      </c>
      <c r="H390" s="23">
        <v>500</v>
      </c>
      <c r="I390" s="36">
        <v>1000</v>
      </c>
      <c r="J390" s="36">
        <v>2000</v>
      </c>
      <c r="K390" s="36">
        <v>5000</v>
      </c>
      <c r="L390" s="36">
        <v>8000</v>
      </c>
      <c r="M390" s="36">
        <v>10000</v>
      </c>
      <c r="N390" s="341">
        <f>$C$2</f>
        <v>0</v>
      </c>
      <c r="O390" s="562">
        <f>IF(N390&lt;D390,10,IF(N390&gt;M390,M390,HLOOKUP(N390,D390:M390,1)))</f>
        <v>10</v>
      </c>
      <c r="P390" s="270">
        <f>IF(N390&lt;10,10,IF(N390&lt;20,20,IF(N390&gt;M390,M390,INDEX(D390:M390,MATCH(N390,D390:M390,1)+1))))</f>
        <v>10</v>
      </c>
      <c r="Q390" s="33"/>
      <c r="R390" s="33"/>
      <c r="S390" s="33"/>
      <c r="T390" s="33"/>
      <c r="U390" s="33"/>
      <c r="V390" s="33"/>
      <c r="W390" s="33"/>
    </row>
    <row r="391" spans="1:23" ht="15.4" customHeight="1" x14ac:dyDescent="0.25">
      <c r="A391" s="35">
        <v>1</v>
      </c>
      <c r="B391" s="317" t="str">
        <f t="shared" ref="B391:B395" si="93">B48</f>
        <v>Công trình dân dụng</v>
      </c>
      <c r="C391" s="15">
        <v>0.84399999999999997</v>
      </c>
      <c r="D391" s="15">
        <v>0.71499999999999997</v>
      </c>
      <c r="E391" s="15">
        <v>0.59599999999999997</v>
      </c>
      <c r="F391" s="15">
        <v>0.39400000000000002</v>
      </c>
      <c r="G391" s="15">
        <v>0.30499999999999999</v>
      </c>
      <c r="H391" s="15">
        <v>0.26100000000000001</v>
      </c>
      <c r="I391" s="15">
        <v>0.17599999999999999</v>
      </c>
      <c r="J391" s="15">
        <v>0.153</v>
      </c>
      <c r="K391" s="15">
        <v>0.13200000000000001</v>
      </c>
      <c r="L391" s="15">
        <v>0.112</v>
      </c>
      <c r="M391" s="15">
        <v>0.11</v>
      </c>
      <c r="N391" s="6">
        <f t="shared" ref="N391:N395" si="94">IF(P$390=O$390,O391,ROUND(O391-((O391-P391)/(P$390-O$390))*(N$390-O$390),3))</f>
        <v>0.84399999999999997</v>
      </c>
      <c r="O391" s="231">
        <f>IF(O$390=10,C391,HLOOKUP($O$390,$D$390:$M$395,2,TRUE))</f>
        <v>0.84399999999999997</v>
      </c>
      <c r="P391" s="513">
        <f>IF(P$390=10,C391,HLOOKUP($P$390,$D$390:$M$395,2,TRUE))</f>
        <v>0.84399999999999997</v>
      </c>
      <c r="Q391" s="33"/>
      <c r="R391" s="33"/>
      <c r="S391" s="33"/>
      <c r="T391" s="33"/>
      <c r="U391" s="33"/>
      <c r="V391" s="33"/>
      <c r="W391" s="33"/>
    </row>
    <row r="392" spans="1:23" ht="15.4" customHeight="1" x14ac:dyDescent="0.25">
      <c r="A392" s="35">
        <v>2</v>
      </c>
      <c r="B392" s="317" t="str">
        <f t="shared" si="93"/>
        <v>Công trình công nghiệp</v>
      </c>
      <c r="C392" s="15">
        <v>1.147</v>
      </c>
      <c r="D392" s="15">
        <v>1.0049999999999999</v>
      </c>
      <c r="E392" s="15">
        <v>0.95799999999999996</v>
      </c>
      <c r="F392" s="15">
        <v>0.81100000000000005</v>
      </c>
      <c r="G392" s="15">
        <v>0.49</v>
      </c>
      <c r="H392" s="15">
        <v>0.42199999999999999</v>
      </c>
      <c r="I392" s="15">
        <v>0.35599999999999998</v>
      </c>
      <c r="J392" s="15">
        <v>0.309</v>
      </c>
      <c r="K392" s="15">
        <v>0.27</v>
      </c>
      <c r="L392" s="15">
        <v>0.23</v>
      </c>
      <c r="M392" s="15">
        <v>0.21</v>
      </c>
      <c r="N392" s="6">
        <f t="shared" si="94"/>
        <v>1.147</v>
      </c>
      <c r="O392" s="231">
        <f>IF(O$390=10,C392,HLOOKUP($O$390,$D$390:$M$395,3,TRUE))</f>
        <v>1.147</v>
      </c>
      <c r="P392" s="513">
        <f>IF(P$390=10,C392,HLOOKUP($P$390,$D$390:$M$395,3,TRUE))</f>
        <v>1.147</v>
      </c>
      <c r="Q392" s="33"/>
      <c r="R392" s="33"/>
      <c r="S392" s="33"/>
      <c r="T392" s="33"/>
      <c r="U392" s="33"/>
      <c r="V392" s="33"/>
      <c r="W392" s="33"/>
    </row>
    <row r="393" spans="1:23" ht="15.4" customHeight="1" x14ac:dyDescent="0.25">
      <c r="A393" s="35">
        <v>3</v>
      </c>
      <c r="B393" s="317" t="str">
        <f t="shared" si="93"/>
        <v>Công trình giao thông</v>
      </c>
      <c r="C393" s="15">
        <v>0.67700000000000005</v>
      </c>
      <c r="D393" s="15">
        <v>0.57999999999999996</v>
      </c>
      <c r="E393" s="15">
        <v>0.48599999999999999</v>
      </c>
      <c r="F393" s="15">
        <v>0.32</v>
      </c>
      <c r="G393" s="15">
        <v>0.26100000000000001</v>
      </c>
      <c r="H393" s="15">
        <v>0.217</v>
      </c>
      <c r="I393" s="15">
        <v>0.14599999999999999</v>
      </c>
      <c r="J393" s="15">
        <v>0.127</v>
      </c>
      <c r="K393" s="15">
        <v>0.11</v>
      </c>
      <c r="L393" s="15">
        <v>9.1999999999999998E-2</v>
      </c>
      <c r="M393" s="15">
        <v>8.5000000000000006E-2</v>
      </c>
      <c r="N393" s="6">
        <f t="shared" si="94"/>
        <v>0.67700000000000005</v>
      </c>
      <c r="O393" s="231">
        <f>IF(O$390=10,C393,HLOOKUP($O$390,$D$390:$M$395,4,TRUE))</f>
        <v>0.67700000000000005</v>
      </c>
      <c r="P393" s="513">
        <f>IF(P$390=10,C393,HLOOKUP($P$390,$D$390:$M$395,4,TRUE))</f>
        <v>0.67700000000000005</v>
      </c>
      <c r="Q393" s="33"/>
      <c r="R393" s="33"/>
      <c r="S393" s="33"/>
      <c r="T393" s="33"/>
      <c r="U393" s="33"/>
      <c r="V393" s="33"/>
      <c r="W393" s="33"/>
    </row>
    <row r="394" spans="1:23" ht="15.4" customHeight="1" x14ac:dyDescent="0.25">
      <c r="A394" s="35">
        <v>4</v>
      </c>
      <c r="B394" s="317" t="str">
        <f t="shared" si="93"/>
        <v>Công trình nông nghiệp và phát triển nông thôn</v>
      </c>
      <c r="C394" s="15">
        <v>0.71799999999999997</v>
      </c>
      <c r="D394" s="15">
        <v>0.58499999999999996</v>
      </c>
      <c r="E394" s="15">
        <v>0.52</v>
      </c>
      <c r="F394" s="15">
        <v>0.34399999999999997</v>
      </c>
      <c r="G394" s="15">
        <v>0.27600000000000002</v>
      </c>
      <c r="H394" s="15">
        <v>0.23200000000000001</v>
      </c>
      <c r="I394" s="15">
        <v>0.159</v>
      </c>
      <c r="J394" s="15">
        <v>0.13800000000000001</v>
      </c>
      <c r="K394" s="15">
        <v>0.12</v>
      </c>
      <c r="L394" s="15">
        <v>9.8000000000000004E-2</v>
      </c>
      <c r="M394" s="15">
        <v>9.0999999999999998E-2</v>
      </c>
      <c r="N394" s="6">
        <f t="shared" si="94"/>
        <v>0.71799999999999997</v>
      </c>
      <c r="O394" s="231">
        <f>IF(O$390=10,C394,HLOOKUP($O$390,$D$390:$M$395,5,TRUE))</f>
        <v>0.71799999999999997</v>
      </c>
      <c r="P394" s="513">
        <f>IF(P$390=10,C394,HLOOKUP($P$390,$D$390:$M$395,5,TRUE))</f>
        <v>0.71799999999999997</v>
      </c>
      <c r="Q394" s="33"/>
      <c r="R394" s="33"/>
      <c r="S394" s="33"/>
      <c r="T394" s="33"/>
      <c r="U394" s="33"/>
      <c r="V394" s="33"/>
      <c r="W394" s="33"/>
    </row>
    <row r="395" spans="1:23" ht="15.4" customHeight="1" x14ac:dyDescent="0.25">
      <c r="A395" s="35">
        <v>5</v>
      </c>
      <c r="B395" s="317" t="str">
        <f t="shared" si="93"/>
        <v>Công trình hạ tầng kỹ thuật</v>
      </c>
      <c r="C395" s="15">
        <v>0.80300000000000005</v>
      </c>
      <c r="D395" s="15">
        <v>0.69</v>
      </c>
      <c r="E395" s="15">
        <v>0.57499999999999996</v>
      </c>
      <c r="F395" s="15">
        <v>0.38300000000000001</v>
      </c>
      <c r="G395" s="15">
        <v>0.3</v>
      </c>
      <c r="H395" s="15">
        <v>0.26100000000000001</v>
      </c>
      <c r="I395" s="15">
        <v>0.17299999999999999</v>
      </c>
      <c r="J395" s="15">
        <v>0.15</v>
      </c>
      <c r="K395" s="15">
        <v>0.126</v>
      </c>
      <c r="L395" s="15">
        <v>0.105</v>
      </c>
      <c r="M395" s="15">
        <v>9.5000000000000001E-2</v>
      </c>
      <c r="N395" s="6">
        <f t="shared" si="94"/>
        <v>0.80300000000000005</v>
      </c>
      <c r="O395" s="231">
        <f>IF(O$390=10,C395,HLOOKUP($O$390,$D$390:$M$395,6,TRUE))</f>
        <v>0.80300000000000005</v>
      </c>
      <c r="P395" s="513">
        <f>IF(P$390=10,C395,HLOOKUP($P$390,$D$390:$M$395,6,TRUE))</f>
        <v>0.80300000000000005</v>
      </c>
      <c r="Q395" s="33"/>
      <c r="R395" s="33"/>
      <c r="S395" s="33"/>
      <c r="T395" s="33"/>
      <c r="U395" s="33"/>
      <c r="V395" s="33"/>
      <c r="W395" s="33"/>
    </row>
    <row r="396" spans="1:23" ht="15" hidden="1" customHeight="1" x14ac:dyDescent="0.25">
      <c r="A396" s="33" t="s">
        <v>291</v>
      </c>
      <c r="B396" s="33"/>
      <c r="C396" s="33"/>
      <c r="D396" s="33"/>
      <c r="E396" s="33"/>
      <c r="F396" s="33"/>
      <c r="G396" s="33"/>
      <c r="H396" s="33"/>
      <c r="I396" s="33"/>
      <c r="J396" s="33"/>
      <c r="K396" s="33"/>
      <c r="L396" s="33"/>
      <c r="M396" s="33"/>
      <c r="N396" s="33"/>
      <c r="O396" s="33"/>
      <c r="P396" s="33"/>
      <c r="Q396" s="33"/>
      <c r="R396" s="33"/>
      <c r="S396" s="33"/>
      <c r="T396" s="33"/>
      <c r="U396" s="33"/>
      <c r="V396" s="33"/>
      <c r="W396" s="33"/>
    </row>
    <row r="397" spans="1:23" ht="15.4" customHeight="1" x14ac:dyDescent="0.25">
      <c r="A397" s="33"/>
      <c r="B397" s="33"/>
      <c r="C397" s="33"/>
      <c r="D397" s="33"/>
      <c r="E397" s="33"/>
      <c r="F397" s="33"/>
      <c r="G397" s="33"/>
      <c r="H397" s="33"/>
      <c r="I397" s="33"/>
      <c r="J397" s="33"/>
      <c r="K397" s="33"/>
      <c r="L397" s="33"/>
      <c r="M397" s="33"/>
      <c r="N397" s="33"/>
      <c r="O397" s="33"/>
      <c r="P397" s="33"/>
      <c r="Q397" s="33"/>
      <c r="R397" s="33"/>
      <c r="S397" s="33"/>
      <c r="T397" s="33"/>
      <c r="U397" s="33"/>
      <c r="V397" s="33"/>
      <c r="W397" s="33"/>
    </row>
    <row r="398" spans="1:23" ht="15.4" customHeight="1" x14ac:dyDescent="0.25">
      <c r="A398" s="707" t="s">
        <v>415</v>
      </c>
      <c r="B398" s="707"/>
      <c r="C398" s="707"/>
      <c r="D398" s="707"/>
      <c r="E398" s="707"/>
      <c r="F398" s="707"/>
      <c r="G398" s="707"/>
      <c r="H398" s="707"/>
      <c r="I398" s="707"/>
      <c r="J398" s="707"/>
      <c r="K398" s="707"/>
      <c r="L398" s="707"/>
      <c r="M398" s="707"/>
      <c r="N398" s="33"/>
      <c r="O398" s="33"/>
      <c r="P398" s="33"/>
      <c r="Q398" s="33"/>
      <c r="R398" s="33"/>
      <c r="S398" s="33"/>
      <c r="T398" s="33"/>
      <c r="U398" s="33"/>
      <c r="V398" s="33"/>
      <c r="W398" s="33"/>
    </row>
    <row r="399" spans="1:23" ht="15.4" customHeight="1" x14ac:dyDescent="0.25">
      <c r="A399" s="33"/>
      <c r="B399" s="33"/>
      <c r="C399" s="33"/>
      <c r="D399" s="33"/>
      <c r="E399" s="33"/>
      <c r="F399" s="704" t="s">
        <v>754</v>
      </c>
      <c r="G399" s="704"/>
      <c r="H399" s="33"/>
      <c r="I399" s="575"/>
      <c r="J399" s="575"/>
      <c r="K399" s="575"/>
      <c r="L399" s="575"/>
      <c r="M399" s="575"/>
      <c r="N399" s="575"/>
      <c r="O399" s="33"/>
      <c r="P399" s="33"/>
      <c r="Q399" s="33"/>
      <c r="R399" s="33"/>
      <c r="S399" s="33"/>
      <c r="T399" s="33"/>
      <c r="U399" s="33"/>
      <c r="V399" s="33"/>
      <c r="W399" s="33"/>
    </row>
    <row r="400" spans="1:23" ht="15" hidden="1" customHeight="1" x14ac:dyDescent="0.25">
      <c r="A400" s="33" t="s">
        <v>997</v>
      </c>
      <c r="B400" s="33"/>
      <c r="C400" s="33"/>
      <c r="D400" s="33"/>
      <c r="E400" s="33"/>
      <c r="F400" s="33"/>
      <c r="G400" s="33" t="s">
        <v>300</v>
      </c>
      <c r="H400" s="33"/>
      <c r="I400" s="33"/>
      <c r="J400" s="33"/>
      <c r="K400" s="33"/>
      <c r="L400" s="33"/>
      <c r="M400" s="33"/>
      <c r="N400" s="33"/>
      <c r="O400" s="33"/>
      <c r="P400" s="33"/>
      <c r="Q400" s="33"/>
      <c r="R400" s="33"/>
      <c r="S400" s="33"/>
      <c r="T400" s="33"/>
      <c r="U400" s="33"/>
      <c r="V400" s="33"/>
      <c r="W400" s="33"/>
    </row>
    <row r="401" spans="1:23" ht="52.15" customHeight="1" x14ac:dyDescent="0.25">
      <c r="A401" s="708" t="s">
        <v>695</v>
      </c>
      <c r="B401" s="708" t="s">
        <v>106</v>
      </c>
      <c r="C401" s="709" t="s">
        <v>71</v>
      </c>
      <c r="D401" s="710"/>
      <c r="E401" s="710"/>
      <c r="F401" s="710"/>
      <c r="G401" s="710"/>
      <c r="H401" s="341" t="s">
        <v>378</v>
      </c>
      <c r="I401" s="562" t="s">
        <v>26</v>
      </c>
      <c r="J401" s="270" t="s">
        <v>510</v>
      </c>
      <c r="K401" s="292"/>
      <c r="L401" s="292"/>
      <c r="M401" s="292"/>
      <c r="N401" s="33"/>
      <c r="O401" s="33"/>
      <c r="P401" s="33"/>
      <c r="Q401" s="33"/>
      <c r="R401" s="33"/>
      <c r="S401" s="33"/>
      <c r="T401" s="33"/>
      <c r="U401" s="33"/>
      <c r="V401" s="33"/>
      <c r="W401" s="33"/>
    </row>
    <row r="402" spans="1:23" ht="15.4" customHeight="1" x14ac:dyDescent="0.25">
      <c r="A402" s="708"/>
      <c r="B402" s="708"/>
      <c r="C402" s="23" t="s">
        <v>15</v>
      </c>
      <c r="D402" s="23">
        <v>5</v>
      </c>
      <c r="E402" s="23">
        <v>10</v>
      </c>
      <c r="F402" s="23">
        <v>20</v>
      </c>
      <c r="G402" s="23">
        <v>50</v>
      </c>
      <c r="H402" s="341">
        <f>$C$8</f>
        <v>0</v>
      </c>
      <c r="I402" s="562">
        <f>IF(H402&lt;D402,1,IF(H402&gt;G402,G402,HLOOKUP(H402,D402:G402,1)))</f>
        <v>1</v>
      </c>
      <c r="J402" s="270">
        <f>IF(H402&lt;1,1,IF(H402&lt;5,5,IF(H402&gt;G402,G402,INDEX(D402:G402,MATCH(H402,D402:G402,1)+1))))</f>
        <v>1</v>
      </c>
      <c r="K402" s="199"/>
      <c r="L402" s="199"/>
      <c r="M402" s="199"/>
      <c r="N402" s="33"/>
      <c r="O402" s="33"/>
      <c r="P402" s="33"/>
      <c r="Q402" s="33"/>
      <c r="R402" s="33"/>
      <c r="S402" s="33"/>
      <c r="T402" s="33"/>
      <c r="U402" s="33"/>
      <c r="V402" s="33"/>
      <c r="W402" s="33"/>
    </row>
    <row r="403" spans="1:23" ht="15.4" customHeight="1" x14ac:dyDescent="0.25">
      <c r="A403" s="35">
        <v>1</v>
      </c>
      <c r="B403" s="317" t="s">
        <v>128</v>
      </c>
      <c r="C403" s="15">
        <v>4.0720000000000001</v>
      </c>
      <c r="D403" s="15">
        <v>3.5409999999999999</v>
      </c>
      <c r="E403" s="15">
        <v>3.0790000000000002</v>
      </c>
      <c r="F403" s="15">
        <v>2.7069999999999999</v>
      </c>
      <c r="G403" s="15">
        <v>2.3809999999999998</v>
      </c>
      <c r="H403" s="6">
        <f>IF(J$402=I$402,I403,ROUND(I403-((I403-J403)/(J$402-I$402))*(H$402-I$402),3))</f>
        <v>4.0720000000000001</v>
      </c>
      <c r="I403" s="231">
        <f>IF(I$402=1,C403,HLOOKUP($I$402,$D$402:$G$403,2,TRUE))</f>
        <v>4.0720000000000001</v>
      </c>
      <c r="J403" s="513">
        <f>IF(J$402=1,C403,HLOOKUP($J$402,$D$402:$G$403,2,TRUE))</f>
        <v>4.0720000000000001</v>
      </c>
      <c r="K403" s="314"/>
      <c r="L403" s="314"/>
      <c r="M403" s="314"/>
      <c r="N403" s="33"/>
      <c r="O403" s="33"/>
      <c r="P403" s="33"/>
      <c r="Q403" s="33"/>
      <c r="R403" s="33"/>
      <c r="S403" s="33"/>
      <c r="T403" s="33"/>
      <c r="U403" s="33"/>
      <c r="V403" s="33"/>
      <c r="W403" s="33"/>
    </row>
    <row r="404" spans="1:23" ht="15.4" customHeight="1" x14ac:dyDescent="0.25">
      <c r="A404" s="33" t="s">
        <v>678</v>
      </c>
      <c r="B404" s="33"/>
      <c r="C404" s="33"/>
      <c r="D404" s="33"/>
      <c r="E404" s="33"/>
      <c r="F404" s="33"/>
      <c r="G404" s="33"/>
      <c r="H404" s="33"/>
      <c r="I404" s="33"/>
      <c r="J404" s="33"/>
      <c r="K404" s="33"/>
      <c r="L404" s="33"/>
      <c r="M404" s="33"/>
      <c r="N404" s="33"/>
      <c r="O404" s="33"/>
      <c r="P404" s="33"/>
      <c r="Q404" s="33"/>
      <c r="R404" s="33"/>
      <c r="S404" s="33"/>
      <c r="T404" s="33"/>
      <c r="U404" s="33"/>
      <c r="V404" s="33"/>
      <c r="W404" s="33"/>
    </row>
    <row r="405" spans="1:23" ht="15.4" customHeight="1" x14ac:dyDescent="0.25">
      <c r="A405" s="33"/>
      <c r="B405" s="33"/>
      <c r="C405" s="33"/>
      <c r="D405" s="33"/>
      <c r="E405" s="33"/>
      <c r="F405" s="33"/>
      <c r="G405" s="33"/>
      <c r="H405" s="33"/>
      <c r="I405" s="33"/>
      <c r="J405" s="33"/>
      <c r="K405" s="33"/>
      <c r="L405" s="33"/>
      <c r="M405" s="33"/>
      <c r="N405" s="33"/>
      <c r="O405" s="33"/>
      <c r="P405" s="33"/>
      <c r="Q405" s="33"/>
      <c r="R405" s="33"/>
      <c r="S405" s="33"/>
      <c r="T405" s="33"/>
      <c r="U405" s="33"/>
      <c r="V405" s="33"/>
      <c r="W405" s="33"/>
    </row>
    <row r="406" spans="1:23" ht="15.4" customHeight="1" x14ac:dyDescent="0.25">
      <c r="A406" s="606" t="s">
        <v>680</v>
      </c>
      <c r="B406" s="606"/>
      <c r="C406" s="606"/>
      <c r="D406" s="606"/>
      <c r="E406" s="606"/>
      <c r="F406" s="606"/>
      <c r="G406" s="606"/>
      <c r="H406" s="606"/>
      <c r="I406" s="606"/>
      <c r="J406" s="606"/>
      <c r="K406" s="606"/>
      <c r="L406" s="606"/>
      <c r="M406" s="606"/>
      <c r="N406" s="606"/>
      <c r="O406" s="33"/>
      <c r="P406" s="33"/>
      <c r="Q406" s="33"/>
      <c r="R406" s="33"/>
      <c r="S406" s="33"/>
      <c r="T406" s="33"/>
      <c r="U406" s="33"/>
      <c r="V406" s="33"/>
      <c r="W406" s="33"/>
    </row>
    <row r="407" spans="1:23" ht="42" customHeight="1" x14ac:dyDescent="0.25">
      <c r="A407" s="711" t="s">
        <v>369</v>
      </c>
      <c r="B407" s="711"/>
      <c r="C407" s="711"/>
      <c r="D407" s="711"/>
      <c r="E407" s="711"/>
      <c r="F407" s="711"/>
      <c r="G407" s="711"/>
      <c r="H407" s="711"/>
      <c r="I407" s="711"/>
      <c r="J407" s="711"/>
      <c r="K407" s="711"/>
      <c r="L407" s="711"/>
      <c r="M407" s="711"/>
      <c r="N407" s="711"/>
      <c r="O407" s="33"/>
      <c r="P407" s="33"/>
      <c r="Q407" s="33"/>
      <c r="R407" s="33"/>
      <c r="S407" s="33"/>
      <c r="T407" s="33"/>
      <c r="U407" s="33"/>
      <c r="V407" s="33"/>
      <c r="W407" s="33"/>
    </row>
    <row r="408" spans="1:23" ht="15.4" customHeight="1" x14ac:dyDescent="0.25">
      <c r="A408" s="33"/>
      <c r="B408" s="33"/>
      <c r="C408" s="33"/>
      <c r="D408" s="33"/>
      <c r="E408" s="33"/>
      <c r="F408" s="33"/>
      <c r="G408" s="33"/>
      <c r="H408" s="33"/>
      <c r="I408" s="33"/>
      <c r="J408" s="33"/>
      <c r="K408" s="33"/>
      <c r="L408" s="33"/>
      <c r="M408" s="33"/>
      <c r="N408" s="33"/>
      <c r="O408" s="33"/>
      <c r="P408" s="33"/>
      <c r="Q408" s="33"/>
      <c r="R408" s="33"/>
      <c r="S408" s="33"/>
      <c r="T408" s="33"/>
      <c r="U408" s="33"/>
      <c r="V408" s="33"/>
      <c r="W408" s="33"/>
    </row>
    <row r="409" spans="1:23" ht="15.4" customHeight="1" x14ac:dyDescent="0.25">
      <c r="A409" s="712" t="s">
        <v>739</v>
      </c>
      <c r="B409" s="712"/>
      <c r="C409" s="712"/>
      <c r="D409" s="712"/>
      <c r="E409" s="712"/>
      <c r="F409" s="712"/>
      <c r="G409" s="712"/>
      <c r="H409" s="712"/>
      <c r="I409" s="712"/>
      <c r="J409" s="712"/>
      <c r="K409" s="712"/>
      <c r="L409" s="712"/>
      <c r="M409" s="712"/>
      <c r="N409" s="712"/>
      <c r="O409" s="290"/>
      <c r="P409" s="33"/>
      <c r="Q409" s="33"/>
      <c r="R409" s="33"/>
      <c r="S409" s="33"/>
      <c r="T409" s="33"/>
      <c r="U409" s="33"/>
      <c r="V409" s="33"/>
      <c r="W409" s="33"/>
    </row>
    <row r="410" spans="1:23" ht="15.4" customHeight="1" x14ac:dyDescent="0.25">
      <c r="A410" s="33"/>
      <c r="B410" s="33"/>
      <c r="C410" s="33"/>
      <c r="D410" s="33"/>
      <c r="E410" s="33"/>
      <c r="F410" s="33"/>
      <c r="G410" s="33"/>
      <c r="H410" s="33"/>
      <c r="I410" s="606" t="s">
        <v>754</v>
      </c>
      <c r="J410" s="606"/>
      <c r="K410" s="606"/>
      <c r="L410" s="575"/>
      <c r="M410" s="575"/>
      <c r="N410" s="575"/>
      <c r="O410" s="33"/>
      <c r="P410" s="33"/>
      <c r="Q410" s="33"/>
      <c r="R410" s="33"/>
      <c r="S410" s="33"/>
      <c r="T410" s="33"/>
      <c r="U410" s="33"/>
      <c r="V410" s="33"/>
      <c r="W410" s="33"/>
    </row>
    <row r="411" spans="1:23" ht="15" hidden="1" customHeight="1" x14ac:dyDescent="0.25">
      <c r="A411" s="33" t="s">
        <v>592</v>
      </c>
      <c r="B411" s="33"/>
      <c r="C411" s="33"/>
      <c r="D411" s="33"/>
      <c r="E411" s="33"/>
      <c r="F411" s="33"/>
      <c r="G411" s="33"/>
      <c r="H411" s="33" t="s">
        <v>300</v>
      </c>
      <c r="I411" s="33"/>
      <c r="J411" s="33"/>
      <c r="K411" s="33"/>
      <c r="L411" s="33"/>
      <c r="M411" s="33"/>
      <c r="N411" s="33"/>
      <c r="O411" s="33"/>
      <c r="P411" s="33"/>
      <c r="Q411" s="33"/>
      <c r="R411" s="33"/>
      <c r="S411" s="33"/>
      <c r="T411" s="33"/>
      <c r="U411" s="33"/>
      <c r="V411" s="33"/>
      <c r="W411" s="33"/>
    </row>
    <row r="412" spans="1:23" ht="46.5" customHeight="1" x14ac:dyDescent="0.25">
      <c r="A412" s="708" t="s">
        <v>695</v>
      </c>
      <c r="B412" s="708" t="s">
        <v>106</v>
      </c>
      <c r="C412" s="709" t="s">
        <v>910</v>
      </c>
      <c r="D412" s="710"/>
      <c r="E412" s="710"/>
      <c r="F412" s="710"/>
      <c r="G412" s="710"/>
      <c r="H412" s="710"/>
      <c r="I412" s="341" t="s">
        <v>378</v>
      </c>
      <c r="J412" s="562" t="s">
        <v>26</v>
      </c>
      <c r="K412" s="270" t="s">
        <v>510</v>
      </c>
      <c r="L412" s="33"/>
      <c r="M412" s="33"/>
      <c r="N412" s="33"/>
      <c r="O412" s="33"/>
      <c r="P412" s="33"/>
      <c r="Q412" s="33"/>
      <c r="R412" s="33"/>
      <c r="S412" s="33"/>
      <c r="T412" s="33"/>
      <c r="U412" s="33"/>
      <c r="V412" s="33"/>
      <c r="W412" s="33"/>
    </row>
    <row r="413" spans="1:23" ht="15.4" customHeight="1" x14ac:dyDescent="0.25">
      <c r="A413" s="708"/>
      <c r="B413" s="708"/>
      <c r="C413" s="23" t="s">
        <v>231</v>
      </c>
      <c r="D413" s="23">
        <v>100</v>
      </c>
      <c r="E413" s="23">
        <v>500</v>
      </c>
      <c r="F413" s="36">
        <v>1000</v>
      </c>
      <c r="G413" s="36">
        <v>5000</v>
      </c>
      <c r="H413" s="36">
        <v>10000</v>
      </c>
      <c r="I413" s="44">
        <f>$C$7</f>
        <v>1.0711056214113099</v>
      </c>
      <c r="J413" s="279">
        <f>IF(I413&lt;D413,15,IF(I413&gt;H413,H413,HLOOKUP(I413,D413:H413,1)))</f>
        <v>15</v>
      </c>
      <c r="K413" s="561">
        <f>IF(I413&lt;15,15,IF(I413&lt;100,100,IF(I413&gt;H413,H413,INDEX(D413:H413,MATCH(I413,D413:H413,1)+1))))</f>
        <v>15</v>
      </c>
      <c r="L413" s="33"/>
      <c r="M413" s="33"/>
      <c r="N413" s="33"/>
      <c r="O413" s="33"/>
      <c r="P413" s="33"/>
      <c r="Q413" s="33"/>
      <c r="R413" s="33"/>
      <c r="S413" s="33"/>
      <c r="T413" s="33"/>
      <c r="U413" s="33"/>
      <c r="V413" s="33"/>
      <c r="W413" s="33"/>
    </row>
    <row r="414" spans="1:23" ht="15.4" customHeight="1" x14ac:dyDescent="0.25">
      <c r="A414" s="35">
        <v>1</v>
      </c>
      <c r="B414" s="317" t="str">
        <f t="shared" ref="B414:B416" si="95">B48</f>
        <v>Công trình dân dụng</v>
      </c>
      <c r="C414" s="129">
        <v>9.6699999999999998E-3</v>
      </c>
      <c r="D414" s="129">
        <v>5.2300000000000003E-3</v>
      </c>
      <c r="E414" s="129">
        <v>2.9099999999999998E-3</v>
      </c>
      <c r="F414" s="129">
        <v>1.9400000000000001E-3</v>
      </c>
      <c r="G414" s="129">
        <v>1.08E-3</v>
      </c>
      <c r="H414" s="129">
        <v>7.2000000000000005E-4</v>
      </c>
      <c r="I414" s="122">
        <f t="shared" ref="I414:I419" si="96">IF(K$413=J$413,J414,ROUND(J414-((J414-K414)/(K$413-J$413))*(I$413-J$413),5))</f>
        <v>9.6699999999999998E-3</v>
      </c>
      <c r="J414" s="362">
        <f>IF(J$413=15,C414,HLOOKUP($J$413,$D$413:$H$417,2,TRUE))</f>
        <v>9.6699999999999998E-3</v>
      </c>
      <c r="K414" s="51">
        <f>IF(K$413=15,C414,HLOOKUP($K$413,$D$413:$I$417,2,TRUE))</f>
        <v>9.6699999999999998E-3</v>
      </c>
      <c r="L414" s="33"/>
      <c r="M414" s="33"/>
      <c r="N414" s="33"/>
      <c r="O414" s="33"/>
      <c r="P414" s="33"/>
      <c r="Q414" s="33"/>
      <c r="R414" s="33"/>
      <c r="S414" s="33"/>
      <c r="T414" s="33"/>
      <c r="U414" s="33"/>
      <c r="V414" s="33"/>
      <c r="W414" s="33"/>
    </row>
    <row r="415" spans="1:23" ht="15.4" customHeight="1" x14ac:dyDescent="0.25">
      <c r="A415" s="35">
        <v>2</v>
      </c>
      <c r="B415" s="317" t="str">
        <f t="shared" si="95"/>
        <v>Công trình công nghiệp</v>
      </c>
      <c r="C415" s="129">
        <v>9.6699999999999998E-3</v>
      </c>
      <c r="D415" s="129">
        <v>5.2300000000000003E-3</v>
      </c>
      <c r="E415" s="129">
        <v>2.9099999999999998E-3</v>
      </c>
      <c r="F415" s="129">
        <v>1.9400000000000001E-3</v>
      </c>
      <c r="G415" s="129">
        <v>1.08E-3</v>
      </c>
      <c r="H415" s="129">
        <v>7.2000000000000005E-4</v>
      </c>
      <c r="I415" s="122">
        <f t="shared" si="96"/>
        <v>9.6699999999999998E-3</v>
      </c>
      <c r="J415" s="362">
        <f>IF(J$413=15,C415,HLOOKUP($J$413,$D$413:$H$417,3,TRUE))</f>
        <v>9.6699999999999998E-3</v>
      </c>
      <c r="K415" s="51">
        <f>IF(K$413=15,C415,HLOOKUP($K$413,$D$413:$I$417,3,TRUE))</f>
        <v>9.6699999999999998E-3</v>
      </c>
      <c r="L415" s="33"/>
      <c r="M415" s="33"/>
      <c r="N415" s="33"/>
      <c r="O415" s="33"/>
      <c r="P415" s="33"/>
      <c r="Q415" s="33"/>
      <c r="R415" s="33"/>
      <c r="S415" s="33"/>
      <c r="T415" s="33"/>
      <c r="U415" s="33"/>
      <c r="V415" s="33"/>
      <c r="W415" s="33"/>
    </row>
    <row r="416" spans="1:23" ht="15.4" customHeight="1" x14ac:dyDescent="0.25">
      <c r="A416" s="35">
        <v>3</v>
      </c>
      <c r="B416" s="317" t="str">
        <f t="shared" si="95"/>
        <v>Công trình giao thông</v>
      </c>
      <c r="C416" s="129">
        <v>6.7099999999999998E-3</v>
      </c>
      <c r="D416" s="129">
        <v>3.63E-3</v>
      </c>
      <c r="E416" s="129">
        <v>2.0200000000000001E-3</v>
      </c>
      <c r="F416" s="129">
        <v>1.3500000000000001E-3</v>
      </c>
      <c r="G416" s="129">
        <v>7.5000000000000002E-4</v>
      </c>
      <c r="H416" s="129">
        <v>5.0000000000000001E-4</v>
      </c>
      <c r="I416" s="122">
        <f t="shared" si="96"/>
        <v>6.7099999999999998E-3</v>
      </c>
      <c r="J416" s="362">
        <f>IF(J$413=15,C416,HLOOKUP($J$413,$D$413:$H$417,4,TRUE))</f>
        <v>6.7099999999999998E-3</v>
      </c>
      <c r="K416" s="51">
        <f>IF(K$413=15,C416,HLOOKUP($K$413,$D$413:$I$417,4,TRUE))</f>
        <v>6.7099999999999998E-3</v>
      </c>
      <c r="L416" s="33"/>
      <c r="M416" s="33"/>
      <c r="N416" s="33"/>
      <c r="O416" s="33"/>
      <c r="P416" s="33"/>
      <c r="Q416" s="33"/>
      <c r="R416" s="33"/>
      <c r="S416" s="33"/>
      <c r="T416" s="33"/>
      <c r="U416" s="33"/>
      <c r="V416" s="33"/>
      <c r="W416" s="33"/>
    </row>
    <row r="417" spans="1:23" ht="15.4" customHeight="1" x14ac:dyDescent="0.25">
      <c r="A417" s="35">
        <v>5</v>
      </c>
      <c r="B417" s="317" t="str">
        <f>B52</f>
        <v>Công trình hạ tầng kỹ thuật</v>
      </c>
      <c r="C417" s="129">
        <v>6.7099999999999998E-3</v>
      </c>
      <c r="D417" s="129">
        <v>3.63E-3</v>
      </c>
      <c r="E417" s="129">
        <v>2.0200000000000001E-3</v>
      </c>
      <c r="F417" s="129">
        <v>1.3500000000000001E-3</v>
      </c>
      <c r="G417" s="129">
        <v>7.5000000000000002E-4</v>
      </c>
      <c r="H417" s="129">
        <v>5.0000000000000001E-4</v>
      </c>
      <c r="I417" s="122">
        <f t="shared" si="96"/>
        <v>6.7099999999999998E-3</v>
      </c>
      <c r="J417" s="362">
        <f t="shared" ref="J417:J418" si="97">IF(J$413=15,C417,HLOOKUP($J$413,$D$413:$H$417,5,TRUE))</f>
        <v>6.7099999999999998E-3</v>
      </c>
      <c r="K417" s="51">
        <f t="shared" ref="K417:K419" si="98">IF(K$413=15,C417,HLOOKUP($K$413,$D$413:$I$417,5,TRUE))</f>
        <v>6.7099999999999998E-3</v>
      </c>
      <c r="L417" s="33"/>
      <c r="M417" s="33"/>
      <c r="N417" s="33"/>
      <c r="O417" s="33"/>
      <c r="P417" s="33"/>
      <c r="Q417" s="33"/>
      <c r="R417" s="33"/>
      <c r="S417" s="33"/>
      <c r="T417" s="33"/>
      <c r="U417" s="33"/>
      <c r="V417" s="33"/>
      <c r="W417" s="33"/>
    </row>
    <row r="418" spans="1:23" ht="15.4" customHeight="1" x14ac:dyDescent="0.25">
      <c r="A418" s="197">
        <v>6</v>
      </c>
      <c r="B418" s="317" t="s">
        <v>469</v>
      </c>
      <c r="C418" s="129">
        <v>8.8800000000000007E-3</v>
      </c>
      <c r="D418" s="129">
        <v>4.7999999999999996E-3</v>
      </c>
      <c r="E418" s="129">
        <v>2.6700000000000001E-3</v>
      </c>
      <c r="F418" s="129">
        <v>1.7799999999999999E-3</v>
      </c>
      <c r="G418" s="129">
        <v>9.8999999999999999E-4</v>
      </c>
      <c r="H418" s="129">
        <v>6.6E-4</v>
      </c>
      <c r="I418" s="122">
        <f t="shared" si="96"/>
        <v>8.8800000000000007E-3</v>
      </c>
      <c r="J418" s="362">
        <f t="shared" si="97"/>
        <v>8.8800000000000007E-3</v>
      </c>
      <c r="K418" s="51">
        <f t="shared" si="98"/>
        <v>8.8800000000000007E-3</v>
      </c>
      <c r="L418" s="33"/>
      <c r="M418" s="33"/>
      <c r="N418" s="33"/>
      <c r="O418" s="33"/>
      <c r="P418" s="33"/>
      <c r="Q418" s="33"/>
      <c r="R418" s="33"/>
      <c r="S418" s="33"/>
      <c r="T418" s="33"/>
      <c r="U418" s="33"/>
      <c r="V418" s="33"/>
      <c r="W418" s="33"/>
    </row>
    <row r="419" spans="1:23" ht="15.4" customHeight="1" x14ac:dyDescent="0.25">
      <c r="A419" s="33" t="s">
        <v>274</v>
      </c>
      <c r="B419" s="33"/>
      <c r="C419" s="33"/>
      <c r="D419" s="33"/>
      <c r="E419" s="33"/>
      <c r="F419" s="33"/>
      <c r="G419" s="33"/>
      <c r="H419" s="33"/>
      <c r="I419" s="122">
        <f t="shared" si="96"/>
        <v>0</v>
      </c>
      <c r="J419" s="362">
        <f>IF(J$413=15,C419,HLOOKUP($J$413,$D$413:$H$417,2,TRUE))</f>
        <v>0</v>
      </c>
      <c r="K419" s="51">
        <f t="shared" si="98"/>
        <v>0</v>
      </c>
      <c r="L419" s="33"/>
      <c r="M419" s="33"/>
      <c r="N419" s="33"/>
      <c r="O419" s="33"/>
      <c r="P419" s="33"/>
      <c r="Q419" s="33"/>
      <c r="R419" s="33"/>
      <c r="S419" s="33"/>
      <c r="T419" s="33"/>
      <c r="U419" s="33"/>
      <c r="V419" s="33"/>
      <c r="W419" s="33"/>
    </row>
    <row r="420" spans="1:23" ht="15.4" customHeight="1" x14ac:dyDescent="0.25">
      <c r="A420" s="33"/>
      <c r="B420" s="33"/>
      <c r="C420" s="33"/>
      <c r="D420" s="33"/>
      <c r="E420" s="33"/>
      <c r="F420" s="33"/>
      <c r="G420" s="33"/>
      <c r="H420" s="33"/>
      <c r="I420" s="33"/>
      <c r="J420" s="33"/>
      <c r="K420" s="33"/>
      <c r="L420" s="33"/>
      <c r="M420" s="33"/>
      <c r="N420" s="33"/>
      <c r="O420" s="33"/>
      <c r="P420" s="33"/>
      <c r="Q420" s="33"/>
      <c r="R420" s="33"/>
      <c r="S420" s="33"/>
      <c r="T420" s="33"/>
      <c r="U420" s="33"/>
      <c r="V420" s="33"/>
      <c r="W420" s="33"/>
    </row>
    <row r="421" spans="1:23" ht="15.4" customHeight="1" x14ac:dyDescent="0.25">
      <c r="A421" s="33"/>
      <c r="B421" s="33"/>
      <c r="C421" s="33"/>
      <c r="D421" s="33"/>
      <c r="E421" s="33"/>
      <c r="F421" s="33"/>
      <c r="G421" s="33"/>
      <c r="H421" s="33"/>
      <c r="I421" s="33"/>
      <c r="J421" s="33"/>
      <c r="K421" s="33"/>
      <c r="L421" s="33"/>
      <c r="M421" s="33"/>
      <c r="N421" s="33"/>
      <c r="O421" s="33"/>
      <c r="P421" s="33"/>
      <c r="Q421" s="33"/>
      <c r="R421" s="33"/>
      <c r="S421" s="33"/>
      <c r="T421" s="33"/>
      <c r="U421" s="33"/>
      <c r="V421" s="33"/>
      <c r="W421" s="33"/>
    </row>
    <row r="422" spans="1:23" ht="15.4" customHeight="1" x14ac:dyDescent="0.25">
      <c r="A422" s="33"/>
      <c r="B422" s="606" t="s">
        <v>569</v>
      </c>
      <c r="C422" s="606"/>
      <c r="D422" s="606"/>
      <c r="E422" s="606"/>
      <c r="F422" s="606"/>
      <c r="G422" s="606"/>
      <c r="H422" s="606"/>
      <c r="I422" s="606"/>
      <c r="J422" s="606"/>
      <c r="K422" s="606"/>
      <c r="L422" s="606"/>
      <c r="M422" s="606"/>
      <c r="N422" s="606"/>
      <c r="O422" s="606"/>
      <c r="P422" s="33"/>
      <c r="Q422" s="33"/>
      <c r="R422" s="33"/>
      <c r="S422" s="33"/>
      <c r="T422" s="33"/>
      <c r="U422" s="33"/>
      <c r="V422" s="33"/>
      <c r="W422" s="33"/>
    </row>
    <row r="423" spans="1:23" ht="15.4" customHeight="1" x14ac:dyDescent="0.25">
      <c r="A423" s="33"/>
      <c r="B423" s="606" t="s">
        <v>701</v>
      </c>
      <c r="C423" s="606"/>
      <c r="D423" s="606"/>
      <c r="E423" s="606"/>
      <c r="F423" s="606"/>
      <c r="G423" s="606"/>
      <c r="H423" s="606"/>
      <c r="I423" s="606"/>
      <c r="J423" s="606"/>
      <c r="K423" s="606"/>
      <c r="L423" s="606"/>
      <c r="M423" s="606"/>
      <c r="N423" s="606"/>
      <c r="O423" s="606"/>
      <c r="P423" s="33"/>
      <c r="Q423" s="33"/>
      <c r="R423" s="33"/>
      <c r="S423" s="33"/>
      <c r="T423" s="33"/>
      <c r="U423" s="33"/>
      <c r="V423" s="33"/>
      <c r="W423" s="33"/>
    </row>
    <row r="424" spans="1:23" ht="15.4" customHeight="1" x14ac:dyDescent="0.25">
      <c r="A424" s="33"/>
      <c r="B424" s="194" t="s">
        <v>854</v>
      </c>
      <c r="C424" s="33"/>
      <c r="D424" s="33"/>
      <c r="E424" s="33"/>
      <c r="F424" s="33"/>
      <c r="G424" s="33"/>
      <c r="H424" s="33"/>
      <c r="I424" s="33"/>
      <c r="J424" s="33"/>
      <c r="K424" s="33"/>
      <c r="L424" s="33"/>
      <c r="M424" s="33"/>
      <c r="N424" s="33"/>
      <c r="O424" s="33"/>
      <c r="P424" s="33"/>
      <c r="Q424" s="33"/>
      <c r="R424" s="33"/>
      <c r="S424" s="33"/>
      <c r="T424" s="33"/>
      <c r="U424" s="33"/>
      <c r="V424" s="33"/>
      <c r="W424" s="33"/>
    </row>
    <row r="425" spans="1:23" ht="15.4" customHeight="1" x14ac:dyDescent="0.25">
      <c r="A425" s="33"/>
      <c r="B425" s="194" t="s">
        <v>196</v>
      </c>
      <c r="C425" s="33"/>
      <c r="D425" s="33"/>
      <c r="E425" s="33"/>
      <c r="F425" s="33"/>
      <c r="G425" s="33"/>
      <c r="H425" s="33"/>
      <c r="I425" s="33"/>
      <c r="J425" s="33"/>
      <c r="K425" s="33"/>
      <c r="L425" s="33"/>
      <c r="M425" s="33"/>
      <c r="N425" s="33"/>
      <c r="O425" s="33"/>
      <c r="P425" s="33"/>
      <c r="Q425" s="33"/>
      <c r="R425" s="33"/>
      <c r="S425" s="33"/>
      <c r="T425" s="33"/>
      <c r="U425" s="33"/>
      <c r="V425" s="33"/>
      <c r="W425" s="33"/>
    </row>
    <row r="426" spans="1:23" ht="15.4" customHeight="1" x14ac:dyDescent="0.25">
      <c r="A426" s="33"/>
      <c r="B426" s="194" t="s">
        <v>806</v>
      </c>
      <c r="C426" s="33"/>
      <c r="D426" s="33"/>
      <c r="E426" s="33"/>
      <c r="F426" s="33"/>
      <c r="G426" s="33"/>
      <c r="H426" s="33"/>
      <c r="I426" s="33"/>
      <c r="J426" s="33"/>
      <c r="K426" s="33"/>
      <c r="L426" s="33"/>
      <c r="M426" s="33"/>
      <c r="N426" s="33"/>
      <c r="O426" s="33"/>
      <c r="P426" s="33"/>
      <c r="Q426" s="33"/>
      <c r="R426" s="33"/>
      <c r="S426" s="33"/>
      <c r="T426" s="33"/>
      <c r="U426" s="33"/>
      <c r="V426" s="33"/>
      <c r="W426" s="33"/>
    </row>
    <row r="427" spans="1:23" ht="15.4" customHeight="1" x14ac:dyDescent="0.25">
      <c r="A427" s="33"/>
      <c r="B427" s="194" t="s">
        <v>394</v>
      </c>
      <c r="C427" s="33"/>
      <c r="D427" s="33"/>
      <c r="E427" s="33"/>
      <c r="F427" s="33"/>
      <c r="G427" s="33"/>
      <c r="H427" s="33"/>
      <c r="I427" s="33"/>
      <c r="J427" s="33"/>
      <c r="K427" s="33"/>
      <c r="L427" s="33"/>
      <c r="M427" s="33"/>
      <c r="N427" s="33"/>
      <c r="O427" s="33"/>
      <c r="P427" s="33"/>
      <c r="Q427" s="33"/>
      <c r="R427" s="33"/>
      <c r="S427" s="33"/>
      <c r="T427" s="33"/>
      <c r="U427" s="33"/>
      <c r="V427" s="33"/>
      <c r="W427" s="33"/>
    </row>
    <row r="428" spans="1:23" ht="15.4" customHeight="1" x14ac:dyDescent="0.25">
      <c r="A428" s="33"/>
      <c r="B428" s="194" t="s">
        <v>809</v>
      </c>
      <c r="C428" s="33"/>
      <c r="D428" s="33"/>
      <c r="E428" s="33"/>
      <c r="F428" s="33"/>
      <c r="G428" s="33"/>
      <c r="H428" s="33"/>
      <c r="I428" s="33"/>
      <c r="J428" s="33"/>
      <c r="K428" s="33"/>
      <c r="L428" s="33"/>
      <c r="M428" s="33"/>
      <c r="N428" s="33"/>
      <c r="O428" s="33"/>
      <c r="P428" s="33"/>
      <c r="Q428" s="33"/>
      <c r="R428" s="33"/>
      <c r="S428" s="33"/>
      <c r="T428" s="33"/>
      <c r="U428" s="33"/>
      <c r="V428" s="33"/>
      <c r="W428" s="33"/>
    </row>
    <row r="429" spans="1:23" ht="15.4" customHeight="1" x14ac:dyDescent="0.25">
      <c r="A429" s="33"/>
      <c r="B429" s="194" t="s">
        <v>553</v>
      </c>
      <c r="C429" s="33"/>
      <c r="D429" s="33"/>
      <c r="E429" s="33"/>
      <c r="F429" s="33"/>
      <c r="G429" s="33"/>
      <c r="H429" s="33"/>
      <c r="I429" s="33"/>
      <c r="J429" s="33"/>
      <c r="K429" s="33"/>
      <c r="L429" s="33"/>
      <c r="M429" s="33"/>
      <c r="N429" s="33"/>
      <c r="O429" s="33"/>
      <c r="P429" s="33"/>
      <c r="Q429" s="33"/>
      <c r="R429" s="33"/>
      <c r="S429" s="33"/>
      <c r="T429" s="33"/>
      <c r="U429" s="33"/>
      <c r="V429" s="33"/>
      <c r="W429" s="33"/>
    </row>
    <row r="430" spans="1:23" ht="15.4" customHeight="1" x14ac:dyDescent="0.25">
      <c r="A430" s="33"/>
      <c r="B430" s="194" t="s">
        <v>403</v>
      </c>
      <c r="C430" s="33"/>
      <c r="D430" s="33"/>
      <c r="E430" s="33"/>
      <c r="F430" s="33"/>
      <c r="G430" s="33"/>
      <c r="H430" s="33"/>
      <c r="I430" s="33"/>
      <c r="J430" s="33"/>
      <c r="K430" s="33"/>
      <c r="L430" s="33"/>
      <c r="M430" s="33"/>
      <c r="N430" s="33"/>
      <c r="O430" s="33"/>
      <c r="P430" s="33"/>
      <c r="Q430" s="33"/>
      <c r="R430" s="33"/>
      <c r="S430" s="33"/>
      <c r="T430" s="33"/>
      <c r="U430" s="33"/>
      <c r="V430" s="33"/>
      <c r="W430" s="33"/>
    </row>
    <row r="431" spans="1:23" ht="15.4" customHeight="1" x14ac:dyDescent="0.25">
      <c r="A431" s="33"/>
      <c r="B431" s="194" t="s">
        <v>416</v>
      </c>
      <c r="C431" s="33"/>
      <c r="D431" s="33"/>
      <c r="E431" s="33"/>
      <c r="F431" s="33"/>
      <c r="G431" s="33"/>
      <c r="H431" s="33"/>
      <c r="I431" s="33"/>
      <c r="J431" s="33"/>
      <c r="K431" s="33"/>
      <c r="L431" s="33"/>
      <c r="M431" s="33"/>
      <c r="N431" s="33"/>
      <c r="O431" s="33"/>
      <c r="P431" s="33"/>
      <c r="Q431" s="33"/>
      <c r="R431" s="33"/>
      <c r="S431" s="33"/>
      <c r="T431" s="33"/>
      <c r="U431" s="33"/>
      <c r="V431" s="33"/>
      <c r="W431" s="33"/>
    </row>
    <row r="432" spans="1:23" ht="15.4" customHeight="1" x14ac:dyDescent="0.25">
      <c r="A432" s="33"/>
      <c r="B432" s="194"/>
      <c r="C432" s="33"/>
      <c r="D432" s="33"/>
      <c r="E432" s="33"/>
      <c r="F432" s="33"/>
      <c r="G432" s="33"/>
      <c r="H432" s="33"/>
      <c r="I432" s="33"/>
      <c r="J432" s="33"/>
      <c r="K432" s="33"/>
      <c r="L432" s="33"/>
      <c r="M432" s="33"/>
      <c r="N432" s="33"/>
      <c r="O432" s="33"/>
      <c r="P432" s="33"/>
      <c r="Q432" s="33"/>
      <c r="R432" s="33"/>
      <c r="S432" s="33"/>
      <c r="T432" s="33"/>
      <c r="U432" s="33"/>
      <c r="V432" s="33"/>
      <c r="W432" s="33"/>
    </row>
    <row r="433" spans="1:23" ht="15.4" customHeight="1" x14ac:dyDescent="0.25">
      <c r="A433" s="33"/>
      <c r="B433" s="707" t="s">
        <v>367</v>
      </c>
      <c r="C433" s="707"/>
      <c r="D433" s="707"/>
      <c r="E433" s="707"/>
      <c r="F433" s="707"/>
      <c r="G433" s="707"/>
      <c r="H433" s="707"/>
      <c r="I433" s="707"/>
      <c r="J433" s="707"/>
      <c r="K433" s="707"/>
      <c r="L433" s="707"/>
      <c r="M433" s="707"/>
      <c r="N433" s="707"/>
      <c r="O433" s="33"/>
      <c r="P433" s="33"/>
      <c r="Q433" s="33"/>
      <c r="R433" s="33"/>
      <c r="S433" s="33"/>
      <c r="T433" s="33"/>
      <c r="U433" s="33"/>
      <c r="V433" s="33"/>
      <c r="W433" s="33"/>
    </row>
    <row r="434" spans="1:23" ht="15.4" customHeight="1" x14ac:dyDescent="0.25">
      <c r="A434" s="33"/>
      <c r="B434" s="33"/>
      <c r="C434" s="33"/>
      <c r="D434" s="33"/>
      <c r="E434" s="33"/>
      <c r="F434" s="33"/>
      <c r="G434" s="33"/>
      <c r="H434" s="33"/>
      <c r="I434" s="33"/>
      <c r="J434" s="33"/>
      <c r="K434" s="33"/>
      <c r="L434" s="33"/>
      <c r="M434" s="33"/>
      <c r="N434" s="33"/>
      <c r="O434" s="33"/>
      <c r="P434" s="33"/>
      <c r="Q434" s="33"/>
      <c r="R434" s="33"/>
      <c r="S434" s="33"/>
      <c r="T434" s="33"/>
      <c r="U434" s="33"/>
      <c r="V434" s="33"/>
      <c r="W434" s="33"/>
    </row>
    <row r="435" spans="1:23" ht="15.4" customHeight="1" x14ac:dyDescent="0.25">
      <c r="A435" s="317"/>
      <c r="B435" s="317"/>
      <c r="C435" s="317" t="s">
        <v>364</v>
      </c>
      <c r="D435" s="317"/>
      <c r="E435" s="317"/>
      <c r="F435" s="317"/>
      <c r="G435" s="317"/>
      <c r="H435" s="317"/>
      <c r="I435" s="317"/>
      <c r="J435" s="313" t="s">
        <v>378</v>
      </c>
      <c r="K435" s="313" t="s">
        <v>26</v>
      </c>
      <c r="L435" s="313" t="s">
        <v>510</v>
      </c>
      <c r="M435" s="33"/>
      <c r="N435" s="33"/>
      <c r="O435" s="33"/>
      <c r="P435" s="33"/>
      <c r="Q435" s="33"/>
      <c r="R435" s="33"/>
      <c r="S435" s="33"/>
      <c r="T435" s="33"/>
      <c r="U435" s="33"/>
      <c r="V435" s="33"/>
      <c r="W435" s="33"/>
    </row>
    <row r="436" spans="1:23" ht="30.75" customHeight="1" x14ac:dyDescent="0.25">
      <c r="A436" s="23" t="s">
        <v>695</v>
      </c>
      <c r="B436" s="220" t="s">
        <v>217</v>
      </c>
      <c r="C436" s="23">
        <v>5</v>
      </c>
      <c r="D436" s="23">
        <v>10</v>
      </c>
      <c r="E436" s="23">
        <v>50</v>
      </c>
      <c r="F436" s="23">
        <v>100</v>
      </c>
      <c r="G436" s="23">
        <v>500</v>
      </c>
      <c r="H436" s="23">
        <v>1000</v>
      </c>
      <c r="I436" s="36">
        <v>10000</v>
      </c>
      <c r="J436" s="23">
        <f>THKP_TT11_2021!K63/1000000000</f>
        <v>1.5314970000000001</v>
      </c>
      <c r="K436" s="23">
        <f>IF(J436&lt;D436,5,IF(J436&gt;I436,I436,HLOOKUP(J436,D436:I436,1)))</f>
        <v>5</v>
      </c>
      <c r="L436" s="23">
        <f>IF(J436&lt;5,5,IF(J436&lt;10,10,IF(J436&gt;I436,I436,INDEX(D436:I436,MATCH(J436,D436:I436,1)+1))))</f>
        <v>5</v>
      </c>
      <c r="M436" s="374"/>
      <c r="N436" s="199"/>
      <c r="O436" s="33"/>
      <c r="P436" s="33"/>
      <c r="Q436" s="33"/>
      <c r="R436" s="33"/>
      <c r="S436" s="33"/>
      <c r="T436" s="33"/>
      <c r="U436" s="33"/>
      <c r="V436" s="33"/>
      <c r="W436" s="33"/>
    </row>
    <row r="437" spans="1:23" ht="15.4" customHeight="1" x14ac:dyDescent="0.25">
      <c r="A437" s="35">
        <v>1</v>
      </c>
      <c r="B437" s="317" t="s">
        <v>604</v>
      </c>
      <c r="C437" s="577">
        <v>9.5999999999999992E-3</v>
      </c>
      <c r="D437" s="577">
        <v>6.45E-3</v>
      </c>
      <c r="E437" s="577">
        <v>4.4999999999999997E-3</v>
      </c>
      <c r="F437" s="577">
        <v>3.4499999999999999E-3</v>
      </c>
      <c r="G437" s="577">
        <v>1.9499999999999999E-3</v>
      </c>
      <c r="H437" s="577">
        <v>1.2899999999999999E-3</v>
      </c>
      <c r="I437" s="577">
        <v>6.8999999999999997E-4</v>
      </c>
      <c r="J437" s="578">
        <f t="shared" ref="J437:J438" si="99">IF(L$436=K$436,K437,ROUND(K437-((K437-L437)/(L$436-K$436))*(J$436-K$436),5))</f>
        <v>9.5999999999999992E-3</v>
      </c>
      <c r="K437" s="578">
        <f>HLOOKUP($K$436,$C$436:$I$437,2)</f>
        <v>9.5999999999999992E-3</v>
      </c>
      <c r="L437" s="578">
        <f>HLOOKUP($L$436,$C$436:$I$437,2)</f>
        <v>9.5999999999999992E-3</v>
      </c>
      <c r="M437" s="33"/>
      <c r="N437" s="33"/>
      <c r="O437" s="33"/>
      <c r="P437" s="33"/>
      <c r="Q437" s="33"/>
      <c r="R437" s="33"/>
      <c r="S437" s="33"/>
      <c r="T437" s="33"/>
      <c r="U437" s="33"/>
      <c r="V437" s="33"/>
      <c r="W437" s="33"/>
    </row>
    <row r="438" spans="1:23" ht="30.6" customHeight="1" x14ac:dyDescent="0.25">
      <c r="A438" s="466">
        <v>2</v>
      </c>
      <c r="B438" s="359" t="s">
        <v>640</v>
      </c>
      <c r="C438" s="73">
        <v>5.7000000000000002E-3</v>
      </c>
      <c r="D438" s="73">
        <v>3.8999999999999998E-3</v>
      </c>
      <c r="E438" s="577">
        <v>2.8500000000000001E-3</v>
      </c>
      <c r="F438" s="73">
        <v>2.2499999999999998E-3</v>
      </c>
      <c r="G438" s="73">
        <v>1.3500000000000001E-3</v>
      </c>
      <c r="H438" s="73">
        <v>8.9999999999999998E-4</v>
      </c>
      <c r="I438" s="73">
        <v>4.8000000000000001E-4</v>
      </c>
      <c r="J438" s="578">
        <f t="shared" si="99"/>
        <v>5.7000000000000002E-3</v>
      </c>
      <c r="K438" s="578">
        <f>HLOOKUP($K$436,$C$436:$I$438,3)</f>
        <v>5.7000000000000002E-3</v>
      </c>
      <c r="L438" s="578">
        <f>HLOOKUP($L$436,$C$436:$I$438,3)</f>
        <v>5.7000000000000002E-3</v>
      </c>
      <c r="M438" s="33"/>
      <c r="N438" s="33"/>
      <c r="O438" s="33"/>
      <c r="P438" s="33"/>
      <c r="Q438" s="33"/>
      <c r="R438" s="33"/>
      <c r="S438" s="33"/>
      <c r="T438" s="33"/>
      <c r="U438" s="33"/>
      <c r="V438" s="33"/>
      <c r="W438" s="33"/>
    </row>
    <row r="439" spans="1:23" ht="15.4" customHeight="1" x14ac:dyDescent="0.25">
      <c r="A439" s="33"/>
      <c r="B439" s="33"/>
      <c r="C439" s="33"/>
      <c r="D439" s="33"/>
      <c r="E439" s="33"/>
      <c r="F439" s="33"/>
      <c r="G439" s="33"/>
      <c r="H439" s="33"/>
      <c r="I439" s="33"/>
      <c r="J439" s="33"/>
      <c r="K439" s="33"/>
      <c r="L439" s="33"/>
      <c r="M439" s="33"/>
      <c r="N439" s="33"/>
      <c r="O439" s="33"/>
      <c r="P439" s="33"/>
      <c r="Q439" s="33"/>
      <c r="R439" s="33"/>
      <c r="S439" s="33"/>
      <c r="T439" s="33"/>
      <c r="U439" s="33"/>
      <c r="V439" s="33"/>
      <c r="W439" s="33"/>
    </row>
    <row r="440" spans="1:23" ht="15.4" customHeight="1" x14ac:dyDescent="0.25">
      <c r="A440" s="33"/>
      <c r="B440" s="33"/>
      <c r="C440" s="33"/>
      <c r="D440" s="33"/>
      <c r="E440" s="33"/>
      <c r="F440" s="33"/>
      <c r="G440" s="33"/>
      <c r="H440" s="33"/>
      <c r="I440" s="33"/>
      <c r="J440" s="373"/>
      <c r="K440" s="33"/>
      <c r="L440" s="33"/>
      <c r="M440" s="33"/>
      <c r="N440" s="33"/>
      <c r="O440" s="33"/>
      <c r="P440" s="33"/>
      <c r="Q440" s="33"/>
      <c r="R440" s="33"/>
      <c r="S440" s="33"/>
      <c r="T440" s="33"/>
      <c r="U440" s="33"/>
      <c r="V440" s="33"/>
      <c r="W440" s="33"/>
    </row>
  </sheetData>
  <mergeCells count="170">
    <mergeCell ref="A1:B1"/>
    <mergeCell ref="C1:D1"/>
    <mergeCell ref="A2:B2"/>
    <mergeCell ref="C2:D2"/>
    <mergeCell ref="A6:B6"/>
    <mergeCell ref="C6:D6"/>
    <mergeCell ref="A3:B3"/>
    <mergeCell ref="C3:D3"/>
    <mergeCell ref="A4:B4"/>
    <mergeCell ref="C4:D4"/>
    <mergeCell ref="A5:B5"/>
    <mergeCell ref="C5:D5"/>
    <mergeCell ref="A7:B7"/>
    <mergeCell ref="C7:D7"/>
    <mergeCell ref="A8:B8"/>
    <mergeCell ref="C8:D8"/>
    <mergeCell ref="A41:O41"/>
    <mergeCell ref="A42:B42"/>
    <mergeCell ref="I43:L43"/>
    <mergeCell ref="A45:A46"/>
    <mergeCell ref="B45:B46"/>
    <mergeCell ref="A47:K47"/>
    <mergeCell ref="A67:B67"/>
    <mergeCell ref="A11:N11"/>
    <mergeCell ref="A12:N12"/>
    <mergeCell ref="A53:K53"/>
    <mergeCell ref="A59:K59"/>
    <mergeCell ref="C45:K45"/>
    <mergeCell ref="A21:N21"/>
    <mergeCell ref="A22:N22"/>
    <mergeCell ref="A24:M24"/>
    <mergeCell ref="A39:N39"/>
    <mergeCell ref="A38:N38"/>
    <mergeCell ref="A14:M14"/>
    <mergeCell ref="A31:M31"/>
    <mergeCell ref="A172:N172"/>
    <mergeCell ref="A137:K137"/>
    <mergeCell ref="A143:K143"/>
    <mergeCell ref="A151:B151"/>
    <mergeCell ref="I68:L68"/>
    <mergeCell ref="A70:A71"/>
    <mergeCell ref="B70:B71"/>
    <mergeCell ref="C70:K70"/>
    <mergeCell ref="A90:N90"/>
    <mergeCell ref="C93:I93"/>
    <mergeCell ref="A72:K72"/>
    <mergeCell ref="A78:K78"/>
    <mergeCell ref="A86:N86"/>
    <mergeCell ref="A87:N87"/>
    <mergeCell ref="I91:L91"/>
    <mergeCell ref="A93:A94"/>
    <mergeCell ref="B93:B94"/>
    <mergeCell ref="A89:O89"/>
    <mergeCell ref="A101:N101"/>
    <mergeCell ref="A132:B132"/>
    <mergeCell ref="I133:L133"/>
    <mergeCell ref="A135:A136"/>
    <mergeCell ref="B135:B136"/>
    <mergeCell ref="C135:K135"/>
    <mergeCell ref="A102:N102"/>
    <mergeCell ref="B189:B190"/>
    <mergeCell ref="C189:N189"/>
    <mergeCell ref="K175:N175"/>
    <mergeCell ref="A104:M104"/>
    <mergeCell ref="A111:M111"/>
    <mergeCell ref="A118:N118"/>
    <mergeCell ref="A119:N119"/>
    <mergeCell ref="A121:M121"/>
    <mergeCell ref="A128:N128"/>
    <mergeCell ref="A129:N129"/>
    <mergeCell ref="A131:O131"/>
    <mergeCell ref="B154:B155"/>
    <mergeCell ref="A174:G174"/>
    <mergeCell ref="C154:K154"/>
    <mergeCell ref="A156:K156"/>
    <mergeCell ref="A162:K162"/>
    <mergeCell ref="A171:N171"/>
    <mergeCell ref="B225:B226"/>
    <mergeCell ref="C225:M225"/>
    <mergeCell ref="B228:M228"/>
    <mergeCell ref="C211:F211"/>
    <mergeCell ref="A213:A214"/>
    <mergeCell ref="B213:B214"/>
    <mergeCell ref="C213:F213"/>
    <mergeCell ref="A222:G222"/>
    <mergeCell ref="I152:L152"/>
    <mergeCell ref="A154:A155"/>
    <mergeCell ref="A177:A178"/>
    <mergeCell ref="B177:B178"/>
    <mergeCell ref="C177:N177"/>
    <mergeCell ref="A186:G186"/>
    <mergeCell ref="A198:G198"/>
    <mergeCell ref="J223:M223"/>
    <mergeCell ref="A225:A226"/>
    <mergeCell ref="K199:N199"/>
    <mergeCell ref="A201:A202"/>
    <mergeCell ref="B201:B202"/>
    <mergeCell ref="C201:N201"/>
    <mergeCell ref="A210:G210"/>
    <mergeCell ref="K187:N187"/>
    <mergeCell ref="A189:A190"/>
    <mergeCell ref="A330:M330"/>
    <mergeCell ref="I331:M331"/>
    <mergeCell ref="B247:M247"/>
    <mergeCell ref="B254:M254"/>
    <mergeCell ref="B260:M260"/>
    <mergeCell ref="B267:M267"/>
    <mergeCell ref="B273:M273"/>
    <mergeCell ref="B280:M280"/>
    <mergeCell ref="B234:M234"/>
    <mergeCell ref="A294:M294"/>
    <mergeCell ref="K295:N295"/>
    <mergeCell ref="A297:A298"/>
    <mergeCell ref="B297:B298"/>
    <mergeCell ref="C297:N297"/>
    <mergeCell ref="B286:M286"/>
    <mergeCell ref="B241:M241"/>
    <mergeCell ref="A306:M306"/>
    <mergeCell ref="K307:N307"/>
    <mergeCell ref="A309:A310"/>
    <mergeCell ref="B309:B310"/>
    <mergeCell ref="C309:N309"/>
    <mergeCell ref="A318:N318"/>
    <mergeCell ref="I319:M319"/>
    <mergeCell ref="A321:A322"/>
    <mergeCell ref="B321:B322"/>
    <mergeCell ref="C321:M321"/>
    <mergeCell ref="A386:M386"/>
    <mergeCell ref="I387:M387"/>
    <mergeCell ref="A389:A390"/>
    <mergeCell ref="B389:B390"/>
    <mergeCell ref="C389:M389"/>
    <mergeCell ref="A333:A334"/>
    <mergeCell ref="B333:B334"/>
    <mergeCell ref="C333:M333"/>
    <mergeCell ref="A342:M342"/>
    <mergeCell ref="H343:I343"/>
    <mergeCell ref="A345:A346"/>
    <mergeCell ref="B345:B346"/>
    <mergeCell ref="C345:I345"/>
    <mergeCell ref="A350:M350"/>
    <mergeCell ref="I351:J351"/>
    <mergeCell ref="A353:A354"/>
    <mergeCell ref="B353:B354"/>
    <mergeCell ref="C353:J353"/>
    <mergeCell ref="A362:M362"/>
    <mergeCell ref="I363:J363"/>
    <mergeCell ref="A365:A366"/>
    <mergeCell ref="B365:B366"/>
    <mergeCell ref="C365:J365"/>
    <mergeCell ref="A374:M374"/>
    <mergeCell ref="I375:M375"/>
    <mergeCell ref="A377:A378"/>
    <mergeCell ref="B377:B378"/>
    <mergeCell ref="C377:M377"/>
    <mergeCell ref="B433:N433"/>
    <mergeCell ref="B422:O422"/>
    <mergeCell ref="B423:O423"/>
    <mergeCell ref="A398:M398"/>
    <mergeCell ref="F399:G399"/>
    <mergeCell ref="A401:A402"/>
    <mergeCell ref="B401:B402"/>
    <mergeCell ref="C401:G401"/>
    <mergeCell ref="A406:N406"/>
    <mergeCell ref="A407:N407"/>
    <mergeCell ref="A409:N409"/>
    <mergeCell ref="I410:K410"/>
    <mergeCell ref="A412:A413"/>
    <mergeCell ref="B412:B413"/>
    <mergeCell ref="C412:H412"/>
  </mergeCells>
  <pageMargins left="0.7" right="0.7" top="0.75" bottom="0.75" header="0.3" footer="0.3"/>
  <pageSetup paperSize="9" orientation="portrait"/>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35"/>
  <sheetViews>
    <sheetView showZeros="0" workbookViewId="0">
      <selection activeCell="B1" sqref="B1"/>
    </sheetView>
  </sheetViews>
  <sheetFormatPr defaultRowHeight="15" x14ac:dyDescent="0.25"/>
  <cols>
    <col min="1" max="1" width="5.85546875" customWidth="1"/>
    <col min="2" max="2" width="11.85546875" customWidth="1"/>
    <col min="3" max="3" width="60.85546875" customWidth="1"/>
    <col min="4" max="4" width="7.85546875" customWidth="1"/>
    <col min="5" max="9" width="9.85546875" customWidth="1"/>
    <col min="10" max="11" width="11.85546875" customWidth="1"/>
    <col min="12" max="16" width="13.85546875" customWidth="1"/>
    <col min="17" max="17" width="11.85546875" customWidth="1"/>
    <col min="18" max="18" width="9.42578125" customWidth="1"/>
  </cols>
  <sheetData>
    <row r="1" spans="1:18" ht="55.15" customHeight="1" x14ac:dyDescent="0.3">
      <c r="A1" s="394"/>
      <c r="B1" s="394"/>
      <c r="C1" s="394"/>
      <c r="D1" s="394"/>
      <c r="E1" s="394"/>
      <c r="F1" s="394"/>
      <c r="G1" s="394"/>
      <c r="H1" s="394"/>
      <c r="I1" s="394"/>
      <c r="J1" s="394"/>
      <c r="K1" s="394"/>
      <c r="L1" s="394"/>
      <c r="M1" s="394"/>
      <c r="N1" s="394"/>
      <c r="O1" s="394"/>
      <c r="P1" s="740" t="s">
        <v>943</v>
      </c>
      <c r="Q1" s="740"/>
      <c r="R1" s="183"/>
    </row>
    <row r="2" spans="1:18" ht="17.649999999999999" customHeight="1" x14ac:dyDescent="0.3">
      <c r="A2" s="738" t="s">
        <v>213</v>
      </c>
      <c r="B2" s="733"/>
      <c r="C2" s="733"/>
      <c r="D2" s="733"/>
      <c r="E2" s="733"/>
      <c r="F2" s="733"/>
      <c r="G2" s="733"/>
      <c r="H2" s="733"/>
      <c r="I2" s="733"/>
      <c r="J2" s="733"/>
      <c r="K2" s="733"/>
      <c r="L2" s="733"/>
      <c r="M2" s="733"/>
      <c r="N2" s="733"/>
      <c r="O2" s="733"/>
      <c r="P2" s="733"/>
      <c r="Q2" s="733"/>
      <c r="R2" s="539"/>
    </row>
    <row r="3" spans="1:18" ht="15.4" customHeight="1" x14ac:dyDescent="0.25">
      <c r="A3" s="732" t="s">
        <v>117</v>
      </c>
      <c r="B3" s="733"/>
      <c r="C3" s="733"/>
      <c r="D3" s="733"/>
      <c r="E3" s="733"/>
      <c r="F3" s="733"/>
      <c r="G3" s="733"/>
      <c r="H3" s="733"/>
      <c r="I3" s="733"/>
      <c r="J3" s="733"/>
      <c r="K3" s="733"/>
      <c r="L3" s="733"/>
      <c r="M3" s="733"/>
      <c r="N3" s="733"/>
      <c r="O3" s="733"/>
      <c r="P3" s="733"/>
      <c r="Q3" s="733"/>
      <c r="R3" s="539"/>
    </row>
    <row r="4" spans="1:18" ht="15.4" customHeight="1" x14ac:dyDescent="0.25">
      <c r="A4" s="732" t="s">
        <v>31</v>
      </c>
      <c r="B4" s="732"/>
      <c r="C4" s="732"/>
      <c r="D4" s="732"/>
      <c r="E4" s="732"/>
      <c r="F4" s="732"/>
      <c r="G4" s="732"/>
      <c r="H4" s="732"/>
      <c r="I4" s="732"/>
      <c r="J4" s="732"/>
      <c r="K4" s="732"/>
      <c r="L4" s="732"/>
      <c r="M4" s="732"/>
      <c r="N4" s="732"/>
      <c r="O4" s="732"/>
      <c r="P4" s="732"/>
      <c r="Q4" s="732"/>
      <c r="R4" s="539"/>
    </row>
    <row r="5" spans="1:18" ht="14.45" customHeight="1" x14ac:dyDescent="0.25">
      <c r="A5" s="390" t="s">
        <v>149</v>
      </c>
      <c r="B5" s="486"/>
      <c r="C5" s="486"/>
      <c r="D5" s="486"/>
      <c r="E5" s="486"/>
      <c r="F5" s="486"/>
      <c r="G5" s="486"/>
      <c r="H5" s="486"/>
      <c r="I5" s="486"/>
      <c r="J5" s="486"/>
      <c r="K5" s="486"/>
      <c r="L5" s="486"/>
      <c r="M5" s="486"/>
      <c r="N5" s="486"/>
      <c r="O5" s="486"/>
      <c r="P5" s="486"/>
      <c r="Q5" s="486"/>
      <c r="R5" s="539"/>
    </row>
    <row r="6" spans="1:18" ht="14.45" customHeight="1" x14ac:dyDescent="0.25">
      <c r="A6" s="390" t="s">
        <v>707</v>
      </c>
      <c r="B6" s="486"/>
      <c r="C6" s="486"/>
      <c r="D6" s="486"/>
      <c r="E6" s="486"/>
      <c r="F6" s="486"/>
      <c r="G6" s="486"/>
      <c r="H6" s="486"/>
      <c r="I6" s="486"/>
      <c r="J6" s="486"/>
      <c r="K6" s="486"/>
      <c r="L6" s="486"/>
      <c r="M6" s="486"/>
      <c r="N6" s="486"/>
      <c r="O6" s="486"/>
      <c r="P6" s="486"/>
      <c r="Q6" s="486"/>
      <c r="R6" s="539"/>
    </row>
    <row r="7" spans="1:18" ht="14.45" customHeight="1" x14ac:dyDescent="0.25">
      <c r="A7" s="390" t="s">
        <v>50</v>
      </c>
      <c r="B7" s="486"/>
      <c r="C7" s="486"/>
      <c r="D7" s="390" t="s">
        <v>869</v>
      </c>
      <c r="E7" s="486"/>
      <c r="F7" s="486"/>
      <c r="G7" s="486"/>
      <c r="H7" s="486"/>
      <c r="I7" s="486"/>
      <c r="J7" s="486"/>
      <c r="K7" s="486"/>
      <c r="L7" s="486"/>
      <c r="M7" s="486"/>
      <c r="N7" s="486"/>
      <c r="O7" s="486"/>
      <c r="P7" s="486"/>
      <c r="Q7" s="486"/>
      <c r="R7" s="539"/>
    </row>
    <row r="8" spans="1:18" ht="14.45" customHeight="1" x14ac:dyDescent="0.25">
      <c r="A8" s="390" t="s">
        <v>320</v>
      </c>
      <c r="B8" s="486"/>
      <c r="C8" s="486"/>
      <c r="D8" s="486"/>
      <c r="E8" s="486"/>
      <c r="F8" s="486"/>
      <c r="G8" s="486"/>
      <c r="H8" s="486"/>
      <c r="I8" s="486"/>
      <c r="J8" s="486"/>
      <c r="K8" s="486"/>
      <c r="L8" s="486"/>
      <c r="M8" s="486"/>
      <c r="N8" s="486"/>
      <c r="O8" s="486"/>
      <c r="P8" s="486"/>
      <c r="Q8" s="486"/>
      <c r="R8" s="539"/>
    </row>
    <row r="9" spans="1:18" ht="14.45" customHeight="1" x14ac:dyDescent="0.25">
      <c r="A9" s="390" t="s">
        <v>457</v>
      </c>
      <c r="B9" s="486"/>
      <c r="C9" s="486"/>
      <c r="D9" s="486"/>
      <c r="E9" s="486"/>
      <c r="F9" s="486"/>
      <c r="G9" s="486"/>
      <c r="H9" s="486"/>
      <c r="I9" s="486"/>
      <c r="J9" s="486"/>
      <c r="K9" s="486"/>
      <c r="L9" s="486"/>
      <c r="M9" s="486"/>
      <c r="N9" s="486"/>
      <c r="O9" s="486"/>
      <c r="P9" s="486"/>
      <c r="Q9" s="486"/>
      <c r="R9" s="539"/>
    </row>
    <row r="10" spans="1:18" ht="14.45" customHeight="1" x14ac:dyDescent="0.25">
      <c r="A10" s="390" t="s">
        <v>711</v>
      </c>
      <c r="B10" s="486"/>
      <c r="C10" s="486"/>
      <c r="D10" s="486"/>
      <c r="E10" s="486"/>
      <c r="F10" s="486"/>
      <c r="G10" s="486"/>
      <c r="H10" s="486"/>
      <c r="I10" s="486"/>
      <c r="J10" s="486"/>
      <c r="K10" s="486"/>
      <c r="L10" s="486"/>
      <c r="M10" s="486"/>
      <c r="N10" s="486"/>
      <c r="O10" s="486"/>
      <c r="P10" s="486"/>
      <c r="Q10" s="486"/>
      <c r="R10" s="539"/>
    </row>
    <row r="11" spans="1:18" ht="14.45" customHeight="1" x14ac:dyDescent="0.25">
      <c r="A11" s="390" t="s">
        <v>175</v>
      </c>
      <c r="B11" s="486"/>
      <c r="C11" s="486"/>
      <c r="D11" s="486"/>
      <c r="E11" s="486"/>
      <c r="F11" s="486"/>
      <c r="G11" s="486"/>
      <c r="H11" s="486"/>
      <c r="I11" s="486"/>
      <c r="J11" s="486"/>
      <c r="K11" s="486"/>
      <c r="L11" s="486"/>
      <c r="M11" s="486"/>
      <c r="N11" s="486"/>
      <c r="O11" s="486"/>
      <c r="P11" s="486"/>
      <c r="Q11" s="486"/>
      <c r="R11" s="539"/>
    </row>
    <row r="12" spans="1:18" ht="14.45" customHeight="1" x14ac:dyDescent="0.25">
      <c r="A12" s="390" t="s">
        <v>768</v>
      </c>
      <c r="B12" s="486"/>
      <c r="C12" s="486"/>
      <c r="D12" s="486"/>
      <c r="E12" s="486"/>
      <c r="F12" s="486"/>
      <c r="G12" s="486"/>
      <c r="H12" s="486"/>
      <c r="I12" s="486"/>
      <c r="J12" s="486"/>
      <c r="K12" s="486"/>
      <c r="L12" s="486"/>
      <c r="M12" s="486"/>
      <c r="N12" s="486"/>
      <c r="O12" s="486"/>
      <c r="P12" s="486"/>
      <c r="Q12" s="486"/>
      <c r="R12" s="539"/>
    </row>
    <row r="13" spans="1:18" ht="14.45" customHeight="1" x14ac:dyDescent="0.25">
      <c r="A13" s="486"/>
      <c r="B13" s="486"/>
      <c r="C13" s="486"/>
      <c r="D13" s="486"/>
      <c r="E13" s="486"/>
      <c r="F13" s="486"/>
      <c r="G13" s="486"/>
      <c r="H13" s="486"/>
      <c r="I13" s="486"/>
      <c r="J13" s="486"/>
      <c r="K13" s="486"/>
      <c r="L13" s="486"/>
      <c r="M13" s="486"/>
      <c r="N13" s="486"/>
      <c r="O13" s="486"/>
      <c r="P13" s="486"/>
      <c r="Q13" s="486"/>
      <c r="R13" s="539"/>
    </row>
    <row r="14" spans="1:18" ht="14.25" customHeight="1" x14ac:dyDescent="0.25">
      <c r="A14" s="735" t="s">
        <v>306</v>
      </c>
      <c r="B14" s="737" t="s">
        <v>879</v>
      </c>
      <c r="C14" s="735" t="s">
        <v>924</v>
      </c>
      <c r="D14" s="735" t="s">
        <v>253</v>
      </c>
      <c r="E14" s="735" t="s">
        <v>357</v>
      </c>
      <c r="F14" s="735"/>
      <c r="G14" s="736"/>
      <c r="H14" s="736"/>
      <c r="I14" s="736"/>
      <c r="J14" s="735" t="s">
        <v>421</v>
      </c>
      <c r="K14" s="736"/>
      <c r="L14" s="735" t="s">
        <v>308</v>
      </c>
      <c r="M14" s="735"/>
      <c r="N14" s="736"/>
      <c r="O14" s="736"/>
      <c r="P14" s="736"/>
      <c r="Q14" s="735" t="s">
        <v>877</v>
      </c>
      <c r="R14" s="539"/>
    </row>
    <row r="15" spans="1:18" ht="16.5" customHeight="1" x14ac:dyDescent="0.25">
      <c r="A15" s="736"/>
      <c r="B15" s="736"/>
      <c r="C15" s="736"/>
      <c r="D15" s="736"/>
      <c r="E15" s="735" t="s">
        <v>882</v>
      </c>
      <c r="F15" s="735"/>
      <c r="G15" s="735" t="s">
        <v>861</v>
      </c>
      <c r="H15" s="736"/>
      <c r="I15" s="137"/>
      <c r="J15" s="735" t="s">
        <v>421</v>
      </c>
      <c r="K15" s="735" t="s">
        <v>725</v>
      </c>
      <c r="L15" s="741" t="s">
        <v>882</v>
      </c>
      <c r="M15" s="741"/>
      <c r="N15" s="735" t="s">
        <v>861</v>
      </c>
      <c r="O15" s="736"/>
      <c r="P15" s="736"/>
      <c r="Q15" s="736"/>
      <c r="R15" s="539"/>
    </row>
    <row r="16" spans="1:18" ht="78" customHeight="1" x14ac:dyDescent="0.25">
      <c r="A16" s="736"/>
      <c r="B16" s="736"/>
      <c r="C16" s="736"/>
      <c r="D16" s="736"/>
      <c r="E16" s="19" t="s">
        <v>584</v>
      </c>
      <c r="F16" s="19" t="s">
        <v>385</v>
      </c>
      <c r="G16" s="25" t="s">
        <v>697</v>
      </c>
      <c r="H16" s="25" t="s">
        <v>184</v>
      </c>
      <c r="I16" s="25" t="s">
        <v>682</v>
      </c>
      <c r="J16" s="736"/>
      <c r="K16" s="736"/>
      <c r="L16" s="25" t="s">
        <v>584</v>
      </c>
      <c r="M16" s="19" t="s">
        <v>665</v>
      </c>
      <c r="N16" s="25" t="s">
        <v>697</v>
      </c>
      <c r="O16" s="25" t="s">
        <v>184</v>
      </c>
      <c r="P16" s="25" t="s">
        <v>682</v>
      </c>
      <c r="Q16" s="736"/>
      <c r="R16" s="539"/>
    </row>
    <row r="17" spans="1:18" ht="14.45" customHeight="1" x14ac:dyDescent="0.25">
      <c r="A17" s="121"/>
      <c r="B17" s="303"/>
      <c r="C17" s="48"/>
      <c r="D17" s="121"/>
      <c r="E17" s="7"/>
      <c r="F17" s="7"/>
      <c r="G17" s="7"/>
      <c r="H17" s="7"/>
      <c r="I17" s="7"/>
      <c r="J17" s="64"/>
      <c r="K17" s="64"/>
      <c r="L17" s="64"/>
      <c r="M17" s="64"/>
      <c r="N17" s="64"/>
      <c r="O17" s="64"/>
      <c r="P17" s="64"/>
      <c r="Q17" s="7"/>
      <c r="R17" s="539"/>
    </row>
    <row r="18" spans="1:18" ht="14.1" customHeight="1" x14ac:dyDescent="0.25">
      <c r="A18" s="493">
        <v>0</v>
      </c>
      <c r="B18" s="401" t="s">
        <v>691</v>
      </c>
      <c r="C18" s="401" t="s">
        <v>5</v>
      </c>
      <c r="D18" s="493"/>
      <c r="E18" s="148"/>
      <c r="F18" s="148"/>
      <c r="G18" s="148"/>
      <c r="H18" s="148"/>
      <c r="I18" s="11"/>
      <c r="J18" s="11"/>
      <c r="K18" s="11"/>
      <c r="L18" s="11"/>
      <c r="M18" s="11"/>
      <c r="N18" s="11"/>
      <c r="O18" s="11"/>
      <c r="P18" s="401"/>
      <c r="Q18" s="401"/>
    </row>
    <row r="19" spans="1:18" ht="14.1" customHeight="1" x14ac:dyDescent="0.25">
      <c r="A19" s="27">
        <v>1</v>
      </c>
      <c r="B19" s="113" t="str">
        <f>'Tiên lượng'!C7</f>
        <v>CF.11620</v>
      </c>
      <c r="C19" s="113" t="str">
        <f>'Tiên lượng'!D7</f>
        <v>Công tác đo lưới khống chế mặt bằng, đường chuyền cấp II, Bộ thiết bị GPS (3 máy)</v>
      </c>
      <c r="D19" s="27" t="str">
        <f>'Tiên lượng'!E7</f>
        <v>điểm</v>
      </c>
      <c r="E19" s="274">
        <f>'Tiên lượng'!M7</f>
        <v>22</v>
      </c>
      <c r="F19" s="274"/>
      <c r="G19" s="274"/>
      <c r="H19" s="274"/>
      <c r="I19" s="244"/>
      <c r="J19" s="244">
        <f>'Chiết tính'!J34</f>
        <v>3940100.4831780889</v>
      </c>
      <c r="K19" s="244"/>
      <c r="L19" s="244">
        <f t="shared" ref="L19:L22" si="0">E19*J19</f>
        <v>86682210.629917949</v>
      </c>
      <c r="M19" s="244"/>
      <c r="N19" s="244">
        <f t="shared" ref="N19:N22" si="1">F19*J19</f>
        <v>0</v>
      </c>
      <c r="O19" s="244">
        <f t="shared" ref="O19:O22" si="2">G19*J19</f>
        <v>0</v>
      </c>
      <c r="P19" s="113">
        <f t="shared" ref="P19:P22" si="3">H19*J19</f>
        <v>0</v>
      </c>
      <c r="Q19" s="113"/>
    </row>
    <row r="20" spans="1:18" ht="14.1" customHeight="1" x14ac:dyDescent="0.25">
      <c r="A20" s="27">
        <v>2</v>
      </c>
      <c r="B20" s="113" t="str">
        <f>'Tiên lượng'!C8</f>
        <v>CG.11330</v>
      </c>
      <c r="C20" s="113" t="str">
        <f>'Tiên lượng'!D8</f>
        <v>Công tác đo khống chế cao, thủy chuẩn kỹ thuật, cấp địa hình III</v>
      </c>
      <c r="D20" s="27" t="str">
        <f>'Tiên lượng'!E8</f>
        <v>km</v>
      </c>
      <c r="E20" s="274">
        <f>'Tiên lượng'!M8</f>
        <v>10</v>
      </c>
      <c r="F20" s="274"/>
      <c r="G20" s="274"/>
      <c r="H20" s="274"/>
      <c r="I20" s="244"/>
      <c r="J20" s="244">
        <f>'Chiết tính'!J58</f>
        <v>2154709.2422925294</v>
      </c>
      <c r="K20" s="244"/>
      <c r="L20" s="244">
        <f t="shared" si="0"/>
        <v>21547092.422925293</v>
      </c>
      <c r="M20" s="244"/>
      <c r="N20" s="244">
        <f t="shared" si="1"/>
        <v>0</v>
      </c>
      <c r="O20" s="244">
        <f t="shared" si="2"/>
        <v>0</v>
      </c>
      <c r="P20" s="113">
        <f t="shared" si="3"/>
        <v>0</v>
      </c>
      <c r="Q20" s="113"/>
    </row>
    <row r="21" spans="1:18" ht="14.1" customHeight="1" x14ac:dyDescent="0.25">
      <c r="A21" s="27">
        <v>3</v>
      </c>
      <c r="B21" s="113" t="str">
        <f>'Tiên lượng'!C9</f>
        <v>CK.11430</v>
      </c>
      <c r="C21" s="113" t="str">
        <f>'Tiên lượng'!D9</f>
        <v>Đo vẽ chi tiết bản đồ địa hình trên cạn bằng  máy toàn đạc điện tử và máy thủy bình điện tử; bản đồ tỷ lệ 1/500, đường đồng mức 1m, cấp địa hình III</v>
      </c>
      <c r="D21" s="27" t="str">
        <f>'Tiên lượng'!E9</f>
        <v>1 ha</v>
      </c>
      <c r="E21" s="274">
        <f>'Tiên lượng'!M9</f>
        <v>56</v>
      </c>
      <c r="F21" s="274"/>
      <c r="G21" s="274"/>
      <c r="H21" s="274"/>
      <c r="I21" s="244"/>
      <c r="J21" s="244">
        <f>'Chiết tính'!J84</f>
        <v>4610971.0208388753</v>
      </c>
      <c r="K21" s="244"/>
      <c r="L21" s="244">
        <f t="shared" si="0"/>
        <v>258214377.16697702</v>
      </c>
      <c r="M21" s="244"/>
      <c r="N21" s="244">
        <f t="shared" si="1"/>
        <v>0</v>
      </c>
      <c r="O21" s="244">
        <f t="shared" si="2"/>
        <v>0</v>
      </c>
      <c r="P21" s="113">
        <f t="shared" si="3"/>
        <v>0</v>
      </c>
      <c r="Q21" s="113"/>
    </row>
    <row r="22" spans="1:18" ht="14.45" customHeight="1" x14ac:dyDescent="0.25">
      <c r="A22" s="27">
        <v>4</v>
      </c>
      <c r="B22" s="113" t="str">
        <f>'Tiên lượng'!C10</f>
        <v>CK.11440</v>
      </c>
      <c r="C22" s="113" t="str">
        <f>'Tiên lượng'!D10</f>
        <v>Đo vẽ chi tiết bản đồ địa hình trên cạn bằng  máy toàn đạc điện tử và máy thủy bình điện tử; bản đồ tỷ lệ 1/500, đường đồng mức 1m, cấp địa hình IV</v>
      </c>
      <c r="D22" s="27" t="str">
        <f>'Tiên lượng'!E10</f>
        <v>1 ha</v>
      </c>
      <c r="E22" s="274">
        <f>'Tiên lượng'!M10</f>
        <v>130</v>
      </c>
      <c r="F22" s="274"/>
      <c r="G22" s="274"/>
      <c r="H22" s="274"/>
      <c r="I22" s="244"/>
      <c r="J22" s="244">
        <f>'Chiết tính'!J110</f>
        <v>6249210.9571410744</v>
      </c>
      <c r="K22" s="244"/>
      <c r="L22" s="244">
        <f t="shared" si="0"/>
        <v>812397424.42833972</v>
      </c>
      <c r="M22" s="244"/>
      <c r="N22" s="244">
        <f t="shared" si="1"/>
        <v>0</v>
      </c>
      <c r="O22" s="244">
        <f t="shared" si="2"/>
        <v>0</v>
      </c>
      <c r="P22" s="113">
        <f t="shared" si="3"/>
        <v>0</v>
      </c>
      <c r="Q22" s="113"/>
    </row>
    <row r="23" spans="1:18" ht="14.45" customHeight="1" x14ac:dyDescent="0.25">
      <c r="A23" s="493"/>
      <c r="B23" s="401" t="s">
        <v>135</v>
      </c>
      <c r="C23" s="401" t="s">
        <v>887</v>
      </c>
      <c r="D23" s="493"/>
      <c r="E23" s="148"/>
      <c r="F23" s="148"/>
      <c r="G23" s="148"/>
      <c r="H23" s="148"/>
      <c r="I23" s="11"/>
      <c r="J23" s="11"/>
      <c r="K23" s="11"/>
      <c r="L23" s="11">
        <f t="shared" ref="L23:P23" si="4">SUM(L19:L22)</f>
        <v>1178841104.64816</v>
      </c>
      <c r="M23" s="11">
        <f t="shared" si="4"/>
        <v>0</v>
      </c>
      <c r="N23" s="11">
        <f t="shared" si="4"/>
        <v>0</v>
      </c>
      <c r="O23" s="11">
        <f t="shared" si="4"/>
        <v>0</v>
      </c>
      <c r="P23" s="401">
        <f t="shared" si="4"/>
        <v>0</v>
      </c>
      <c r="Q23" s="401"/>
    </row>
    <row r="24" spans="1:18" ht="14.45" customHeight="1" x14ac:dyDescent="0.25">
      <c r="A24" s="390" t="s">
        <v>832</v>
      </c>
      <c r="B24" s="486"/>
      <c r="C24" s="486"/>
      <c r="D24" s="486"/>
      <c r="E24" s="486"/>
      <c r="F24" s="486"/>
      <c r="G24" s="486"/>
      <c r="H24" s="486"/>
      <c r="I24" s="486"/>
      <c r="J24" s="486"/>
      <c r="K24" s="486"/>
      <c r="L24" s="486"/>
      <c r="M24" s="486"/>
      <c r="N24" s="486"/>
      <c r="O24" s="486"/>
      <c r="P24" s="486"/>
      <c r="Q24" s="486"/>
      <c r="R24" s="539"/>
    </row>
    <row r="25" spans="1:18" ht="14.45" customHeight="1" x14ac:dyDescent="0.25">
      <c r="A25" s="390" t="s">
        <v>603</v>
      </c>
      <c r="B25" s="486"/>
      <c r="C25" s="486"/>
      <c r="D25" s="486"/>
      <c r="E25" s="486"/>
      <c r="F25" s="486"/>
      <c r="G25" s="486"/>
      <c r="H25" s="486"/>
      <c r="I25" s="486"/>
      <c r="J25" s="486"/>
      <c r="K25" s="486"/>
      <c r="L25" s="486"/>
      <c r="M25" s="486"/>
      <c r="N25" s="486"/>
      <c r="O25" s="486"/>
      <c r="P25" s="486"/>
      <c r="Q25" s="486"/>
      <c r="R25" s="539"/>
    </row>
    <row r="26" spans="1:18" ht="14.45" customHeight="1" x14ac:dyDescent="0.25">
      <c r="A26" s="390" t="s">
        <v>571</v>
      </c>
      <c r="B26" s="486"/>
      <c r="C26" s="486"/>
      <c r="D26" s="486"/>
      <c r="E26" s="486"/>
      <c r="F26" s="486"/>
      <c r="G26" s="486"/>
      <c r="H26" s="486"/>
      <c r="I26" s="486"/>
      <c r="J26" s="486"/>
      <c r="K26" s="486"/>
      <c r="L26" s="486"/>
      <c r="M26" s="486"/>
      <c r="N26" s="486"/>
      <c r="O26" s="486"/>
      <c r="P26" s="486"/>
      <c r="Q26" s="486"/>
      <c r="R26" s="539"/>
    </row>
    <row r="27" spans="1:18" ht="14.45" customHeight="1" x14ac:dyDescent="0.25">
      <c r="A27" s="390" t="s">
        <v>687</v>
      </c>
      <c r="B27" s="486"/>
      <c r="C27" s="486"/>
      <c r="D27" s="486"/>
      <c r="E27" s="486"/>
      <c r="F27" s="486"/>
      <c r="G27" s="486"/>
      <c r="H27" s="486"/>
      <c r="I27" s="486"/>
      <c r="J27" s="486"/>
      <c r="K27" s="486"/>
      <c r="L27" s="486"/>
      <c r="M27" s="486"/>
      <c r="N27" s="486"/>
      <c r="O27" s="486"/>
      <c r="P27" s="486"/>
      <c r="Q27" s="486"/>
      <c r="R27" s="539"/>
    </row>
    <row r="28" spans="1:18" ht="14.45" customHeight="1" x14ac:dyDescent="0.25">
      <c r="A28" s="390" t="s">
        <v>740</v>
      </c>
      <c r="B28" s="486"/>
      <c r="C28" s="486"/>
      <c r="D28" s="486"/>
      <c r="E28" s="486"/>
      <c r="F28" s="486"/>
      <c r="G28" s="486"/>
      <c r="H28" s="486"/>
      <c r="I28" s="486"/>
      <c r="J28" s="486"/>
      <c r="K28" s="486"/>
      <c r="L28" s="486"/>
      <c r="M28" s="486"/>
      <c r="N28" s="486"/>
      <c r="O28" s="486"/>
      <c r="P28" s="486"/>
      <c r="Q28" s="486"/>
      <c r="R28" s="539"/>
    </row>
    <row r="29" spans="1:18" ht="14.45" customHeight="1" x14ac:dyDescent="0.25">
      <c r="A29" s="390" t="s">
        <v>495</v>
      </c>
      <c r="B29" s="486"/>
      <c r="C29" s="486"/>
      <c r="D29" s="486"/>
      <c r="E29" s="486"/>
      <c r="F29" s="486"/>
      <c r="G29" s="486"/>
      <c r="H29" s="486"/>
      <c r="I29" s="486"/>
      <c r="J29" s="486"/>
      <c r="K29" s="486"/>
      <c r="L29" s="486"/>
      <c r="M29" s="486"/>
      <c r="N29" s="486"/>
      <c r="O29" s="486"/>
      <c r="P29" s="486"/>
      <c r="Q29" s="486"/>
      <c r="R29" s="539"/>
    </row>
    <row r="30" spans="1:18" ht="14.45" customHeight="1" x14ac:dyDescent="0.25">
      <c r="A30" s="390" t="s">
        <v>349</v>
      </c>
      <c r="B30" s="486"/>
      <c r="C30" s="486"/>
      <c r="D30" s="486"/>
      <c r="E30" s="486"/>
      <c r="F30" s="486"/>
      <c r="G30" s="486"/>
      <c r="H30" s="486"/>
      <c r="I30" s="486"/>
      <c r="J30" s="486"/>
      <c r="K30" s="486"/>
      <c r="L30" s="486"/>
      <c r="M30" s="486"/>
      <c r="N30" s="486"/>
      <c r="O30" s="486"/>
      <c r="P30" s="486"/>
      <c r="Q30" s="486"/>
      <c r="R30" s="539"/>
    </row>
    <row r="31" spans="1:18" ht="14.45" customHeight="1" x14ac:dyDescent="0.25">
      <c r="A31" s="390" t="s">
        <v>518</v>
      </c>
      <c r="B31" s="486"/>
      <c r="C31" s="486"/>
      <c r="D31" s="486"/>
      <c r="E31" s="486"/>
      <c r="F31" s="486"/>
      <c r="G31" s="486"/>
      <c r="H31" s="486"/>
      <c r="I31" s="486"/>
      <c r="J31" s="486"/>
      <c r="K31" s="486"/>
      <c r="L31" s="486"/>
      <c r="M31" s="486"/>
      <c r="N31" s="486"/>
      <c r="O31" s="486"/>
      <c r="P31" s="486"/>
      <c r="Q31" s="486"/>
      <c r="R31" s="539"/>
    </row>
    <row r="32" spans="1:18" ht="14.45" customHeight="1" x14ac:dyDescent="0.25">
      <c r="A32" s="486"/>
      <c r="B32" s="486"/>
      <c r="C32" s="486"/>
      <c r="D32" s="486"/>
      <c r="E32" s="486"/>
      <c r="F32" s="486"/>
      <c r="G32" s="486"/>
      <c r="H32" s="486"/>
      <c r="I32" s="486"/>
      <c r="J32" s="486"/>
      <c r="K32" s="486"/>
      <c r="L32" s="486"/>
      <c r="M32" s="486"/>
      <c r="N32" s="486"/>
      <c r="O32" s="486"/>
      <c r="P32" s="486"/>
      <c r="Q32" s="486"/>
      <c r="R32" s="539"/>
    </row>
    <row r="33" spans="1:18" ht="14.45" customHeight="1" x14ac:dyDescent="0.25">
      <c r="A33" s="486"/>
      <c r="B33" s="486"/>
      <c r="C33" s="486"/>
      <c r="D33" s="486"/>
      <c r="E33" s="486"/>
      <c r="F33" s="486"/>
      <c r="G33" s="486"/>
      <c r="H33" s="486"/>
      <c r="I33" s="486"/>
      <c r="J33" s="486"/>
      <c r="K33" s="486"/>
      <c r="L33" s="742"/>
      <c r="M33" s="742"/>
      <c r="N33" s="733"/>
      <c r="O33" s="733"/>
      <c r="P33" s="733"/>
      <c r="Q33" s="733"/>
      <c r="R33" s="539"/>
    </row>
    <row r="34" spans="1:18" ht="17.649999999999999" customHeight="1" x14ac:dyDescent="0.3">
      <c r="A34" s="738" t="s">
        <v>904</v>
      </c>
      <c r="B34" s="733"/>
      <c r="C34" s="733"/>
      <c r="D34" s="739"/>
      <c r="E34" s="733"/>
      <c r="F34" s="733"/>
      <c r="G34" s="733"/>
      <c r="H34" s="733"/>
      <c r="I34" s="733"/>
      <c r="J34" s="733"/>
      <c r="K34" s="565"/>
      <c r="L34" s="738" t="s">
        <v>677</v>
      </c>
      <c r="M34" s="738"/>
      <c r="N34" s="733"/>
      <c r="O34" s="733"/>
      <c r="P34" s="733"/>
      <c r="Q34" s="733"/>
      <c r="R34" s="539"/>
    </row>
    <row r="35" spans="1:18" ht="15.4" customHeight="1" x14ac:dyDescent="0.25">
      <c r="A35" s="732" t="s">
        <v>987</v>
      </c>
      <c r="B35" s="733"/>
      <c r="C35" s="733"/>
      <c r="D35" s="734"/>
      <c r="E35" s="733"/>
      <c r="F35" s="733"/>
      <c r="G35" s="733"/>
      <c r="H35" s="733"/>
      <c r="I35" s="733"/>
      <c r="J35" s="733"/>
      <c r="K35" s="103"/>
      <c r="L35" s="732" t="s">
        <v>987</v>
      </c>
      <c r="M35" s="732"/>
      <c r="N35" s="733"/>
      <c r="O35" s="733"/>
      <c r="P35" s="733"/>
      <c r="Q35" s="733"/>
      <c r="R35" s="539"/>
    </row>
  </sheetData>
  <mergeCells count="25">
    <mergeCell ref="P1:Q1"/>
    <mergeCell ref="A4:Q4"/>
    <mergeCell ref="E15:F15"/>
    <mergeCell ref="L15:M15"/>
    <mergeCell ref="L33:Q33"/>
    <mergeCell ref="A2:Q2"/>
    <mergeCell ref="A3:Q3"/>
    <mergeCell ref="L14:P14"/>
    <mergeCell ref="Q14:Q16"/>
    <mergeCell ref="A35:C35"/>
    <mergeCell ref="D35:J35"/>
    <mergeCell ref="L35:Q35"/>
    <mergeCell ref="G15:H15"/>
    <mergeCell ref="J15:J16"/>
    <mergeCell ref="K15:K16"/>
    <mergeCell ref="N15:P15"/>
    <mergeCell ref="A14:A16"/>
    <mergeCell ref="B14:B16"/>
    <mergeCell ref="C14:C16"/>
    <mergeCell ref="A34:C34"/>
    <mergeCell ref="D34:J34"/>
    <mergeCell ref="L34:Q34"/>
    <mergeCell ref="D14:D16"/>
    <mergeCell ref="E14:I14"/>
    <mergeCell ref="J14:K1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O34"/>
  <sheetViews>
    <sheetView showGridLines="0" showZeros="0" workbookViewId="0"/>
  </sheetViews>
  <sheetFormatPr defaultRowHeight="15" x14ac:dyDescent="0.25"/>
  <cols>
    <col min="1" max="1" width="5.85546875" customWidth="1"/>
    <col min="2" max="2" width="11.85546875" customWidth="1"/>
    <col min="3" max="3" width="60.85546875" customWidth="1"/>
    <col min="4" max="4" width="7.85546875" customWidth="1"/>
    <col min="5" max="8" width="9.85546875" customWidth="1"/>
    <col min="9" max="10" width="11.85546875" customWidth="1"/>
    <col min="11" max="14" width="13.85546875" customWidth="1"/>
    <col min="15" max="15" width="11.85546875" customWidth="1"/>
  </cols>
  <sheetData>
    <row r="1" spans="1:15" ht="17.649999999999999" customHeight="1" x14ac:dyDescent="0.3">
      <c r="A1" s="394"/>
      <c r="B1" s="394"/>
      <c r="C1" s="394"/>
      <c r="D1" s="394"/>
      <c r="E1" s="394"/>
      <c r="F1" s="394"/>
      <c r="G1" s="394"/>
      <c r="H1" s="394"/>
      <c r="I1" s="394"/>
      <c r="J1" s="394"/>
      <c r="K1" s="394"/>
      <c r="L1" s="394"/>
      <c r="M1" s="394"/>
      <c r="N1" s="394"/>
      <c r="O1" s="321" t="s">
        <v>726</v>
      </c>
    </row>
    <row r="2" spans="1:15" ht="17.649999999999999" customHeight="1" x14ac:dyDescent="0.3">
      <c r="A2" s="738" t="s">
        <v>213</v>
      </c>
      <c r="B2" s="743"/>
      <c r="C2" s="743"/>
      <c r="D2" s="743"/>
      <c r="E2" s="743"/>
      <c r="F2" s="743"/>
      <c r="G2" s="743"/>
      <c r="H2" s="743"/>
      <c r="I2" s="743"/>
      <c r="J2" s="743"/>
      <c r="K2" s="743"/>
      <c r="L2" s="743"/>
      <c r="M2" s="743"/>
      <c r="N2" s="743"/>
      <c r="O2" s="743"/>
    </row>
    <row r="3" spans="1:15" ht="15.4" customHeight="1" x14ac:dyDescent="0.25">
      <c r="A3" s="732" t="s">
        <v>648</v>
      </c>
      <c r="B3" s="743"/>
      <c r="C3" s="743"/>
      <c r="D3" s="743"/>
      <c r="E3" s="743"/>
      <c r="F3" s="743"/>
      <c r="G3" s="743"/>
      <c r="H3" s="743"/>
      <c r="I3" s="743"/>
      <c r="J3" s="743"/>
      <c r="K3" s="743"/>
      <c r="L3" s="743"/>
      <c r="M3" s="743"/>
      <c r="N3" s="743"/>
      <c r="O3" s="743"/>
    </row>
    <row r="4" spans="1:15" ht="15" customHeight="1" x14ac:dyDescent="0.25">
      <c r="A4" s="390" t="s">
        <v>149</v>
      </c>
      <c r="B4" s="486"/>
      <c r="C4" s="486"/>
      <c r="D4" s="486"/>
      <c r="E4" s="486"/>
      <c r="F4" s="486"/>
      <c r="G4" s="486"/>
      <c r="H4" s="486"/>
      <c r="I4" s="486"/>
      <c r="J4" s="486"/>
      <c r="K4" s="486"/>
      <c r="L4" s="486"/>
      <c r="M4" s="486"/>
      <c r="N4" s="486"/>
      <c r="O4" s="486"/>
    </row>
    <row r="5" spans="1:15" ht="15" customHeight="1" x14ac:dyDescent="0.25">
      <c r="A5" s="390" t="s">
        <v>707</v>
      </c>
      <c r="B5" s="486"/>
      <c r="C5" s="486"/>
      <c r="D5" s="486"/>
      <c r="E5" s="486"/>
      <c r="F5" s="486"/>
      <c r="G5" s="486"/>
      <c r="H5" s="486"/>
      <c r="I5" s="486"/>
      <c r="J5" s="486"/>
      <c r="K5" s="486"/>
      <c r="L5" s="486"/>
      <c r="M5" s="486"/>
      <c r="N5" s="486"/>
      <c r="O5" s="486"/>
    </row>
    <row r="6" spans="1:15" ht="15" customHeight="1" x14ac:dyDescent="0.25">
      <c r="A6" s="390" t="s">
        <v>50</v>
      </c>
      <c r="B6" s="486"/>
      <c r="C6" s="486"/>
      <c r="D6" s="390" t="s">
        <v>869</v>
      </c>
      <c r="E6" s="486"/>
      <c r="F6" s="486"/>
      <c r="G6" s="486"/>
      <c r="H6" s="486"/>
      <c r="I6" s="486"/>
      <c r="J6" s="486"/>
      <c r="K6" s="486"/>
      <c r="L6" s="486"/>
      <c r="M6" s="486"/>
      <c r="N6" s="486"/>
      <c r="O6" s="486"/>
    </row>
    <row r="7" spans="1:15" ht="15" customHeight="1" x14ac:dyDescent="0.25">
      <c r="A7" s="390" t="s">
        <v>320</v>
      </c>
      <c r="B7" s="486"/>
      <c r="C7" s="486"/>
      <c r="D7" s="486"/>
      <c r="E7" s="486"/>
      <c r="F7" s="486"/>
      <c r="G7" s="486"/>
      <c r="H7" s="486"/>
      <c r="I7" s="486"/>
      <c r="J7" s="486"/>
      <c r="K7" s="486"/>
      <c r="L7" s="486"/>
      <c r="M7" s="486"/>
      <c r="N7" s="486"/>
      <c r="O7" s="486"/>
    </row>
    <row r="8" spans="1:15" ht="15" customHeight="1" x14ac:dyDescent="0.25">
      <c r="A8" s="390" t="s">
        <v>457</v>
      </c>
      <c r="B8" s="486"/>
      <c r="C8" s="486"/>
      <c r="D8" s="486"/>
      <c r="E8" s="486"/>
      <c r="F8" s="486"/>
      <c r="G8" s="486"/>
      <c r="H8" s="486"/>
      <c r="I8" s="486"/>
      <c r="J8" s="486"/>
      <c r="K8" s="486"/>
      <c r="L8" s="486"/>
      <c r="M8" s="486"/>
      <c r="N8" s="486"/>
      <c r="O8" s="486"/>
    </row>
    <row r="9" spans="1:15" ht="15" customHeight="1" x14ac:dyDescent="0.25">
      <c r="A9" s="390" t="s">
        <v>711</v>
      </c>
      <c r="B9" s="486"/>
      <c r="C9" s="486"/>
      <c r="D9" s="486"/>
      <c r="E9" s="486"/>
      <c r="F9" s="486"/>
      <c r="G9" s="486"/>
      <c r="H9" s="486"/>
      <c r="I9" s="486"/>
      <c r="J9" s="486"/>
      <c r="K9" s="486"/>
      <c r="L9" s="486"/>
      <c r="M9" s="486"/>
      <c r="N9" s="486"/>
      <c r="O9" s="486"/>
    </row>
    <row r="10" spans="1:15" ht="15" customHeight="1" x14ac:dyDescent="0.25">
      <c r="A10" s="390" t="s">
        <v>175</v>
      </c>
      <c r="B10" s="486"/>
      <c r="C10" s="486"/>
      <c r="D10" s="486"/>
      <c r="E10" s="486"/>
      <c r="F10" s="486"/>
      <c r="G10" s="486"/>
      <c r="H10" s="486"/>
      <c r="I10" s="486"/>
      <c r="J10" s="486"/>
      <c r="K10" s="486"/>
      <c r="L10" s="486"/>
      <c r="M10" s="486"/>
      <c r="N10" s="486"/>
      <c r="O10" s="486"/>
    </row>
    <row r="11" spans="1:15" ht="15" customHeight="1" x14ac:dyDescent="0.25">
      <c r="A11" s="390" t="s">
        <v>768</v>
      </c>
      <c r="B11" s="486"/>
      <c r="C11" s="486"/>
      <c r="D11" s="486"/>
      <c r="E11" s="486"/>
      <c r="F11" s="486"/>
      <c r="G11" s="486"/>
      <c r="H11" s="486"/>
      <c r="I11" s="486"/>
      <c r="J11" s="486"/>
      <c r="K11" s="486"/>
      <c r="L11" s="486"/>
      <c r="M11" s="486"/>
      <c r="N11" s="486"/>
      <c r="O11" s="486"/>
    </row>
    <row r="12" spans="1:15" ht="15" customHeight="1" x14ac:dyDescent="0.25">
      <c r="A12" s="486"/>
      <c r="B12" s="486"/>
      <c r="C12" s="486"/>
      <c r="D12" s="486"/>
      <c r="E12" s="486"/>
      <c r="F12" s="486"/>
      <c r="G12" s="486"/>
      <c r="H12" s="486"/>
      <c r="I12" s="486"/>
      <c r="J12" s="486"/>
      <c r="K12" s="486"/>
      <c r="L12" s="486"/>
      <c r="M12" s="486"/>
      <c r="N12" s="486"/>
      <c r="O12" s="486"/>
    </row>
    <row r="13" spans="1:15" ht="14.25" customHeight="1" x14ac:dyDescent="0.25">
      <c r="A13" s="744" t="s">
        <v>306</v>
      </c>
      <c r="B13" s="747" t="s">
        <v>879</v>
      </c>
      <c r="C13" s="744" t="s">
        <v>924</v>
      </c>
      <c r="D13" s="744" t="s">
        <v>253</v>
      </c>
      <c r="E13" s="748" t="s">
        <v>357</v>
      </c>
      <c r="F13" s="749"/>
      <c r="G13" s="749"/>
      <c r="H13" s="750"/>
      <c r="I13" s="748" t="s">
        <v>421</v>
      </c>
      <c r="J13" s="750"/>
      <c r="K13" s="748" t="s">
        <v>308</v>
      </c>
      <c r="L13" s="749"/>
      <c r="M13" s="749"/>
      <c r="N13" s="750"/>
      <c r="O13" s="744" t="s">
        <v>877</v>
      </c>
    </row>
    <row r="14" spans="1:15" ht="16.5" customHeight="1" x14ac:dyDescent="0.25">
      <c r="A14" s="745"/>
      <c r="B14" s="745"/>
      <c r="C14" s="745"/>
      <c r="D14" s="745"/>
      <c r="E14" s="744" t="s">
        <v>584</v>
      </c>
      <c r="F14" s="748" t="s">
        <v>861</v>
      </c>
      <c r="G14" s="750"/>
      <c r="H14" s="315"/>
      <c r="I14" s="744" t="s">
        <v>421</v>
      </c>
      <c r="J14" s="744" t="s">
        <v>725</v>
      </c>
      <c r="K14" s="744" t="s">
        <v>584</v>
      </c>
      <c r="L14" s="748" t="s">
        <v>861</v>
      </c>
      <c r="M14" s="749"/>
      <c r="N14" s="750"/>
      <c r="O14" s="745"/>
    </row>
    <row r="15" spans="1:15" ht="41.65" customHeight="1" x14ac:dyDescent="0.25">
      <c r="A15" s="746"/>
      <c r="B15" s="746"/>
      <c r="C15" s="746"/>
      <c r="D15" s="746"/>
      <c r="E15" s="746"/>
      <c r="F15" s="72" t="s">
        <v>697</v>
      </c>
      <c r="G15" s="72" t="s">
        <v>184</v>
      </c>
      <c r="H15" s="72" t="s">
        <v>682</v>
      </c>
      <c r="I15" s="746"/>
      <c r="J15" s="746"/>
      <c r="K15" s="746"/>
      <c r="L15" s="72" t="s">
        <v>697</v>
      </c>
      <c r="M15" s="72" t="s">
        <v>184</v>
      </c>
      <c r="N15" s="72" t="s">
        <v>682</v>
      </c>
      <c r="O15" s="746"/>
    </row>
    <row r="16" spans="1:15" ht="15" customHeight="1" x14ac:dyDescent="0.25">
      <c r="A16" s="147"/>
      <c r="B16" s="331"/>
      <c r="C16" s="81"/>
      <c r="D16" s="147"/>
      <c r="E16" s="40"/>
      <c r="F16" s="40"/>
      <c r="G16" s="40"/>
      <c r="H16" s="40"/>
      <c r="I16" s="98"/>
      <c r="J16" s="98"/>
      <c r="K16" s="98"/>
      <c r="L16" s="98"/>
      <c r="M16" s="98"/>
      <c r="N16" s="98"/>
      <c r="O16" s="40"/>
    </row>
    <row r="17" spans="1:15" ht="15" customHeight="1" x14ac:dyDescent="0.25">
      <c r="A17" s="493">
        <v>0</v>
      </c>
      <c r="B17" s="401" t="s">
        <v>691</v>
      </c>
      <c r="C17" s="401" t="s">
        <v>5</v>
      </c>
      <c r="D17" s="493"/>
      <c r="E17" s="148"/>
      <c r="F17" s="148"/>
      <c r="G17" s="148"/>
      <c r="H17" s="148"/>
      <c r="I17" s="11"/>
      <c r="J17" s="11"/>
      <c r="K17" s="11"/>
      <c r="L17" s="11"/>
      <c r="M17" s="11"/>
      <c r="N17" s="11"/>
      <c r="O17" s="401"/>
    </row>
    <row r="18" spans="1:15" ht="15" customHeight="1" x14ac:dyDescent="0.25">
      <c r="A18" s="27">
        <v>1</v>
      </c>
      <c r="B18" s="113" t="str">
        <f>'Tiên lượng'!C7</f>
        <v>CF.11620</v>
      </c>
      <c r="C18" s="113" t="str">
        <f>'Tiên lượng'!D7</f>
        <v>Công tác đo lưới khống chế mặt bằng, đường chuyền cấp II, Bộ thiết bị GPS (3 máy)</v>
      </c>
      <c r="D18" s="27" t="str">
        <f>'Tiên lượng'!E7</f>
        <v>điểm</v>
      </c>
      <c r="E18" s="274">
        <f>'Tiên lượng'!M7</f>
        <v>22</v>
      </c>
      <c r="F18" s="274"/>
      <c r="G18" s="274"/>
      <c r="H18" s="274"/>
      <c r="I18" s="244">
        <f>'Chiết tính'!J34</f>
        <v>3940100.4831780889</v>
      </c>
      <c r="J18" s="244"/>
      <c r="K18" s="244">
        <f t="shared" ref="K18:K21" si="0">E18*I18</f>
        <v>86682210.629917949</v>
      </c>
      <c r="L18" s="244">
        <f t="shared" ref="L18:L21" si="1">F18*I18</f>
        <v>0</v>
      </c>
      <c r="M18" s="244">
        <f t="shared" ref="M18:M21" si="2">G18*I18</f>
        <v>0</v>
      </c>
      <c r="N18" s="244">
        <f t="shared" ref="N18:N21" si="3">H18*I18</f>
        <v>0</v>
      </c>
      <c r="O18" s="113"/>
    </row>
    <row r="19" spans="1:15" ht="15" customHeight="1" x14ac:dyDescent="0.25">
      <c r="A19" s="27">
        <v>2</v>
      </c>
      <c r="B19" s="113" t="str">
        <f>'Tiên lượng'!C8</f>
        <v>CG.11330</v>
      </c>
      <c r="C19" s="113" t="str">
        <f>'Tiên lượng'!D8</f>
        <v>Công tác đo khống chế cao, thủy chuẩn kỹ thuật, cấp địa hình III</v>
      </c>
      <c r="D19" s="27" t="str">
        <f>'Tiên lượng'!E8</f>
        <v>km</v>
      </c>
      <c r="E19" s="274">
        <f>'Tiên lượng'!M8</f>
        <v>10</v>
      </c>
      <c r="F19" s="274"/>
      <c r="G19" s="274"/>
      <c r="H19" s="274"/>
      <c r="I19" s="244">
        <f>'Chiết tính'!J58</f>
        <v>2154709.2422925294</v>
      </c>
      <c r="J19" s="244"/>
      <c r="K19" s="244">
        <f t="shared" si="0"/>
        <v>21547092.422925293</v>
      </c>
      <c r="L19" s="244">
        <f t="shared" si="1"/>
        <v>0</v>
      </c>
      <c r="M19" s="244">
        <f t="shared" si="2"/>
        <v>0</v>
      </c>
      <c r="N19" s="244">
        <f t="shared" si="3"/>
        <v>0</v>
      </c>
      <c r="O19" s="113"/>
    </row>
    <row r="20" spans="1:15" ht="15" customHeight="1" x14ac:dyDescent="0.25">
      <c r="A20" s="27">
        <v>3</v>
      </c>
      <c r="B20" s="113" t="str">
        <f>'Tiên lượng'!C9</f>
        <v>CK.11430</v>
      </c>
      <c r="C20" s="113" t="str">
        <f>'Tiên lượng'!D9</f>
        <v>Đo vẽ chi tiết bản đồ địa hình trên cạn bằng  máy toàn đạc điện tử và máy thủy bình điện tử; bản đồ tỷ lệ 1/500, đường đồng mức 1m, cấp địa hình III</v>
      </c>
      <c r="D20" s="27" t="str">
        <f>'Tiên lượng'!E9</f>
        <v>1 ha</v>
      </c>
      <c r="E20" s="274">
        <f>'Tiên lượng'!M9</f>
        <v>56</v>
      </c>
      <c r="F20" s="274"/>
      <c r="G20" s="274"/>
      <c r="H20" s="274"/>
      <c r="I20" s="244">
        <f>'Chiết tính'!J84</f>
        <v>4610971.0208388753</v>
      </c>
      <c r="J20" s="244"/>
      <c r="K20" s="244">
        <f t="shared" si="0"/>
        <v>258214377.16697702</v>
      </c>
      <c r="L20" s="244">
        <f t="shared" si="1"/>
        <v>0</v>
      </c>
      <c r="M20" s="244">
        <f t="shared" si="2"/>
        <v>0</v>
      </c>
      <c r="N20" s="244">
        <f t="shared" si="3"/>
        <v>0</v>
      </c>
      <c r="O20" s="113"/>
    </row>
    <row r="21" spans="1:15" ht="15" customHeight="1" x14ac:dyDescent="0.25">
      <c r="A21" s="27">
        <v>4</v>
      </c>
      <c r="B21" s="113" t="str">
        <f>'Tiên lượng'!C10</f>
        <v>CK.11440</v>
      </c>
      <c r="C21" s="113" t="str">
        <f>'Tiên lượng'!D10</f>
        <v>Đo vẽ chi tiết bản đồ địa hình trên cạn bằng  máy toàn đạc điện tử và máy thủy bình điện tử; bản đồ tỷ lệ 1/500, đường đồng mức 1m, cấp địa hình IV</v>
      </c>
      <c r="D21" s="27" t="str">
        <f>'Tiên lượng'!E10</f>
        <v>1 ha</v>
      </c>
      <c r="E21" s="274">
        <f>'Tiên lượng'!M10</f>
        <v>130</v>
      </c>
      <c r="F21" s="274"/>
      <c r="G21" s="274"/>
      <c r="H21" s="274"/>
      <c r="I21" s="244">
        <f>'Chiết tính'!J110</f>
        <v>6249210.9571410744</v>
      </c>
      <c r="J21" s="244"/>
      <c r="K21" s="244">
        <f t="shared" si="0"/>
        <v>812397424.42833972</v>
      </c>
      <c r="L21" s="244">
        <f t="shared" si="1"/>
        <v>0</v>
      </c>
      <c r="M21" s="244">
        <f t="shared" si="2"/>
        <v>0</v>
      </c>
      <c r="N21" s="244">
        <f t="shared" si="3"/>
        <v>0</v>
      </c>
      <c r="O21" s="113"/>
    </row>
    <row r="22" spans="1:15" ht="15" customHeight="1" x14ac:dyDescent="0.25">
      <c r="A22" s="493"/>
      <c r="B22" s="401" t="s">
        <v>135</v>
      </c>
      <c r="C22" s="401" t="s">
        <v>887</v>
      </c>
      <c r="D22" s="493"/>
      <c r="E22" s="148"/>
      <c r="F22" s="148"/>
      <c r="G22" s="148"/>
      <c r="H22" s="148"/>
      <c r="I22" s="11"/>
      <c r="J22" s="11"/>
      <c r="K22" s="11">
        <f t="shared" ref="K22:N22" si="4">SUM(K18:K21)</f>
        <v>1178841104.64816</v>
      </c>
      <c r="L22" s="11">
        <f t="shared" si="4"/>
        <v>0</v>
      </c>
      <c r="M22" s="11">
        <f t="shared" si="4"/>
        <v>0</v>
      </c>
      <c r="N22" s="11">
        <f t="shared" si="4"/>
        <v>0</v>
      </c>
      <c r="O22" s="401"/>
    </row>
    <row r="23" spans="1:15" ht="15" customHeight="1" x14ac:dyDescent="0.25">
      <c r="A23" s="390" t="s">
        <v>832</v>
      </c>
      <c r="B23" s="486"/>
      <c r="C23" s="486"/>
      <c r="D23" s="486"/>
      <c r="E23" s="486"/>
      <c r="F23" s="486"/>
      <c r="G23" s="486"/>
      <c r="H23" s="486"/>
      <c r="I23" s="486"/>
      <c r="J23" s="486"/>
      <c r="K23" s="486"/>
      <c r="L23" s="486"/>
      <c r="M23" s="486"/>
      <c r="N23" s="486"/>
      <c r="O23" s="486"/>
    </row>
    <row r="24" spans="1:15" ht="15" customHeight="1" x14ac:dyDescent="0.25">
      <c r="A24" s="390" t="s">
        <v>603</v>
      </c>
      <c r="B24" s="486"/>
      <c r="C24" s="486"/>
      <c r="D24" s="486"/>
      <c r="E24" s="486"/>
      <c r="F24" s="486"/>
      <c r="G24" s="486"/>
      <c r="H24" s="486"/>
      <c r="I24" s="486"/>
      <c r="J24" s="486"/>
      <c r="K24" s="486"/>
      <c r="L24" s="486"/>
      <c r="M24" s="486"/>
      <c r="N24" s="486"/>
      <c r="O24" s="486"/>
    </row>
    <row r="25" spans="1:15" ht="15" customHeight="1" x14ac:dyDescent="0.25">
      <c r="A25" s="390" t="s">
        <v>571</v>
      </c>
      <c r="B25" s="486"/>
      <c r="C25" s="486"/>
      <c r="D25" s="486"/>
      <c r="E25" s="486"/>
      <c r="F25" s="486"/>
      <c r="G25" s="486"/>
      <c r="H25" s="486"/>
      <c r="I25" s="486"/>
      <c r="J25" s="486"/>
      <c r="K25" s="486"/>
      <c r="L25" s="486"/>
      <c r="M25" s="486"/>
      <c r="N25" s="486"/>
      <c r="O25" s="486"/>
    </row>
    <row r="26" spans="1:15" ht="15" customHeight="1" x14ac:dyDescent="0.25">
      <c r="A26" s="390" t="s">
        <v>687</v>
      </c>
      <c r="B26" s="486"/>
      <c r="C26" s="486"/>
      <c r="D26" s="486"/>
      <c r="E26" s="486"/>
      <c r="F26" s="486"/>
      <c r="G26" s="486"/>
      <c r="H26" s="486"/>
      <c r="I26" s="486"/>
      <c r="J26" s="486"/>
      <c r="K26" s="486"/>
      <c r="L26" s="486"/>
      <c r="M26" s="486"/>
      <c r="N26" s="486"/>
      <c r="O26" s="486"/>
    </row>
    <row r="27" spans="1:15" ht="15" customHeight="1" x14ac:dyDescent="0.25">
      <c r="A27" s="390" t="s">
        <v>740</v>
      </c>
      <c r="B27" s="486"/>
      <c r="C27" s="486"/>
      <c r="D27" s="486"/>
      <c r="E27" s="486"/>
      <c r="F27" s="486"/>
      <c r="G27" s="486"/>
      <c r="H27" s="486"/>
      <c r="I27" s="486"/>
      <c r="J27" s="486"/>
      <c r="K27" s="486"/>
      <c r="L27" s="486"/>
      <c r="M27" s="486"/>
      <c r="N27" s="486"/>
      <c r="O27" s="486"/>
    </row>
    <row r="28" spans="1:15" ht="15" customHeight="1" x14ac:dyDescent="0.25">
      <c r="A28" s="390" t="s">
        <v>495</v>
      </c>
      <c r="B28" s="486"/>
      <c r="C28" s="486"/>
      <c r="D28" s="486"/>
      <c r="E28" s="486"/>
      <c r="F28" s="486"/>
      <c r="G28" s="486"/>
      <c r="H28" s="486"/>
      <c r="I28" s="486"/>
      <c r="J28" s="486"/>
      <c r="K28" s="486"/>
      <c r="L28" s="486"/>
      <c r="M28" s="486"/>
      <c r="N28" s="486"/>
      <c r="O28" s="486"/>
    </row>
    <row r="29" spans="1:15" ht="15" customHeight="1" x14ac:dyDescent="0.25">
      <c r="A29" s="390" t="s">
        <v>349</v>
      </c>
      <c r="B29" s="486"/>
      <c r="C29" s="486"/>
      <c r="D29" s="486"/>
      <c r="E29" s="486"/>
      <c r="F29" s="486"/>
      <c r="G29" s="486"/>
      <c r="H29" s="486"/>
      <c r="I29" s="486"/>
      <c r="J29" s="486"/>
      <c r="K29" s="486"/>
      <c r="L29" s="486"/>
      <c r="M29" s="486"/>
      <c r="N29" s="486"/>
      <c r="O29" s="486"/>
    </row>
    <row r="30" spans="1:15" ht="15" customHeight="1" x14ac:dyDescent="0.25">
      <c r="A30" s="390" t="s">
        <v>518</v>
      </c>
      <c r="B30" s="486"/>
      <c r="C30" s="486"/>
      <c r="D30" s="486"/>
      <c r="E30" s="486"/>
      <c r="F30" s="486"/>
      <c r="G30" s="486"/>
      <c r="H30" s="486"/>
      <c r="I30" s="486"/>
      <c r="J30" s="486"/>
      <c r="K30" s="486"/>
      <c r="L30" s="486"/>
      <c r="M30" s="486"/>
      <c r="N30" s="486"/>
      <c r="O30" s="486"/>
    </row>
    <row r="31" spans="1:15" ht="15" customHeight="1" x14ac:dyDescent="0.25">
      <c r="A31" s="486"/>
      <c r="B31" s="486"/>
      <c r="C31" s="486"/>
      <c r="D31" s="486"/>
      <c r="E31" s="486"/>
      <c r="F31" s="486"/>
      <c r="G31" s="486"/>
      <c r="H31" s="486"/>
      <c r="I31" s="486"/>
      <c r="J31" s="486"/>
      <c r="K31" s="486"/>
      <c r="L31" s="486"/>
      <c r="M31" s="486"/>
      <c r="N31" s="486"/>
      <c r="O31" s="486"/>
    </row>
    <row r="32" spans="1:15" ht="15" customHeight="1" x14ac:dyDescent="0.25">
      <c r="A32" s="486"/>
      <c r="B32" s="486"/>
      <c r="C32" s="486"/>
      <c r="D32" s="486"/>
      <c r="E32" s="486"/>
      <c r="F32" s="486"/>
      <c r="G32" s="486"/>
      <c r="H32" s="486"/>
      <c r="I32" s="486"/>
      <c r="J32" s="486"/>
      <c r="K32" s="742"/>
      <c r="L32" s="743"/>
      <c r="M32" s="743"/>
      <c r="N32" s="743"/>
      <c r="O32" s="743"/>
    </row>
    <row r="33" spans="1:15" ht="17.649999999999999" customHeight="1" x14ac:dyDescent="0.3">
      <c r="A33" s="738" t="s">
        <v>904</v>
      </c>
      <c r="B33" s="743"/>
      <c r="C33" s="743"/>
      <c r="D33" s="739"/>
      <c r="E33" s="743"/>
      <c r="F33" s="743"/>
      <c r="G33" s="743"/>
      <c r="H33" s="743"/>
      <c r="I33" s="743"/>
      <c r="J33" s="565"/>
      <c r="K33" s="738" t="s">
        <v>677</v>
      </c>
      <c r="L33" s="743"/>
      <c r="M33" s="743"/>
      <c r="N33" s="743"/>
      <c r="O33" s="743"/>
    </row>
    <row r="34" spans="1:15" ht="15.4" customHeight="1" x14ac:dyDescent="0.25">
      <c r="A34" s="732" t="s">
        <v>987</v>
      </c>
      <c r="B34" s="743"/>
      <c r="C34" s="743"/>
      <c r="D34" s="734"/>
      <c r="E34" s="743"/>
      <c r="F34" s="743"/>
      <c r="G34" s="743"/>
      <c r="H34" s="743"/>
      <c r="I34" s="743"/>
      <c r="J34" s="103"/>
      <c r="K34" s="732" t="s">
        <v>987</v>
      </c>
      <c r="L34" s="743"/>
      <c r="M34" s="743"/>
      <c r="N34" s="743"/>
      <c r="O34" s="743"/>
    </row>
  </sheetData>
  <mergeCells count="23">
    <mergeCell ref="K32:O32"/>
    <mergeCell ref="A33:C33"/>
    <mergeCell ref="D33:I33"/>
    <mergeCell ref="K33:O33"/>
    <mergeCell ref="A34:C34"/>
    <mergeCell ref="D34:I34"/>
    <mergeCell ref="K34:O34"/>
    <mergeCell ref="A2:O2"/>
    <mergeCell ref="A3:O3"/>
    <mergeCell ref="A13:A15"/>
    <mergeCell ref="B13:B15"/>
    <mergeCell ref="C13:C15"/>
    <mergeCell ref="D13:D15"/>
    <mergeCell ref="E13:H13"/>
    <mergeCell ref="I13:J13"/>
    <mergeCell ref="K13:N13"/>
    <mergeCell ref="O13:O15"/>
    <mergeCell ref="E14:E15"/>
    <mergeCell ref="F14:G14"/>
    <mergeCell ref="I14:I15"/>
    <mergeCell ref="J14:J15"/>
    <mergeCell ref="K14:K15"/>
    <mergeCell ref="L14:N1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21"/>
  <sheetViews>
    <sheetView showGridLines="0" workbookViewId="0"/>
  </sheetViews>
  <sheetFormatPr defaultRowHeight="15" x14ac:dyDescent="0.25"/>
  <cols>
    <col min="1" max="1" width="8.85546875" customWidth="1"/>
    <col min="2" max="2" width="35.85546875" customWidth="1"/>
    <col min="3" max="3" width="18.85546875" customWidth="1"/>
    <col min="4" max="5" width="22.85546875" customWidth="1"/>
    <col min="6" max="6" width="15.85546875" customWidth="1"/>
    <col min="7" max="15" width="9.42578125" customWidth="1"/>
  </cols>
  <sheetData>
    <row r="1" spans="1:15" ht="17.649999999999999" customHeight="1" x14ac:dyDescent="0.3">
      <c r="A1" s="563"/>
      <c r="B1" s="563"/>
      <c r="C1" s="563"/>
      <c r="D1" s="563"/>
      <c r="E1" s="563"/>
      <c r="F1" s="321" t="s">
        <v>204</v>
      </c>
      <c r="G1" s="572"/>
      <c r="H1" s="572"/>
      <c r="I1" s="572"/>
      <c r="J1" s="572"/>
      <c r="K1" s="572"/>
      <c r="L1" s="572"/>
      <c r="M1" s="572"/>
      <c r="N1" s="572"/>
      <c r="O1" s="572"/>
    </row>
    <row r="2" spans="1:15" ht="17.649999999999999" customHeight="1" x14ac:dyDescent="0.3">
      <c r="A2" s="738" t="s">
        <v>791</v>
      </c>
      <c r="B2" s="743"/>
      <c r="C2" s="743"/>
      <c r="D2" s="743"/>
      <c r="E2" s="743"/>
      <c r="F2" s="743"/>
      <c r="G2" s="572"/>
      <c r="H2" s="572"/>
      <c r="I2" s="572"/>
      <c r="J2" s="572"/>
      <c r="K2" s="572"/>
      <c r="L2" s="572"/>
      <c r="M2" s="572"/>
      <c r="N2" s="572"/>
      <c r="O2" s="572"/>
    </row>
    <row r="3" spans="1:15" ht="17.649999999999999" customHeight="1" x14ac:dyDescent="0.3">
      <c r="A3" s="751" t="s">
        <v>648</v>
      </c>
      <c r="B3" s="743"/>
      <c r="C3" s="743"/>
      <c r="D3" s="743"/>
      <c r="E3" s="743"/>
      <c r="F3" s="743"/>
      <c r="G3" s="739"/>
      <c r="H3" s="743"/>
      <c r="I3" s="743"/>
      <c r="J3" s="743"/>
      <c r="K3" s="743"/>
      <c r="L3" s="743"/>
      <c r="M3" s="739"/>
      <c r="N3" s="743"/>
      <c r="O3" s="743"/>
    </row>
    <row r="4" spans="1:15" ht="17.649999999999999" customHeight="1" x14ac:dyDescent="0.3">
      <c r="A4" s="490"/>
      <c r="B4" s="490"/>
      <c r="C4" s="490"/>
      <c r="D4" s="490"/>
      <c r="E4" s="490"/>
      <c r="F4" s="490"/>
      <c r="G4" s="565"/>
      <c r="H4" s="565"/>
      <c r="I4" s="565"/>
      <c r="J4" s="565"/>
      <c r="K4" s="565"/>
      <c r="L4" s="565"/>
      <c r="M4" s="565"/>
      <c r="N4" s="565"/>
      <c r="O4" s="565"/>
    </row>
    <row r="5" spans="1:15" ht="17.649999999999999" customHeight="1" x14ac:dyDescent="0.3">
      <c r="A5" s="563"/>
      <c r="B5" s="563"/>
      <c r="C5" s="563"/>
      <c r="D5" s="563"/>
      <c r="E5" s="563"/>
      <c r="F5" s="563"/>
      <c r="G5" s="572"/>
      <c r="H5" s="572"/>
      <c r="I5" s="572"/>
      <c r="J5" s="572"/>
      <c r="K5" s="572"/>
      <c r="L5" s="572"/>
      <c r="M5" s="572"/>
      <c r="N5" s="572"/>
      <c r="O5" s="572"/>
    </row>
    <row r="6" spans="1:15" ht="35.25" customHeight="1" x14ac:dyDescent="0.25">
      <c r="A6" s="744" t="s">
        <v>306</v>
      </c>
      <c r="B6" s="744" t="s">
        <v>962</v>
      </c>
      <c r="C6" s="748" t="s">
        <v>267</v>
      </c>
      <c r="D6" s="750"/>
      <c r="E6" s="744" t="s">
        <v>507</v>
      </c>
      <c r="F6" s="744" t="s">
        <v>877</v>
      </c>
      <c r="G6" s="572"/>
      <c r="H6" s="572"/>
      <c r="I6" s="572"/>
      <c r="J6" s="572"/>
      <c r="K6" s="572"/>
      <c r="L6" s="572"/>
      <c r="M6" s="572"/>
      <c r="N6" s="572"/>
      <c r="O6" s="572"/>
    </row>
    <row r="7" spans="1:15" ht="72" customHeight="1" x14ac:dyDescent="0.25">
      <c r="A7" s="746"/>
      <c r="B7" s="746"/>
      <c r="C7" s="72" t="s">
        <v>755</v>
      </c>
      <c r="D7" s="72" t="s">
        <v>720</v>
      </c>
      <c r="E7" s="746"/>
      <c r="F7" s="746"/>
      <c r="G7" s="572"/>
      <c r="H7" s="572"/>
      <c r="I7" s="572"/>
      <c r="J7" s="572"/>
      <c r="K7" s="572"/>
      <c r="L7" s="572"/>
      <c r="M7" s="572"/>
      <c r="N7" s="572"/>
      <c r="O7" s="572"/>
    </row>
    <row r="8" spans="1:15" ht="15" customHeight="1" x14ac:dyDescent="0.25">
      <c r="A8" s="31" t="s">
        <v>38</v>
      </c>
      <c r="B8" s="31" t="s">
        <v>325</v>
      </c>
      <c r="C8" s="31" t="s">
        <v>612</v>
      </c>
      <c r="D8" s="31" t="s">
        <v>908</v>
      </c>
      <c r="E8" s="31" t="s">
        <v>760</v>
      </c>
      <c r="F8" s="31" t="s">
        <v>49</v>
      </c>
      <c r="G8" s="572"/>
      <c r="H8" s="572"/>
      <c r="I8" s="572"/>
      <c r="J8" s="572"/>
      <c r="K8" s="572"/>
      <c r="L8" s="572"/>
      <c r="M8" s="572"/>
      <c r="N8" s="572"/>
      <c r="O8" s="572"/>
    </row>
    <row r="9" spans="1:15" ht="15" customHeight="1" x14ac:dyDescent="0.25">
      <c r="A9" s="208" t="s">
        <v>383</v>
      </c>
      <c r="B9" s="202" t="s">
        <v>974</v>
      </c>
      <c r="C9" s="451"/>
      <c r="D9" s="451"/>
      <c r="E9" s="451"/>
      <c r="F9" s="451"/>
      <c r="G9" s="572"/>
      <c r="H9" s="572"/>
      <c r="I9" s="572"/>
      <c r="J9" s="572"/>
      <c r="K9" s="572"/>
      <c r="L9" s="572"/>
      <c r="M9" s="572"/>
      <c r="N9" s="572"/>
      <c r="O9" s="572"/>
    </row>
    <row r="10" spans="1:15" ht="15" customHeight="1" x14ac:dyDescent="0.25">
      <c r="A10" s="123">
        <v>1</v>
      </c>
      <c r="B10" s="464" t="s">
        <v>663</v>
      </c>
      <c r="C10" s="116"/>
      <c r="D10" s="116"/>
      <c r="E10" s="116"/>
      <c r="F10" s="116"/>
      <c r="G10" s="572"/>
      <c r="H10" s="572"/>
      <c r="I10" s="572"/>
      <c r="J10" s="572"/>
      <c r="K10" s="572"/>
      <c r="L10" s="572"/>
      <c r="M10" s="572"/>
      <c r="N10" s="572"/>
      <c r="O10" s="572"/>
    </row>
    <row r="11" spans="1:15" ht="15" customHeight="1" x14ac:dyDescent="0.25">
      <c r="A11" s="123">
        <v>2</v>
      </c>
      <c r="B11" s="464" t="s">
        <v>663</v>
      </c>
      <c r="C11" s="116"/>
      <c r="D11" s="116"/>
      <c r="E11" s="116"/>
      <c r="F11" s="116"/>
      <c r="G11" s="572"/>
      <c r="H11" s="572"/>
      <c r="I11" s="572"/>
      <c r="J11" s="572"/>
      <c r="K11" s="572"/>
      <c r="L11" s="572"/>
      <c r="M11" s="572"/>
      <c r="N11" s="572"/>
      <c r="O11" s="572"/>
    </row>
    <row r="12" spans="1:15" ht="15" customHeight="1" x14ac:dyDescent="0.25">
      <c r="A12" s="123"/>
      <c r="B12" s="116"/>
      <c r="C12" s="116"/>
      <c r="D12" s="116"/>
      <c r="E12" s="116"/>
      <c r="F12" s="116"/>
      <c r="G12" s="572"/>
      <c r="H12" s="572"/>
      <c r="I12" s="572"/>
      <c r="J12" s="572"/>
      <c r="K12" s="572"/>
      <c r="L12" s="572"/>
      <c r="M12" s="572"/>
      <c r="N12" s="572"/>
      <c r="O12" s="572"/>
    </row>
    <row r="13" spans="1:15" ht="15" customHeight="1" x14ac:dyDescent="0.25">
      <c r="A13" s="580" t="s">
        <v>432</v>
      </c>
      <c r="B13" s="573" t="s">
        <v>654</v>
      </c>
      <c r="C13" s="109"/>
      <c r="D13" s="109"/>
      <c r="E13" s="109"/>
      <c r="F13" s="109"/>
      <c r="G13" s="572"/>
      <c r="H13" s="572"/>
      <c r="I13" s="572"/>
      <c r="J13" s="572"/>
      <c r="K13" s="572"/>
      <c r="L13" s="572"/>
      <c r="M13" s="572"/>
      <c r="N13" s="572"/>
      <c r="O13" s="572"/>
    </row>
    <row r="14" spans="1:15" ht="15" customHeight="1" x14ac:dyDescent="0.25">
      <c r="A14" s="100"/>
      <c r="B14" s="435" t="s">
        <v>663</v>
      </c>
      <c r="C14" s="94"/>
      <c r="D14" s="94"/>
      <c r="E14" s="94"/>
      <c r="F14" s="94"/>
      <c r="G14" s="572"/>
      <c r="H14" s="572"/>
      <c r="I14" s="572"/>
      <c r="J14" s="572"/>
      <c r="K14" s="572"/>
      <c r="L14" s="572"/>
      <c r="M14" s="572"/>
      <c r="N14" s="572"/>
      <c r="O14" s="572"/>
    </row>
    <row r="15" spans="1:15" ht="15" customHeight="1" x14ac:dyDescent="0.25">
      <c r="A15" s="486"/>
      <c r="B15" s="486"/>
      <c r="C15" s="486"/>
      <c r="D15" s="486"/>
      <c r="E15" s="486"/>
      <c r="F15" s="486"/>
      <c r="G15" s="572"/>
      <c r="H15" s="572"/>
      <c r="I15" s="572"/>
      <c r="J15" s="572"/>
      <c r="K15" s="572"/>
      <c r="L15" s="572"/>
      <c r="M15" s="572"/>
      <c r="N15" s="572"/>
      <c r="O15" s="572"/>
    </row>
    <row r="16" spans="1:15" ht="15" customHeight="1" x14ac:dyDescent="0.25">
      <c r="A16" s="486"/>
      <c r="B16" s="486"/>
      <c r="C16" s="486"/>
      <c r="D16" s="486"/>
      <c r="E16" s="752" t="s">
        <v>244</v>
      </c>
      <c r="F16" s="743"/>
      <c r="G16" s="572"/>
      <c r="H16" s="572"/>
      <c r="I16" s="572"/>
      <c r="J16" s="572"/>
      <c r="K16" s="572"/>
      <c r="L16" s="572"/>
      <c r="M16" s="572"/>
      <c r="N16" s="572"/>
      <c r="O16" s="572"/>
    </row>
    <row r="17" spans="1:15" ht="15" customHeight="1" x14ac:dyDescent="0.25">
      <c r="A17" s="753" t="s">
        <v>69</v>
      </c>
      <c r="B17" s="743"/>
      <c r="C17" s="754"/>
      <c r="D17" s="743"/>
      <c r="E17" s="753" t="s">
        <v>417</v>
      </c>
      <c r="F17" s="743"/>
      <c r="G17" s="572"/>
      <c r="H17" s="572"/>
      <c r="I17" s="572"/>
      <c r="J17" s="572"/>
      <c r="K17" s="572"/>
      <c r="L17" s="572"/>
      <c r="M17" s="572"/>
      <c r="N17" s="572"/>
      <c r="O17" s="572"/>
    </row>
    <row r="18" spans="1:15" ht="15" customHeight="1" x14ac:dyDescent="0.25">
      <c r="A18" s="752" t="s">
        <v>987</v>
      </c>
      <c r="B18" s="743"/>
      <c r="C18" s="755"/>
      <c r="D18" s="743"/>
      <c r="E18" s="752" t="s">
        <v>987</v>
      </c>
      <c r="F18" s="743"/>
      <c r="G18" s="572"/>
      <c r="H18" s="572"/>
      <c r="I18" s="572"/>
      <c r="J18" s="572"/>
      <c r="K18" s="572"/>
      <c r="L18" s="572"/>
      <c r="M18" s="572"/>
      <c r="N18" s="572"/>
      <c r="O18" s="572"/>
    </row>
    <row r="19" spans="1:15" ht="15" customHeight="1" x14ac:dyDescent="0.25">
      <c r="A19" s="486"/>
      <c r="B19" s="486"/>
      <c r="C19" s="486"/>
      <c r="D19" s="486"/>
      <c r="E19" s="486"/>
      <c r="F19" s="486"/>
      <c r="G19" s="572"/>
      <c r="H19" s="572"/>
      <c r="I19" s="572"/>
      <c r="J19" s="572"/>
      <c r="K19" s="572"/>
      <c r="L19" s="572"/>
      <c r="M19" s="572"/>
      <c r="N19" s="572"/>
      <c r="O19" s="572"/>
    </row>
    <row r="20" spans="1:15" ht="15" customHeight="1" x14ac:dyDescent="0.25">
      <c r="A20" s="486"/>
      <c r="B20" s="486"/>
      <c r="C20" s="486"/>
      <c r="D20" s="486"/>
      <c r="E20" s="486"/>
      <c r="F20" s="486"/>
      <c r="G20" s="572"/>
      <c r="H20" s="572"/>
      <c r="I20" s="572"/>
      <c r="J20" s="572"/>
      <c r="K20" s="572"/>
      <c r="L20" s="572"/>
      <c r="M20" s="572"/>
      <c r="N20" s="572"/>
      <c r="O20" s="572"/>
    </row>
    <row r="21" spans="1:15" ht="15" customHeight="1" x14ac:dyDescent="0.25">
      <c r="A21" s="486"/>
      <c r="B21" s="486"/>
      <c r="C21" s="486"/>
      <c r="D21" s="486"/>
      <c r="E21" s="486"/>
      <c r="F21" s="486"/>
      <c r="G21" s="572"/>
      <c r="H21" s="572"/>
      <c r="I21" s="572"/>
      <c r="J21" s="572"/>
      <c r="K21" s="572"/>
      <c r="L21" s="572"/>
      <c r="M21" s="572"/>
      <c r="N21" s="572"/>
      <c r="O21" s="572"/>
    </row>
  </sheetData>
  <mergeCells count="16">
    <mergeCell ref="E16:F16"/>
    <mergeCell ref="A17:B17"/>
    <mergeCell ref="C17:D17"/>
    <mergeCell ref="E17:F17"/>
    <mergeCell ref="A18:B18"/>
    <mergeCell ref="C18:D18"/>
    <mergeCell ref="E18:F18"/>
    <mergeCell ref="A2:F2"/>
    <mergeCell ref="A3:F3"/>
    <mergeCell ref="G3:L3"/>
    <mergeCell ref="M3:O3"/>
    <mergeCell ref="A6:A7"/>
    <mergeCell ref="B6:B7"/>
    <mergeCell ref="C6:D6"/>
    <mergeCell ref="E6:E7"/>
    <mergeCell ref="F6: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
  <sheetViews>
    <sheetView showZeros="0" topLeftCell="B1" workbookViewId="0">
      <selection activeCell="D6" sqref="D6"/>
    </sheetView>
  </sheetViews>
  <sheetFormatPr defaultColWidth="9.140625" defaultRowHeight="15" x14ac:dyDescent="0.25"/>
  <cols>
    <col min="1" max="1" width="2" style="460" hidden="1" customWidth="1"/>
    <col min="2" max="2" width="5" style="460" bestFit="1" customWidth="1"/>
    <col min="3" max="3" width="8.7109375" style="460" bestFit="1" customWidth="1"/>
    <col min="4" max="4" width="10.85546875" style="460" customWidth="1"/>
    <col min="5" max="5" width="7.140625" style="460" bestFit="1" customWidth="1"/>
    <col min="6" max="6" width="8.140625" style="460" customWidth="1"/>
    <col min="7" max="7" width="7.140625" style="460" customWidth="1"/>
    <col min="8" max="8" width="8.140625" style="460" customWidth="1"/>
    <col min="9" max="9" width="9" style="460" customWidth="1"/>
    <col min="10" max="10" width="12.85546875" style="460" customWidth="1"/>
    <col min="11" max="12" width="8.140625" style="460" customWidth="1"/>
    <col min="13" max="13" width="7.28515625" style="460" customWidth="1"/>
    <col min="14" max="14" width="7.42578125" style="460" customWidth="1"/>
    <col min="15" max="16" width="8.28515625" style="460" customWidth="1"/>
    <col min="17" max="24" width="7.85546875" style="460" customWidth="1"/>
    <col min="25" max="25" width="10.5703125" style="460" customWidth="1"/>
    <col min="26" max="26" width="9.140625" style="460" customWidth="1"/>
    <col min="27" max="16384" width="9.140625" style="460"/>
  </cols>
  <sheetData>
    <row r="1" spans="1:1" x14ac:dyDescent="0.25">
      <c r="A1" s="57"/>
    </row>
  </sheetData>
  <pageMargins left="0.75" right="0.75" top="0.79" bottom="0.79" header="0.3" footer="0.3"/>
  <pageSetup paperSize="9" scale="80" orientation="landscape" useFirstPageNumber="1" horizontalDpi="65532"/>
  <headerFooter>
    <oddFooter>&amp;CTrang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39"/>
  <sheetViews>
    <sheetView showGridLines="0" workbookViewId="0"/>
  </sheetViews>
  <sheetFormatPr defaultRowHeight="15" x14ac:dyDescent="0.25"/>
  <cols>
    <col min="1" max="1" width="5.85546875" customWidth="1"/>
    <col min="2" max="2" width="11.85546875" customWidth="1"/>
    <col min="3" max="3" width="50.85546875" customWidth="1"/>
    <col min="4" max="4" width="7.85546875" customWidth="1"/>
    <col min="5" max="8" width="12.85546875" customWidth="1"/>
    <col min="9" max="10" width="11.85546875" customWidth="1"/>
    <col min="11" max="13" width="13.85546875" customWidth="1"/>
    <col min="14" max="14" width="11.85546875" customWidth="1"/>
    <col min="15" max="18" width="9.42578125" customWidth="1"/>
  </cols>
  <sheetData>
    <row r="1" spans="1:18" ht="17.649999999999999" customHeight="1" x14ac:dyDescent="0.3">
      <c r="A1" s="394"/>
      <c r="B1" s="394"/>
      <c r="C1" s="394"/>
      <c r="D1" s="394"/>
      <c r="E1" s="394"/>
      <c r="F1" s="394"/>
      <c r="G1" s="394"/>
      <c r="H1" s="394"/>
      <c r="I1" s="394"/>
      <c r="J1" s="394"/>
      <c r="K1" s="394"/>
      <c r="L1" s="394"/>
      <c r="M1" s="394"/>
      <c r="N1" s="321" t="s">
        <v>158</v>
      </c>
      <c r="O1" s="572"/>
      <c r="P1" s="572"/>
      <c r="Q1" s="572"/>
      <c r="R1" s="572"/>
    </row>
    <row r="2" spans="1:18" ht="17.649999999999999" customHeight="1" x14ac:dyDescent="0.3">
      <c r="A2" s="738" t="s">
        <v>696</v>
      </c>
      <c r="B2" s="743"/>
      <c r="C2" s="743"/>
      <c r="D2" s="743"/>
      <c r="E2" s="743"/>
      <c r="F2" s="743"/>
      <c r="G2" s="743"/>
      <c r="H2" s="743"/>
      <c r="I2" s="743"/>
      <c r="J2" s="743"/>
      <c r="K2" s="743"/>
      <c r="L2" s="743"/>
      <c r="M2" s="743"/>
      <c r="N2" s="743"/>
      <c r="O2" s="572"/>
      <c r="P2" s="572"/>
      <c r="Q2" s="572"/>
      <c r="R2" s="572"/>
    </row>
    <row r="3" spans="1:18" ht="17.649999999999999" customHeight="1" x14ac:dyDescent="0.3">
      <c r="A3" s="751" t="s">
        <v>648</v>
      </c>
      <c r="B3" s="743"/>
      <c r="C3" s="743"/>
      <c r="D3" s="743"/>
      <c r="E3" s="743"/>
      <c r="F3" s="743"/>
      <c r="G3" s="743"/>
      <c r="H3" s="743"/>
      <c r="I3" s="743"/>
      <c r="J3" s="743"/>
      <c r="K3" s="743"/>
      <c r="L3" s="743"/>
      <c r="M3" s="743"/>
      <c r="N3" s="743"/>
      <c r="O3" s="99"/>
      <c r="P3" s="99"/>
      <c r="Q3" s="99"/>
      <c r="R3" s="99"/>
    </row>
    <row r="4" spans="1:18" ht="15" customHeight="1" x14ac:dyDescent="0.25">
      <c r="A4" s="390" t="s">
        <v>149</v>
      </c>
      <c r="B4" s="486"/>
      <c r="C4" s="486"/>
      <c r="D4" s="486"/>
      <c r="E4" s="486"/>
      <c r="F4" s="486"/>
      <c r="G4" s="486"/>
      <c r="H4" s="486"/>
      <c r="I4" s="486"/>
      <c r="J4" s="486"/>
      <c r="K4" s="486"/>
      <c r="L4" s="486"/>
      <c r="M4" s="486"/>
      <c r="N4" s="486"/>
      <c r="O4" s="572"/>
      <c r="P4" s="572"/>
      <c r="Q4" s="572"/>
      <c r="R4" s="572"/>
    </row>
    <row r="5" spans="1:18" ht="15" customHeight="1" x14ac:dyDescent="0.25">
      <c r="A5" s="390" t="s">
        <v>707</v>
      </c>
      <c r="B5" s="486"/>
      <c r="C5" s="486"/>
      <c r="D5" s="486"/>
      <c r="E5" s="486"/>
      <c r="F5" s="486"/>
      <c r="G5" s="486"/>
      <c r="H5" s="486"/>
      <c r="I5" s="486"/>
      <c r="J5" s="486"/>
      <c r="K5" s="486"/>
      <c r="L5" s="486"/>
      <c r="M5" s="486"/>
      <c r="N5" s="486"/>
      <c r="O5" s="572"/>
      <c r="P5" s="572"/>
      <c r="Q5" s="572"/>
      <c r="R5" s="572"/>
    </row>
    <row r="6" spans="1:18" ht="15" customHeight="1" x14ac:dyDescent="0.25">
      <c r="A6" s="390" t="s">
        <v>50</v>
      </c>
      <c r="B6" s="486"/>
      <c r="C6" s="486"/>
      <c r="D6" s="390" t="s">
        <v>869</v>
      </c>
      <c r="E6" s="486"/>
      <c r="F6" s="486"/>
      <c r="G6" s="486"/>
      <c r="H6" s="486"/>
      <c r="I6" s="486"/>
      <c r="J6" s="486"/>
      <c r="K6" s="486"/>
      <c r="L6" s="486"/>
      <c r="M6" s="486"/>
      <c r="N6" s="486"/>
      <c r="O6" s="572"/>
      <c r="P6" s="572"/>
      <c r="Q6" s="572"/>
      <c r="R6" s="572"/>
    </row>
    <row r="7" spans="1:18" ht="15" customHeight="1" x14ac:dyDescent="0.25">
      <c r="A7" s="390" t="s">
        <v>320</v>
      </c>
      <c r="B7" s="486"/>
      <c r="C7" s="486"/>
      <c r="D7" s="486"/>
      <c r="E7" s="486"/>
      <c r="F7" s="486"/>
      <c r="G7" s="486"/>
      <c r="H7" s="486"/>
      <c r="I7" s="486"/>
      <c r="J7" s="486"/>
      <c r="K7" s="486"/>
      <c r="L7" s="486"/>
      <c r="M7" s="486"/>
      <c r="N7" s="486"/>
      <c r="O7" s="572"/>
      <c r="P7" s="572"/>
      <c r="Q7" s="572"/>
      <c r="R7" s="572"/>
    </row>
    <row r="8" spans="1:18" ht="15" customHeight="1" x14ac:dyDescent="0.25">
      <c r="A8" s="390" t="s">
        <v>457</v>
      </c>
      <c r="B8" s="486"/>
      <c r="C8" s="486"/>
      <c r="D8" s="486"/>
      <c r="E8" s="486"/>
      <c r="F8" s="486"/>
      <c r="G8" s="486"/>
      <c r="H8" s="486"/>
      <c r="I8" s="486"/>
      <c r="J8" s="486"/>
      <c r="K8" s="486"/>
      <c r="L8" s="486"/>
      <c r="M8" s="486"/>
      <c r="N8" s="486"/>
      <c r="O8" s="572"/>
      <c r="P8" s="572"/>
      <c r="Q8" s="572"/>
      <c r="R8" s="572"/>
    </row>
    <row r="9" spans="1:18" ht="15" customHeight="1" x14ac:dyDescent="0.25">
      <c r="A9" s="390" t="s">
        <v>711</v>
      </c>
      <c r="B9" s="486"/>
      <c r="C9" s="486"/>
      <c r="D9" s="486"/>
      <c r="E9" s="486"/>
      <c r="F9" s="486"/>
      <c r="G9" s="486"/>
      <c r="H9" s="486"/>
      <c r="I9" s="486"/>
      <c r="J9" s="486"/>
      <c r="K9" s="486"/>
      <c r="L9" s="486"/>
      <c r="M9" s="486"/>
      <c r="N9" s="486"/>
      <c r="O9" s="572"/>
      <c r="P9" s="572"/>
      <c r="Q9" s="572"/>
      <c r="R9" s="572"/>
    </row>
    <row r="10" spans="1:18" ht="15" customHeight="1" x14ac:dyDescent="0.25">
      <c r="A10" s="390" t="s">
        <v>175</v>
      </c>
      <c r="B10" s="486"/>
      <c r="C10" s="486"/>
      <c r="D10" s="486"/>
      <c r="E10" s="486"/>
      <c r="F10" s="486"/>
      <c r="G10" s="486"/>
      <c r="H10" s="486"/>
      <c r="I10" s="486"/>
      <c r="J10" s="486"/>
      <c r="K10" s="486"/>
      <c r="L10" s="486"/>
      <c r="M10" s="486"/>
      <c r="N10" s="486"/>
      <c r="O10" s="572"/>
      <c r="P10" s="572"/>
      <c r="Q10" s="572"/>
      <c r="R10" s="572"/>
    </row>
    <row r="11" spans="1:18" ht="15" customHeight="1" x14ac:dyDescent="0.25">
      <c r="A11" s="390" t="s">
        <v>768</v>
      </c>
      <c r="B11" s="486"/>
      <c r="C11" s="486"/>
      <c r="D11" s="486"/>
      <c r="E11" s="486"/>
      <c r="F11" s="486"/>
      <c r="G11" s="486"/>
      <c r="H11" s="486"/>
      <c r="I11" s="486"/>
      <c r="J11" s="486"/>
      <c r="K11" s="486"/>
      <c r="L11" s="486"/>
      <c r="M11" s="486"/>
      <c r="N11" s="486"/>
      <c r="O11" s="572"/>
      <c r="P11" s="572"/>
      <c r="Q11" s="572"/>
      <c r="R11" s="572"/>
    </row>
    <row r="12" spans="1:18" ht="15" customHeight="1" x14ac:dyDescent="0.25">
      <c r="A12" s="486"/>
      <c r="B12" s="486"/>
      <c r="C12" s="486"/>
      <c r="D12" s="486"/>
      <c r="E12" s="486"/>
      <c r="F12" s="486"/>
      <c r="G12" s="486"/>
      <c r="H12" s="486"/>
      <c r="I12" s="486"/>
      <c r="J12" s="486"/>
      <c r="K12" s="486"/>
      <c r="L12" s="486"/>
      <c r="M12" s="486"/>
      <c r="N12" s="486"/>
      <c r="O12" s="572"/>
      <c r="P12" s="572"/>
      <c r="Q12" s="572"/>
      <c r="R12" s="572"/>
    </row>
    <row r="13" spans="1:18" ht="16.5" customHeight="1" x14ac:dyDescent="0.25">
      <c r="A13" s="744" t="s">
        <v>306</v>
      </c>
      <c r="B13" s="744" t="s">
        <v>879</v>
      </c>
      <c r="C13" s="744" t="s">
        <v>924</v>
      </c>
      <c r="D13" s="744" t="s">
        <v>253</v>
      </c>
      <c r="E13" s="748" t="s">
        <v>736</v>
      </c>
      <c r="F13" s="749"/>
      <c r="G13" s="749"/>
      <c r="H13" s="750"/>
      <c r="I13" s="748" t="s">
        <v>421</v>
      </c>
      <c r="J13" s="750"/>
      <c r="K13" s="756" t="s">
        <v>97</v>
      </c>
      <c r="L13" s="757"/>
      <c r="M13" s="758"/>
      <c r="N13" s="744" t="s">
        <v>877</v>
      </c>
      <c r="O13" s="572"/>
      <c r="P13" s="572"/>
      <c r="Q13" s="572"/>
      <c r="R13" s="572"/>
    </row>
    <row r="14" spans="1:18" ht="16.5" customHeight="1" x14ac:dyDescent="0.25">
      <c r="A14" s="745"/>
      <c r="B14" s="745"/>
      <c r="C14" s="745"/>
      <c r="D14" s="745"/>
      <c r="E14" s="744" t="s">
        <v>743</v>
      </c>
      <c r="F14" s="748" t="s">
        <v>861</v>
      </c>
      <c r="G14" s="749"/>
      <c r="H14" s="750"/>
      <c r="I14" s="744" t="s">
        <v>421</v>
      </c>
      <c r="J14" s="744" t="s">
        <v>725</v>
      </c>
      <c r="K14" s="759"/>
      <c r="L14" s="760"/>
      <c r="M14" s="761"/>
      <c r="N14" s="745"/>
      <c r="O14" s="572"/>
      <c r="P14" s="572"/>
      <c r="Q14" s="572"/>
      <c r="R14" s="572"/>
    </row>
    <row r="15" spans="1:18" ht="28.9" customHeight="1" x14ac:dyDescent="0.25">
      <c r="A15" s="746"/>
      <c r="B15" s="746"/>
      <c r="C15" s="746"/>
      <c r="D15" s="746"/>
      <c r="E15" s="746"/>
      <c r="F15" s="72" t="s">
        <v>697</v>
      </c>
      <c r="G15" s="72" t="s">
        <v>184</v>
      </c>
      <c r="H15" s="72" t="s">
        <v>682</v>
      </c>
      <c r="I15" s="746"/>
      <c r="J15" s="746"/>
      <c r="K15" s="72" t="s">
        <v>697</v>
      </c>
      <c r="L15" s="72" t="s">
        <v>184</v>
      </c>
      <c r="M15" s="72" t="s">
        <v>682</v>
      </c>
      <c r="N15" s="746"/>
      <c r="O15" s="572"/>
      <c r="P15" s="572"/>
      <c r="Q15" s="572"/>
      <c r="R15" s="572"/>
    </row>
    <row r="16" spans="1:18" ht="15" customHeight="1" x14ac:dyDescent="0.25">
      <c r="A16" s="31" t="s">
        <v>38</v>
      </c>
      <c r="B16" s="31" t="s">
        <v>325</v>
      </c>
      <c r="C16" s="31" t="s">
        <v>612</v>
      </c>
      <c r="D16" s="31" t="s">
        <v>908</v>
      </c>
      <c r="E16" s="31" t="s">
        <v>760</v>
      </c>
      <c r="F16" s="31" t="s">
        <v>49</v>
      </c>
      <c r="G16" s="31" t="s">
        <v>332</v>
      </c>
      <c r="H16" s="31" t="s">
        <v>621</v>
      </c>
      <c r="I16" s="31" t="s">
        <v>487</v>
      </c>
      <c r="J16" s="31" t="s">
        <v>118</v>
      </c>
      <c r="K16" s="31" t="s">
        <v>398</v>
      </c>
      <c r="L16" s="31" t="s">
        <v>683</v>
      </c>
      <c r="M16" s="31" t="s">
        <v>559</v>
      </c>
      <c r="N16" s="31" t="s">
        <v>851</v>
      </c>
      <c r="O16" s="572"/>
      <c r="P16" s="572"/>
      <c r="Q16" s="572"/>
      <c r="R16" s="572"/>
    </row>
    <row r="17" spans="1:18" ht="15" customHeight="1" x14ac:dyDescent="0.25">
      <c r="A17" s="14"/>
      <c r="B17" s="14"/>
      <c r="C17" s="14"/>
      <c r="D17" s="14"/>
      <c r="E17" s="14"/>
      <c r="F17" s="14"/>
      <c r="G17" s="14"/>
      <c r="H17" s="14"/>
      <c r="I17" s="14"/>
      <c r="J17" s="14"/>
      <c r="K17" s="14"/>
      <c r="L17" s="14"/>
      <c r="M17" s="14"/>
      <c r="N17" s="14"/>
      <c r="O17" s="572"/>
      <c r="P17" s="572"/>
      <c r="Q17" s="572"/>
      <c r="R17" s="572"/>
    </row>
    <row r="18" spans="1:18" ht="15" customHeight="1" x14ac:dyDescent="0.25">
      <c r="A18" s="396"/>
      <c r="B18" s="396"/>
      <c r="C18" s="396"/>
      <c r="D18" s="396"/>
      <c r="E18" s="396"/>
      <c r="F18" s="396"/>
      <c r="G18" s="396"/>
      <c r="H18" s="396"/>
      <c r="I18" s="396"/>
      <c r="J18" s="396"/>
      <c r="K18" s="396"/>
      <c r="L18" s="396"/>
      <c r="M18" s="396"/>
      <c r="N18" s="396"/>
      <c r="O18" s="572"/>
      <c r="P18" s="572"/>
      <c r="Q18" s="572"/>
      <c r="R18" s="572"/>
    </row>
    <row r="19" spans="1:18" ht="15" customHeight="1" x14ac:dyDescent="0.25">
      <c r="A19" s="396"/>
      <c r="B19" s="396"/>
      <c r="C19" s="396"/>
      <c r="D19" s="396"/>
      <c r="E19" s="396"/>
      <c r="F19" s="396"/>
      <c r="G19" s="396"/>
      <c r="H19" s="396"/>
      <c r="I19" s="396"/>
      <c r="J19" s="396"/>
      <c r="K19" s="396"/>
      <c r="L19" s="396"/>
      <c r="M19" s="396"/>
      <c r="N19" s="396"/>
      <c r="O19" s="572"/>
      <c r="P19" s="572"/>
      <c r="Q19" s="572"/>
      <c r="R19" s="572"/>
    </row>
    <row r="20" spans="1:18" ht="15" customHeight="1" x14ac:dyDescent="0.25">
      <c r="A20" s="396"/>
      <c r="B20" s="396"/>
      <c r="C20" s="396"/>
      <c r="D20" s="396"/>
      <c r="E20" s="396"/>
      <c r="F20" s="396"/>
      <c r="G20" s="396"/>
      <c r="H20" s="396"/>
      <c r="I20" s="396"/>
      <c r="J20" s="396"/>
      <c r="K20" s="396"/>
      <c r="L20" s="396"/>
      <c r="M20" s="396"/>
      <c r="N20" s="396"/>
      <c r="O20" s="572"/>
      <c r="P20" s="572"/>
      <c r="Q20" s="572"/>
      <c r="R20" s="572"/>
    </row>
    <row r="21" spans="1:18" ht="15" customHeight="1" x14ac:dyDescent="0.25">
      <c r="A21" s="396"/>
      <c r="B21" s="396"/>
      <c r="C21" s="396"/>
      <c r="D21" s="396"/>
      <c r="E21" s="396"/>
      <c r="F21" s="396"/>
      <c r="G21" s="396"/>
      <c r="H21" s="396"/>
      <c r="I21" s="396"/>
      <c r="J21" s="396"/>
      <c r="K21" s="396"/>
      <c r="L21" s="396"/>
      <c r="M21" s="396"/>
      <c r="N21" s="396"/>
      <c r="O21" s="572"/>
      <c r="P21" s="572"/>
      <c r="Q21" s="572"/>
      <c r="R21" s="572"/>
    </row>
    <row r="22" spans="1:18" ht="15" customHeight="1" x14ac:dyDescent="0.25">
      <c r="A22" s="396"/>
      <c r="B22" s="396"/>
      <c r="C22" s="396"/>
      <c r="D22" s="396"/>
      <c r="E22" s="396"/>
      <c r="F22" s="396"/>
      <c r="G22" s="396"/>
      <c r="H22" s="396"/>
      <c r="I22" s="396"/>
      <c r="J22" s="396"/>
      <c r="K22" s="396"/>
      <c r="L22" s="396"/>
      <c r="M22" s="396"/>
      <c r="N22" s="396"/>
      <c r="O22" s="572"/>
      <c r="P22" s="572"/>
      <c r="Q22" s="572"/>
      <c r="R22" s="572"/>
    </row>
    <row r="23" spans="1:18" ht="15" customHeight="1" x14ac:dyDescent="0.25">
      <c r="A23" s="396"/>
      <c r="B23" s="396"/>
      <c r="C23" s="396"/>
      <c r="D23" s="396"/>
      <c r="E23" s="396"/>
      <c r="F23" s="396"/>
      <c r="G23" s="396"/>
      <c r="H23" s="396"/>
      <c r="I23" s="396"/>
      <c r="J23" s="396"/>
      <c r="K23" s="396"/>
      <c r="L23" s="396"/>
      <c r="M23" s="396"/>
      <c r="N23" s="396"/>
      <c r="O23" s="572"/>
      <c r="P23" s="572"/>
      <c r="Q23" s="572"/>
      <c r="R23" s="572"/>
    </row>
    <row r="24" spans="1:18" ht="15" customHeight="1" x14ac:dyDescent="0.25">
      <c r="A24" s="396"/>
      <c r="B24" s="396"/>
      <c r="C24" s="396"/>
      <c r="D24" s="396"/>
      <c r="E24" s="396"/>
      <c r="F24" s="396"/>
      <c r="G24" s="396"/>
      <c r="H24" s="396"/>
      <c r="I24" s="396"/>
      <c r="J24" s="396"/>
      <c r="K24" s="396"/>
      <c r="L24" s="396"/>
      <c r="M24" s="396"/>
      <c r="N24" s="396"/>
      <c r="O24" s="572"/>
      <c r="P24" s="572"/>
      <c r="Q24" s="572"/>
      <c r="R24" s="572"/>
    </row>
    <row r="25" spans="1:18" ht="15" customHeight="1" x14ac:dyDescent="0.25">
      <c r="A25" s="370"/>
      <c r="B25" s="370"/>
      <c r="C25" s="370"/>
      <c r="D25" s="370"/>
      <c r="E25" s="370"/>
      <c r="F25" s="370"/>
      <c r="G25" s="370"/>
      <c r="H25" s="370"/>
      <c r="I25" s="370"/>
      <c r="J25" s="370"/>
      <c r="K25" s="370"/>
      <c r="L25" s="370"/>
      <c r="M25" s="370"/>
      <c r="N25" s="370"/>
      <c r="O25" s="572"/>
      <c r="P25" s="572"/>
      <c r="Q25" s="572"/>
      <c r="R25" s="572"/>
    </row>
    <row r="26" spans="1:18" ht="15" customHeight="1" x14ac:dyDescent="0.25">
      <c r="A26" s="462"/>
      <c r="B26" s="462"/>
      <c r="C26" s="212" t="s">
        <v>302</v>
      </c>
      <c r="D26" s="462"/>
      <c r="E26" s="462"/>
      <c r="F26" s="462"/>
      <c r="G26" s="462"/>
      <c r="H26" s="462"/>
      <c r="I26" s="462"/>
      <c r="J26" s="462"/>
      <c r="K26" s="419">
        <f t="shared" ref="K26:L26" si="0">SUM(K17:K25)</f>
        <v>0</v>
      </c>
      <c r="L26" s="419">
        <f t="shared" si="0"/>
        <v>0</v>
      </c>
      <c r="M26" s="419"/>
      <c r="N26" s="419">
        <f>SUM(N17:N25)</f>
        <v>0</v>
      </c>
      <c r="O26" s="572"/>
      <c r="P26" s="572"/>
      <c r="Q26" s="572"/>
      <c r="R26" s="572"/>
    </row>
    <row r="27" spans="1:18" ht="15" customHeight="1" x14ac:dyDescent="0.25">
      <c r="A27" s="486"/>
      <c r="B27" s="486"/>
      <c r="C27" s="486"/>
      <c r="D27" s="486"/>
      <c r="E27" s="486"/>
      <c r="F27" s="486"/>
      <c r="G27" s="486"/>
      <c r="H27" s="486"/>
      <c r="I27" s="486"/>
      <c r="J27" s="486"/>
      <c r="K27" s="486"/>
      <c r="L27" s="486"/>
      <c r="M27" s="486"/>
      <c r="N27" s="486"/>
      <c r="O27" s="572"/>
      <c r="P27" s="572"/>
      <c r="Q27" s="572"/>
      <c r="R27" s="572"/>
    </row>
    <row r="28" spans="1:18" ht="15" customHeight="1" x14ac:dyDescent="0.25">
      <c r="A28" s="390" t="s">
        <v>557</v>
      </c>
      <c r="B28" s="486"/>
      <c r="C28" s="486"/>
      <c r="D28" s="486"/>
      <c r="E28" s="486"/>
      <c r="F28" s="486"/>
      <c r="G28" s="486"/>
      <c r="H28" s="486"/>
      <c r="I28" s="486"/>
      <c r="J28" s="486"/>
      <c r="K28" s="486"/>
      <c r="L28" s="486"/>
      <c r="M28" s="486"/>
      <c r="N28" s="486"/>
      <c r="O28" s="572"/>
      <c r="P28" s="572"/>
      <c r="Q28" s="572"/>
      <c r="R28" s="572"/>
    </row>
    <row r="29" spans="1:18" ht="15" customHeight="1" x14ac:dyDescent="0.25">
      <c r="A29" s="390" t="s">
        <v>603</v>
      </c>
      <c r="B29" s="486"/>
      <c r="C29" s="486"/>
      <c r="D29" s="486"/>
      <c r="E29" s="486"/>
      <c r="F29" s="486"/>
      <c r="G29" s="486"/>
      <c r="H29" s="486"/>
      <c r="I29" s="486"/>
      <c r="J29" s="486"/>
      <c r="K29" s="486"/>
      <c r="L29" s="486"/>
      <c r="M29" s="486"/>
      <c r="N29" s="486"/>
      <c r="O29" s="572"/>
      <c r="P29" s="572"/>
      <c r="Q29" s="572"/>
      <c r="R29" s="572"/>
    </row>
    <row r="30" spans="1:18" ht="15" customHeight="1" x14ac:dyDescent="0.25">
      <c r="A30" s="390" t="s">
        <v>571</v>
      </c>
      <c r="B30" s="486"/>
      <c r="C30" s="486"/>
      <c r="D30" s="486"/>
      <c r="E30" s="486"/>
      <c r="F30" s="486"/>
      <c r="G30" s="486"/>
      <c r="H30" s="486"/>
      <c r="I30" s="486"/>
      <c r="J30" s="486"/>
      <c r="K30" s="486"/>
      <c r="L30" s="486"/>
      <c r="M30" s="486"/>
      <c r="N30" s="486"/>
      <c r="O30" s="572"/>
      <c r="P30" s="572"/>
      <c r="Q30" s="572"/>
      <c r="R30" s="572"/>
    </row>
    <row r="31" spans="1:18" ht="15" customHeight="1" x14ac:dyDescent="0.25">
      <c r="A31" s="390" t="s">
        <v>687</v>
      </c>
      <c r="B31" s="486"/>
      <c r="C31" s="486"/>
      <c r="D31" s="486"/>
      <c r="E31" s="486"/>
      <c r="F31" s="486"/>
      <c r="G31" s="486"/>
      <c r="H31" s="486"/>
      <c r="I31" s="486"/>
      <c r="J31" s="486"/>
      <c r="K31" s="486"/>
      <c r="L31" s="486"/>
      <c r="M31" s="486"/>
      <c r="N31" s="486"/>
      <c r="O31" s="572"/>
      <c r="P31" s="572"/>
      <c r="Q31" s="572"/>
      <c r="R31" s="572"/>
    </row>
    <row r="32" spans="1:18" ht="15" customHeight="1" x14ac:dyDescent="0.25">
      <c r="A32" s="390" t="s">
        <v>348</v>
      </c>
      <c r="B32" s="486"/>
      <c r="C32" s="486"/>
      <c r="D32" s="486"/>
      <c r="E32" s="486"/>
      <c r="F32" s="486"/>
      <c r="G32" s="486"/>
      <c r="H32" s="486"/>
      <c r="I32" s="486"/>
      <c r="J32" s="486"/>
      <c r="K32" s="486"/>
      <c r="L32" s="486"/>
      <c r="M32" s="486"/>
      <c r="N32" s="486"/>
      <c r="O32" s="572"/>
      <c r="P32" s="572"/>
      <c r="Q32" s="572"/>
      <c r="R32" s="572"/>
    </row>
    <row r="33" spans="1:18" ht="15" customHeight="1" x14ac:dyDescent="0.25">
      <c r="A33" s="390" t="s">
        <v>495</v>
      </c>
      <c r="B33" s="486"/>
      <c r="C33" s="486"/>
      <c r="D33" s="486"/>
      <c r="E33" s="486"/>
      <c r="F33" s="486"/>
      <c r="G33" s="486"/>
      <c r="H33" s="486"/>
      <c r="I33" s="486"/>
      <c r="J33" s="486"/>
      <c r="K33" s="486"/>
      <c r="L33" s="486"/>
      <c r="M33" s="486"/>
      <c r="N33" s="486"/>
      <c r="O33" s="572"/>
      <c r="P33" s="572"/>
      <c r="Q33" s="572"/>
      <c r="R33" s="572"/>
    </row>
    <row r="34" spans="1:18" ht="15" customHeight="1" x14ac:dyDescent="0.25">
      <c r="A34" s="390" t="s">
        <v>349</v>
      </c>
      <c r="B34" s="486"/>
      <c r="C34" s="486"/>
      <c r="D34" s="486"/>
      <c r="E34" s="486"/>
      <c r="F34" s="486"/>
      <c r="G34" s="486"/>
      <c r="H34" s="486"/>
      <c r="I34" s="486"/>
      <c r="J34" s="486"/>
      <c r="K34" s="486"/>
      <c r="L34" s="486"/>
      <c r="M34" s="486"/>
      <c r="N34" s="486"/>
      <c r="O34" s="572"/>
      <c r="P34" s="572"/>
      <c r="Q34" s="572"/>
      <c r="R34" s="572"/>
    </row>
    <row r="35" spans="1:18" ht="15" customHeight="1" x14ac:dyDescent="0.25">
      <c r="A35" s="390" t="s">
        <v>518</v>
      </c>
      <c r="B35" s="486"/>
      <c r="C35" s="486"/>
      <c r="D35" s="486"/>
      <c r="E35" s="486"/>
      <c r="F35" s="486"/>
      <c r="G35" s="486"/>
      <c r="H35" s="486"/>
      <c r="I35" s="486"/>
      <c r="J35" s="486"/>
      <c r="K35" s="486"/>
      <c r="L35" s="486"/>
      <c r="M35" s="486"/>
      <c r="N35" s="486"/>
      <c r="O35" s="572"/>
      <c r="P35" s="572"/>
      <c r="Q35" s="572"/>
      <c r="R35" s="572"/>
    </row>
    <row r="36" spans="1:18" ht="15" customHeight="1" x14ac:dyDescent="0.25">
      <c r="A36" s="486"/>
      <c r="B36" s="486"/>
      <c r="C36" s="486"/>
      <c r="D36" s="486"/>
      <c r="E36" s="486"/>
      <c r="F36" s="486"/>
      <c r="G36" s="486"/>
      <c r="H36" s="486"/>
      <c r="I36" s="486"/>
      <c r="J36" s="486"/>
      <c r="K36" s="486"/>
      <c r="L36" s="486"/>
      <c r="M36" s="486"/>
      <c r="N36" s="486"/>
      <c r="O36" s="572"/>
      <c r="P36" s="572"/>
      <c r="Q36" s="572"/>
      <c r="R36" s="572"/>
    </row>
    <row r="37" spans="1:18" ht="15" customHeight="1" x14ac:dyDescent="0.25">
      <c r="A37" s="486"/>
      <c r="B37" s="486"/>
      <c r="C37" s="486"/>
      <c r="D37" s="486"/>
      <c r="E37" s="486"/>
      <c r="F37" s="486"/>
      <c r="G37" s="486"/>
      <c r="H37" s="486"/>
      <c r="I37" s="486"/>
      <c r="J37" s="486"/>
      <c r="K37" s="762" t="s">
        <v>244</v>
      </c>
      <c r="L37" s="743"/>
      <c r="M37" s="743"/>
      <c r="N37" s="743"/>
      <c r="O37" s="572"/>
      <c r="P37" s="572"/>
      <c r="Q37" s="572"/>
      <c r="R37" s="572"/>
    </row>
    <row r="38" spans="1:18" ht="17.649999999999999" customHeight="1" x14ac:dyDescent="0.3">
      <c r="A38" s="738" t="s">
        <v>904</v>
      </c>
      <c r="B38" s="743"/>
      <c r="C38" s="743"/>
      <c r="D38" s="739"/>
      <c r="E38" s="743"/>
      <c r="F38" s="743"/>
      <c r="G38" s="743"/>
      <c r="H38" s="565"/>
      <c r="I38" s="738" t="s">
        <v>677</v>
      </c>
      <c r="J38" s="743"/>
      <c r="K38" s="743"/>
      <c r="L38" s="743"/>
      <c r="M38" s="743"/>
      <c r="N38" s="743"/>
      <c r="O38" s="572"/>
      <c r="P38" s="572"/>
      <c r="Q38" s="572"/>
      <c r="R38" s="572"/>
    </row>
    <row r="39" spans="1:18" ht="15.4" customHeight="1" x14ac:dyDescent="0.25">
      <c r="A39" s="732" t="s">
        <v>987</v>
      </c>
      <c r="B39" s="743"/>
      <c r="C39" s="743"/>
      <c r="D39" s="734"/>
      <c r="E39" s="743"/>
      <c r="F39" s="743"/>
      <c r="G39" s="743"/>
      <c r="H39" s="103"/>
      <c r="I39" s="732" t="s">
        <v>987</v>
      </c>
      <c r="J39" s="743"/>
      <c r="K39" s="743"/>
      <c r="L39" s="743"/>
      <c r="M39" s="743"/>
      <c r="N39" s="743"/>
      <c r="O39" s="572"/>
      <c r="P39" s="572"/>
      <c r="Q39" s="572"/>
      <c r="R39" s="572"/>
    </row>
  </sheetData>
  <mergeCells count="21">
    <mergeCell ref="A39:C39"/>
    <mergeCell ref="D39:G39"/>
    <mergeCell ref="I39:N39"/>
    <mergeCell ref="E14:E15"/>
    <mergeCell ref="F14:H14"/>
    <mergeCell ref="I14:I15"/>
    <mergeCell ref="J14:J15"/>
    <mergeCell ref="K37:N37"/>
    <mergeCell ref="A38:C38"/>
    <mergeCell ref="D38:G38"/>
    <mergeCell ref="N13:N15"/>
    <mergeCell ref="I38:N38"/>
    <mergeCell ref="A2:N2"/>
    <mergeCell ref="A3:N3"/>
    <mergeCell ref="A13:A15"/>
    <mergeCell ref="B13:B15"/>
    <mergeCell ref="C13:C15"/>
    <mergeCell ref="D13:D15"/>
    <mergeCell ref="E13:H13"/>
    <mergeCell ref="I13:J13"/>
    <mergeCell ref="K13:M1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50"/>
  <sheetViews>
    <sheetView showGridLines="0" workbookViewId="0"/>
  </sheetViews>
  <sheetFormatPr defaultRowHeight="15" x14ac:dyDescent="0.25"/>
  <cols>
    <col min="1" max="1" width="50.85546875" customWidth="1"/>
    <col min="2" max="2" width="22.85546875" customWidth="1"/>
    <col min="3" max="6" width="15.85546875" customWidth="1"/>
  </cols>
  <sheetData>
    <row r="1" spans="1:6" ht="16.5" customHeight="1" x14ac:dyDescent="0.25">
      <c r="A1" s="20"/>
      <c r="B1" s="125"/>
      <c r="C1" s="125"/>
      <c r="D1" s="125"/>
      <c r="E1" s="125"/>
      <c r="F1" s="472" t="s">
        <v>446</v>
      </c>
    </row>
    <row r="2" spans="1:6" ht="16.5" customHeight="1" x14ac:dyDescent="0.25">
      <c r="A2" s="377" t="s">
        <v>611</v>
      </c>
      <c r="B2" s="764" t="s">
        <v>92</v>
      </c>
      <c r="C2" s="743"/>
      <c r="D2" s="743"/>
      <c r="E2" s="743"/>
      <c r="F2" s="743"/>
    </row>
    <row r="3" spans="1:6" ht="16.5" customHeight="1" x14ac:dyDescent="0.25">
      <c r="A3" s="377" t="s">
        <v>881</v>
      </c>
      <c r="B3" s="764" t="s">
        <v>445</v>
      </c>
      <c r="C3" s="743"/>
      <c r="D3" s="743"/>
      <c r="E3" s="743"/>
      <c r="F3" s="743"/>
    </row>
    <row r="4" spans="1:6" ht="16.5" customHeight="1" x14ac:dyDescent="0.25">
      <c r="A4" s="20"/>
      <c r="B4" s="125"/>
      <c r="C4" s="125"/>
      <c r="D4" s="125"/>
      <c r="E4" s="125"/>
      <c r="F4" s="125"/>
    </row>
    <row r="5" spans="1:6" ht="17.649999999999999" customHeight="1" x14ac:dyDescent="0.25">
      <c r="A5" s="765" t="s">
        <v>309</v>
      </c>
      <c r="B5" s="743"/>
      <c r="C5" s="743"/>
      <c r="D5" s="743"/>
      <c r="E5" s="743"/>
      <c r="F5" s="743"/>
    </row>
    <row r="6" spans="1:6" ht="15" customHeight="1" x14ac:dyDescent="0.25">
      <c r="A6" s="20"/>
      <c r="B6" s="20"/>
      <c r="C6" s="20"/>
      <c r="D6" s="20"/>
      <c r="E6" s="20"/>
      <c r="F6" s="20"/>
    </row>
    <row r="7" spans="1:6" ht="15" customHeight="1" x14ac:dyDescent="0.25">
      <c r="A7" s="753" t="s">
        <v>414</v>
      </c>
      <c r="B7" s="743"/>
      <c r="C7" s="743"/>
      <c r="D7" s="743"/>
      <c r="E7" s="743"/>
      <c r="F7" s="743"/>
    </row>
    <row r="8" spans="1:6" ht="15" customHeight="1" x14ac:dyDescent="0.25">
      <c r="A8" s="486"/>
      <c r="B8" s="486"/>
      <c r="C8" s="486"/>
      <c r="D8" s="486"/>
      <c r="E8" s="486"/>
      <c r="F8" s="486"/>
    </row>
    <row r="9" spans="1:6" ht="15" customHeight="1" x14ac:dyDescent="0.25">
      <c r="A9" s="390" t="s">
        <v>846</v>
      </c>
      <c r="B9" s="486"/>
      <c r="C9" s="486"/>
      <c r="D9" s="486"/>
      <c r="E9" s="390" t="s">
        <v>741</v>
      </c>
      <c r="F9" s="486"/>
    </row>
    <row r="10" spans="1:6" ht="15" customHeight="1" x14ac:dyDescent="0.25">
      <c r="A10" s="390" t="s">
        <v>899</v>
      </c>
      <c r="B10" s="486"/>
      <c r="C10" s="486"/>
      <c r="D10" s="486"/>
      <c r="E10" s="486"/>
      <c r="F10" s="486"/>
    </row>
    <row r="11" spans="1:6" ht="15" customHeight="1" x14ac:dyDescent="0.25">
      <c r="A11" s="390" t="s">
        <v>769</v>
      </c>
      <c r="B11" s="390" t="s">
        <v>43</v>
      </c>
      <c r="C11" s="486"/>
      <c r="D11" s="486"/>
      <c r="E11" s="486"/>
      <c r="F11" s="486"/>
    </row>
    <row r="12" spans="1:6" ht="15" customHeight="1" x14ac:dyDescent="0.25">
      <c r="A12" s="486"/>
      <c r="B12" s="390" t="s">
        <v>115</v>
      </c>
      <c r="C12" s="486"/>
      <c r="D12" s="486"/>
      <c r="E12" s="486"/>
      <c r="F12" s="486"/>
    </row>
    <row r="13" spans="1:6" ht="15" customHeight="1" x14ac:dyDescent="0.25">
      <c r="A13" s="390" t="s">
        <v>715</v>
      </c>
      <c r="B13" s="486"/>
      <c r="C13" s="486"/>
      <c r="D13" s="486"/>
      <c r="E13" s="486"/>
      <c r="F13" s="486"/>
    </row>
    <row r="14" spans="1:6" ht="15" customHeight="1" x14ac:dyDescent="0.25">
      <c r="A14" s="390" t="s">
        <v>937</v>
      </c>
      <c r="B14" s="486"/>
      <c r="C14" s="486"/>
      <c r="D14" s="486"/>
      <c r="E14" s="486"/>
      <c r="F14" s="486"/>
    </row>
    <row r="15" spans="1:6" ht="15" customHeight="1" x14ac:dyDescent="0.25">
      <c r="A15" s="390" t="s">
        <v>692</v>
      </c>
      <c r="B15" s="486"/>
      <c r="C15" s="486"/>
      <c r="D15" s="486"/>
      <c r="E15" s="486"/>
      <c r="F15" s="486"/>
    </row>
    <row r="16" spans="1:6" ht="15" customHeight="1" x14ac:dyDescent="0.25">
      <c r="A16" s="390" t="s">
        <v>27</v>
      </c>
      <c r="B16" s="486"/>
      <c r="C16" s="486"/>
      <c r="D16" s="486"/>
      <c r="E16" s="486"/>
      <c r="F16" s="486"/>
    </row>
    <row r="17" spans="1:6" ht="15" customHeight="1" x14ac:dyDescent="0.25">
      <c r="A17" s="390" t="s">
        <v>485</v>
      </c>
      <c r="B17" s="390" t="s">
        <v>505</v>
      </c>
      <c r="C17" s="390" t="s">
        <v>46</v>
      </c>
      <c r="D17" s="390" t="s">
        <v>373</v>
      </c>
      <c r="E17" s="486"/>
      <c r="F17" s="486"/>
    </row>
    <row r="18" spans="1:6" ht="15" customHeight="1" x14ac:dyDescent="0.25">
      <c r="A18" s="390" t="s">
        <v>722</v>
      </c>
      <c r="B18" s="486"/>
      <c r="C18" s="486"/>
      <c r="D18" s="486"/>
      <c r="E18" s="486"/>
      <c r="F18" s="486"/>
    </row>
    <row r="19" spans="1:6" ht="15" customHeight="1" x14ac:dyDescent="0.25">
      <c r="A19" s="390" t="s">
        <v>91</v>
      </c>
      <c r="B19" s="390" t="s">
        <v>458</v>
      </c>
      <c r="C19" s="486"/>
      <c r="D19" s="486"/>
      <c r="E19" s="486"/>
      <c r="F19" s="486"/>
    </row>
    <row r="20" spans="1:6" ht="15" customHeight="1" x14ac:dyDescent="0.25">
      <c r="A20" s="486"/>
      <c r="B20" s="486"/>
      <c r="C20" s="486"/>
      <c r="D20" s="486"/>
      <c r="E20" s="486"/>
      <c r="F20" s="348" t="s">
        <v>474</v>
      </c>
    </row>
    <row r="21" spans="1:6" ht="45" customHeight="1" x14ac:dyDescent="0.25">
      <c r="A21" s="744" t="s">
        <v>962</v>
      </c>
      <c r="B21" s="744" t="s">
        <v>442</v>
      </c>
      <c r="C21" s="748" t="s">
        <v>387</v>
      </c>
      <c r="D21" s="750"/>
      <c r="E21" s="748" t="s">
        <v>3</v>
      </c>
      <c r="F21" s="750"/>
    </row>
    <row r="22" spans="1:6" ht="17.25" customHeight="1" x14ac:dyDescent="0.25">
      <c r="A22" s="746"/>
      <c r="B22" s="746"/>
      <c r="C22" s="72" t="s">
        <v>541</v>
      </c>
      <c r="D22" s="72" t="s">
        <v>837</v>
      </c>
      <c r="E22" s="72" t="s">
        <v>541</v>
      </c>
      <c r="F22" s="72" t="s">
        <v>837</v>
      </c>
    </row>
    <row r="23" spans="1:6" ht="15" customHeight="1" x14ac:dyDescent="0.25">
      <c r="A23" s="345"/>
      <c r="B23" s="345"/>
      <c r="C23" s="345"/>
      <c r="D23" s="345"/>
      <c r="E23" s="345"/>
      <c r="F23" s="345"/>
    </row>
    <row r="24" spans="1:6" ht="15" customHeight="1" x14ac:dyDescent="0.25">
      <c r="A24" s="116"/>
      <c r="B24" s="116"/>
      <c r="C24" s="116"/>
      <c r="D24" s="116"/>
      <c r="E24" s="116"/>
      <c r="F24" s="116"/>
    </row>
    <row r="25" spans="1:6" ht="15" customHeight="1" x14ac:dyDescent="0.25">
      <c r="A25" s="94"/>
      <c r="B25" s="94"/>
      <c r="C25" s="94"/>
      <c r="D25" s="94"/>
      <c r="E25" s="94"/>
      <c r="F25" s="94"/>
    </row>
    <row r="26" spans="1:6" ht="15" customHeight="1" x14ac:dyDescent="0.25">
      <c r="A26" s="272"/>
      <c r="B26" s="272"/>
      <c r="C26" s="272"/>
      <c r="D26" s="272"/>
      <c r="E26" s="272"/>
      <c r="F26" s="272"/>
    </row>
    <row r="27" spans="1:6" ht="15" customHeight="1" x14ac:dyDescent="0.25">
      <c r="A27" s="486"/>
      <c r="B27" s="486"/>
      <c r="C27" s="486"/>
      <c r="D27" s="486"/>
      <c r="E27" s="486"/>
      <c r="F27" s="486"/>
    </row>
    <row r="28" spans="1:6" ht="15" customHeight="1" x14ac:dyDescent="0.25">
      <c r="A28" s="390" t="s">
        <v>906</v>
      </c>
      <c r="B28" s="486"/>
      <c r="C28" s="486"/>
      <c r="D28" s="486"/>
      <c r="E28" s="486"/>
      <c r="F28" s="486"/>
    </row>
    <row r="29" spans="1:6" ht="15" customHeight="1" x14ac:dyDescent="0.25">
      <c r="A29" s="390" t="s">
        <v>212</v>
      </c>
      <c r="B29" s="486"/>
      <c r="C29" s="486"/>
      <c r="D29" s="486"/>
      <c r="E29" s="486"/>
      <c r="F29" s="486"/>
    </row>
    <row r="30" spans="1:6" ht="15" customHeight="1" x14ac:dyDescent="0.25">
      <c r="A30" s="390" t="s">
        <v>729</v>
      </c>
      <c r="B30" s="486"/>
      <c r="C30" s="486"/>
      <c r="D30" s="486"/>
      <c r="E30" s="486"/>
      <c r="F30" s="486"/>
    </row>
    <row r="31" spans="1:6" ht="15" customHeight="1" x14ac:dyDescent="0.25">
      <c r="A31" s="390" t="s">
        <v>912</v>
      </c>
      <c r="B31" s="486"/>
      <c r="C31" s="486"/>
      <c r="D31" s="486"/>
      <c r="E31" s="486"/>
      <c r="F31" s="486"/>
    </row>
    <row r="32" spans="1:6" ht="15" customHeight="1" x14ac:dyDescent="0.25">
      <c r="A32" s="390" t="s">
        <v>95</v>
      </c>
      <c r="B32" s="486"/>
      <c r="C32" s="486"/>
      <c r="D32" s="486"/>
      <c r="E32" s="486"/>
      <c r="F32" s="486"/>
    </row>
    <row r="33" spans="1:6" ht="15" customHeight="1" x14ac:dyDescent="0.25">
      <c r="A33" s="390" t="s">
        <v>513</v>
      </c>
      <c r="B33" s="486"/>
      <c r="C33" s="486"/>
      <c r="D33" s="486"/>
      <c r="E33" s="486"/>
      <c r="F33" s="486"/>
    </row>
    <row r="34" spans="1:6" ht="15" customHeight="1" x14ac:dyDescent="0.25">
      <c r="A34" s="390" t="s">
        <v>425</v>
      </c>
      <c r="B34" s="486"/>
      <c r="C34" s="486"/>
      <c r="D34" s="486"/>
      <c r="E34" s="486"/>
      <c r="F34" s="486"/>
    </row>
    <row r="35" spans="1:6" ht="15" customHeight="1" x14ac:dyDescent="0.25">
      <c r="A35" s="390" t="s">
        <v>747</v>
      </c>
      <c r="B35" s="486"/>
      <c r="C35" s="486"/>
      <c r="D35" s="486"/>
      <c r="E35" s="486"/>
      <c r="F35" s="486"/>
    </row>
    <row r="36" spans="1:6" ht="15" customHeight="1" x14ac:dyDescent="0.25">
      <c r="A36" s="390" t="s">
        <v>745</v>
      </c>
      <c r="B36" s="486"/>
      <c r="C36" s="486"/>
      <c r="D36" s="486"/>
      <c r="E36" s="486"/>
      <c r="F36" s="486"/>
    </row>
    <row r="37" spans="1:6" ht="15" customHeight="1" x14ac:dyDescent="0.25">
      <c r="A37" s="390" t="s">
        <v>95</v>
      </c>
      <c r="B37" s="486"/>
      <c r="C37" s="486"/>
      <c r="D37" s="486"/>
      <c r="E37" s="486"/>
      <c r="F37" s="486"/>
    </row>
    <row r="38" spans="1:6" ht="15" customHeight="1" x14ac:dyDescent="0.25">
      <c r="A38" s="390" t="s">
        <v>513</v>
      </c>
      <c r="B38" s="486"/>
      <c r="C38" s="486"/>
      <c r="D38" s="486"/>
      <c r="E38" s="486"/>
      <c r="F38" s="486"/>
    </row>
    <row r="39" spans="1:6" ht="15" customHeight="1" x14ac:dyDescent="0.25">
      <c r="A39" s="390" t="s">
        <v>435</v>
      </c>
      <c r="B39" s="486"/>
      <c r="C39" s="486"/>
      <c r="D39" s="486"/>
      <c r="E39" s="486"/>
      <c r="F39" s="486"/>
    </row>
    <row r="40" spans="1:6" ht="15" customHeight="1" x14ac:dyDescent="0.25">
      <c r="A40" s="390" t="s">
        <v>901</v>
      </c>
      <c r="B40" s="486"/>
      <c r="C40" s="486"/>
      <c r="D40" s="486"/>
      <c r="E40" s="486"/>
      <c r="F40" s="486"/>
    </row>
    <row r="41" spans="1:6" ht="15" customHeight="1" x14ac:dyDescent="0.25">
      <c r="A41" s="486"/>
      <c r="B41" s="486"/>
      <c r="C41" s="486"/>
      <c r="D41" s="486"/>
      <c r="E41" s="486"/>
      <c r="F41" s="486"/>
    </row>
    <row r="42" spans="1:6" ht="15" customHeight="1" x14ac:dyDescent="0.25">
      <c r="A42" s="486"/>
      <c r="B42" s="486"/>
      <c r="C42" s="752" t="s">
        <v>599</v>
      </c>
      <c r="D42" s="743"/>
      <c r="E42" s="743"/>
      <c r="F42" s="743"/>
    </row>
    <row r="43" spans="1:6" ht="15" customHeight="1" x14ac:dyDescent="0.25">
      <c r="A43" s="395" t="s">
        <v>183</v>
      </c>
      <c r="B43" s="486"/>
      <c r="C43" s="753" t="s">
        <v>69</v>
      </c>
      <c r="D43" s="743"/>
      <c r="E43" s="743"/>
      <c r="F43" s="743"/>
    </row>
    <row r="44" spans="1:6" ht="15" customHeight="1" x14ac:dyDescent="0.25">
      <c r="A44" s="382" t="s">
        <v>339</v>
      </c>
      <c r="B44" s="486"/>
      <c r="C44" s="763" t="s">
        <v>987</v>
      </c>
      <c r="D44" s="743"/>
      <c r="E44" s="743"/>
      <c r="F44" s="743"/>
    </row>
    <row r="45" spans="1:6" ht="15" customHeight="1" x14ac:dyDescent="0.25">
      <c r="A45" s="486"/>
      <c r="B45" s="486"/>
      <c r="C45" s="486"/>
      <c r="D45" s="486"/>
      <c r="E45" s="486"/>
      <c r="F45" s="486"/>
    </row>
    <row r="46" spans="1:6" ht="15" customHeight="1" x14ac:dyDescent="0.25">
      <c r="A46" s="486"/>
      <c r="B46" s="486"/>
      <c r="C46" s="486"/>
      <c r="D46" s="486"/>
      <c r="E46" s="486"/>
      <c r="F46" s="486"/>
    </row>
    <row r="47" spans="1:6" ht="15" customHeight="1" x14ac:dyDescent="0.25">
      <c r="A47" s="486"/>
      <c r="B47" s="486"/>
      <c r="C47" s="486"/>
      <c r="D47" s="486"/>
      <c r="E47" s="486"/>
      <c r="F47" s="486"/>
    </row>
    <row r="48" spans="1:6" ht="15" customHeight="1" x14ac:dyDescent="0.25">
      <c r="A48" s="486"/>
      <c r="B48" s="486"/>
      <c r="C48" s="486"/>
      <c r="D48" s="486"/>
      <c r="E48" s="486"/>
      <c r="F48" s="486"/>
    </row>
    <row r="49" spans="1:6" ht="15" customHeight="1" x14ac:dyDescent="0.25">
      <c r="A49" s="486"/>
      <c r="B49" s="486"/>
      <c r="C49" s="486"/>
      <c r="D49" s="486"/>
      <c r="E49" s="486"/>
      <c r="F49" s="486"/>
    </row>
    <row r="50" spans="1:6" ht="15" customHeight="1" x14ac:dyDescent="0.25">
      <c r="A50" s="486"/>
      <c r="B50" s="486"/>
      <c r="C50" s="486"/>
      <c r="D50" s="486"/>
      <c r="E50" s="486"/>
      <c r="F50" s="486"/>
    </row>
  </sheetData>
  <mergeCells count="11">
    <mergeCell ref="C42:F42"/>
    <mergeCell ref="C43:F43"/>
    <mergeCell ref="C44:F44"/>
    <mergeCell ref="B2:F2"/>
    <mergeCell ref="B3:F3"/>
    <mergeCell ref="A5:F5"/>
    <mergeCell ref="A7:F7"/>
    <mergeCell ref="A21:A22"/>
    <mergeCell ref="B21:B22"/>
    <mergeCell ref="C21:D21"/>
    <mergeCell ref="E21:F2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80"/>
  <sheetViews>
    <sheetView showGridLines="0" workbookViewId="0"/>
  </sheetViews>
  <sheetFormatPr defaultRowHeight="15" x14ac:dyDescent="0.25"/>
  <cols>
    <col min="1" max="1" width="5.85546875" customWidth="1"/>
    <col min="2" max="2" width="45.85546875" customWidth="1"/>
    <col min="3" max="8" width="20.85546875" customWidth="1"/>
  </cols>
  <sheetData>
    <row r="1" spans="1:8" ht="17.649999999999999" customHeight="1" x14ac:dyDescent="0.3">
      <c r="A1" s="563"/>
      <c r="B1" s="563"/>
      <c r="C1" s="563"/>
      <c r="D1" s="563"/>
      <c r="E1" s="563"/>
      <c r="F1" s="563"/>
      <c r="G1" s="563"/>
      <c r="H1" s="321" t="s">
        <v>727</v>
      </c>
    </row>
    <row r="2" spans="1:8" ht="17.649999999999999" customHeight="1" x14ac:dyDescent="0.25">
      <c r="A2" s="765" t="s">
        <v>921</v>
      </c>
      <c r="B2" s="743"/>
      <c r="C2" s="743"/>
      <c r="D2" s="743"/>
      <c r="E2" s="743"/>
      <c r="F2" s="743"/>
      <c r="G2" s="743"/>
      <c r="H2" s="743"/>
    </row>
    <row r="3" spans="1:8" ht="15" customHeight="1" x14ac:dyDescent="0.25">
      <c r="A3" s="486"/>
      <c r="B3" s="486"/>
      <c r="C3" s="486"/>
      <c r="D3" s="486"/>
      <c r="E3" s="486"/>
      <c r="F3" s="486"/>
      <c r="G3" s="486"/>
      <c r="H3" s="486"/>
    </row>
    <row r="4" spans="1:8" ht="15" customHeight="1" x14ac:dyDescent="0.25">
      <c r="A4" s="390" t="s">
        <v>409</v>
      </c>
      <c r="B4" s="486"/>
      <c r="C4" s="390" t="s">
        <v>542</v>
      </c>
      <c r="D4" s="486"/>
      <c r="E4" s="486"/>
      <c r="F4" s="486"/>
      <c r="G4" s="486"/>
      <c r="H4" s="486"/>
    </row>
    <row r="5" spans="1:8" ht="15" customHeight="1" x14ac:dyDescent="0.25">
      <c r="A5" s="390" t="s">
        <v>320</v>
      </c>
      <c r="B5" s="486"/>
      <c r="C5" s="486"/>
      <c r="D5" s="486"/>
      <c r="E5" s="486"/>
      <c r="F5" s="486"/>
      <c r="G5" s="486"/>
      <c r="H5" s="486"/>
    </row>
    <row r="6" spans="1:8" ht="15" customHeight="1" x14ac:dyDescent="0.25">
      <c r="A6" s="390" t="s">
        <v>928</v>
      </c>
      <c r="B6" s="486"/>
      <c r="C6" s="486"/>
      <c r="D6" s="486"/>
      <c r="E6" s="486"/>
      <c r="F6" s="486"/>
      <c r="G6" s="486"/>
      <c r="H6" s="486"/>
    </row>
    <row r="7" spans="1:8" ht="15" customHeight="1" x14ac:dyDescent="0.25">
      <c r="A7" s="390" t="s">
        <v>573</v>
      </c>
      <c r="B7" s="486"/>
      <c r="C7" s="486"/>
      <c r="D7" s="486"/>
      <c r="E7" s="486"/>
      <c r="F7" s="486"/>
      <c r="G7" s="486"/>
      <c r="H7" s="486"/>
    </row>
    <row r="8" spans="1:8" ht="15" customHeight="1" x14ac:dyDescent="0.25">
      <c r="A8" s="390" t="s">
        <v>161</v>
      </c>
      <c r="B8" s="486"/>
      <c r="C8" s="486"/>
      <c r="D8" s="486"/>
      <c r="E8" s="486"/>
      <c r="F8" s="486"/>
      <c r="G8" s="486"/>
      <c r="H8" s="486"/>
    </row>
    <row r="9" spans="1:8" ht="15" customHeight="1" x14ac:dyDescent="0.25">
      <c r="A9" s="390" t="s">
        <v>237</v>
      </c>
      <c r="B9" s="486"/>
      <c r="C9" s="486"/>
      <c r="D9" s="486"/>
      <c r="E9" s="486"/>
      <c r="F9" s="486"/>
      <c r="G9" s="486"/>
      <c r="H9" s="486"/>
    </row>
    <row r="10" spans="1:8" ht="15" customHeight="1" x14ac:dyDescent="0.25">
      <c r="A10" s="486"/>
      <c r="B10" s="486"/>
      <c r="C10" s="486"/>
      <c r="D10" s="486"/>
      <c r="E10" s="486"/>
      <c r="F10" s="486"/>
      <c r="G10" s="486"/>
      <c r="H10" s="348" t="s">
        <v>474</v>
      </c>
    </row>
    <row r="11" spans="1:8" ht="15.4" customHeight="1" x14ac:dyDescent="0.25">
      <c r="A11" s="768" t="s">
        <v>306</v>
      </c>
      <c r="B11" s="768" t="s">
        <v>962</v>
      </c>
      <c r="C11" s="768" t="s">
        <v>177</v>
      </c>
      <c r="D11" s="769" t="s">
        <v>127</v>
      </c>
      <c r="E11" s="749"/>
      <c r="F11" s="750"/>
      <c r="G11" s="768" t="s">
        <v>821</v>
      </c>
      <c r="H11" s="768" t="s">
        <v>877</v>
      </c>
    </row>
    <row r="12" spans="1:8" ht="15.4" customHeight="1" x14ac:dyDescent="0.25">
      <c r="A12" s="745"/>
      <c r="B12" s="745"/>
      <c r="C12" s="745"/>
      <c r="D12" s="79" t="s">
        <v>492</v>
      </c>
      <c r="E12" s="769" t="s">
        <v>693</v>
      </c>
      <c r="F12" s="750"/>
      <c r="G12" s="745"/>
      <c r="H12" s="745"/>
    </row>
    <row r="13" spans="1:8" ht="28.9" customHeight="1" x14ac:dyDescent="0.25">
      <c r="A13" s="746"/>
      <c r="B13" s="746"/>
      <c r="C13" s="746"/>
      <c r="D13" s="193"/>
      <c r="E13" s="79" t="s">
        <v>463</v>
      </c>
      <c r="F13" s="79" t="s">
        <v>258</v>
      </c>
      <c r="G13" s="746"/>
      <c r="H13" s="746"/>
    </row>
    <row r="14" spans="1:8" ht="15" customHeight="1" x14ac:dyDescent="0.25">
      <c r="A14" s="31" t="s">
        <v>38</v>
      </c>
      <c r="B14" s="31" t="s">
        <v>325</v>
      </c>
      <c r="C14" s="31" t="s">
        <v>612</v>
      </c>
      <c r="D14" s="31" t="s">
        <v>908</v>
      </c>
      <c r="E14" s="31" t="s">
        <v>760</v>
      </c>
      <c r="F14" s="31" t="s">
        <v>49</v>
      </c>
      <c r="G14" s="31"/>
      <c r="H14" s="31"/>
    </row>
    <row r="15" spans="1:8" ht="15.4" customHeight="1" x14ac:dyDescent="0.25">
      <c r="A15" s="438" t="s">
        <v>944</v>
      </c>
      <c r="B15" s="327" t="s">
        <v>915</v>
      </c>
      <c r="C15" s="564"/>
      <c r="D15" s="564"/>
      <c r="E15" s="564"/>
      <c r="F15" s="564"/>
      <c r="G15" s="564"/>
      <c r="H15" s="564"/>
    </row>
    <row r="16" spans="1:8" ht="15.4" customHeight="1" x14ac:dyDescent="0.25">
      <c r="A16" s="106" t="s">
        <v>383</v>
      </c>
      <c r="B16" s="571" t="s">
        <v>456</v>
      </c>
      <c r="C16" s="230"/>
      <c r="D16" s="230"/>
      <c r="E16" s="230"/>
      <c r="F16" s="230"/>
      <c r="G16" s="230"/>
      <c r="H16" s="230"/>
    </row>
    <row r="17" spans="1:8" ht="15.4" customHeight="1" x14ac:dyDescent="0.25">
      <c r="A17" s="361"/>
      <c r="B17" s="405" t="s">
        <v>894</v>
      </c>
      <c r="C17" s="230"/>
      <c r="D17" s="230"/>
      <c r="E17" s="230"/>
      <c r="F17" s="230"/>
      <c r="G17" s="230"/>
      <c r="H17" s="230"/>
    </row>
    <row r="18" spans="1:8" ht="15.4" customHeight="1" x14ac:dyDescent="0.25">
      <c r="A18" s="361"/>
      <c r="B18" s="405" t="s">
        <v>574</v>
      </c>
      <c r="C18" s="230"/>
      <c r="D18" s="230"/>
      <c r="E18" s="230"/>
      <c r="F18" s="230"/>
      <c r="G18" s="230"/>
      <c r="H18" s="230"/>
    </row>
    <row r="19" spans="1:8" ht="15.4" customHeight="1" x14ac:dyDescent="0.25">
      <c r="A19" s="361"/>
      <c r="B19" s="571" t="s">
        <v>35</v>
      </c>
      <c r="C19" s="230"/>
      <c r="D19" s="230"/>
      <c r="E19" s="230"/>
      <c r="F19" s="230"/>
      <c r="G19" s="230"/>
      <c r="H19" s="230"/>
    </row>
    <row r="20" spans="1:8" ht="15.4" customHeight="1" x14ac:dyDescent="0.25">
      <c r="A20" s="361">
        <v>1</v>
      </c>
      <c r="B20" s="571" t="s">
        <v>658</v>
      </c>
      <c r="C20" s="230"/>
      <c r="D20" s="230"/>
      <c r="E20" s="230"/>
      <c r="F20" s="230"/>
      <c r="G20" s="230"/>
      <c r="H20" s="230"/>
    </row>
    <row r="21" spans="1:8" ht="15.4" customHeight="1" x14ac:dyDescent="0.25">
      <c r="A21" s="361"/>
      <c r="B21" s="405" t="s">
        <v>894</v>
      </c>
      <c r="C21" s="230"/>
      <c r="D21" s="230"/>
      <c r="E21" s="230"/>
      <c r="F21" s="230"/>
      <c r="G21" s="230"/>
      <c r="H21" s="230"/>
    </row>
    <row r="22" spans="1:8" ht="15.4" customHeight="1" x14ac:dyDescent="0.25">
      <c r="A22" s="361"/>
      <c r="B22" s="405" t="s">
        <v>574</v>
      </c>
      <c r="C22" s="230"/>
      <c r="D22" s="230"/>
      <c r="E22" s="230"/>
      <c r="F22" s="230"/>
      <c r="G22" s="230"/>
      <c r="H22" s="230"/>
    </row>
    <row r="23" spans="1:8" ht="15.4" customHeight="1" x14ac:dyDescent="0.25">
      <c r="A23" s="361">
        <v>2</v>
      </c>
      <c r="B23" s="571" t="s">
        <v>337</v>
      </c>
      <c r="C23" s="230"/>
      <c r="D23" s="230"/>
      <c r="E23" s="230"/>
      <c r="F23" s="230"/>
      <c r="G23" s="230"/>
      <c r="H23" s="230"/>
    </row>
    <row r="24" spans="1:8" ht="15.4" customHeight="1" x14ac:dyDescent="0.25">
      <c r="A24" s="361">
        <v>3</v>
      </c>
      <c r="B24" s="571" t="s">
        <v>9</v>
      </c>
      <c r="C24" s="230"/>
      <c r="D24" s="230"/>
      <c r="E24" s="230"/>
      <c r="F24" s="230"/>
      <c r="G24" s="230"/>
      <c r="H24" s="230"/>
    </row>
    <row r="25" spans="1:8" ht="15.4" customHeight="1" x14ac:dyDescent="0.25">
      <c r="A25" s="361"/>
      <c r="B25" s="405" t="s">
        <v>894</v>
      </c>
      <c r="C25" s="230"/>
      <c r="D25" s="230"/>
      <c r="E25" s="230"/>
      <c r="F25" s="230"/>
      <c r="G25" s="230"/>
      <c r="H25" s="230"/>
    </row>
    <row r="26" spans="1:8" ht="15.4" customHeight="1" x14ac:dyDescent="0.25">
      <c r="A26" s="361"/>
      <c r="B26" s="405" t="s">
        <v>574</v>
      </c>
      <c r="C26" s="230"/>
      <c r="D26" s="230"/>
      <c r="E26" s="230"/>
      <c r="F26" s="230"/>
      <c r="G26" s="230"/>
      <c r="H26" s="230"/>
    </row>
    <row r="27" spans="1:8" ht="28.9" customHeight="1" x14ac:dyDescent="0.25">
      <c r="A27" s="106" t="s">
        <v>432</v>
      </c>
      <c r="B27" s="571" t="s">
        <v>502</v>
      </c>
      <c r="C27" s="230"/>
      <c r="D27" s="230"/>
      <c r="E27" s="230"/>
      <c r="F27" s="230"/>
      <c r="G27" s="230"/>
      <c r="H27" s="230"/>
    </row>
    <row r="28" spans="1:8" ht="15.4" customHeight="1" x14ac:dyDescent="0.25">
      <c r="A28" s="361"/>
      <c r="B28" s="405" t="s">
        <v>894</v>
      </c>
      <c r="C28" s="230"/>
      <c r="D28" s="230"/>
      <c r="E28" s="230"/>
      <c r="F28" s="230"/>
      <c r="G28" s="230"/>
      <c r="H28" s="230"/>
    </row>
    <row r="29" spans="1:8" ht="15.4" customHeight="1" x14ac:dyDescent="0.25">
      <c r="A29" s="361"/>
      <c r="B29" s="405" t="s">
        <v>574</v>
      </c>
      <c r="C29" s="230"/>
      <c r="D29" s="230"/>
      <c r="E29" s="230"/>
      <c r="F29" s="230"/>
      <c r="G29" s="230"/>
      <c r="H29" s="230"/>
    </row>
    <row r="30" spans="1:8" ht="15.4" customHeight="1" x14ac:dyDescent="0.25">
      <c r="A30" s="213" t="s">
        <v>220</v>
      </c>
      <c r="B30" s="105" t="s">
        <v>438</v>
      </c>
      <c r="C30" s="219"/>
      <c r="D30" s="219"/>
      <c r="E30" s="219"/>
      <c r="F30" s="219"/>
      <c r="G30" s="219"/>
      <c r="H30" s="219"/>
    </row>
    <row r="31" spans="1:8" ht="15.4" customHeight="1" x14ac:dyDescent="0.25">
      <c r="A31" s="106" t="s">
        <v>383</v>
      </c>
      <c r="B31" s="571" t="s">
        <v>456</v>
      </c>
      <c r="C31" s="230"/>
      <c r="D31" s="230"/>
      <c r="E31" s="230"/>
      <c r="F31" s="230"/>
      <c r="G31" s="230"/>
      <c r="H31" s="230"/>
    </row>
    <row r="32" spans="1:8" ht="15.4" customHeight="1" x14ac:dyDescent="0.25">
      <c r="A32" s="361"/>
      <c r="B32" s="405" t="s">
        <v>894</v>
      </c>
      <c r="C32" s="230"/>
      <c r="D32" s="230"/>
      <c r="E32" s="230"/>
      <c r="F32" s="230"/>
      <c r="G32" s="230"/>
      <c r="H32" s="230"/>
    </row>
    <row r="33" spans="1:8" ht="15.4" customHeight="1" x14ac:dyDescent="0.25">
      <c r="A33" s="361"/>
      <c r="B33" s="405" t="s">
        <v>574</v>
      </c>
      <c r="C33" s="230"/>
      <c r="D33" s="230"/>
      <c r="E33" s="230"/>
      <c r="F33" s="230"/>
      <c r="G33" s="230"/>
      <c r="H33" s="230"/>
    </row>
    <row r="34" spans="1:8" ht="15.4" customHeight="1" x14ac:dyDescent="0.25">
      <c r="A34" s="361"/>
      <c r="B34" s="571" t="s">
        <v>35</v>
      </c>
      <c r="C34" s="230"/>
      <c r="D34" s="230"/>
      <c r="E34" s="230"/>
      <c r="F34" s="230"/>
      <c r="G34" s="230"/>
      <c r="H34" s="230"/>
    </row>
    <row r="35" spans="1:8" ht="15.4" customHeight="1" x14ac:dyDescent="0.25">
      <c r="A35" s="361">
        <v>1</v>
      </c>
      <c r="B35" s="571" t="s">
        <v>658</v>
      </c>
      <c r="C35" s="230"/>
      <c r="D35" s="230"/>
      <c r="E35" s="230"/>
      <c r="F35" s="230"/>
      <c r="G35" s="230"/>
      <c r="H35" s="230"/>
    </row>
    <row r="36" spans="1:8" ht="15.4" customHeight="1" x14ac:dyDescent="0.25">
      <c r="A36" s="361"/>
      <c r="B36" s="405" t="s">
        <v>894</v>
      </c>
      <c r="C36" s="230"/>
      <c r="D36" s="230"/>
      <c r="E36" s="230"/>
      <c r="F36" s="230"/>
      <c r="G36" s="230"/>
      <c r="H36" s="230"/>
    </row>
    <row r="37" spans="1:8" ht="15.4" customHeight="1" x14ac:dyDescent="0.25">
      <c r="A37" s="361"/>
      <c r="B37" s="405" t="s">
        <v>574</v>
      </c>
      <c r="C37" s="230"/>
      <c r="D37" s="230"/>
      <c r="E37" s="230"/>
      <c r="F37" s="230"/>
      <c r="G37" s="230"/>
      <c r="H37" s="230"/>
    </row>
    <row r="38" spans="1:8" ht="15.4" customHeight="1" x14ac:dyDescent="0.25">
      <c r="A38" s="361">
        <v>2</v>
      </c>
      <c r="B38" s="571" t="s">
        <v>337</v>
      </c>
      <c r="C38" s="230"/>
      <c r="D38" s="230"/>
      <c r="E38" s="230"/>
      <c r="F38" s="230"/>
      <c r="G38" s="230"/>
      <c r="H38" s="230"/>
    </row>
    <row r="39" spans="1:8" ht="15.4" customHeight="1" x14ac:dyDescent="0.25">
      <c r="A39" s="361">
        <v>3</v>
      </c>
      <c r="B39" s="571" t="s">
        <v>9</v>
      </c>
      <c r="C39" s="230"/>
      <c r="D39" s="230"/>
      <c r="E39" s="230"/>
      <c r="F39" s="230"/>
      <c r="G39" s="230"/>
      <c r="H39" s="230"/>
    </row>
    <row r="40" spans="1:8" ht="15.4" customHeight="1" x14ac:dyDescent="0.25">
      <c r="A40" s="361"/>
      <c r="B40" s="405" t="s">
        <v>894</v>
      </c>
      <c r="C40" s="230"/>
      <c r="D40" s="230"/>
      <c r="E40" s="230"/>
      <c r="F40" s="230"/>
      <c r="G40" s="230"/>
      <c r="H40" s="230"/>
    </row>
    <row r="41" spans="1:8" ht="15.4" customHeight="1" x14ac:dyDescent="0.25">
      <c r="A41" s="361"/>
      <c r="B41" s="405" t="s">
        <v>574</v>
      </c>
      <c r="C41" s="230"/>
      <c r="D41" s="230"/>
      <c r="E41" s="230"/>
      <c r="F41" s="230"/>
      <c r="G41" s="230"/>
      <c r="H41" s="230"/>
    </row>
    <row r="42" spans="1:8" ht="28.9" customHeight="1" x14ac:dyDescent="0.25">
      <c r="A42" s="106" t="s">
        <v>432</v>
      </c>
      <c r="B42" s="571" t="s">
        <v>502</v>
      </c>
      <c r="C42" s="230"/>
      <c r="D42" s="230"/>
      <c r="E42" s="230"/>
      <c r="F42" s="230"/>
      <c r="G42" s="230"/>
      <c r="H42" s="230"/>
    </row>
    <row r="43" spans="1:8" ht="15.4" customHeight="1" x14ac:dyDescent="0.25">
      <c r="A43" s="361"/>
      <c r="B43" s="405" t="s">
        <v>894</v>
      </c>
      <c r="C43" s="230"/>
      <c r="D43" s="230"/>
      <c r="E43" s="230"/>
      <c r="F43" s="230"/>
      <c r="G43" s="230"/>
      <c r="H43" s="230"/>
    </row>
    <row r="44" spans="1:8" ht="15.4" customHeight="1" x14ac:dyDescent="0.25">
      <c r="A44" s="361"/>
      <c r="B44" s="405" t="s">
        <v>574</v>
      </c>
      <c r="C44" s="230"/>
      <c r="D44" s="230"/>
      <c r="E44" s="230"/>
      <c r="F44" s="230"/>
      <c r="G44" s="230"/>
      <c r="H44" s="230"/>
    </row>
    <row r="45" spans="1:8" ht="15.4" customHeight="1" x14ac:dyDescent="0.25">
      <c r="A45" s="213" t="s">
        <v>508</v>
      </c>
      <c r="B45" s="105" t="s">
        <v>197</v>
      </c>
      <c r="C45" s="219"/>
      <c r="D45" s="219"/>
      <c r="E45" s="219"/>
      <c r="F45" s="219"/>
      <c r="G45" s="219"/>
      <c r="H45" s="219"/>
    </row>
    <row r="46" spans="1:8" ht="15.4" customHeight="1" x14ac:dyDescent="0.25">
      <c r="A46" s="106" t="s">
        <v>383</v>
      </c>
      <c r="B46" s="571" t="s">
        <v>456</v>
      </c>
      <c r="C46" s="230"/>
      <c r="D46" s="230"/>
      <c r="E46" s="230"/>
      <c r="F46" s="230"/>
      <c r="G46" s="230"/>
      <c r="H46" s="230"/>
    </row>
    <row r="47" spans="1:8" ht="15.4" customHeight="1" x14ac:dyDescent="0.25">
      <c r="A47" s="361"/>
      <c r="B47" s="405" t="s">
        <v>894</v>
      </c>
      <c r="C47" s="230"/>
      <c r="D47" s="230"/>
      <c r="E47" s="230"/>
      <c r="F47" s="230"/>
      <c r="G47" s="230"/>
      <c r="H47" s="230"/>
    </row>
    <row r="48" spans="1:8" ht="15.4" customHeight="1" x14ac:dyDescent="0.25">
      <c r="A48" s="361"/>
      <c r="B48" s="405" t="s">
        <v>574</v>
      </c>
      <c r="C48" s="230"/>
      <c r="D48" s="230"/>
      <c r="E48" s="230"/>
      <c r="F48" s="230"/>
      <c r="G48" s="230"/>
      <c r="H48" s="230"/>
    </row>
    <row r="49" spans="1:8" ht="15.4" customHeight="1" x14ac:dyDescent="0.25">
      <c r="A49" s="361"/>
      <c r="B49" s="571" t="s">
        <v>35</v>
      </c>
      <c r="C49" s="230"/>
      <c r="D49" s="230"/>
      <c r="E49" s="230"/>
      <c r="F49" s="230"/>
      <c r="G49" s="230"/>
      <c r="H49" s="230"/>
    </row>
    <row r="50" spans="1:8" ht="15.4" customHeight="1" x14ac:dyDescent="0.25">
      <c r="A50" s="361">
        <v>1</v>
      </c>
      <c r="B50" s="571" t="s">
        <v>658</v>
      </c>
      <c r="C50" s="230"/>
      <c r="D50" s="230"/>
      <c r="E50" s="230"/>
      <c r="F50" s="230"/>
      <c r="G50" s="230"/>
      <c r="H50" s="230"/>
    </row>
    <row r="51" spans="1:8" ht="15.4" customHeight="1" x14ac:dyDescent="0.25">
      <c r="A51" s="361"/>
      <c r="B51" s="405" t="s">
        <v>894</v>
      </c>
      <c r="C51" s="230"/>
      <c r="D51" s="230"/>
      <c r="E51" s="230"/>
      <c r="F51" s="230"/>
      <c r="G51" s="230"/>
      <c r="H51" s="230"/>
    </row>
    <row r="52" spans="1:8" ht="15.4" customHeight="1" x14ac:dyDescent="0.25">
      <c r="A52" s="361"/>
      <c r="B52" s="405" t="s">
        <v>574</v>
      </c>
      <c r="C52" s="230"/>
      <c r="D52" s="230"/>
      <c r="E52" s="230"/>
      <c r="F52" s="230"/>
      <c r="G52" s="230"/>
      <c r="H52" s="230"/>
    </row>
    <row r="53" spans="1:8" ht="15.4" customHeight="1" x14ac:dyDescent="0.25">
      <c r="A53" s="361">
        <v>2</v>
      </c>
      <c r="B53" s="571" t="s">
        <v>337</v>
      </c>
      <c r="C53" s="230"/>
      <c r="D53" s="230"/>
      <c r="E53" s="230"/>
      <c r="F53" s="230"/>
      <c r="G53" s="230"/>
      <c r="H53" s="230"/>
    </row>
    <row r="54" spans="1:8" ht="15.4" customHeight="1" x14ac:dyDescent="0.25">
      <c r="A54" s="361">
        <v>3</v>
      </c>
      <c r="B54" s="571" t="s">
        <v>9</v>
      </c>
      <c r="C54" s="230"/>
      <c r="D54" s="230"/>
      <c r="E54" s="230"/>
      <c r="F54" s="230"/>
      <c r="G54" s="230"/>
      <c r="H54" s="230"/>
    </row>
    <row r="55" spans="1:8" ht="15.4" customHeight="1" x14ac:dyDescent="0.25">
      <c r="A55" s="361"/>
      <c r="B55" s="405" t="s">
        <v>894</v>
      </c>
      <c r="C55" s="230"/>
      <c r="D55" s="230"/>
      <c r="E55" s="230"/>
      <c r="F55" s="230"/>
      <c r="G55" s="230"/>
      <c r="H55" s="230"/>
    </row>
    <row r="56" spans="1:8" ht="15.4" customHeight="1" x14ac:dyDescent="0.25">
      <c r="A56" s="361"/>
      <c r="B56" s="405" t="s">
        <v>574</v>
      </c>
      <c r="C56" s="230"/>
      <c r="D56" s="230"/>
      <c r="E56" s="230"/>
      <c r="F56" s="230"/>
      <c r="G56" s="230"/>
      <c r="H56" s="230"/>
    </row>
    <row r="57" spans="1:8" ht="28.9" customHeight="1" x14ac:dyDescent="0.25">
      <c r="A57" s="106" t="s">
        <v>432</v>
      </c>
      <c r="B57" s="571" t="s">
        <v>502</v>
      </c>
      <c r="C57" s="230"/>
      <c r="D57" s="230"/>
      <c r="E57" s="230"/>
      <c r="F57" s="230"/>
      <c r="G57" s="230"/>
      <c r="H57" s="230"/>
    </row>
    <row r="58" spans="1:8" ht="15.4" customHeight="1" x14ac:dyDescent="0.25">
      <c r="A58" s="361"/>
      <c r="B58" s="405" t="s">
        <v>894</v>
      </c>
      <c r="C58" s="230"/>
      <c r="D58" s="230"/>
      <c r="E58" s="230"/>
      <c r="F58" s="230"/>
      <c r="G58" s="230"/>
      <c r="H58" s="230"/>
    </row>
    <row r="59" spans="1:8" ht="15.4" customHeight="1" x14ac:dyDescent="0.25">
      <c r="A59" s="325"/>
      <c r="B59" s="387" t="s">
        <v>574</v>
      </c>
      <c r="C59" s="198"/>
      <c r="D59" s="198"/>
      <c r="E59" s="198"/>
      <c r="F59" s="198"/>
      <c r="G59" s="198"/>
      <c r="H59" s="198"/>
    </row>
    <row r="60" spans="1:8" ht="15" customHeight="1" x14ac:dyDescent="0.25">
      <c r="A60" s="390" t="s">
        <v>483</v>
      </c>
      <c r="B60" s="486"/>
      <c r="C60" s="486"/>
      <c r="D60" s="486"/>
      <c r="E60" s="486"/>
      <c r="F60" s="486"/>
      <c r="G60" s="486"/>
      <c r="H60" s="486"/>
    </row>
    <row r="61" spans="1:8" ht="15" customHeight="1" x14ac:dyDescent="0.25">
      <c r="A61" s="390" t="s">
        <v>141</v>
      </c>
      <c r="B61" s="486"/>
      <c r="C61" s="486"/>
      <c r="D61" s="486"/>
      <c r="E61" s="486"/>
      <c r="F61" s="486"/>
      <c r="G61" s="486"/>
      <c r="H61" s="486"/>
    </row>
    <row r="62" spans="1:8" ht="15" customHeight="1" x14ac:dyDescent="0.25">
      <c r="A62" s="390" t="s">
        <v>982</v>
      </c>
      <c r="B62" s="486"/>
      <c r="C62" s="486"/>
      <c r="D62" s="486"/>
      <c r="E62" s="486"/>
      <c r="F62" s="486"/>
      <c r="G62" s="486"/>
      <c r="H62" s="486"/>
    </row>
    <row r="63" spans="1:8" ht="15" customHeight="1" x14ac:dyDescent="0.25">
      <c r="A63" s="390" t="s">
        <v>946</v>
      </c>
      <c r="B63" s="486"/>
      <c r="C63" s="486"/>
      <c r="D63" s="486"/>
      <c r="E63" s="486"/>
      <c r="F63" s="486"/>
      <c r="G63" s="486"/>
      <c r="H63" s="486"/>
    </row>
    <row r="64" spans="1:8" ht="15" customHeight="1" x14ac:dyDescent="0.25">
      <c r="A64" s="390" t="s">
        <v>228</v>
      </c>
      <c r="B64" s="486"/>
      <c r="C64" s="486"/>
      <c r="D64" s="486"/>
      <c r="E64" s="486"/>
      <c r="F64" s="486"/>
      <c r="G64" s="486"/>
      <c r="H64" s="486"/>
    </row>
    <row r="65" spans="1:8" ht="15" customHeight="1" x14ac:dyDescent="0.25">
      <c r="A65" s="486"/>
      <c r="B65" s="390" t="s">
        <v>163</v>
      </c>
      <c r="C65" s="486"/>
      <c r="D65" s="486"/>
      <c r="E65" s="486"/>
      <c r="F65" s="486"/>
      <c r="G65" s="486"/>
      <c r="H65" s="486"/>
    </row>
    <row r="66" spans="1:8" ht="15" customHeight="1" x14ac:dyDescent="0.25">
      <c r="A66" s="486"/>
      <c r="B66" s="486"/>
      <c r="C66" s="486"/>
      <c r="D66" s="486"/>
      <c r="E66" s="486"/>
      <c r="F66" s="486"/>
      <c r="G66" s="486"/>
      <c r="H66" s="486"/>
    </row>
    <row r="67" spans="1:8" ht="15" customHeight="1" x14ac:dyDescent="0.25">
      <c r="A67" s="489"/>
      <c r="B67" s="489"/>
      <c r="C67" s="489"/>
      <c r="D67" s="489"/>
      <c r="E67" s="489"/>
      <c r="F67" s="766" t="s">
        <v>994</v>
      </c>
      <c r="G67" s="743"/>
      <c r="H67" s="743"/>
    </row>
    <row r="68" spans="1:8" ht="15" customHeight="1" x14ac:dyDescent="0.25">
      <c r="A68" s="489"/>
      <c r="B68" s="382" t="s">
        <v>69</v>
      </c>
      <c r="C68" s="489"/>
      <c r="D68" s="489"/>
      <c r="E68" s="489"/>
      <c r="F68" s="767" t="s">
        <v>497</v>
      </c>
      <c r="G68" s="743"/>
      <c r="H68" s="743"/>
    </row>
    <row r="69" spans="1:8" ht="15" customHeight="1" x14ac:dyDescent="0.25">
      <c r="A69" s="489"/>
      <c r="B69" s="395" t="s">
        <v>631</v>
      </c>
      <c r="C69" s="489"/>
      <c r="D69" s="489"/>
      <c r="E69" s="489"/>
      <c r="F69" s="766" t="s">
        <v>751</v>
      </c>
      <c r="G69" s="743"/>
      <c r="H69" s="743"/>
    </row>
    <row r="70" spans="1:8" ht="15" customHeight="1" x14ac:dyDescent="0.25">
      <c r="A70" s="489"/>
      <c r="B70" s="395" t="s">
        <v>987</v>
      </c>
      <c r="C70" s="489"/>
      <c r="D70" s="489"/>
      <c r="E70" s="489"/>
      <c r="F70" s="766" t="s">
        <v>987</v>
      </c>
      <c r="G70" s="743"/>
      <c r="H70" s="743"/>
    </row>
    <row r="71" spans="1:8" ht="15" customHeight="1" x14ac:dyDescent="0.25">
      <c r="A71" s="301"/>
      <c r="B71" s="301"/>
      <c r="C71" s="301"/>
      <c r="D71" s="301"/>
      <c r="E71" s="301"/>
      <c r="F71" s="301"/>
      <c r="G71" s="301"/>
      <c r="H71" s="301"/>
    </row>
    <row r="72" spans="1:8" ht="15" customHeight="1" x14ac:dyDescent="0.25">
      <c r="A72" s="301"/>
      <c r="B72" s="301"/>
      <c r="C72" s="301"/>
      <c r="D72" s="301"/>
      <c r="E72" s="301"/>
      <c r="F72" s="301"/>
      <c r="G72" s="301"/>
      <c r="H72" s="301"/>
    </row>
    <row r="73" spans="1:8" ht="15" customHeight="1" x14ac:dyDescent="0.25">
      <c r="A73" s="301"/>
      <c r="B73" s="301"/>
      <c r="C73" s="301"/>
      <c r="D73" s="301"/>
      <c r="E73" s="301"/>
      <c r="F73" s="301"/>
      <c r="G73" s="301"/>
      <c r="H73" s="301"/>
    </row>
    <row r="74" spans="1:8" ht="15" customHeight="1" x14ac:dyDescent="0.25">
      <c r="A74" s="301"/>
      <c r="B74" s="301"/>
      <c r="C74" s="301"/>
      <c r="D74" s="301"/>
      <c r="E74" s="301"/>
      <c r="F74" s="301"/>
      <c r="G74" s="301"/>
      <c r="H74" s="301"/>
    </row>
    <row r="75" spans="1:8" ht="15" customHeight="1" x14ac:dyDescent="0.25">
      <c r="A75" s="301"/>
      <c r="B75" s="301"/>
      <c r="C75" s="301"/>
      <c r="D75" s="301"/>
      <c r="E75" s="301"/>
      <c r="F75" s="301"/>
      <c r="G75" s="301"/>
      <c r="H75" s="301"/>
    </row>
    <row r="76" spans="1:8" ht="15" customHeight="1" x14ac:dyDescent="0.25">
      <c r="A76" s="301"/>
      <c r="B76" s="301"/>
      <c r="C76" s="301"/>
      <c r="D76" s="301"/>
      <c r="E76" s="301"/>
      <c r="F76" s="301"/>
      <c r="G76" s="301"/>
      <c r="H76" s="301"/>
    </row>
    <row r="77" spans="1:8" ht="15" customHeight="1" x14ac:dyDescent="0.25">
      <c r="A77" s="301"/>
      <c r="B77" s="301"/>
      <c r="C77" s="301"/>
      <c r="D77" s="301"/>
      <c r="E77" s="301"/>
      <c r="F77" s="301"/>
      <c r="G77" s="301"/>
      <c r="H77" s="301"/>
    </row>
    <row r="78" spans="1:8" ht="15" customHeight="1" x14ac:dyDescent="0.25">
      <c r="A78" s="301"/>
      <c r="B78" s="301"/>
      <c r="C78" s="301"/>
      <c r="D78" s="301"/>
      <c r="E78" s="301"/>
      <c r="F78" s="301"/>
      <c r="G78" s="301"/>
      <c r="H78" s="301"/>
    </row>
    <row r="79" spans="1:8" ht="15" customHeight="1" x14ac:dyDescent="0.25">
      <c r="A79" s="301"/>
      <c r="B79" s="301"/>
      <c r="C79" s="301"/>
      <c r="D79" s="301"/>
      <c r="E79" s="301"/>
      <c r="F79" s="301"/>
      <c r="G79" s="301"/>
      <c r="H79" s="301"/>
    </row>
    <row r="80" spans="1:8" ht="15" customHeight="1" x14ac:dyDescent="0.25">
      <c r="A80" s="301"/>
      <c r="B80" s="301"/>
      <c r="C80" s="301"/>
      <c r="D80" s="301"/>
      <c r="E80" s="301"/>
      <c r="F80" s="301"/>
      <c r="G80" s="301"/>
      <c r="H80" s="301"/>
    </row>
  </sheetData>
  <mergeCells count="12">
    <mergeCell ref="F67:H67"/>
    <mergeCell ref="F68:H68"/>
    <mergeCell ref="F69:H69"/>
    <mergeCell ref="F70:H70"/>
    <mergeCell ref="A2:H2"/>
    <mergeCell ref="A11:A13"/>
    <mergeCell ref="B11:B13"/>
    <mergeCell ref="C11:C13"/>
    <mergeCell ref="D11:F11"/>
    <mergeCell ref="G11:G13"/>
    <mergeCell ref="H11:H13"/>
    <mergeCell ref="E12:F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D9"/>
  <sheetViews>
    <sheetView showZeros="0" topLeftCell="B1" workbookViewId="0">
      <selection activeCell="F12" sqref="F12"/>
    </sheetView>
  </sheetViews>
  <sheetFormatPr defaultColWidth="9.42578125" defaultRowHeight="15" x14ac:dyDescent="0.25"/>
  <cols>
    <col min="1" max="1" width="5.7109375" hidden="1" customWidth="1"/>
    <col min="2" max="2" width="5.85546875" customWidth="1"/>
    <col min="3" max="3" width="9.140625" customWidth="1"/>
    <col min="4" max="4" width="20.140625" customWidth="1"/>
    <col min="5" max="5" width="8.28515625" customWidth="1"/>
    <col min="6" max="6" width="7.28515625" customWidth="1"/>
    <col min="7" max="9" width="10.42578125" customWidth="1"/>
    <col min="10" max="11" width="7.28515625" customWidth="1"/>
    <col min="12" max="12" width="10.42578125" customWidth="1"/>
    <col min="13" max="13" width="7.28515625" customWidth="1"/>
    <col min="14" max="15" width="10.42578125" customWidth="1"/>
    <col min="16" max="16" width="12.42578125" customWidth="1"/>
  </cols>
  <sheetData>
    <row r="1" spans="1:4" x14ac:dyDescent="0.25">
      <c r="A1" s="57"/>
      <c r="D1" s="534"/>
    </row>
    <row r="2" spans="1:4" x14ac:dyDescent="0.25">
      <c r="D2" s="534"/>
    </row>
    <row r="3" spans="1:4" x14ac:dyDescent="0.25">
      <c r="D3" s="534"/>
    </row>
    <row r="4" spans="1:4" x14ac:dyDescent="0.25">
      <c r="D4" s="534"/>
    </row>
    <row r="5" spans="1:4" x14ac:dyDescent="0.25">
      <c r="D5" s="534"/>
    </row>
    <row r="6" spans="1:4" x14ac:dyDescent="0.25">
      <c r="D6" s="534"/>
    </row>
    <row r="7" spans="1:4" x14ac:dyDescent="0.25">
      <c r="D7" s="534"/>
    </row>
    <row r="8" spans="1:4" x14ac:dyDescent="0.25">
      <c r="D8" s="534"/>
    </row>
    <row r="9" spans="1:4" x14ac:dyDescent="0.25">
      <c r="D9" s="534"/>
    </row>
  </sheetData>
  <pageMargins left="0.75" right="0.75" top="0.79" bottom="0.79" header="0.3" footer="0.3"/>
  <pageSetup paperSize="9" scale="90" orientation="landscape" useFirstPageNumber="1" horizontalDpi="65532"/>
  <headerFooter>
    <oddFooter>&amp;CTrang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
  <sheetViews>
    <sheetView showZeros="0" topLeftCell="B1" workbookViewId="0">
      <selection activeCell="F10" sqref="F10"/>
    </sheetView>
  </sheetViews>
  <sheetFormatPr defaultColWidth="9.140625" defaultRowHeight="15" x14ac:dyDescent="0.25"/>
  <cols>
    <col min="1" max="1" width="3.5703125" style="460" hidden="1" customWidth="1"/>
    <col min="2" max="2" width="5.7109375" style="460" customWidth="1"/>
    <col min="3" max="3" width="8.5703125" style="460" customWidth="1"/>
    <col min="4" max="4" width="14.85546875" style="460" customWidth="1"/>
    <col min="5" max="5" width="6" style="460" customWidth="1"/>
    <col min="6" max="6" width="19.140625" style="460" customWidth="1"/>
    <col min="7" max="7" width="6.85546875" style="460" customWidth="1"/>
    <col min="8" max="8" width="7.5703125" style="460" customWidth="1"/>
    <col min="9" max="9" width="7.85546875" style="460" customWidth="1"/>
    <col min="10" max="10" width="20.28515625" style="460" customWidth="1"/>
    <col min="11" max="11" width="6.7109375" style="460" customWidth="1"/>
    <col min="12" max="12" width="18.85546875" style="460" customWidth="1"/>
    <col min="13" max="13" width="6.7109375" style="460" customWidth="1"/>
    <col min="14" max="14" width="6.42578125" style="460" customWidth="1"/>
    <col min="15" max="15" width="7.85546875" style="460" customWidth="1"/>
    <col min="16" max="17" width="8.5703125" style="460" customWidth="1"/>
    <col min="18" max="19" width="10" style="460" customWidth="1"/>
    <col min="20" max="20" width="9.140625" style="460" customWidth="1"/>
    <col min="21" max="16384" width="9.140625" style="460"/>
  </cols>
  <sheetData/>
  <pageMargins left="1.18" right="0.59" top="0.79" bottom="0.79" header="0.3" footer="0.3"/>
  <pageSetup orientation="landscape" horizontalDpi="655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7"/>
  </sheetPr>
  <dimension ref="A1:K6"/>
  <sheetViews>
    <sheetView showZeros="0" topLeftCell="B1" workbookViewId="0">
      <selection activeCell="F7" sqref="F7"/>
    </sheetView>
  </sheetViews>
  <sheetFormatPr defaultColWidth="9.140625" defaultRowHeight="15" x14ac:dyDescent="0.25"/>
  <cols>
    <col min="1" max="1" width="9.140625" style="460" hidden="1" customWidth="1"/>
    <col min="2" max="2" width="4.7109375" style="460" bestFit="1" customWidth="1"/>
    <col min="3" max="3" width="6.85546875" style="460" bestFit="1" customWidth="1"/>
    <col min="4" max="4" width="9.42578125" style="460" hidden="1" customWidth="1"/>
    <col min="5" max="5" width="38.85546875" style="460" customWidth="1"/>
    <col min="6" max="8" width="11" style="460" customWidth="1"/>
    <col min="9" max="9" width="9.140625" style="460" hidden="1" customWidth="1"/>
    <col min="10" max="10" width="12.85546875" style="460" hidden="1" customWidth="1"/>
    <col min="11" max="11" width="9.140625" style="460" hidden="1" customWidth="1"/>
    <col min="12" max="12" width="9.140625" style="460" customWidth="1"/>
    <col min="13" max="16384" width="9.140625" style="460"/>
  </cols>
  <sheetData>
    <row r="1" spans="1:11" ht="18.75" x14ac:dyDescent="0.3">
      <c r="B1" s="590" t="s">
        <v>579</v>
      </c>
      <c r="C1" s="590"/>
      <c r="D1" s="590"/>
      <c r="E1" s="590"/>
      <c r="F1" s="590"/>
      <c r="G1" s="590"/>
      <c r="H1" s="590"/>
      <c r="I1" s="590"/>
      <c r="J1" s="590"/>
      <c r="K1" s="590"/>
    </row>
    <row r="2" spans="1:11" x14ac:dyDescent="0.25">
      <c r="B2" s="594" t="s">
        <v>988</v>
      </c>
      <c r="C2" s="594"/>
      <c r="D2" s="594"/>
      <c r="E2" s="594"/>
      <c r="F2" s="594"/>
      <c r="G2" s="594"/>
      <c r="H2" s="594"/>
      <c r="I2" s="594"/>
      <c r="J2" s="594"/>
      <c r="K2" s="594"/>
    </row>
    <row r="3" spans="1:11" x14ac:dyDescent="0.25">
      <c r="B3" s="595" t="s">
        <v>350</v>
      </c>
      <c r="C3" s="595"/>
      <c r="D3" s="595"/>
      <c r="E3" s="595"/>
      <c r="F3" s="595"/>
      <c r="G3" s="595"/>
      <c r="H3" s="595"/>
      <c r="I3" s="595"/>
      <c r="J3" s="595"/>
      <c r="K3" s="595"/>
    </row>
    <row r="4" spans="1:11" ht="21" customHeight="1" x14ac:dyDescent="0.25">
      <c r="B4" s="482" t="s">
        <v>306</v>
      </c>
      <c r="C4" s="482" t="s">
        <v>312</v>
      </c>
      <c r="D4" s="482"/>
      <c r="E4" s="482" t="s">
        <v>105</v>
      </c>
      <c r="F4" s="482" t="s">
        <v>351</v>
      </c>
      <c r="G4" s="482" t="s">
        <v>723</v>
      </c>
      <c r="H4" s="482" t="s">
        <v>47</v>
      </c>
      <c r="I4" s="482" t="s">
        <v>764</v>
      </c>
      <c r="J4" s="482" t="s">
        <v>448</v>
      </c>
      <c r="K4" s="482" t="s">
        <v>670</v>
      </c>
    </row>
    <row r="5" spans="1:11" x14ac:dyDescent="0.25">
      <c r="A5" s="356"/>
      <c r="B5" s="365">
        <v>1</v>
      </c>
      <c r="C5" s="224" t="s">
        <v>137</v>
      </c>
      <c r="D5" s="356"/>
      <c r="E5" s="356" t="s">
        <v>719</v>
      </c>
      <c r="F5" s="365" t="s">
        <v>345</v>
      </c>
      <c r="G5" s="82">
        <v>283452</v>
      </c>
      <c r="H5" s="138">
        <v>283452</v>
      </c>
      <c r="I5" s="397">
        <v>1</v>
      </c>
      <c r="J5" s="356">
        <f t="shared" ref="J5:J6" si="0">H5*I5</f>
        <v>283452</v>
      </c>
      <c r="K5" s="478">
        <f t="shared" ref="K5:K6" si="1">H5</f>
        <v>283452</v>
      </c>
    </row>
    <row r="6" spans="1:11" x14ac:dyDescent="0.25">
      <c r="A6" s="439"/>
      <c r="B6" s="447">
        <v>2</v>
      </c>
      <c r="C6" s="323" t="s">
        <v>689</v>
      </c>
      <c r="D6" s="439"/>
      <c r="E6" s="439" t="s">
        <v>131</v>
      </c>
      <c r="F6" s="447" t="s">
        <v>345</v>
      </c>
      <c r="G6" s="173">
        <v>296000</v>
      </c>
      <c r="H6" s="241">
        <v>296000</v>
      </c>
      <c r="I6" s="476">
        <v>1</v>
      </c>
      <c r="J6" s="439">
        <f t="shared" si="0"/>
        <v>296000</v>
      </c>
      <c r="K6" s="567">
        <f t="shared" si="1"/>
        <v>296000</v>
      </c>
    </row>
  </sheetData>
  <mergeCells count="3">
    <mergeCell ref="B1:K1"/>
    <mergeCell ref="B2:K2"/>
    <mergeCell ref="B3:K3"/>
  </mergeCells>
  <conditionalFormatting sqref="I5:I7">
    <cfRule type="cellIs" dxfId="9" priority="1" stopIfTrue="1" operator="equal">
      <formula>1</formula>
    </cfRule>
  </conditionalFormatting>
  <conditionalFormatting sqref="G5:G6">
    <cfRule type="cellIs" dxfId="8" priority="2" stopIfTrue="1" operator="equal">
      <formula>0</formula>
    </cfRule>
  </conditionalFormatting>
  <conditionalFormatting sqref="H5:H6">
    <cfRule type="cellIs" dxfId="7" priority="3" stopIfTrue="1" operator="equal">
      <formula>0</formula>
    </cfRule>
  </conditionalFormatting>
  <pageMargins left="0.75" right="0.75" top="0.79" bottom="0.79" header="0.3" footer="0.3"/>
  <pageSetup paperSize="9" orientation="portrait" useFirstPageNumber="1" horizontalDpi="65532"/>
  <headerFooter>
    <oddFooter>&amp;CTrang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sheetPr>
  <dimension ref="A1:AH17"/>
  <sheetViews>
    <sheetView showZeros="0" topLeftCell="B1" workbookViewId="0">
      <selection activeCell="E6" sqref="E6"/>
    </sheetView>
  </sheetViews>
  <sheetFormatPr defaultColWidth="9.140625" defaultRowHeight="15" x14ac:dyDescent="0.25"/>
  <cols>
    <col min="1" max="1" width="9.140625" style="460" hidden="1" customWidth="1"/>
    <col min="2" max="2" width="4.7109375" style="460" bestFit="1" customWidth="1"/>
    <col min="3" max="3" width="8" style="460" bestFit="1" customWidth="1"/>
    <col min="4" max="4" width="10.28515625" style="460" hidden="1" customWidth="1"/>
    <col min="5" max="5" width="45.7109375" style="460" customWidth="1"/>
    <col min="6" max="6" width="9" style="460" customWidth="1"/>
    <col min="7" max="7" width="9.140625" style="460" hidden="1" customWidth="1"/>
    <col min="8" max="8" width="10" style="460" hidden="1" customWidth="1"/>
    <col min="9" max="9" width="6.5703125" style="460" hidden="1" customWidth="1"/>
    <col min="10" max="10" width="12.28515625" style="460" customWidth="1"/>
    <col min="11" max="11" width="9.7109375" style="460" customWidth="1"/>
    <col min="12" max="12" width="13.28515625" style="460" hidden="1" customWidth="1"/>
    <col min="13" max="13" width="7.5703125" style="460" hidden="1" customWidth="1"/>
    <col min="14" max="14" width="11" style="460" hidden="1" customWidth="1"/>
    <col min="15" max="15" width="11.5703125" style="460" hidden="1" customWidth="1"/>
    <col min="16" max="16" width="11" style="460" hidden="1" customWidth="1"/>
    <col min="17" max="17" width="6.5703125" style="460" hidden="1" customWidth="1"/>
    <col min="18" max="18" width="12.85546875" style="460" hidden="1" customWidth="1"/>
    <col min="19" max="19" width="11" style="460" hidden="1" customWidth="1"/>
    <col min="20" max="20" width="11.5703125" style="460" hidden="1" customWidth="1"/>
    <col min="21" max="21" width="12.42578125" style="460" hidden="1" customWidth="1"/>
    <col min="22" max="22" width="9.5703125" style="460" hidden="1" customWidth="1"/>
    <col min="23" max="23" width="11" style="460" hidden="1" customWidth="1"/>
    <col min="24" max="24" width="9.7109375" style="460" customWidth="1"/>
    <col min="25" max="25" width="14.7109375" style="460" hidden="1" customWidth="1"/>
    <col min="26" max="26" width="12.85546875" style="460" customWidth="1"/>
    <col min="27" max="27" width="12.5703125" style="460" customWidth="1"/>
    <col min="28" max="34" width="9.140625" style="460" hidden="1" customWidth="1"/>
    <col min="35" max="35" width="9.140625" style="460" customWidth="1"/>
    <col min="36" max="16384" width="9.140625" style="460"/>
  </cols>
  <sheetData>
    <row r="1" spans="1:27" ht="18.75" x14ac:dyDescent="0.3">
      <c r="A1" s="590" t="s">
        <v>990</v>
      </c>
      <c r="B1" s="590" t="s">
        <v>990</v>
      </c>
      <c r="C1" s="590" t="s">
        <v>990</v>
      </c>
      <c r="D1" s="590" t="s">
        <v>990</v>
      </c>
      <c r="E1" s="590" t="s">
        <v>990</v>
      </c>
      <c r="F1" s="590" t="s">
        <v>990</v>
      </c>
      <c r="G1" s="590" t="s">
        <v>990</v>
      </c>
      <c r="H1" s="590" t="s">
        <v>990</v>
      </c>
      <c r="I1" s="590" t="s">
        <v>990</v>
      </c>
      <c r="J1" s="590" t="s">
        <v>990</v>
      </c>
      <c r="K1" s="590" t="s">
        <v>990</v>
      </c>
      <c r="L1" s="590" t="s">
        <v>990</v>
      </c>
      <c r="M1" s="590" t="s">
        <v>990</v>
      </c>
      <c r="N1" s="590" t="s">
        <v>990</v>
      </c>
      <c r="O1" s="590" t="s">
        <v>990</v>
      </c>
      <c r="P1" s="590" t="s">
        <v>990</v>
      </c>
      <c r="Q1" s="590" t="s">
        <v>990</v>
      </c>
      <c r="R1" s="590" t="s">
        <v>990</v>
      </c>
      <c r="S1" s="590" t="s">
        <v>990</v>
      </c>
      <c r="T1" s="590" t="s">
        <v>990</v>
      </c>
      <c r="U1" s="590" t="s">
        <v>990</v>
      </c>
      <c r="V1" s="590" t="s">
        <v>990</v>
      </c>
      <c r="W1" s="590" t="s">
        <v>990</v>
      </c>
      <c r="X1" s="590" t="s">
        <v>990</v>
      </c>
      <c r="Y1" s="590" t="s">
        <v>990</v>
      </c>
      <c r="Z1" s="590" t="s">
        <v>990</v>
      </c>
      <c r="AA1" s="590" t="s">
        <v>990</v>
      </c>
    </row>
    <row r="2" spans="1:27" x14ac:dyDescent="0.25">
      <c r="A2" s="591" t="s">
        <v>471</v>
      </c>
      <c r="B2" s="591" t="s">
        <v>471</v>
      </c>
      <c r="C2" s="591" t="s">
        <v>471</v>
      </c>
      <c r="D2" s="591" t="s">
        <v>471</v>
      </c>
      <c r="E2" s="591" t="s">
        <v>471</v>
      </c>
      <c r="F2" s="591" t="s">
        <v>471</v>
      </c>
      <c r="G2" s="591" t="s">
        <v>471</v>
      </c>
      <c r="H2" s="591" t="s">
        <v>471</v>
      </c>
      <c r="I2" s="591" t="s">
        <v>471</v>
      </c>
      <c r="J2" s="591" t="s">
        <v>471</v>
      </c>
      <c r="K2" s="591" t="s">
        <v>471</v>
      </c>
      <c r="L2" s="591" t="s">
        <v>471</v>
      </c>
      <c r="M2" s="591" t="s">
        <v>471</v>
      </c>
      <c r="N2" s="591" t="s">
        <v>471</v>
      </c>
      <c r="O2" s="591" t="s">
        <v>471</v>
      </c>
      <c r="P2" s="591" t="s">
        <v>471</v>
      </c>
      <c r="Q2" s="591" t="s">
        <v>471</v>
      </c>
      <c r="R2" s="591" t="s">
        <v>471</v>
      </c>
      <c r="S2" s="591" t="s">
        <v>471</v>
      </c>
      <c r="T2" s="591" t="s">
        <v>471</v>
      </c>
      <c r="U2" s="591" t="s">
        <v>471</v>
      </c>
      <c r="V2" s="591" t="s">
        <v>471</v>
      </c>
      <c r="W2" s="591" t="s">
        <v>471</v>
      </c>
      <c r="X2" s="591" t="s">
        <v>471</v>
      </c>
      <c r="Y2" s="591" t="s">
        <v>471</v>
      </c>
      <c r="Z2" s="591" t="s">
        <v>471</v>
      </c>
      <c r="AA2" s="591" t="s">
        <v>471</v>
      </c>
    </row>
    <row r="3" spans="1:27" ht="13.5" customHeight="1" x14ac:dyDescent="0.25">
      <c r="A3" s="596" t="s">
        <v>813</v>
      </c>
      <c r="B3" s="596" t="s">
        <v>813</v>
      </c>
      <c r="C3" s="596" t="s">
        <v>813</v>
      </c>
      <c r="D3" s="596" t="s">
        <v>813</v>
      </c>
      <c r="E3" s="596" t="s">
        <v>813</v>
      </c>
      <c r="F3" s="596" t="s">
        <v>813</v>
      </c>
      <c r="G3" s="596" t="s">
        <v>813</v>
      </c>
      <c r="H3" s="596" t="s">
        <v>813</v>
      </c>
      <c r="I3" s="596" t="s">
        <v>813</v>
      </c>
      <c r="J3" s="596" t="s">
        <v>813</v>
      </c>
      <c r="K3" s="596" t="s">
        <v>813</v>
      </c>
      <c r="L3" s="596" t="s">
        <v>813</v>
      </c>
      <c r="M3" s="596" t="s">
        <v>813</v>
      </c>
      <c r="N3" s="596" t="s">
        <v>813</v>
      </c>
      <c r="O3" s="596" t="s">
        <v>813</v>
      </c>
      <c r="P3" s="596" t="s">
        <v>813</v>
      </c>
      <c r="Q3" s="596" t="s">
        <v>813</v>
      </c>
      <c r="R3" s="596" t="s">
        <v>813</v>
      </c>
      <c r="S3" s="596" t="s">
        <v>813</v>
      </c>
      <c r="T3" s="596" t="s">
        <v>813</v>
      </c>
      <c r="U3" s="596" t="s">
        <v>813</v>
      </c>
      <c r="V3" s="596" t="s">
        <v>813</v>
      </c>
      <c r="W3" s="596" t="s">
        <v>813</v>
      </c>
      <c r="X3" s="596" t="s">
        <v>813</v>
      </c>
      <c r="Y3" s="596" t="s">
        <v>813</v>
      </c>
      <c r="Z3" s="596" t="s">
        <v>813</v>
      </c>
      <c r="AA3" s="596" t="s">
        <v>813</v>
      </c>
    </row>
    <row r="4" spans="1:27" x14ac:dyDescent="0.25">
      <c r="A4" s="517"/>
      <c r="B4" s="584" t="s">
        <v>306</v>
      </c>
      <c r="C4" s="584" t="s">
        <v>587</v>
      </c>
      <c r="D4" s="482"/>
      <c r="E4" s="584" t="s">
        <v>731</v>
      </c>
      <c r="F4" s="584" t="s">
        <v>891</v>
      </c>
      <c r="G4" s="584" t="s">
        <v>572</v>
      </c>
      <c r="H4" s="584" t="s">
        <v>975</v>
      </c>
      <c r="I4" s="584" t="s">
        <v>764</v>
      </c>
      <c r="J4" s="584" t="s">
        <v>4</v>
      </c>
      <c r="K4" s="584" t="s">
        <v>723</v>
      </c>
      <c r="L4" s="584" t="s">
        <v>97</v>
      </c>
      <c r="M4" s="584" t="s">
        <v>47</v>
      </c>
      <c r="N4" s="584" t="s">
        <v>97</v>
      </c>
      <c r="O4" s="584" t="s">
        <v>782</v>
      </c>
      <c r="P4" s="584" t="s">
        <v>97</v>
      </c>
      <c r="Q4" s="584" t="s">
        <v>764</v>
      </c>
      <c r="R4" s="584" t="s">
        <v>448</v>
      </c>
      <c r="S4" s="584" t="s">
        <v>97</v>
      </c>
      <c r="T4" s="584" t="s">
        <v>782</v>
      </c>
      <c r="U4" s="584" t="s">
        <v>97</v>
      </c>
      <c r="V4" s="584" t="s">
        <v>933</v>
      </c>
      <c r="W4" s="584" t="s">
        <v>97</v>
      </c>
      <c r="X4" s="584" t="s">
        <v>670</v>
      </c>
      <c r="Y4" s="584" t="s">
        <v>97</v>
      </c>
      <c r="Z4" s="584" t="s">
        <v>782</v>
      </c>
      <c r="AA4" s="584" t="s">
        <v>97</v>
      </c>
    </row>
    <row r="5" spans="1:27" ht="7.15" customHeight="1" x14ac:dyDescent="0.25">
      <c r="A5" s="517"/>
      <c r="B5" s="584"/>
      <c r="C5" s="584"/>
      <c r="D5" s="482"/>
      <c r="E5" s="584"/>
      <c r="F5" s="584"/>
      <c r="G5" s="584" t="s">
        <v>572</v>
      </c>
      <c r="H5" s="584" t="s">
        <v>975</v>
      </c>
      <c r="I5" s="584" t="s">
        <v>764</v>
      </c>
      <c r="J5" s="584" t="s">
        <v>4</v>
      </c>
      <c r="K5" s="584"/>
      <c r="L5" s="584"/>
      <c r="M5" s="584"/>
      <c r="N5" s="584"/>
      <c r="O5" s="584"/>
      <c r="P5" s="584"/>
      <c r="Q5" s="584"/>
      <c r="R5" s="584"/>
      <c r="S5" s="584"/>
      <c r="T5" s="584"/>
      <c r="U5" s="584"/>
      <c r="V5" s="584"/>
      <c r="W5" s="584"/>
      <c r="X5" s="584"/>
      <c r="Y5" s="584"/>
      <c r="Z5" s="584"/>
      <c r="AA5" s="584"/>
    </row>
    <row r="6" spans="1:27" x14ac:dyDescent="0.25">
      <c r="A6" s="37" t="s">
        <v>207</v>
      </c>
      <c r="B6" s="234">
        <v>1</v>
      </c>
      <c r="C6" s="37" t="s">
        <v>137</v>
      </c>
      <c r="D6" s="37">
        <f>'Giá NC'!D5</f>
        <v>0</v>
      </c>
      <c r="E6" s="458" t="str">
        <f>'Giá NC'!E5</f>
        <v>Nhân công bậc 4,0/7 - Nhóm 2</v>
      </c>
      <c r="F6" s="234" t="s">
        <v>345</v>
      </c>
      <c r="G6" s="41"/>
      <c r="H6" s="41"/>
      <c r="I6" s="41"/>
      <c r="J6" s="131">
        <f>SUM(J7:J10)</f>
        <v>1368.8400000000001</v>
      </c>
      <c r="K6" s="77">
        <f>'Giá NC'!G5</f>
        <v>283452</v>
      </c>
      <c r="L6" s="77">
        <f>J6*K6</f>
        <v>388000435.68000007</v>
      </c>
      <c r="M6" s="77">
        <f>'Giá NC'!H5</f>
        <v>283452</v>
      </c>
      <c r="N6" s="77">
        <f>J6*M6</f>
        <v>388000435.68000007</v>
      </c>
      <c r="O6" s="77">
        <f>M6-K6</f>
        <v>0</v>
      </c>
      <c r="P6" s="77">
        <f>J6*O6</f>
        <v>0</v>
      </c>
      <c r="Q6" s="77">
        <v>1</v>
      </c>
      <c r="R6" s="77">
        <f>M6*Q6</f>
        <v>283452</v>
      </c>
      <c r="S6" s="77">
        <f>J6*R6</f>
        <v>388000435.68000007</v>
      </c>
      <c r="T6" s="77">
        <v>0</v>
      </c>
      <c r="U6" s="77">
        <v>0</v>
      </c>
      <c r="V6" s="77">
        <v>0</v>
      </c>
      <c r="W6" s="77">
        <v>0</v>
      </c>
      <c r="X6" s="77">
        <f>'Giá NC'!K5</f>
        <v>283452</v>
      </c>
      <c r="Y6" s="77">
        <f>J6*X6</f>
        <v>388000435.68000007</v>
      </c>
      <c r="Z6" s="77">
        <f>X6-K6</f>
        <v>0</v>
      </c>
      <c r="AA6" s="77">
        <f>J6*Z6</f>
        <v>0</v>
      </c>
    </row>
    <row r="7" spans="1:27" s="192" customFormat="1" ht="30" hidden="1" x14ac:dyDescent="0.25">
      <c r="A7" s="258">
        <f>'Tiên lượng'!A7</f>
        <v>0</v>
      </c>
      <c r="B7" s="383"/>
      <c r="C7" s="258" t="str">
        <f>'Tiên lượng'!C7</f>
        <v>CF.11620</v>
      </c>
      <c r="D7" s="258"/>
      <c r="E7" s="9" t="str">
        <f>'Tiên lượng'!D7</f>
        <v>Công tác đo lưới khống chế mặt bằng, đường chuyền cấp II, Bộ thiết bị GPS (3 máy)</v>
      </c>
      <c r="F7" s="383" t="str">
        <f>'Tiên lượng'!E7</f>
        <v>điểm</v>
      </c>
      <c r="G7" s="166">
        <f>'Tiên lượng'!M7</f>
        <v>22</v>
      </c>
      <c r="H7" s="166">
        <f>PTVT!G17</f>
        <v>4.3899999999999997</v>
      </c>
      <c r="I7" s="166">
        <f>'Tiên lượng'!W7</f>
        <v>1</v>
      </c>
      <c r="J7" s="139">
        <f t="shared" ref="J7:J10" si="0">PRODUCT(G7,H7,I7)</f>
        <v>96.58</v>
      </c>
      <c r="K7" s="88"/>
      <c r="L7" s="88"/>
      <c r="M7" s="88"/>
      <c r="N7" s="88"/>
      <c r="O7" s="88"/>
      <c r="P7" s="88"/>
      <c r="Q7" s="88"/>
      <c r="R7" s="88"/>
      <c r="S7" s="88"/>
      <c r="T7" s="88"/>
      <c r="U7" s="88"/>
      <c r="V7" s="88"/>
      <c r="W7" s="88"/>
      <c r="X7" s="88"/>
      <c r="Y7" s="88"/>
      <c r="Z7" s="88"/>
      <c r="AA7" s="88">
        <f>J7*Z6</f>
        <v>0</v>
      </c>
    </row>
    <row r="8" spans="1:27" s="192" customFormat="1" ht="30" hidden="1" x14ac:dyDescent="0.25">
      <c r="A8" s="258">
        <f>'Tiên lượng'!A8</f>
        <v>0</v>
      </c>
      <c r="B8" s="383"/>
      <c r="C8" s="258" t="str">
        <f>'Tiên lượng'!C8</f>
        <v>CG.11330</v>
      </c>
      <c r="D8" s="258"/>
      <c r="E8" s="9" t="str">
        <f>'Tiên lượng'!D8</f>
        <v>Công tác đo khống chế cao, thủy chuẩn kỹ thuật, cấp địa hình III</v>
      </c>
      <c r="F8" s="383" t="str">
        <f>'Tiên lượng'!E8</f>
        <v>km</v>
      </c>
      <c r="G8" s="166">
        <f>'Tiên lượng'!M8</f>
        <v>10</v>
      </c>
      <c r="H8" s="166">
        <f>PTVT!G27</f>
        <v>2.57</v>
      </c>
      <c r="I8" s="166">
        <f>'Tiên lượng'!W8</f>
        <v>1</v>
      </c>
      <c r="J8" s="139">
        <f t="shared" si="0"/>
        <v>25.7</v>
      </c>
      <c r="K8" s="88"/>
      <c r="L8" s="88"/>
      <c r="M8" s="88"/>
      <c r="N8" s="88"/>
      <c r="O8" s="88"/>
      <c r="P8" s="88"/>
      <c r="Q8" s="88"/>
      <c r="R8" s="88"/>
      <c r="S8" s="88"/>
      <c r="T8" s="88"/>
      <c r="U8" s="88"/>
      <c r="V8" s="88"/>
      <c r="W8" s="88"/>
      <c r="X8" s="88"/>
      <c r="Y8" s="88"/>
      <c r="Z8" s="88"/>
      <c r="AA8" s="88">
        <f>J8*Z6</f>
        <v>0</v>
      </c>
    </row>
    <row r="9" spans="1:27" s="192" customFormat="1" ht="60" hidden="1" x14ac:dyDescent="0.25">
      <c r="A9" s="258">
        <f>'Tiên lượng'!A9</f>
        <v>0</v>
      </c>
      <c r="B9" s="383"/>
      <c r="C9" s="258" t="str">
        <f>'Tiên lượng'!C9</f>
        <v>CK.11430</v>
      </c>
      <c r="D9" s="258"/>
      <c r="E9" s="9" t="str">
        <f>'Tiên lượng'!D9</f>
        <v>Đo vẽ chi tiết bản đồ địa hình trên cạn bằng  máy toàn đạc điện tử và máy thủy bình điện tử; bản đồ tỷ lệ 1/500, đường đồng mức 1m, cấp địa hình III</v>
      </c>
      <c r="F9" s="383" t="str">
        <f>'Tiên lượng'!E9</f>
        <v>1 ha</v>
      </c>
      <c r="G9" s="166">
        <f>'Tiên lượng'!M9</f>
        <v>56</v>
      </c>
      <c r="H9" s="166">
        <f>PTVT!G38</f>
        <v>5.36</v>
      </c>
      <c r="I9" s="166">
        <f>'Tiên lượng'!W9</f>
        <v>1</v>
      </c>
      <c r="J9" s="139">
        <f t="shared" si="0"/>
        <v>300.16000000000003</v>
      </c>
      <c r="K9" s="88"/>
      <c r="L9" s="88"/>
      <c r="M9" s="88"/>
      <c r="N9" s="88"/>
      <c r="O9" s="88"/>
      <c r="P9" s="88"/>
      <c r="Q9" s="88"/>
      <c r="R9" s="88"/>
      <c r="S9" s="88"/>
      <c r="T9" s="88"/>
      <c r="U9" s="88"/>
      <c r="V9" s="88"/>
      <c r="W9" s="88"/>
      <c r="X9" s="88"/>
      <c r="Y9" s="88"/>
      <c r="Z9" s="88"/>
      <c r="AA9" s="88">
        <f>J9*Z6</f>
        <v>0</v>
      </c>
    </row>
    <row r="10" spans="1:27" s="192" customFormat="1" ht="60" hidden="1" x14ac:dyDescent="0.25">
      <c r="A10" s="258">
        <f>'Tiên lượng'!A10</f>
        <v>0</v>
      </c>
      <c r="B10" s="383"/>
      <c r="C10" s="258" t="str">
        <f>'Tiên lượng'!C10</f>
        <v>CK.11440</v>
      </c>
      <c r="D10" s="258"/>
      <c r="E10" s="9" t="str">
        <f>'Tiên lượng'!D10</f>
        <v>Đo vẽ chi tiết bản đồ địa hình trên cạn bằng  máy toàn đạc điện tử và máy thủy bình điện tử; bản đồ tỷ lệ 1/500, đường đồng mức 1m, cấp địa hình IV</v>
      </c>
      <c r="F10" s="383" t="str">
        <f>'Tiên lượng'!E10</f>
        <v>1 ha</v>
      </c>
      <c r="G10" s="166">
        <f>'Tiên lượng'!M10</f>
        <v>130</v>
      </c>
      <c r="H10" s="166">
        <f>PTVT!G50</f>
        <v>7.28</v>
      </c>
      <c r="I10" s="166">
        <f>'Tiên lượng'!W10</f>
        <v>1</v>
      </c>
      <c r="J10" s="139">
        <f t="shared" si="0"/>
        <v>946.4</v>
      </c>
      <c r="K10" s="88"/>
      <c r="L10" s="88"/>
      <c r="M10" s="88"/>
      <c r="N10" s="88"/>
      <c r="O10" s="88"/>
      <c r="P10" s="88"/>
      <c r="Q10" s="88"/>
      <c r="R10" s="88"/>
      <c r="S10" s="88"/>
      <c r="T10" s="88"/>
      <c r="U10" s="88"/>
      <c r="V10" s="88"/>
      <c r="W10" s="88"/>
      <c r="X10" s="88"/>
      <c r="Y10" s="88"/>
      <c r="Z10" s="88"/>
      <c r="AA10" s="88">
        <f>J10*Z6</f>
        <v>0</v>
      </c>
    </row>
    <row r="11" spans="1:27" x14ac:dyDescent="0.25">
      <c r="A11" s="510" t="s">
        <v>207</v>
      </c>
      <c r="B11" s="45">
        <v>2</v>
      </c>
      <c r="C11" s="510" t="s">
        <v>689</v>
      </c>
      <c r="D11" s="510">
        <f>'Giá NC'!D6</f>
        <v>0</v>
      </c>
      <c r="E11" s="277" t="str">
        <f>'Giá NC'!E6</f>
        <v>Kỹ sư bậc 4,0/8</v>
      </c>
      <c r="F11" s="45" t="s">
        <v>345</v>
      </c>
      <c r="G11" s="437"/>
      <c r="H11" s="437"/>
      <c r="I11" s="437"/>
      <c r="J11" s="422">
        <f>SUM(J12:J15)</f>
        <v>459.6</v>
      </c>
      <c r="K11" s="368">
        <f>'Giá NC'!G6</f>
        <v>296000</v>
      </c>
      <c r="L11" s="368">
        <f>J11*K11</f>
        <v>136041600</v>
      </c>
      <c r="M11" s="368">
        <f>'Giá NC'!H6</f>
        <v>296000</v>
      </c>
      <c r="N11" s="368">
        <f>J11*M11</f>
        <v>136041600</v>
      </c>
      <c r="O11" s="368">
        <f>M11-K11</f>
        <v>0</v>
      </c>
      <c r="P11" s="368">
        <f>J11*O11</f>
        <v>0</v>
      </c>
      <c r="Q11" s="368">
        <v>1</v>
      </c>
      <c r="R11" s="368">
        <f>M11*Q11</f>
        <v>296000</v>
      </c>
      <c r="S11" s="368">
        <f>J11*R11</f>
        <v>136041600</v>
      </c>
      <c r="T11" s="368">
        <v>0</v>
      </c>
      <c r="U11" s="368">
        <v>0</v>
      </c>
      <c r="V11" s="368">
        <v>0</v>
      </c>
      <c r="W11" s="368">
        <v>0</v>
      </c>
      <c r="X11" s="368">
        <f>'Giá NC'!K6</f>
        <v>296000</v>
      </c>
      <c r="Y11" s="368">
        <f>J11*X11</f>
        <v>136041600</v>
      </c>
      <c r="Z11" s="368">
        <f>X11-K11</f>
        <v>0</v>
      </c>
      <c r="AA11" s="368">
        <f>J11*Z11</f>
        <v>0</v>
      </c>
    </row>
    <row r="12" spans="1:27" s="192" customFormat="1" ht="30" hidden="1" x14ac:dyDescent="0.25">
      <c r="A12" s="258">
        <f>'Tiên lượng'!A7</f>
        <v>0</v>
      </c>
      <c r="B12" s="383"/>
      <c r="C12" s="258" t="str">
        <f>'Tiên lượng'!C7</f>
        <v>CF.11620</v>
      </c>
      <c r="D12" s="258"/>
      <c r="E12" s="9" t="str">
        <f>'Tiên lượng'!D7</f>
        <v>Công tác đo lưới khống chế mặt bằng, đường chuyền cấp II, Bộ thiết bị GPS (3 máy)</v>
      </c>
      <c r="F12" s="383" t="str">
        <f>'Tiên lượng'!E7</f>
        <v>điểm</v>
      </c>
      <c r="G12" s="166">
        <f>'Tiên lượng'!M7</f>
        <v>22</v>
      </c>
      <c r="H12" s="166">
        <f>PTVT!G16</f>
        <v>1.76</v>
      </c>
      <c r="I12" s="166">
        <f>'Tiên lượng'!W7</f>
        <v>1</v>
      </c>
      <c r="J12" s="139">
        <f t="shared" ref="J12:J15" si="1">PRODUCT(G12,H12,I12)</f>
        <v>38.72</v>
      </c>
      <c r="K12" s="88"/>
      <c r="L12" s="88"/>
      <c r="M12" s="88"/>
      <c r="N12" s="88"/>
      <c r="O12" s="88"/>
      <c r="P12" s="88"/>
      <c r="Q12" s="88"/>
      <c r="R12" s="88"/>
      <c r="S12" s="88"/>
      <c r="T12" s="88"/>
      <c r="U12" s="88"/>
      <c r="V12" s="88"/>
      <c r="W12" s="88"/>
      <c r="X12" s="88"/>
      <c r="Y12" s="88"/>
      <c r="Z12" s="88"/>
      <c r="AA12" s="88">
        <f>J12*Z11</f>
        <v>0</v>
      </c>
    </row>
    <row r="13" spans="1:27" s="192" customFormat="1" ht="30" hidden="1" x14ac:dyDescent="0.25">
      <c r="A13" s="258">
        <f>'Tiên lượng'!A8</f>
        <v>0</v>
      </c>
      <c r="B13" s="383"/>
      <c r="C13" s="258" t="str">
        <f>'Tiên lượng'!C8</f>
        <v>CG.11330</v>
      </c>
      <c r="D13" s="258"/>
      <c r="E13" s="9" t="str">
        <f>'Tiên lượng'!D8</f>
        <v>Công tác đo khống chế cao, thủy chuẩn kỹ thuật, cấp địa hình III</v>
      </c>
      <c r="F13" s="383" t="str">
        <f>'Tiên lượng'!E8</f>
        <v>km</v>
      </c>
      <c r="G13" s="166">
        <f>'Tiên lượng'!M8</f>
        <v>10</v>
      </c>
      <c r="H13" s="166">
        <f>PTVT!G26</f>
        <v>0.92</v>
      </c>
      <c r="I13" s="166">
        <f>'Tiên lượng'!W8</f>
        <v>1</v>
      </c>
      <c r="J13" s="139">
        <f t="shared" si="1"/>
        <v>9.2000000000000011</v>
      </c>
      <c r="K13" s="88"/>
      <c r="L13" s="88"/>
      <c r="M13" s="88"/>
      <c r="N13" s="88"/>
      <c r="O13" s="88"/>
      <c r="P13" s="88"/>
      <c r="Q13" s="88"/>
      <c r="R13" s="88"/>
      <c r="S13" s="88"/>
      <c r="T13" s="88"/>
      <c r="U13" s="88"/>
      <c r="V13" s="88"/>
      <c r="W13" s="88"/>
      <c r="X13" s="88"/>
      <c r="Y13" s="88"/>
      <c r="Z13" s="88"/>
      <c r="AA13" s="88">
        <f>J13*Z11</f>
        <v>0</v>
      </c>
    </row>
    <row r="14" spans="1:27" s="192" customFormat="1" ht="60" hidden="1" x14ac:dyDescent="0.25">
      <c r="A14" s="258">
        <f>'Tiên lượng'!A9</f>
        <v>0</v>
      </c>
      <c r="B14" s="383"/>
      <c r="C14" s="258" t="str">
        <f>'Tiên lượng'!C9</f>
        <v>CK.11430</v>
      </c>
      <c r="D14" s="258"/>
      <c r="E14" s="9" t="str">
        <f>'Tiên lượng'!D9</f>
        <v>Đo vẽ chi tiết bản đồ địa hình trên cạn bằng  máy toàn đạc điện tử và máy thủy bình điện tử; bản đồ tỷ lệ 1/500, đường đồng mức 1m, cấp địa hình III</v>
      </c>
      <c r="F14" s="383" t="str">
        <f>'Tiên lượng'!E9</f>
        <v>1 ha</v>
      </c>
      <c r="G14" s="166">
        <f>'Tiên lượng'!M9</f>
        <v>56</v>
      </c>
      <c r="H14" s="166">
        <f>PTVT!G37</f>
        <v>1.78</v>
      </c>
      <c r="I14" s="166">
        <f>'Tiên lượng'!W9</f>
        <v>1</v>
      </c>
      <c r="J14" s="139">
        <f t="shared" si="1"/>
        <v>99.68</v>
      </c>
      <c r="K14" s="88"/>
      <c r="L14" s="88"/>
      <c r="M14" s="88"/>
      <c r="N14" s="88"/>
      <c r="O14" s="88"/>
      <c r="P14" s="88"/>
      <c r="Q14" s="88"/>
      <c r="R14" s="88"/>
      <c r="S14" s="88"/>
      <c r="T14" s="88"/>
      <c r="U14" s="88"/>
      <c r="V14" s="88"/>
      <c r="W14" s="88"/>
      <c r="X14" s="88"/>
      <c r="Y14" s="88"/>
      <c r="Z14" s="88"/>
      <c r="AA14" s="88">
        <f>J14*Z11</f>
        <v>0</v>
      </c>
    </row>
    <row r="15" spans="1:27" s="192" customFormat="1" ht="60" hidden="1" x14ac:dyDescent="0.25">
      <c r="A15" s="258">
        <f>'Tiên lượng'!A10</f>
        <v>0</v>
      </c>
      <c r="B15" s="383"/>
      <c r="C15" s="258" t="str">
        <f>'Tiên lượng'!C10</f>
        <v>CK.11440</v>
      </c>
      <c r="D15" s="258"/>
      <c r="E15" s="9" t="str">
        <f>'Tiên lượng'!D10</f>
        <v>Đo vẽ chi tiết bản đồ địa hình trên cạn bằng  máy toàn đạc điện tử và máy thủy bình điện tử; bản đồ tỷ lệ 1/500, đường đồng mức 1m, cấp địa hình IV</v>
      </c>
      <c r="F15" s="383" t="str">
        <f>'Tiên lượng'!E10</f>
        <v>1 ha</v>
      </c>
      <c r="G15" s="166">
        <f>'Tiên lượng'!M10</f>
        <v>130</v>
      </c>
      <c r="H15" s="166">
        <f>PTVT!G49</f>
        <v>2.4</v>
      </c>
      <c r="I15" s="166">
        <f>'Tiên lượng'!W10</f>
        <v>1</v>
      </c>
      <c r="J15" s="139">
        <f t="shared" si="1"/>
        <v>312</v>
      </c>
      <c r="K15" s="88"/>
      <c r="L15" s="88"/>
      <c r="M15" s="88"/>
      <c r="N15" s="88"/>
      <c r="O15" s="88"/>
      <c r="P15" s="88"/>
      <c r="Q15" s="88"/>
      <c r="R15" s="88"/>
      <c r="S15" s="88"/>
      <c r="T15" s="88"/>
      <c r="U15" s="88"/>
      <c r="V15" s="88"/>
      <c r="W15" s="88"/>
      <c r="X15" s="88"/>
      <c r="Y15" s="88"/>
      <c r="Z15" s="88"/>
      <c r="AA15" s="88">
        <f>J15*Z11</f>
        <v>0</v>
      </c>
    </row>
    <row r="16" spans="1:27" x14ac:dyDescent="0.25">
      <c r="A16" s="398"/>
      <c r="B16" s="491"/>
      <c r="C16" s="398"/>
      <c r="D16" s="398"/>
      <c r="E16" s="132" t="s">
        <v>473</v>
      </c>
      <c r="F16" s="491"/>
      <c r="G16" s="307"/>
      <c r="H16" s="307"/>
      <c r="I16" s="307"/>
      <c r="J16" s="281"/>
      <c r="K16" s="347"/>
      <c r="L16" s="347">
        <f>SUMIF(A6:A15,"VT",L6:L15)</f>
        <v>524042035.68000007</v>
      </c>
      <c r="M16" s="347"/>
      <c r="N16" s="347">
        <f>SUMIF(A6:A15,"VT",N6:N15)</f>
        <v>524042035.68000007</v>
      </c>
      <c r="O16" s="347"/>
      <c r="P16" s="347">
        <f>SUMIF(A6:A15,"VT",P6:P15)</f>
        <v>0</v>
      </c>
      <c r="Q16" s="347"/>
      <c r="R16" s="347"/>
      <c r="S16" s="347">
        <f>SUMIF(A6:A15,"VT",S6:S15)</f>
        <v>524042035.68000007</v>
      </c>
      <c r="T16" s="347"/>
      <c r="U16" s="347">
        <f>SUMIF(A6:A15,"VT",U6:U15)</f>
        <v>0</v>
      </c>
      <c r="V16" s="347"/>
      <c r="W16" s="347">
        <f>SUMIF(A6:A15,"VT",W6:W15)</f>
        <v>0</v>
      </c>
      <c r="X16" s="347"/>
      <c r="Y16" s="347">
        <f>SUMIF(A6:A15,"VT",Y6:Y15)</f>
        <v>524042035.68000007</v>
      </c>
      <c r="Z16" s="347"/>
      <c r="AA16" s="347">
        <f>SUMIF(A6:A15,"VT",AA6:AA15)</f>
        <v>0</v>
      </c>
    </row>
    <row r="17" spans="1:27" x14ac:dyDescent="0.25">
      <c r="A17" s="232"/>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row>
  </sheetData>
  <mergeCells count="28">
    <mergeCell ref="Z4:Z5"/>
    <mergeCell ref="AA4:AA5"/>
    <mergeCell ref="U4:U5"/>
    <mergeCell ref="V4:V5"/>
    <mergeCell ref="W4:W5"/>
    <mergeCell ref="X4:X5"/>
    <mergeCell ref="Y4:Y5"/>
    <mergeCell ref="P4:P5"/>
    <mergeCell ref="Q4:Q5"/>
    <mergeCell ref="R4:R5"/>
    <mergeCell ref="S4:S5"/>
    <mergeCell ref="T4:T5"/>
    <mergeCell ref="A1:AA1"/>
    <mergeCell ref="A2:AA2"/>
    <mergeCell ref="A3:AA3"/>
    <mergeCell ref="B4:B5"/>
    <mergeCell ref="C4:C5"/>
    <mergeCell ref="E4:E5"/>
    <mergeCell ref="F4:F5"/>
    <mergeCell ref="G4:G5"/>
    <mergeCell ref="H4:H5"/>
    <mergeCell ref="I4:I5"/>
    <mergeCell ref="J4:J5"/>
    <mergeCell ref="K4:K5"/>
    <mergeCell ref="L4:L5"/>
    <mergeCell ref="M4:M5"/>
    <mergeCell ref="N4:N5"/>
    <mergeCell ref="O4:O5"/>
  </mergeCells>
  <pageMargins left="0.75" right="0.75" top="0.79" bottom="0.79" header="0.3" footer="0.3"/>
  <pageSetup paperSize="9" orientation="landscape" useFirstPageNumber="1" horizontalDpi="65532"/>
  <headerFooter>
    <oddFooter>&amp;CTrang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7"/>
  </sheetPr>
  <dimension ref="A1:V10"/>
  <sheetViews>
    <sheetView showZeros="0" topLeftCell="B1" workbookViewId="0">
      <selection activeCell="D9" sqref="D9"/>
    </sheetView>
  </sheetViews>
  <sheetFormatPr defaultColWidth="9.140625" defaultRowHeight="15" x14ac:dyDescent="0.25"/>
  <cols>
    <col min="1" max="1" width="9.140625" style="460" hidden="1" customWidth="1"/>
    <col min="2" max="2" width="5" style="460" bestFit="1" customWidth="1"/>
    <col min="3" max="3" width="8.140625" style="460" customWidth="1"/>
    <col min="4" max="4" width="33.85546875" style="460" customWidth="1"/>
    <col min="5" max="5" width="10.7109375" style="460" customWidth="1"/>
    <col min="6" max="6" width="6.7109375" style="460" hidden="1" customWidth="1"/>
    <col min="7" max="7" width="9.5703125" style="460" hidden="1" customWidth="1"/>
    <col min="8" max="8" width="9.42578125" style="460" hidden="1" customWidth="1"/>
    <col min="9" max="9" width="9.140625" style="460" hidden="1" customWidth="1"/>
    <col min="10" max="10" width="9.42578125" style="460" hidden="1" customWidth="1"/>
    <col min="11" max="11" width="8.28515625" style="460" hidden="1" customWidth="1"/>
    <col min="12" max="12" width="8.42578125" style="460" hidden="1" customWidth="1"/>
    <col min="13" max="13" width="9.140625" style="460" hidden="1" customWidth="1"/>
    <col min="14" max="14" width="10.42578125" style="460" hidden="1" customWidth="1"/>
    <col min="15" max="15" width="8.140625" style="460" hidden="1" customWidth="1"/>
    <col min="16" max="16" width="12" style="460" hidden="1" customWidth="1"/>
    <col min="17" max="17" width="10.28515625" style="460" customWidth="1"/>
    <col min="18" max="22" width="9.140625" style="460" hidden="1" customWidth="1"/>
    <col min="23" max="23" width="9.140625" style="460" customWidth="1"/>
    <col min="24" max="16384" width="9.140625" style="460"/>
  </cols>
  <sheetData>
    <row r="1" spans="1:17" ht="18.75" x14ac:dyDescent="0.3">
      <c r="A1" s="590" t="s">
        <v>652</v>
      </c>
      <c r="B1" s="590" t="s">
        <v>652</v>
      </c>
      <c r="C1" s="590" t="s">
        <v>652</v>
      </c>
      <c r="D1" s="590" t="s">
        <v>652</v>
      </c>
      <c r="E1" s="590" t="s">
        <v>652</v>
      </c>
      <c r="F1" s="590" t="s">
        <v>652</v>
      </c>
      <c r="G1" s="590" t="s">
        <v>652</v>
      </c>
      <c r="H1" s="590" t="s">
        <v>652</v>
      </c>
      <c r="I1" s="590" t="s">
        <v>652</v>
      </c>
      <c r="J1" s="590" t="s">
        <v>652</v>
      </c>
      <c r="K1" s="590" t="s">
        <v>652</v>
      </c>
      <c r="L1" s="590" t="s">
        <v>652</v>
      </c>
      <c r="M1" s="590" t="s">
        <v>652</v>
      </c>
      <c r="N1" s="590" t="s">
        <v>652</v>
      </c>
      <c r="O1" s="590" t="s">
        <v>652</v>
      </c>
      <c r="P1" s="590" t="s">
        <v>652</v>
      </c>
      <c r="Q1" s="590" t="s">
        <v>652</v>
      </c>
    </row>
    <row r="2" spans="1:17" x14ac:dyDescent="0.25">
      <c r="A2" s="591" t="s">
        <v>471</v>
      </c>
      <c r="B2" s="591" t="s">
        <v>471</v>
      </c>
      <c r="C2" s="591" t="s">
        <v>471</v>
      </c>
      <c r="D2" s="591" t="s">
        <v>471</v>
      </c>
      <c r="E2" s="591" t="s">
        <v>471</v>
      </c>
      <c r="F2" s="591" t="s">
        <v>471</v>
      </c>
      <c r="G2" s="591" t="s">
        <v>471</v>
      </c>
      <c r="H2" s="591" t="s">
        <v>471</v>
      </c>
      <c r="I2" s="591" t="s">
        <v>471</v>
      </c>
      <c r="J2" s="591" t="s">
        <v>471</v>
      </c>
      <c r="K2" s="591" t="s">
        <v>471</v>
      </c>
      <c r="L2" s="591" t="s">
        <v>471</v>
      </c>
      <c r="M2" s="591" t="s">
        <v>471</v>
      </c>
      <c r="N2" s="591" t="s">
        <v>471</v>
      </c>
      <c r="O2" s="591" t="s">
        <v>471</v>
      </c>
      <c r="P2" s="591" t="s">
        <v>471</v>
      </c>
      <c r="Q2" s="591" t="s">
        <v>471</v>
      </c>
    </row>
    <row r="3" spans="1:17" x14ac:dyDescent="0.25">
      <c r="A3" s="596" t="s">
        <v>178</v>
      </c>
      <c r="B3" s="596" t="s">
        <v>178</v>
      </c>
      <c r="C3" s="596" t="s">
        <v>178</v>
      </c>
      <c r="D3" s="596" t="s">
        <v>178</v>
      </c>
      <c r="E3" s="596" t="s">
        <v>178</v>
      </c>
      <c r="F3" s="596" t="s">
        <v>178</v>
      </c>
      <c r="G3" s="596" t="s">
        <v>178</v>
      </c>
      <c r="H3" s="596" t="s">
        <v>178</v>
      </c>
      <c r="I3" s="596" t="s">
        <v>178</v>
      </c>
      <c r="J3" s="596" t="s">
        <v>178</v>
      </c>
      <c r="K3" s="596" t="s">
        <v>178</v>
      </c>
      <c r="L3" s="596" t="s">
        <v>178</v>
      </c>
      <c r="M3" s="596" t="s">
        <v>178</v>
      </c>
      <c r="N3" s="596" t="s">
        <v>178</v>
      </c>
      <c r="O3" s="596" t="s">
        <v>178</v>
      </c>
      <c r="P3" s="596" t="s">
        <v>178</v>
      </c>
      <c r="Q3" s="596" t="s">
        <v>178</v>
      </c>
    </row>
    <row r="4" spans="1:17" x14ac:dyDescent="0.25">
      <c r="C4" s="211"/>
      <c r="P4" s="8"/>
      <c r="Q4" s="248">
        <v>0</v>
      </c>
    </row>
    <row r="5" spans="1:17" x14ac:dyDescent="0.25">
      <c r="B5" s="39">
        <v>26</v>
      </c>
      <c r="C5" s="211"/>
      <c r="P5" s="8"/>
      <c r="Q5" s="248">
        <v>0</v>
      </c>
    </row>
    <row r="6" spans="1:17" x14ac:dyDescent="0.25">
      <c r="B6" s="597" t="s">
        <v>306</v>
      </c>
      <c r="C6" s="600" t="s">
        <v>211</v>
      </c>
      <c r="D6" s="597" t="s">
        <v>105</v>
      </c>
      <c r="E6" s="597" t="s">
        <v>891</v>
      </c>
      <c r="F6" s="597" t="s">
        <v>705</v>
      </c>
      <c r="G6" s="597" t="s">
        <v>804</v>
      </c>
      <c r="H6" s="603" t="s">
        <v>460</v>
      </c>
      <c r="I6" s="603"/>
      <c r="J6" s="603"/>
      <c r="K6" s="603"/>
      <c r="L6" s="603"/>
      <c r="M6" s="603"/>
      <c r="N6" s="603"/>
      <c r="O6" s="603"/>
      <c r="P6" s="597" t="s">
        <v>664</v>
      </c>
      <c r="Q6" s="597" t="s">
        <v>952</v>
      </c>
    </row>
    <row r="7" spans="1:17" ht="29.25" customHeight="1" x14ac:dyDescent="0.25">
      <c r="B7" s="598"/>
      <c r="C7" s="601"/>
      <c r="D7" s="598"/>
      <c r="E7" s="598"/>
      <c r="F7" s="598"/>
      <c r="G7" s="598"/>
      <c r="H7" s="235" t="s">
        <v>426</v>
      </c>
      <c r="I7" s="235" t="s">
        <v>443</v>
      </c>
      <c r="J7" s="235" t="s">
        <v>568</v>
      </c>
      <c r="K7" s="235" t="s">
        <v>366</v>
      </c>
      <c r="L7" s="235" t="s">
        <v>54</v>
      </c>
      <c r="M7" s="235" t="s">
        <v>888</v>
      </c>
      <c r="N7" s="235" t="s">
        <v>833</v>
      </c>
      <c r="O7" s="235" t="s">
        <v>960</v>
      </c>
      <c r="P7" s="598"/>
      <c r="Q7" s="598"/>
    </row>
    <row r="8" spans="1:17" x14ac:dyDescent="0.25">
      <c r="B8" s="599"/>
      <c r="C8" s="602"/>
      <c r="D8" s="599"/>
      <c r="E8" s="599"/>
      <c r="F8" s="599"/>
      <c r="G8" s="599"/>
      <c r="H8" s="30"/>
      <c r="I8" s="30"/>
      <c r="J8" s="30"/>
      <c r="K8" s="30"/>
      <c r="L8" s="30"/>
      <c r="M8" s="30"/>
      <c r="N8" s="30"/>
      <c r="O8" s="30"/>
      <c r="P8" s="599"/>
      <c r="Q8" s="599"/>
    </row>
    <row r="9" spans="1:17" x14ac:dyDescent="0.25">
      <c r="A9" s="356"/>
      <c r="B9" s="365">
        <v>1</v>
      </c>
      <c r="C9" s="224" t="s">
        <v>137</v>
      </c>
      <c r="D9" s="356" t="s">
        <v>719</v>
      </c>
      <c r="E9" s="356" t="s">
        <v>345</v>
      </c>
      <c r="F9" s="550"/>
      <c r="G9" s="478">
        <f>F9*Q5</f>
        <v>0</v>
      </c>
      <c r="H9" s="478">
        <f>H8*Q4</f>
        <v>0</v>
      </c>
      <c r="I9" s="478">
        <f>I8*Q4</f>
        <v>0</v>
      </c>
      <c r="J9" s="478">
        <f>J8*Q4</f>
        <v>0</v>
      </c>
      <c r="K9" s="478">
        <f>K8*Q4</f>
        <v>0</v>
      </c>
      <c r="L9" s="478">
        <f>G9*L8</f>
        <v>0</v>
      </c>
      <c r="M9" s="478">
        <f>G9*M8</f>
        <v>0</v>
      </c>
      <c r="N9" s="478">
        <f>G9*N8</f>
        <v>0</v>
      </c>
      <c r="O9" s="478">
        <f>G9*O8</f>
        <v>0</v>
      </c>
      <c r="P9" s="478">
        <f t="shared" ref="P9:P10" si="0">SUM(G9:O9)</f>
        <v>0</v>
      </c>
      <c r="Q9" s="478">
        <f>ROUND(P9/B5,0)</f>
        <v>0</v>
      </c>
    </row>
    <row r="10" spans="1:17" x14ac:dyDescent="0.25">
      <c r="A10" s="439"/>
      <c r="B10" s="447">
        <v>2</v>
      </c>
      <c r="C10" s="323" t="s">
        <v>689</v>
      </c>
      <c r="D10" s="439" t="s">
        <v>131</v>
      </c>
      <c r="E10" s="439" t="s">
        <v>345</v>
      </c>
      <c r="F10" s="65"/>
      <c r="G10" s="567">
        <f>F10*Q5</f>
        <v>0</v>
      </c>
      <c r="H10" s="567">
        <f>H8*Q4</f>
        <v>0</v>
      </c>
      <c r="I10" s="567">
        <f>I8*Q4</f>
        <v>0</v>
      </c>
      <c r="J10" s="567">
        <f>J8*Q4</f>
        <v>0</v>
      </c>
      <c r="K10" s="567">
        <f>K8*Q4</f>
        <v>0</v>
      </c>
      <c r="L10" s="567">
        <f>G10*L8</f>
        <v>0</v>
      </c>
      <c r="M10" s="567">
        <f>G10*M8</f>
        <v>0</v>
      </c>
      <c r="N10" s="567">
        <f>G10*N8</f>
        <v>0</v>
      </c>
      <c r="O10" s="567">
        <f>G10*O8</f>
        <v>0</v>
      </c>
      <c r="P10" s="567">
        <f t="shared" si="0"/>
        <v>0</v>
      </c>
      <c r="Q10" s="567">
        <f>ROUND(P10/B5,0)</f>
        <v>0</v>
      </c>
    </row>
  </sheetData>
  <mergeCells count="12">
    <mergeCell ref="P6:P8"/>
    <mergeCell ref="Q6:Q8"/>
    <mergeCell ref="A1:Q1"/>
    <mergeCell ref="A2:Q2"/>
    <mergeCell ref="A3:Q3"/>
    <mergeCell ref="B6:B8"/>
    <mergeCell ref="C6:C8"/>
    <mergeCell ref="D6:D8"/>
    <mergeCell ref="E6:E8"/>
    <mergeCell ref="F6:F8"/>
    <mergeCell ref="G6:G8"/>
    <mergeCell ref="H6:O6"/>
  </mergeCells>
  <pageMargins left="1.18" right="0.59" top="0.79" bottom="0.79" header="0.3" footer="0.3"/>
  <pageSetup orientation="landscape" horizontalDpi="655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28</vt:i4>
      </vt:variant>
    </vt:vector>
  </HeadingPairs>
  <TitlesOfParts>
    <vt:vector size="70" baseType="lpstr">
      <vt:lpstr>Tiên lượng</vt:lpstr>
      <vt:lpstr>Giá VL</vt:lpstr>
      <vt:lpstr>THVL</vt:lpstr>
      <vt:lpstr>Cước ô tô</vt:lpstr>
      <vt:lpstr>Cước sông</vt:lpstr>
      <vt:lpstr>Cước TC</vt:lpstr>
      <vt:lpstr>Giá NC</vt:lpstr>
      <vt:lpstr>THNC</vt:lpstr>
      <vt:lpstr>Tính giá NC</vt:lpstr>
      <vt:lpstr>Giá Máy</vt:lpstr>
      <vt:lpstr>THM</vt:lpstr>
      <vt:lpstr>Bù giá CM</vt:lpstr>
      <vt:lpstr>Tính giá CM</vt:lpstr>
      <vt:lpstr>THNL</vt:lpstr>
      <vt:lpstr>THTL</vt:lpstr>
      <vt:lpstr>THKPHM</vt:lpstr>
      <vt:lpstr>THKP_TT11_2021</vt:lpstr>
      <vt:lpstr>Chiết tính</vt:lpstr>
      <vt:lpstr>ĐGTH</vt:lpstr>
      <vt:lpstr>GGTXD</vt:lpstr>
      <vt:lpstr>PTVT</vt:lpstr>
      <vt:lpstr>THDGDT</vt:lpstr>
      <vt:lpstr>THCPXD</vt:lpstr>
      <vt:lpstr>THCPTB</vt:lpstr>
      <vt:lpstr>HM chung</vt:lpstr>
      <vt:lpstr>Bìa ngoài</vt:lpstr>
      <vt:lpstr>Bìa trong</vt:lpstr>
      <vt:lpstr>Thuyết minh</vt:lpstr>
      <vt:lpstr>Thông tin</vt:lpstr>
      <vt:lpstr>Nội suy</vt:lpstr>
      <vt:lpstr>Lương nhân công</vt:lpstr>
      <vt:lpstr>Tổng hợp VT</vt:lpstr>
      <vt:lpstr>Chiết tính rút gọn</vt:lpstr>
      <vt:lpstr>ĐGTH rút gọn</vt:lpstr>
      <vt:lpstr>Giá vữa</vt:lpstr>
      <vt:lpstr>Tra định mức</vt:lpstr>
      <vt:lpstr>QT_PL08b</vt:lpstr>
      <vt:lpstr>QT_PL03a</vt:lpstr>
      <vt:lpstr>QT_PL03b</vt:lpstr>
      <vt:lpstr>QT_PL04</vt:lpstr>
      <vt:lpstr>QT_PL05</vt:lpstr>
      <vt:lpstr>QT_PL06</vt:lpstr>
      <vt:lpstr>capCongTrinh</vt:lpstr>
      <vt:lpstr>loaiCongTrinh</vt:lpstr>
      <vt:lpstr>loaiThietKe</vt:lpstr>
      <vt:lpstr>'Bù giá CM'!Print_Area</vt:lpstr>
      <vt:lpstr>GGTXD!Print_Area</vt:lpstr>
      <vt:lpstr>'Tiên lượng'!Print_Area</vt:lpstr>
      <vt:lpstr>THKP_TT11_2021!Print_Area</vt:lpstr>
      <vt:lpstr>THM!Print_Area</vt:lpstr>
      <vt:lpstr>THNL!Print_Area</vt:lpstr>
      <vt:lpstr>THTL!Print_Area</vt:lpstr>
      <vt:lpstr>'Cước ô tô'!Print_Titles</vt:lpstr>
      <vt:lpstr>'Cước sông'!Print_Titles</vt:lpstr>
      <vt:lpstr>'Chiết tính'!Print_Titles</vt:lpstr>
      <vt:lpstr>'Chiết tính rút gọn'!Print_Titles</vt:lpstr>
      <vt:lpstr>ĐGTH!Print_Titles</vt:lpstr>
      <vt:lpstr>'Giá VL'!Print_Titles</vt:lpstr>
      <vt:lpstr>PTVT!Print_Titles</vt:lpstr>
      <vt:lpstr>'Tiên lượng'!Print_Titles</vt:lpstr>
      <vt:lpstr>THCPTB!Print_Titles</vt:lpstr>
      <vt:lpstr>THCPXD!Print_Titles</vt:lpstr>
      <vt:lpstr>THDGDT!Print_Titles</vt:lpstr>
      <vt:lpstr>THM!Print_Titles</vt:lpstr>
      <vt:lpstr>THNC!Print_Titles</vt:lpstr>
      <vt:lpstr>THVL!Print_Titles</vt:lpstr>
      <vt:lpstr>StartInfo_CongTrinh</vt:lpstr>
      <vt:lpstr>StartInfo_HangMuc</vt:lpstr>
      <vt:lpstr>StartInfo_MauTHKPHM</vt:lpstr>
      <vt:lpstr>StartInfo_SoLieuTinhGiaNC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2023-10-28T02:48:33Z</cp:lastPrinted>
  <dcterms:modified xsi:type="dcterms:W3CDTF">2023-10-28T02:51:11Z</dcterms:modified>
</cp:coreProperties>
</file>